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xml"/>
  <Override PartName="/xl/charts/chart4.xml" ContentType="application/vnd.openxmlformats-officedocument.drawingml.chart+xml"/>
  <Override PartName="/xl/drawings/drawing7.xml" ContentType="application/vnd.openxmlformats-officedocument.drawing+xml"/>
  <Override PartName="/xl/charts/chart5.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xr:revisionPtr revIDLastSave="3" documentId="13_ncr:1_{B7D3F23C-049B-40E6-ABE9-A1CB68F98200}" xr6:coauthVersionLast="47" xr6:coauthVersionMax="47" xr10:uidLastSave="{00D0E827-2537-451F-91C0-83EB513E0C6A}"/>
  <bookViews>
    <workbookView xWindow="-53868" yWindow="-2820" windowWidth="30936" windowHeight="16776" xr2:uid="{00000000-000D-0000-FFFF-FFFF00000000}"/>
  </bookViews>
  <sheets>
    <sheet name="Dashboard" sheetId="1" r:id="rId1"/>
    <sheet name="Curves" sheetId="2" r:id="rId2"/>
    <sheet name="Examples" sheetId="3" r:id="rId3"/>
    <sheet name="ScenarioCurves" sheetId="4" r:id="rId4"/>
    <sheet name="Durability" sheetId="5" r:id="rId5"/>
    <sheet name="Stacking" sheetId="6" r:id="rId6"/>
    <sheet name="Notes" sheetId="7" r:id="rId7"/>
    <sheet name="BoundedMigration" sheetId="8" r:id="rId8"/>
    <sheet name="Sources" sheetId="9" r:id="rId9"/>
    <sheet name="Verification"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25" i="8" l="1"/>
  <c r="G1025" i="8"/>
  <c r="D1025" i="8"/>
  <c r="B1025" i="8"/>
  <c r="C1025" i="8" s="1"/>
  <c r="H1024" i="8"/>
  <c r="C1024" i="8"/>
  <c r="E1024" i="8" s="1"/>
  <c r="F1024" i="8" s="1"/>
  <c r="B1024" i="8"/>
  <c r="D1024" i="8" s="1"/>
  <c r="B1023" i="8"/>
  <c r="H1022" i="8"/>
  <c r="G1022" i="8"/>
  <c r="E1022" i="8"/>
  <c r="F1022" i="8" s="1"/>
  <c r="D1022" i="8"/>
  <c r="C1022" i="8"/>
  <c r="B1022" i="8"/>
  <c r="H1021" i="8"/>
  <c r="D1021" i="8"/>
  <c r="C1021" i="8"/>
  <c r="E1021" i="8" s="1"/>
  <c r="F1021" i="8" s="1"/>
  <c r="B1021" i="8"/>
  <c r="G1021" i="8" s="1"/>
  <c r="G1020" i="8"/>
  <c r="F1020" i="8"/>
  <c r="E1020" i="8"/>
  <c r="D1020" i="8"/>
  <c r="C1020" i="8"/>
  <c r="B1020" i="8"/>
  <c r="H1020" i="8" s="1"/>
  <c r="B1019" i="8"/>
  <c r="G1018" i="8"/>
  <c r="B1018" i="8"/>
  <c r="B1017" i="8"/>
  <c r="H1016" i="8"/>
  <c r="D1016" i="8"/>
  <c r="B1016" i="8"/>
  <c r="G1016" i="8" s="1"/>
  <c r="H1015" i="8"/>
  <c r="D1015" i="8"/>
  <c r="C1015" i="8"/>
  <c r="B1015" i="8"/>
  <c r="G1015" i="8" s="1"/>
  <c r="H1014" i="8"/>
  <c r="G1014" i="8"/>
  <c r="D1014" i="8"/>
  <c r="C1014" i="8"/>
  <c r="E1014" i="8" s="1"/>
  <c r="F1014" i="8" s="1"/>
  <c r="B1014" i="8"/>
  <c r="B1013" i="8"/>
  <c r="H1012" i="8"/>
  <c r="C1012" i="8"/>
  <c r="B1012" i="8"/>
  <c r="D1011" i="8"/>
  <c r="B1011" i="8"/>
  <c r="H1010" i="8"/>
  <c r="D1010" i="8"/>
  <c r="B1010" i="8"/>
  <c r="G1010" i="8" s="1"/>
  <c r="B1009" i="8"/>
  <c r="G1008" i="8"/>
  <c r="D1008" i="8"/>
  <c r="C1008" i="8"/>
  <c r="B1008" i="8"/>
  <c r="H1008" i="8" s="1"/>
  <c r="B1007" i="8"/>
  <c r="H1006" i="8"/>
  <c r="C1006" i="8"/>
  <c r="B1006" i="8"/>
  <c r="D1005" i="8"/>
  <c r="B1005" i="8"/>
  <c r="H1004" i="8"/>
  <c r="D1004" i="8"/>
  <c r="C1004" i="8"/>
  <c r="B1004" i="8"/>
  <c r="G1004" i="8" s="1"/>
  <c r="B1003" i="8"/>
  <c r="H1002" i="8"/>
  <c r="G1002" i="8"/>
  <c r="D1002" i="8"/>
  <c r="E1002" i="8" s="1"/>
  <c r="F1002" i="8" s="1"/>
  <c r="C1002" i="8"/>
  <c r="B1002" i="8"/>
  <c r="G1001" i="8"/>
  <c r="B1001" i="8"/>
  <c r="H1000" i="8"/>
  <c r="G1000" i="8"/>
  <c r="F1000" i="8"/>
  <c r="C1000" i="8"/>
  <c r="E1000" i="8" s="1"/>
  <c r="B1000" i="8"/>
  <c r="D1000" i="8" s="1"/>
  <c r="C999" i="8"/>
  <c r="B999" i="8"/>
  <c r="H998" i="8"/>
  <c r="G998" i="8"/>
  <c r="D998" i="8"/>
  <c r="C998" i="8"/>
  <c r="E998" i="8" s="1"/>
  <c r="F998" i="8" s="1"/>
  <c r="B998" i="8"/>
  <c r="B997" i="8"/>
  <c r="G996" i="8"/>
  <c r="D996" i="8"/>
  <c r="C996" i="8"/>
  <c r="E996" i="8" s="1"/>
  <c r="F996" i="8" s="1"/>
  <c r="B996" i="8"/>
  <c r="H996" i="8" s="1"/>
  <c r="G995" i="8"/>
  <c r="D995" i="8"/>
  <c r="B995" i="8"/>
  <c r="H994" i="8"/>
  <c r="G994" i="8"/>
  <c r="F994" i="8"/>
  <c r="E994" i="8"/>
  <c r="C994" i="8"/>
  <c r="B994" i="8"/>
  <c r="D994" i="8" s="1"/>
  <c r="B993" i="8"/>
  <c r="H992" i="8"/>
  <c r="G992" i="8"/>
  <c r="E992" i="8"/>
  <c r="F992" i="8" s="1"/>
  <c r="D992" i="8"/>
  <c r="C992" i="8"/>
  <c r="B992" i="8"/>
  <c r="C991" i="8"/>
  <c r="B991" i="8"/>
  <c r="H990" i="8"/>
  <c r="G990" i="8"/>
  <c r="E990" i="8"/>
  <c r="F990" i="8" s="1"/>
  <c r="D990" i="8"/>
  <c r="C990" i="8"/>
  <c r="B990" i="8"/>
  <c r="H989" i="8"/>
  <c r="G989" i="8"/>
  <c r="D989" i="8"/>
  <c r="E989" i="8" s="1"/>
  <c r="F989" i="8" s="1"/>
  <c r="B989" i="8"/>
  <c r="C989" i="8" s="1"/>
  <c r="H988" i="8"/>
  <c r="G988" i="8"/>
  <c r="E988" i="8"/>
  <c r="F988" i="8" s="1"/>
  <c r="C988" i="8"/>
  <c r="B988" i="8"/>
  <c r="D988" i="8" s="1"/>
  <c r="H987" i="8"/>
  <c r="G987" i="8"/>
  <c r="D987" i="8"/>
  <c r="C987" i="8"/>
  <c r="E987" i="8" s="1"/>
  <c r="F987" i="8" s="1"/>
  <c r="B987" i="8"/>
  <c r="H986" i="8"/>
  <c r="G986" i="8"/>
  <c r="E986" i="8"/>
  <c r="F986" i="8" s="1"/>
  <c r="D986" i="8"/>
  <c r="C986" i="8"/>
  <c r="B986" i="8"/>
  <c r="H985" i="8"/>
  <c r="D985" i="8"/>
  <c r="C985" i="8"/>
  <c r="B985" i="8"/>
  <c r="G985" i="8" s="1"/>
  <c r="G984" i="8"/>
  <c r="E984" i="8"/>
  <c r="F984" i="8" s="1"/>
  <c r="D984" i="8"/>
  <c r="C984" i="8"/>
  <c r="B984" i="8"/>
  <c r="H984" i="8" s="1"/>
  <c r="H983" i="8"/>
  <c r="G983" i="8"/>
  <c r="E983" i="8"/>
  <c r="F983" i="8" s="1"/>
  <c r="D983" i="8"/>
  <c r="B983" i="8"/>
  <c r="C983" i="8" s="1"/>
  <c r="H982" i="8"/>
  <c r="G982" i="8"/>
  <c r="E982" i="8"/>
  <c r="F982" i="8" s="1"/>
  <c r="C982" i="8"/>
  <c r="B982" i="8"/>
  <c r="D982" i="8" s="1"/>
  <c r="H981" i="8"/>
  <c r="G981" i="8"/>
  <c r="D981" i="8"/>
  <c r="C981" i="8"/>
  <c r="E981" i="8" s="1"/>
  <c r="F981" i="8" s="1"/>
  <c r="B981" i="8"/>
  <c r="H980" i="8"/>
  <c r="G980" i="8"/>
  <c r="E980" i="8"/>
  <c r="F980" i="8" s="1"/>
  <c r="D980" i="8"/>
  <c r="C980" i="8"/>
  <c r="B980" i="8"/>
  <c r="H979" i="8"/>
  <c r="D979" i="8"/>
  <c r="C979" i="8"/>
  <c r="E979" i="8" s="1"/>
  <c r="F979" i="8" s="1"/>
  <c r="B979" i="8"/>
  <c r="G979" i="8" s="1"/>
  <c r="H978" i="8"/>
  <c r="G978" i="8"/>
  <c r="E978" i="8"/>
  <c r="F978" i="8" s="1"/>
  <c r="D978" i="8"/>
  <c r="C978" i="8"/>
  <c r="B978" i="8"/>
  <c r="H977" i="8"/>
  <c r="B977" i="8"/>
  <c r="H976" i="8"/>
  <c r="G976" i="8"/>
  <c r="B976" i="8"/>
  <c r="B975" i="8"/>
  <c r="B974" i="8"/>
  <c r="H973" i="8"/>
  <c r="B973" i="8"/>
  <c r="G972" i="8"/>
  <c r="E972" i="8"/>
  <c r="F972" i="8" s="1"/>
  <c r="D972" i="8"/>
  <c r="C972" i="8"/>
  <c r="B972" i="8"/>
  <c r="H972" i="8" s="1"/>
  <c r="B971" i="8"/>
  <c r="B970" i="8"/>
  <c r="B969" i="8"/>
  <c r="H968" i="8"/>
  <c r="G968" i="8"/>
  <c r="B968" i="8"/>
  <c r="D967" i="8"/>
  <c r="B967" i="8"/>
  <c r="G966" i="8"/>
  <c r="E966" i="8"/>
  <c r="F966" i="8" s="1"/>
  <c r="D966" i="8"/>
  <c r="C966" i="8"/>
  <c r="B966" i="8"/>
  <c r="H966" i="8" s="1"/>
  <c r="H965" i="8"/>
  <c r="B965" i="8"/>
  <c r="B964" i="8"/>
  <c r="B963" i="8"/>
  <c r="H962" i="8"/>
  <c r="G962" i="8"/>
  <c r="B962" i="8"/>
  <c r="B961" i="8"/>
  <c r="G960" i="8"/>
  <c r="E960" i="8"/>
  <c r="F960" i="8" s="1"/>
  <c r="D960" i="8"/>
  <c r="C960" i="8"/>
  <c r="B960" i="8"/>
  <c r="H960" i="8" s="1"/>
  <c r="B959" i="8"/>
  <c r="B958" i="8"/>
  <c r="H957" i="8"/>
  <c r="B957" i="8"/>
  <c r="B956" i="8"/>
  <c r="H955" i="8"/>
  <c r="D955" i="8"/>
  <c r="B955" i="8"/>
  <c r="G954" i="8"/>
  <c r="E954" i="8"/>
  <c r="F954" i="8" s="1"/>
  <c r="D954" i="8"/>
  <c r="C954" i="8"/>
  <c r="B954" i="8"/>
  <c r="H954" i="8" s="1"/>
  <c r="B953" i="8"/>
  <c r="H952" i="8"/>
  <c r="B952" i="8"/>
  <c r="H951" i="8"/>
  <c r="B951" i="8"/>
  <c r="B950" i="8"/>
  <c r="B949" i="8"/>
  <c r="G948" i="8"/>
  <c r="F948" i="8"/>
  <c r="E948" i="8"/>
  <c r="D948" i="8"/>
  <c r="C948" i="8"/>
  <c r="B948" i="8"/>
  <c r="H948" i="8" s="1"/>
  <c r="H947" i="8"/>
  <c r="B947" i="8"/>
  <c r="B946" i="8"/>
  <c r="D945" i="8"/>
  <c r="B945" i="8"/>
  <c r="H944" i="8"/>
  <c r="G944" i="8"/>
  <c r="B944" i="8"/>
  <c r="B943" i="8"/>
  <c r="H942" i="8"/>
  <c r="G942" i="8"/>
  <c r="D942" i="8"/>
  <c r="C942" i="8"/>
  <c r="E942" i="8" s="1"/>
  <c r="F942" i="8" s="1"/>
  <c r="B942" i="8"/>
  <c r="G941" i="8"/>
  <c r="D941" i="8"/>
  <c r="B941" i="8"/>
  <c r="H940" i="8"/>
  <c r="G940" i="8"/>
  <c r="B940" i="8"/>
  <c r="D940" i="8" s="1"/>
  <c r="B939" i="8"/>
  <c r="H938" i="8"/>
  <c r="B938" i="8"/>
  <c r="D938" i="8" s="1"/>
  <c r="B937" i="8"/>
  <c r="G936" i="8"/>
  <c r="D936" i="8"/>
  <c r="C936" i="8"/>
  <c r="E936" i="8" s="1"/>
  <c r="F936" i="8" s="1"/>
  <c r="B936" i="8"/>
  <c r="H936" i="8" s="1"/>
  <c r="G935" i="8"/>
  <c r="D935" i="8"/>
  <c r="B935" i="8"/>
  <c r="H934" i="8"/>
  <c r="B934" i="8"/>
  <c r="D934" i="8" s="1"/>
  <c r="B933" i="8"/>
  <c r="B932" i="8"/>
  <c r="B931" i="8"/>
  <c r="G930" i="8"/>
  <c r="F930" i="8"/>
  <c r="D930" i="8"/>
  <c r="C930" i="8"/>
  <c r="E930" i="8" s="1"/>
  <c r="B930" i="8"/>
  <c r="H930" i="8" s="1"/>
  <c r="D929" i="8"/>
  <c r="B929" i="8"/>
  <c r="C928" i="8"/>
  <c r="E928" i="8" s="1"/>
  <c r="F928" i="8" s="1"/>
  <c r="B928" i="8"/>
  <c r="D928" i="8" s="1"/>
  <c r="G927" i="8"/>
  <c r="C927" i="8"/>
  <c r="B927" i="8"/>
  <c r="H926" i="8"/>
  <c r="B926" i="8"/>
  <c r="D926" i="8" s="1"/>
  <c r="C925" i="8"/>
  <c r="B925" i="8"/>
  <c r="G924" i="8"/>
  <c r="D924" i="8"/>
  <c r="C924" i="8"/>
  <c r="E924" i="8" s="1"/>
  <c r="F924" i="8" s="1"/>
  <c r="B924" i="8"/>
  <c r="H924" i="8" s="1"/>
  <c r="G923" i="8"/>
  <c r="D923" i="8"/>
  <c r="B923" i="8"/>
  <c r="B922" i="8"/>
  <c r="B921" i="8"/>
  <c r="H920" i="8"/>
  <c r="G920" i="8"/>
  <c r="C920" i="8"/>
  <c r="E920" i="8" s="1"/>
  <c r="F920" i="8" s="1"/>
  <c r="B920" i="8"/>
  <c r="D920" i="8" s="1"/>
  <c r="B919" i="8"/>
  <c r="G918" i="8"/>
  <c r="D918" i="8"/>
  <c r="C918" i="8"/>
  <c r="E918" i="8" s="1"/>
  <c r="F918" i="8" s="1"/>
  <c r="B918" i="8"/>
  <c r="H918" i="8" s="1"/>
  <c r="G917" i="8"/>
  <c r="B917" i="8"/>
  <c r="C916" i="8"/>
  <c r="B916" i="8"/>
  <c r="G915" i="8"/>
  <c r="C915" i="8"/>
  <c r="B915" i="8"/>
  <c r="H914" i="8"/>
  <c r="G914" i="8"/>
  <c r="B914" i="8"/>
  <c r="D914" i="8" s="1"/>
  <c r="B913" i="8"/>
  <c r="G912" i="8"/>
  <c r="D912" i="8"/>
  <c r="C912" i="8"/>
  <c r="E912" i="8" s="1"/>
  <c r="F912" i="8" s="1"/>
  <c r="B912" i="8"/>
  <c r="H912" i="8" s="1"/>
  <c r="G911" i="8"/>
  <c r="B911" i="8"/>
  <c r="G910" i="8"/>
  <c r="C910" i="8"/>
  <c r="B910" i="8"/>
  <c r="C909" i="8"/>
  <c r="B909" i="8"/>
  <c r="H908" i="8"/>
  <c r="B908" i="8"/>
  <c r="D908" i="8" s="1"/>
  <c r="C907" i="8"/>
  <c r="B907" i="8"/>
  <c r="H906" i="8"/>
  <c r="G906" i="8"/>
  <c r="D906" i="8"/>
  <c r="C906" i="8"/>
  <c r="E906" i="8" s="1"/>
  <c r="F906" i="8" s="1"/>
  <c r="B906" i="8"/>
  <c r="B905" i="8"/>
  <c r="H904" i="8"/>
  <c r="G904" i="8"/>
  <c r="C904" i="8"/>
  <c r="E904" i="8" s="1"/>
  <c r="F904" i="8" s="1"/>
  <c r="B904" i="8"/>
  <c r="D904" i="8" s="1"/>
  <c r="H903" i="8"/>
  <c r="G903" i="8"/>
  <c r="B903" i="8"/>
  <c r="D903" i="8" s="1"/>
  <c r="H902" i="8"/>
  <c r="G902" i="8"/>
  <c r="D902" i="8"/>
  <c r="C902" i="8"/>
  <c r="E902" i="8" s="1"/>
  <c r="F902" i="8" s="1"/>
  <c r="B902" i="8"/>
  <c r="H901" i="8"/>
  <c r="D901" i="8"/>
  <c r="C901" i="8"/>
  <c r="B901" i="8"/>
  <c r="G901" i="8" s="1"/>
  <c r="G900" i="8"/>
  <c r="D900" i="8"/>
  <c r="C900" i="8"/>
  <c r="B900" i="8"/>
  <c r="H900" i="8" s="1"/>
  <c r="G899" i="8"/>
  <c r="D899" i="8"/>
  <c r="B899" i="8"/>
  <c r="H898" i="8"/>
  <c r="G898" i="8"/>
  <c r="C898" i="8"/>
  <c r="E898" i="8" s="1"/>
  <c r="F898" i="8" s="1"/>
  <c r="B898" i="8"/>
  <c r="D898" i="8" s="1"/>
  <c r="G897" i="8"/>
  <c r="B897" i="8"/>
  <c r="H897" i="8" s="1"/>
  <c r="H896" i="8"/>
  <c r="G896" i="8"/>
  <c r="D896" i="8"/>
  <c r="C896" i="8"/>
  <c r="B896" i="8"/>
  <c r="D895" i="8"/>
  <c r="C895" i="8"/>
  <c r="E895" i="8" s="1"/>
  <c r="F895" i="8" s="1"/>
  <c r="B895" i="8"/>
  <c r="G894" i="8"/>
  <c r="D894" i="8"/>
  <c r="C894" i="8"/>
  <c r="B894" i="8"/>
  <c r="H894" i="8" s="1"/>
  <c r="D893" i="8"/>
  <c r="B893" i="8"/>
  <c r="H892" i="8"/>
  <c r="G892" i="8"/>
  <c r="C892" i="8"/>
  <c r="E892" i="8" s="1"/>
  <c r="F892" i="8" s="1"/>
  <c r="B892" i="8"/>
  <c r="D892" i="8" s="1"/>
  <c r="B891" i="8"/>
  <c r="H890" i="8"/>
  <c r="G890" i="8"/>
  <c r="D890" i="8"/>
  <c r="C890" i="8"/>
  <c r="B890" i="8"/>
  <c r="H889" i="8"/>
  <c r="C889" i="8"/>
  <c r="B889" i="8"/>
  <c r="G889" i="8" s="1"/>
  <c r="G888" i="8"/>
  <c r="D888" i="8"/>
  <c r="C888" i="8"/>
  <c r="E888" i="8" s="1"/>
  <c r="F888" i="8" s="1"/>
  <c r="B888" i="8"/>
  <c r="H888" i="8" s="1"/>
  <c r="H887" i="8"/>
  <c r="G887" i="8"/>
  <c r="B887" i="8"/>
  <c r="C887" i="8" s="1"/>
  <c r="H886" i="8"/>
  <c r="G886" i="8"/>
  <c r="C886" i="8"/>
  <c r="E886" i="8" s="1"/>
  <c r="F886" i="8" s="1"/>
  <c r="B886" i="8"/>
  <c r="D886" i="8" s="1"/>
  <c r="H885" i="8"/>
  <c r="G885" i="8"/>
  <c r="D885" i="8"/>
  <c r="C885" i="8"/>
  <c r="B885" i="8"/>
  <c r="H884" i="8"/>
  <c r="G884" i="8"/>
  <c r="D884" i="8"/>
  <c r="C884" i="8"/>
  <c r="E884" i="8" s="1"/>
  <c r="F884" i="8" s="1"/>
  <c r="B884" i="8"/>
  <c r="F883" i="8"/>
  <c r="E883" i="8"/>
  <c r="D883" i="8"/>
  <c r="C883" i="8"/>
  <c r="B883" i="8"/>
  <c r="G882" i="8"/>
  <c r="D882" i="8"/>
  <c r="C882" i="8"/>
  <c r="B882" i="8"/>
  <c r="H882" i="8" s="1"/>
  <c r="G881" i="8"/>
  <c r="D881" i="8"/>
  <c r="B881" i="8"/>
  <c r="H880" i="8"/>
  <c r="G880" i="8"/>
  <c r="C880" i="8"/>
  <c r="E880" i="8" s="1"/>
  <c r="F880" i="8" s="1"/>
  <c r="B880" i="8"/>
  <c r="D880" i="8" s="1"/>
  <c r="D879" i="8"/>
  <c r="B879" i="8"/>
  <c r="H878" i="8"/>
  <c r="G878" i="8"/>
  <c r="D878" i="8"/>
  <c r="C878" i="8"/>
  <c r="E878" i="8" s="1"/>
  <c r="F878" i="8" s="1"/>
  <c r="B878" i="8"/>
  <c r="B877" i="8"/>
  <c r="G876" i="8"/>
  <c r="D876" i="8"/>
  <c r="C876" i="8"/>
  <c r="B876" i="8"/>
  <c r="H876" i="8" s="1"/>
  <c r="D875" i="8"/>
  <c r="B875" i="8"/>
  <c r="H874" i="8"/>
  <c r="G874" i="8"/>
  <c r="E874" i="8"/>
  <c r="F874" i="8" s="1"/>
  <c r="C874" i="8"/>
  <c r="B874" i="8"/>
  <c r="D874" i="8" s="1"/>
  <c r="D873" i="8"/>
  <c r="C873" i="8"/>
  <c r="B873" i="8"/>
  <c r="H872" i="8"/>
  <c r="G872" i="8"/>
  <c r="D872" i="8"/>
  <c r="C872" i="8"/>
  <c r="B872" i="8"/>
  <c r="B871" i="8"/>
  <c r="G870" i="8"/>
  <c r="D870" i="8"/>
  <c r="C870" i="8"/>
  <c r="B870" i="8"/>
  <c r="H870" i="8" s="1"/>
  <c r="H869" i="8"/>
  <c r="B869" i="8"/>
  <c r="H868" i="8"/>
  <c r="G868" i="8"/>
  <c r="C868" i="8"/>
  <c r="E868" i="8" s="1"/>
  <c r="F868" i="8" s="1"/>
  <c r="B868" i="8"/>
  <c r="D868" i="8" s="1"/>
  <c r="H867" i="8"/>
  <c r="G867" i="8"/>
  <c r="C867" i="8"/>
  <c r="B867" i="8"/>
  <c r="D867" i="8" s="1"/>
  <c r="H866" i="8"/>
  <c r="G866" i="8"/>
  <c r="D866" i="8"/>
  <c r="C866" i="8"/>
  <c r="B866" i="8"/>
  <c r="H865" i="8"/>
  <c r="B865" i="8"/>
  <c r="G865" i="8" s="1"/>
  <c r="G864" i="8"/>
  <c r="D864" i="8"/>
  <c r="C864" i="8"/>
  <c r="B864" i="8"/>
  <c r="H864" i="8" s="1"/>
  <c r="H863" i="8"/>
  <c r="G863" i="8"/>
  <c r="B863" i="8"/>
  <c r="C863" i="8" s="1"/>
  <c r="H862" i="8"/>
  <c r="G862" i="8"/>
  <c r="C862" i="8"/>
  <c r="E862" i="8" s="1"/>
  <c r="F862" i="8" s="1"/>
  <c r="B862" i="8"/>
  <c r="D862" i="8" s="1"/>
  <c r="H861" i="8"/>
  <c r="G861" i="8"/>
  <c r="D861" i="8"/>
  <c r="C861" i="8"/>
  <c r="B861" i="8"/>
  <c r="H860" i="8"/>
  <c r="G860" i="8"/>
  <c r="D860" i="8"/>
  <c r="C860" i="8"/>
  <c r="E860" i="8" s="1"/>
  <c r="F860" i="8" s="1"/>
  <c r="B860" i="8"/>
  <c r="H859" i="8"/>
  <c r="G859" i="8"/>
  <c r="F859" i="8"/>
  <c r="E859" i="8"/>
  <c r="D859" i="8"/>
  <c r="C859" i="8"/>
  <c r="B859" i="8"/>
  <c r="B858" i="8"/>
  <c r="H857" i="8"/>
  <c r="G857" i="8"/>
  <c r="D857" i="8"/>
  <c r="C857" i="8"/>
  <c r="B857" i="8"/>
  <c r="D856" i="8"/>
  <c r="C856" i="8"/>
  <c r="B856" i="8"/>
  <c r="H855" i="8"/>
  <c r="G855" i="8"/>
  <c r="C855" i="8"/>
  <c r="E855" i="8" s="1"/>
  <c r="F855" i="8" s="1"/>
  <c r="B855" i="8"/>
  <c r="D855" i="8" s="1"/>
  <c r="B854" i="8"/>
  <c r="H853" i="8"/>
  <c r="B853" i="8"/>
  <c r="C852" i="8"/>
  <c r="B852" i="8"/>
  <c r="C851" i="8"/>
  <c r="B851" i="8"/>
  <c r="D850" i="8"/>
  <c r="B850" i="8"/>
  <c r="B849" i="8"/>
  <c r="H848" i="8"/>
  <c r="G848" i="8"/>
  <c r="D848" i="8"/>
  <c r="C848" i="8"/>
  <c r="E848" i="8" s="1"/>
  <c r="F848" i="8" s="1"/>
  <c r="B848" i="8"/>
  <c r="H847" i="8"/>
  <c r="G847" i="8"/>
  <c r="F847" i="8"/>
  <c r="D847" i="8"/>
  <c r="C847" i="8"/>
  <c r="E847" i="8" s="1"/>
  <c r="B847" i="8"/>
  <c r="C846" i="8"/>
  <c r="B846" i="8"/>
  <c r="H845" i="8"/>
  <c r="G845" i="8"/>
  <c r="D845" i="8"/>
  <c r="C845" i="8"/>
  <c r="E845" i="8" s="1"/>
  <c r="F845" i="8" s="1"/>
  <c r="B845" i="8"/>
  <c r="B844" i="8"/>
  <c r="H843" i="8"/>
  <c r="G843" i="8"/>
  <c r="F843" i="8"/>
  <c r="E843" i="8"/>
  <c r="C843" i="8"/>
  <c r="B843" i="8"/>
  <c r="D843" i="8" s="1"/>
  <c r="C842" i="8"/>
  <c r="B842" i="8"/>
  <c r="B841" i="8"/>
  <c r="D840" i="8"/>
  <c r="C840" i="8"/>
  <c r="E840" i="8" s="1"/>
  <c r="F840" i="8" s="1"/>
  <c r="B840" i="8"/>
  <c r="D839" i="8"/>
  <c r="B839" i="8"/>
  <c r="B838" i="8"/>
  <c r="H837" i="8"/>
  <c r="D837" i="8"/>
  <c r="E837" i="8" s="1"/>
  <c r="F837" i="8" s="1"/>
  <c r="C837" i="8"/>
  <c r="B837" i="8"/>
  <c r="G837" i="8" s="1"/>
  <c r="H836" i="8"/>
  <c r="G836" i="8"/>
  <c r="D836" i="8"/>
  <c r="C836" i="8"/>
  <c r="E836" i="8" s="1"/>
  <c r="F836" i="8" s="1"/>
  <c r="B836" i="8"/>
  <c r="H835" i="8"/>
  <c r="G835" i="8"/>
  <c r="D835" i="8"/>
  <c r="E835" i="8" s="1"/>
  <c r="F835" i="8" s="1"/>
  <c r="C835" i="8"/>
  <c r="B835" i="8"/>
  <c r="B834" i="8"/>
  <c r="H833" i="8"/>
  <c r="G833" i="8"/>
  <c r="D833" i="8"/>
  <c r="C833" i="8"/>
  <c r="E833" i="8" s="1"/>
  <c r="F833" i="8" s="1"/>
  <c r="B833" i="8"/>
  <c r="D832" i="8"/>
  <c r="C832" i="8"/>
  <c r="B832" i="8"/>
  <c r="H831" i="8"/>
  <c r="G831" i="8"/>
  <c r="E831" i="8"/>
  <c r="F831" i="8" s="1"/>
  <c r="C831" i="8"/>
  <c r="B831" i="8"/>
  <c r="D831" i="8" s="1"/>
  <c r="B830" i="8"/>
  <c r="H829" i="8"/>
  <c r="B829" i="8"/>
  <c r="C828" i="8"/>
  <c r="B828" i="8"/>
  <c r="G827" i="8"/>
  <c r="D827" i="8"/>
  <c r="C827" i="8"/>
  <c r="B827" i="8"/>
  <c r="H827" i="8" s="1"/>
  <c r="B826" i="8"/>
  <c r="H825" i="8"/>
  <c r="D825" i="8"/>
  <c r="C825" i="8"/>
  <c r="E825" i="8" s="1"/>
  <c r="F825" i="8" s="1"/>
  <c r="B825" i="8"/>
  <c r="G825" i="8" s="1"/>
  <c r="H824" i="8"/>
  <c r="G824" i="8"/>
  <c r="F824" i="8"/>
  <c r="D824" i="8"/>
  <c r="C824" i="8"/>
  <c r="E824" i="8" s="1"/>
  <c r="B824" i="8"/>
  <c r="H823" i="8"/>
  <c r="G823" i="8"/>
  <c r="E823" i="8"/>
  <c r="F823" i="8" s="1"/>
  <c r="D823" i="8"/>
  <c r="C823" i="8"/>
  <c r="B823" i="8"/>
  <c r="C822" i="8"/>
  <c r="B822" i="8"/>
  <c r="H821" i="8"/>
  <c r="G821" i="8"/>
  <c r="D821" i="8"/>
  <c r="C821" i="8"/>
  <c r="B821" i="8"/>
  <c r="G820" i="8"/>
  <c r="D820" i="8"/>
  <c r="C820" i="8"/>
  <c r="B820" i="8"/>
  <c r="H820" i="8" s="1"/>
  <c r="H819" i="8"/>
  <c r="G819" i="8"/>
  <c r="E819" i="8"/>
  <c r="F819" i="8" s="1"/>
  <c r="C819" i="8"/>
  <c r="B819" i="8"/>
  <c r="D819" i="8" s="1"/>
  <c r="C818" i="8"/>
  <c r="B818" i="8"/>
  <c r="H817" i="8"/>
  <c r="G817" i="8"/>
  <c r="B817" i="8"/>
  <c r="C817" i="8" s="1"/>
  <c r="C816" i="8"/>
  <c r="B816" i="8"/>
  <c r="H815" i="8"/>
  <c r="G815" i="8"/>
  <c r="F815" i="8"/>
  <c r="E815" i="8"/>
  <c r="D815" i="8"/>
  <c r="B815" i="8"/>
  <c r="C815" i="8" s="1"/>
  <c r="C814" i="8"/>
  <c r="B814" i="8"/>
  <c r="H813" i="8"/>
  <c r="G813" i="8"/>
  <c r="C813" i="8"/>
  <c r="B813" i="8"/>
  <c r="D813" i="8" s="1"/>
  <c r="C812" i="8"/>
  <c r="B812" i="8"/>
  <c r="H811" i="8"/>
  <c r="C811" i="8"/>
  <c r="B811" i="8"/>
  <c r="H810" i="8"/>
  <c r="G810" i="8"/>
  <c r="D810" i="8"/>
  <c r="C810" i="8"/>
  <c r="B810" i="8"/>
  <c r="B809" i="8"/>
  <c r="H808" i="8"/>
  <c r="B808" i="8"/>
  <c r="D807" i="8"/>
  <c r="B807" i="8"/>
  <c r="H806" i="8"/>
  <c r="G806" i="8"/>
  <c r="D806" i="8"/>
  <c r="B806" i="8"/>
  <c r="C806" i="8" s="1"/>
  <c r="G805" i="8"/>
  <c r="D805" i="8"/>
  <c r="C805" i="8"/>
  <c r="E805" i="8" s="1"/>
  <c r="F805" i="8" s="1"/>
  <c r="B805" i="8"/>
  <c r="H805" i="8" s="1"/>
  <c r="F804" i="8"/>
  <c r="D804" i="8"/>
  <c r="C804" i="8"/>
  <c r="E804" i="8" s="1"/>
  <c r="B804" i="8"/>
  <c r="H803" i="8"/>
  <c r="G803" i="8"/>
  <c r="D803" i="8"/>
  <c r="B803" i="8"/>
  <c r="C803" i="8" s="1"/>
  <c r="H802" i="8"/>
  <c r="F802" i="8"/>
  <c r="E802" i="8"/>
  <c r="D802" i="8"/>
  <c r="C802" i="8"/>
  <c r="B802" i="8"/>
  <c r="G802" i="8" s="1"/>
  <c r="H801" i="8"/>
  <c r="G801" i="8"/>
  <c r="C801" i="8"/>
  <c r="B801" i="8"/>
  <c r="D801" i="8" s="1"/>
  <c r="H800" i="8"/>
  <c r="G800" i="8"/>
  <c r="F800" i="8"/>
  <c r="E800" i="8"/>
  <c r="D800" i="8"/>
  <c r="C800" i="8"/>
  <c r="B800" i="8"/>
  <c r="C799" i="8"/>
  <c r="B799" i="8"/>
  <c r="H798" i="8"/>
  <c r="G798" i="8"/>
  <c r="D798" i="8"/>
  <c r="C798" i="8"/>
  <c r="E798" i="8" s="1"/>
  <c r="F798" i="8" s="1"/>
  <c r="B798" i="8"/>
  <c r="C797" i="8"/>
  <c r="B797" i="8"/>
  <c r="H797" i="8" s="1"/>
  <c r="B796" i="8"/>
  <c r="H795" i="8"/>
  <c r="G795" i="8"/>
  <c r="C795" i="8"/>
  <c r="E795" i="8" s="1"/>
  <c r="F795" i="8" s="1"/>
  <c r="B795" i="8"/>
  <c r="D795" i="8" s="1"/>
  <c r="B794" i="8"/>
  <c r="H793" i="8"/>
  <c r="G793" i="8"/>
  <c r="C793" i="8"/>
  <c r="B793" i="8"/>
  <c r="D793" i="8" s="1"/>
  <c r="E792" i="8"/>
  <c r="F792" i="8" s="1"/>
  <c r="D792" i="8"/>
  <c r="C792" i="8"/>
  <c r="B792" i="8"/>
  <c r="H791" i="8"/>
  <c r="G791" i="8"/>
  <c r="D791" i="8"/>
  <c r="B791" i="8"/>
  <c r="C791" i="8" s="1"/>
  <c r="E791" i="8" s="1"/>
  <c r="F791" i="8" s="1"/>
  <c r="D790" i="8"/>
  <c r="B790" i="8"/>
  <c r="H789" i="8"/>
  <c r="B789" i="8"/>
  <c r="E788" i="8"/>
  <c r="F788" i="8" s="1"/>
  <c r="D788" i="8"/>
  <c r="C788" i="8"/>
  <c r="B788" i="8"/>
  <c r="H787" i="8"/>
  <c r="B787" i="8"/>
  <c r="H786" i="8"/>
  <c r="G786" i="8"/>
  <c r="F786" i="8"/>
  <c r="E786" i="8"/>
  <c r="D786" i="8"/>
  <c r="C786" i="8"/>
  <c r="B786" i="8"/>
  <c r="G785" i="8"/>
  <c r="C785" i="8"/>
  <c r="B785" i="8"/>
  <c r="H785" i="8" s="1"/>
  <c r="B784" i="8"/>
  <c r="H783" i="8"/>
  <c r="G783" i="8"/>
  <c r="C783" i="8"/>
  <c r="B783" i="8"/>
  <c r="D783" i="8" s="1"/>
  <c r="H782" i="8"/>
  <c r="G782" i="8"/>
  <c r="D782" i="8"/>
  <c r="C782" i="8"/>
  <c r="B782" i="8"/>
  <c r="H781" i="8"/>
  <c r="G781" i="8"/>
  <c r="C781" i="8"/>
  <c r="E781" i="8" s="1"/>
  <c r="F781" i="8" s="1"/>
  <c r="B781" i="8"/>
  <c r="D781" i="8" s="1"/>
  <c r="D780" i="8"/>
  <c r="B780" i="8"/>
  <c r="H779" i="8"/>
  <c r="G779" i="8"/>
  <c r="D779" i="8"/>
  <c r="B779" i="8"/>
  <c r="C779" i="8" s="1"/>
  <c r="E779" i="8" s="1"/>
  <c r="F779" i="8" s="1"/>
  <c r="B778" i="8"/>
  <c r="B777" i="8"/>
  <c r="G776" i="8"/>
  <c r="D776" i="8"/>
  <c r="E776" i="8" s="1"/>
  <c r="F776" i="8" s="1"/>
  <c r="C776" i="8"/>
  <c r="B776" i="8"/>
  <c r="H776" i="8" s="1"/>
  <c r="H775" i="8"/>
  <c r="B775" i="8"/>
  <c r="H774" i="8"/>
  <c r="G774" i="8"/>
  <c r="D774" i="8"/>
  <c r="C774" i="8"/>
  <c r="E774" i="8" s="1"/>
  <c r="F774" i="8" s="1"/>
  <c r="B774" i="8"/>
  <c r="G773" i="8"/>
  <c r="C773" i="8"/>
  <c r="B773" i="8"/>
  <c r="H773" i="8" s="1"/>
  <c r="B772" i="8"/>
  <c r="H771" i="8"/>
  <c r="G771" i="8"/>
  <c r="C771" i="8"/>
  <c r="B771" i="8"/>
  <c r="D771" i="8" s="1"/>
  <c r="H770" i="8"/>
  <c r="G770" i="8"/>
  <c r="D770" i="8"/>
  <c r="C770" i="8"/>
  <c r="B770" i="8"/>
  <c r="H769" i="8"/>
  <c r="G769" i="8"/>
  <c r="C769" i="8"/>
  <c r="B769" i="8"/>
  <c r="D769" i="8" s="1"/>
  <c r="B768" i="8"/>
  <c r="H767" i="8"/>
  <c r="G767" i="8"/>
  <c r="D767" i="8"/>
  <c r="B767" i="8"/>
  <c r="C767" i="8" s="1"/>
  <c r="E767" i="8" s="1"/>
  <c r="F767" i="8" s="1"/>
  <c r="E766" i="8"/>
  <c r="F766" i="8" s="1"/>
  <c r="D766" i="8"/>
  <c r="C766" i="8"/>
  <c r="B766" i="8"/>
  <c r="H765" i="8"/>
  <c r="B765" i="8"/>
  <c r="C764" i="8"/>
  <c r="B764" i="8"/>
  <c r="H763" i="8"/>
  <c r="B763" i="8"/>
  <c r="H762" i="8"/>
  <c r="G762" i="8"/>
  <c r="F762" i="8"/>
  <c r="E762" i="8"/>
  <c r="D762" i="8"/>
  <c r="C762" i="8"/>
  <c r="B762" i="8"/>
  <c r="G761" i="8"/>
  <c r="C761" i="8"/>
  <c r="B761" i="8"/>
  <c r="H761" i="8" s="1"/>
  <c r="B760" i="8"/>
  <c r="H759" i="8"/>
  <c r="G759" i="8"/>
  <c r="C759" i="8"/>
  <c r="E759" i="8" s="1"/>
  <c r="F759" i="8" s="1"/>
  <c r="B759" i="8"/>
  <c r="D759" i="8" s="1"/>
  <c r="G758" i="8"/>
  <c r="E758" i="8"/>
  <c r="F758" i="8" s="1"/>
  <c r="D758" i="8"/>
  <c r="C758" i="8"/>
  <c r="B758" i="8"/>
  <c r="H758" i="8" s="1"/>
  <c r="D757" i="8"/>
  <c r="B757" i="8"/>
  <c r="G756" i="8"/>
  <c r="C756" i="8"/>
  <c r="B756" i="8"/>
  <c r="B755" i="8"/>
  <c r="H754" i="8"/>
  <c r="G754" i="8"/>
  <c r="F754" i="8"/>
  <c r="E754" i="8"/>
  <c r="D754" i="8"/>
  <c r="C754" i="8"/>
  <c r="B754" i="8"/>
  <c r="C753" i="8"/>
  <c r="B753" i="8"/>
  <c r="H752" i="8"/>
  <c r="G752" i="8"/>
  <c r="D752" i="8"/>
  <c r="E752" i="8" s="1"/>
  <c r="F752" i="8" s="1"/>
  <c r="C752" i="8"/>
  <c r="B752" i="8"/>
  <c r="B751" i="8"/>
  <c r="H750" i="8"/>
  <c r="G750" i="8"/>
  <c r="E750" i="8"/>
  <c r="F750" i="8" s="1"/>
  <c r="D750" i="8"/>
  <c r="C750" i="8"/>
  <c r="B750" i="8"/>
  <c r="H749" i="8"/>
  <c r="C749" i="8"/>
  <c r="B749" i="8"/>
  <c r="B748" i="8"/>
  <c r="H747" i="8"/>
  <c r="G747" i="8"/>
  <c r="E747" i="8"/>
  <c r="F747" i="8" s="1"/>
  <c r="D747" i="8"/>
  <c r="B747" i="8"/>
  <c r="C747" i="8" s="1"/>
  <c r="H746" i="8"/>
  <c r="C746" i="8"/>
  <c r="B746" i="8"/>
  <c r="H745" i="8"/>
  <c r="G745" i="8"/>
  <c r="F745" i="8"/>
  <c r="E745" i="8"/>
  <c r="D745" i="8"/>
  <c r="C745" i="8"/>
  <c r="B745" i="8"/>
  <c r="B744" i="8"/>
  <c r="H743" i="8"/>
  <c r="G743" i="8"/>
  <c r="F743" i="8"/>
  <c r="E743" i="8"/>
  <c r="D743" i="8"/>
  <c r="B743" i="8"/>
  <c r="C743" i="8" s="1"/>
  <c r="D742" i="8"/>
  <c r="E742" i="8" s="1"/>
  <c r="F742" i="8" s="1"/>
  <c r="C742" i="8"/>
  <c r="B742" i="8"/>
  <c r="H741" i="8"/>
  <c r="G741" i="8"/>
  <c r="D741" i="8"/>
  <c r="C741" i="8"/>
  <c r="B741" i="8"/>
  <c r="D740" i="8"/>
  <c r="C740" i="8"/>
  <c r="E740" i="8" s="1"/>
  <c r="F740" i="8" s="1"/>
  <c r="B740" i="8"/>
  <c r="H739" i="8"/>
  <c r="E739" i="8"/>
  <c r="F739" i="8" s="1"/>
  <c r="D739" i="8"/>
  <c r="C739" i="8"/>
  <c r="B739" i="8"/>
  <c r="G739" i="8" s="1"/>
  <c r="H738" i="8"/>
  <c r="G738" i="8"/>
  <c r="D738" i="8"/>
  <c r="E738" i="8" s="1"/>
  <c r="F738" i="8" s="1"/>
  <c r="C738" i="8"/>
  <c r="B738" i="8"/>
  <c r="G737" i="8"/>
  <c r="B737" i="8"/>
  <c r="H736" i="8"/>
  <c r="G736" i="8"/>
  <c r="F736" i="8"/>
  <c r="E736" i="8"/>
  <c r="D736" i="8"/>
  <c r="C736" i="8"/>
  <c r="B736" i="8"/>
  <c r="B735" i="8"/>
  <c r="H734" i="8"/>
  <c r="G734" i="8"/>
  <c r="D734" i="8"/>
  <c r="E734" i="8" s="1"/>
  <c r="F734" i="8" s="1"/>
  <c r="C734" i="8"/>
  <c r="B734" i="8"/>
  <c r="C733" i="8"/>
  <c r="B733" i="8"/>
  <c r="H732" i="8"/>
  <c r="G732" i="8"/>
  <c r="E732" i="8"/>
  <c r="F732" i="8" s="1"/>
  <c r="D732" i="8"/>
  <c r="B732" i="8"/>
  <c r="C732" i="8" s="1"/>
  <c r="H731" i="8"/>
  <c r="D731" i="8"/>
  <c r="C731" i="8"/>
  <c r="B731" i="8"/>
  <c r="G731" i="8" s="1"/>
  <c r="C730" i="8"/>
  <c r="B730" i="8"/>
  <c r="C729" i="8"/>
  <c r="B729" i="8"/>
  <c r="D728" i="8"/>
  <c r="E728" i="8" s="1"/>
  <c r="F728" i="8" s="1"/>
  <c r="C728" i="8"/>
  <c r="B728" i="8"/>
  <c r="H727" i="8"/>
  <c r="G727" i="8"/>
  <c r="F727" i="8"/>
  <c r="E727" i="8"/>
  <c r="D727" i="8"/>
  <c r="C727" i="8"/>
  <c r="B727" i="8"/>
  <c r="G726" i="8"/>
  <c r="E726" i="8"/>
  <c r="F726" i="8" s="1"/>
  <c r="D726" i="8"/>
  <c r="C726" i="8"/>
  <c r="B726" i="8"/>
  <c r="H726" i="8" s="1"/>
  <c r="H725" i="8"/>
  <c r="G725" i="8"/>
  <c r="B725" i="8"/>
  <c r="B724" i="8"/>
  <c r="H723" i="8"/>
  <c r="D723" i="8"/>
  <c r="C723" i="8"/>
  <c r="B723" i="8"/>
  <c r="G723" i="8" s="1"/>
  <c r="H722" i="8"/>
  <c r="G722" i="8"/>
  <c r="D722" i="8"/>
  <c r="C722" i="8"/>
  <c r="B722" i="8"/>
  <c r="E721" i="8"/>
  <c r="F721" i="8" s="1"/>
  <c r="D721" i="8"/>
  <c r="C721" i="8"/>
  <c r="B721" i="8"/>
  <c r="H720" i="8"/>
  <c r="G720" i="8"/>
  <c r="D720" i="8"/>
  <c r="B720" i="8"/>
  <c r="C720" i="8" s="1"/>
  <c r="E720" i="8" s="1"/>
  <c r="F720" i="8" s="1"/>
  <c r="H719" i="8"/>
  <c r="G719" i="8"/>
  <c r="F719" i="8"/>
  <c r="E719" i="8"/>
  <c r="D719" i="8"/>
  <c r="C719" i="8"/>
  <c r="B719" i="8"/>
  <c r="G718" i="8"/>
  <c r="C718" i="8"/>
  <c r="B718" i="8"/>
  <c r="H717" i="8"/>
  <c r="G717" i="8"/>
  <c r="D717" i="8"/>
  <c r="E717" i="8" s="1"/>
  <c r="F717" i="8" s="1"/>
  <c r="C717" i="8"/>
  <c r="B717" i="8"/>
  <c r="B716" i="8"/>
  <c r="H715" i="8"/>
  <c r="G715" i="8"/>
  <c r="D715" i="8"/>
  <c r="E715" i="8" s="1"/>
  <c r="F715" i="8" s="1"/>
  <c r="C715" i="8"/>
  <c r="B715" i="8"/>
  <c r="G714" i="8"/>
  <c r="D714" i="8"/>
  <c r="C714" i="8"/>
  <c r="B714" i="8"/>
  <c r="H714" i="8" s="1"/>
  <c r="H713" i="8"/>
  <c r="G713" i="8"/>
  <c r="B713" i="8"/>
  <c r="C712" i="8"/>
  <c r="B712" i="8"/>
  <c r="B711" i="8"/>
  <c r="H710" i="8"/>
  <c r="G710" i="8"/>
  <c r="F710" i="8"/>
  <c r="E710" i="8"/>
  <c r="D710" i="8"/>
  <c r="C710" i="8"/>
  <c r="B710" i="8"/>
  <c r="B709" i="8"/>
  <c r="H708" i="8"/>
  <c r="G708" i="8"/>
  <c r="E708" i="8"/>
  <c r="F708" i="8" s="1"/>
  <c r="D708" i="8"/>
  <c r="B708" i="8"/>
  <c r="C708" i="8" s="1"/>
  <c r="H707" i="8"/>
  <c r="G707" i="8"/>
  <c r="C707" i="8"/>
  <c r="E707" i="8" s="1"/>
  <c r="F707" i="8" s="1"/>
  <c r="B707" i="8"/>
  <c r="D707" i="8" s="1"/>
  <c r="H706" i="8"/>
  <c r="G706" i="8"/>
  <c r="C706" i="8"/>
  <c r="E706" i="8" s="1"/>
  <c r="F706" i="8" s="1"/>
  <c r="B706" i="8"/>
  <c r="D706" i="8" s="1"/>
  <c r="G705" i="8"/>
  <c r="F705" i="8"/>
  <c r="E705" i="8"/>
  <c r="D705" i="8"/>
  <c r="C705" i="8"/>
  <c r="B705" i="8"/>
  <c r="H705" i="8" s="1"/>
  <c r="C704" i="8"/>
  <c r="B704" i="8"/>
  <c r="H703" i="8"/>
  <c r="G703" i="8"/>
  <c r="E703" i="8"/>
  <c r="F703" i="8" s="1"/>
  <c r="D703" i="8"/>
  <c r="C703" i="8"/>
  <c r="B703" i="8"/>
  <c r="G702" i="8"/>
  <c r="D702" i="8"/>
  <c r="C702" i="8"/>
  <c r="B702" i="8"/>
  <c r="H702" i="8" s="1"/>
  <c r="B701" i="8"/>
  <c r="H700" i="8"/>
  <c r="D700" i="8"/>
  <c r="C700" i="8"/>
  <c r="B700" i="8"/>
  <c r="G700" i="8" s="1"/>
  <c r="C699" i="8"/>
  <c r="B699" i="8"/>
  <c r="H698" i="8"/>
  <c r="G698" i="8"/>
  <c r="E698" i="8"/>
  <c r="F698" i="8" s="1"/>
  <c r="D698" i="8"/>
  <c r="C698" i="8"/>
  <c r="B698" i="8"/>
  <c r="C697" i="8"/>
  <c r="B697" i="8"/>
  <c r="H696" i="8"/>
  <c r="G696" i="8"/>
  <c r="F696" i="8"/>
  <c r="D696" i="8"/>
  <c r="B696" i="8"/>
  <c r="C696" i="8" s="1"/>
  <c r="E696" i="8" s="1"/>
  <c r="B695" i="8"/>
  <c r="H694" i="8"/>
  <c r="G694" i="8"/>
  <c r="C694" i="8"/>
  <c r="E694" i="8" s="1"/>
  <c r="F694" i="8" s="1"/>
  <c r="B694" i="8"/>
  <c r="D694" i="8" s="1"/>
  <c r="H693" i="8"/>
  <c r="G693" i="8"/>
  <c r="F693" i="8"/>
  <c r="C693" i="8"/>
  <c r="E693" i="8" s="1"/>
  <c r="B693" i="8"/>
  <c r="D693" i="8" s="1"/>
  <c r="D692" i="8"/>
  <c r="B692" i="8"/>
  <c r="H691" i="8"/>
  <c r="G691" i="8"/>
  <c r="F691" i="8"/>
  <c r="E691" i="8"/>
  <c r="D691" i="8"/>
  <c r="C691" i="8"/>
  <c r="B691" i="8"/>
  <c r="D690" i="8"/>
  <c r="C690" i="8"/>
  <c r="E690" i="8" s="1"/>
  <c r="F690" i="8" s="1"/>
  <c r="B690" i="8"/>
  <c r="H689" i="8"/>
  <c r="G689" i="8"/>
  <c r="B689" i="8"/>
  <c r="B688" i="8"/>
  <c r="H687" i="8"/>
  <c r="G687" i="8"/>
  <c r="D687" i="8"/>
  <c r="B687" i="8"/>
  <c r="C687" i="8" s="1"/>
  <c r="H686" i="8"/>
  <c r="G686" i="8"/>
  <c r="C686" i="8"/>
  <c r="E686" i="8" s="1"/>
  <c r="F686" i="8" s="1"/>
  <c r="B686" i="8"/>
  <c r="D686" i="8" s="1"/>
  <c r="D685" i="8"/>
  <c r="B685" i="8"/>
  <c r="H684" i="8"/>
  <c r="G684" i="8"/>
  <c r="F684" i="8"/>
  <c r="E684" i="8"/>
  <c r="D684" i="8"/>
  <c r="B684" i="8"/>
  <c r="C684" i="8" s="1"/>
  <c r="H683" i="8"/>
  <c r="G683" i="8"/>
  <c r="B683" i="8"/>
  <c r="H682" i="8"/>
  <c r="G682" i="8"/>
  <c r="F682" i="8"/>
  <c r="C682" i="8"/>
  <c r="E682" i="8" s="1"/>
  <c r="B682" i="8"/>
  <c r="D682" i="8" s="1"/>
  <c r="B681" i="8"/>
  <c r="B680" i="8"/>
  <c r="H679" i="8"/>
  <c r="G679" i="8"/>
  <c r="F679" i="8"/>
  <c r="E679" i="8"/>
  <c r="D679" i="8"/>
  <c r="C679" i="8"/>
  <c r="B679" i="8"/>
  <c r="C678" i="8"/>
  <c r="B678" i="8"/>
  <c r="H677" i="8"/>
  <c r="G677" i="8"/>
  <c r="B677" i="8"/>
  <c r="H676" i="8"/>
  <c r="G676" i="8"/>
  <c r="F676" i="8"/>
  <c r="E676" i="8"/>
  <c r="D676" i="8"/>
  <c r="C676" i="8"/>
  <c r="B676" i="8"/>
  <c r="H675" i="8"/>
  <c r="G675" i="8"/>
  <c r="D675" i="8"/>
  <c r="B675" i="8"/>
  <c r="C675" i="8" s="1"/>
  <c r="H674" i="8"/>
  <c r="G674" i="8"/>
  <c r="E674" i="8"/>
  <c r="F674" i="8" s="1"/>
  <c r="D674" i="8"/>
  <c r="C674" i="8"/>
  <c r="B674" i="8"/>
  <c r="D673" i="8"/>
  <c r="B673" i="8"/>
  <c r="H672" i="8"/>
  <c r="G672" i="8"/>
  <c r="D672" i="8"/>
  <c r="E672" i="8" s="1"/>
  <c r="F672" i="8" s="1"/>
  <c r="B672" i="8"/>
  <c r="C672" i="8" s="1"/>
  <c r="H671" i="8"/>
  <c r="G671" i="8"/>
  <c r="B671" i="8"/>
  <c r="C670" i="8"/>
  <c r="B670" i="8"/>
  <c r="H669" i="8"/>
  <c r="G669" i="8"/>
  <c r="B669" i="8"/>
  <c r="H668" i="8"/>
  <c r="B668" i="8"/>
  <c r="H667" i="8"/>
  <c r="G667" i="8"/>
  <c r="E667" i="8"/>
  <c r="F667" i="8" s="1"/>
  <c r="D667" i="8"/>
  <c r="C667" i="8"/>
  <c r="B667" i="8"/>
  <c r="G666" i="8"/>
  <c r="C666" i="8"/>
  <c r="B666" i="8"/>
  <c r="H665" i="8"/>
  <c r="G665" i="8"/>
  <c r="B665" i="8"/>
  <c r="H664" i="8"/>
  <c r="G664" i="8"/>
  <c r="B664" i="8"/>
  <c r="H663" i="8"/>
  <c r="G663" i="8"/>
  <c r="D663" i="8"/>
  <c r="B663" i="8"/>
  <c r="C663" i="8" s="1"/>
  <c r="H662" i="8"/>
  <c r="G662" i="8"/>
  <c r="F662" i="8"/>
  <c r="E662" i="8"/>
  <c r="D662" i="8"/>
  <c r="C662" i="8"/>
  <c r="B662" i="8"/>
  <c r="D661" i="8"/>
  <c r="B661" i="8"/>
  <c r="H660" i="8"/>
  <c r="G660" i="8"/>
  <c r="E660" i="8"/>
  <c r="F660" i="8" s="1"/>
  <c r="D660" i="8"/>
  <c r="B660" i="8"/>
  <c r="C660" i="8" s="1"/>
  <c r="B659" i="8"/>
  <c r="H658" i="8"/>
  <c r="G658" i="8"/>
  <c r="F658" i="8"/>
  <c r="C658" i="8"/>
  <c r="E658" i="8" s="1"/>
  <c r="B658" i="8"/>
  <c r="D658" i="8" s="1"/>
  <c r="B657" i="8"/>
  <c r="H656" i="8"/>
  <c r="D656" i="8"/>
  <c r="B656" i="8"/>
  <c r="G656" i="8" s="1"/>
  <c r="H655" i="8"/>
  <c r="G655" i="8"/>
  <c r="F655" i="8"/>
  <c r="E655" i="8"/>
  <c r="D655" i="8"/>
  <c r="C655" i="8"/>
  <c r="B655" i="8"/>
  <c r="G654" i="8"/>
  <c r="F654" i="8"/>
  <c r="E654" i="8"/>
  <c r="D654" i="8"/>
  <c r="C654" i="8"/>
  <c r="B654" i="8"/>
  <c r="H654" i="8" s="1"/>
  <c r="H653" i="8"/>
  <c r="G653" i="8"/>
  <c r="B653" i="8"/>
  <c r="B652" i="8"/>
  <c r="H651" i="8"/>
  <c r="G651" i="8"/>
  <c r="D651" i="8"/>
  <c r="B651" i="8"/>
  <c r="C651" i="8" s="1"/>
  <c r="B650" i="8"/>
  <c r="D649" i="8"/>
  <c r="B649" i="8"/>
  <c r="H648" i="8"/>
  <c r="G648" i="8"/>
  <c r="D648" i="8"/>
  <c r="E648" i="8" s="1"/>
  <c r="F648" i="8" s="1"/>
  <c r="B648" i="8"/>
  <c r="C648" i="8" s="1"/>
  <c r="B647" i="8"/>
  <c r="B646" i="8"/>
  <c r="H645" i="8"/>
  <c r="G645" i="8"/>
  <c r="B645" i="8"/>
  <c r="H644" i="8"/>
  <c r="D644" i="8"/>
  <c r="E644" i="8" s="1"/>
  <c r="F644" i="8" s="1"/>
  <c r="C644" i="8"/>
  <c r="B644" i="8"/>
  <c r="G644" i="8" s="1"/>
  <c r="H643" i="8"/>
  <c r="G643" i="8"/>
  <c r="F643" i="8"/>
  <c r="E643" i="8"/>
  <c r="D643" i="8"/>
  <c r="C643" i="8"/>
  <c r="B643" i="8"/>
  <c r="G642" i="8"/>
  <c r="E642" i="8"/>
  <c r="F642" i="8" s="1"/>
  <c r="D642" i="8"/>
  <c r="C642" i="8"/>
  <c r="B642" i="8"/>
  <c r="H642" i="8" s="1"/>
  <c r="H641" i="8"/>
  <c r="G641" i="8"/>
  <c r="B641" i="8"/>
  <c r="H640" i="8"/>
  <c r="G640" i="8"/>
  <c r="D640" i="8"/>
  <c r="E640" i="8" s="1"/>
  <c r="F640" i="8" s="1"/>
  <c r="C640" i="8"/>
  <c r="B640" i="8"/>
  <c r="H639" i="8"/>
  <c r="G639" i="8"/>
  <c r="D639" i="8"/>
  <c r="B639" i="8"/>
  <c r="C639" i="8" s="1"/>
  <c r="H638" i="8"/>
  <c r="G638" i="8"/>
  <c r="D638" i="8"/>
  <c r="C638" i="8"/>
  <c r="E638" i="8" s="1"/>
  <c r="F638" i="8" s="1"/>
  <c r="B638" i="8"/>
  <c r="D637" i="8"/>
  <c r="B637" i="8"/>
  <c r="H636" i="8"/>
  <c r="G636" i="8"/>
  <c r="F636" i="8"/>
  <c r="E636" i="8"/>
  <c r="D636" i="8"/>
  <c r="B636" i="8"/>
  <c r="C636" i="8" s="1"/>
  <c r="H635" i="8"/>
  <c r="B635" i="8"/>
  <c r="H634" i="8"/>
  <c r="G634" i="8"/>
  <c r="C634" i="8"/>
  <c r="E634" i="8" s="1"/>
  <c r="F634" i="8" s="1"/>
  <c r="B634" i="8"/>
  <c r="D634" i="8" s="1"/>
  <c r="H633" i="8"/>
  <c r="G633" i="8"/>
  <c r="B633" i="8"/>
  <c r="B632" i="8"/>
  <c r="H631" i="8"/>
  <c r="G631" i="8"/>
  <c r="E631" i="8"/>
  <c r="F631" i="8" s="1"/>
  <c r="D631" i="8"/>
  <c r="C631" i="8"/>
  <c r="B631" i="8"/>
  <c r="B630" i="8"/>
  <c r="H629" i="8"/>
  <c r="G629" i="8"/>
  <c r="B629" i="8"/>
  <c r="B628" i="8"/>
  <c r="H627" i="8"/>
  <c r="G627" i="8"/>
  <c r="D627" i="8"/>
  <c r="B627" i="8"/>
  <c r="C627" i="8" s="1"/>
  <c r="E627" i="8" s="1"/>
  <c r="F627" i="8" s="1"/>
  <c r="C626" i="8"/>
  <c r="B626" i="8"/>
  <c r="D625" i="8"/>
  <c r="B625" i="8"/>
  <c r="H624" i="8"/>
  <c r="G624" i="8"/>
  <c r="D624" i="8"/>
  <c r="B624" i="8"/>
  <c r="C624" i="8" s="1"/>
  <c r="E624" i="8" s="1"/>
  <c r="F624" i="8" s="1"/>
  <c r="B623" i="8"/>
  <c r="H622" i="8"/>
  <c r="G622" i="8"/>
  <c r="F622" i="8"/>
  <c r="C622" i="8"/>
  <c r="E622" i="8" s="1"/>
  <c r="B622" i="8"/>
  <c r="D622" i="8" s="1"/>
  <c r="B621" i="8"/>
  <c r="H620" i="8"/>
  <c r="D620" i="8"/>
  <c r="C620" i="8"/>
  <c r="B620" i="8"/>
  <c r="G620" i="8" s="1"/>
  <c r="H619" i="8"/>
  <c r="G619" i="8"/>
  <c r="D619" i="8"/>
  <c r="C619" i="8"/>
  <c r="E619" i="8" s="1"/>
  <c r="F619" i="8" s="1"/>
  <c r="B619" i="8"/>
  <c r="H618" i="8"/>
  <c r="G618" i="8"/>
  <c r="D618" i="8"/>
  <c r="C618" i="8"/>
  <c r="E618" i="8" s="1"/>
  <c r="F618" i="8" s="1"/>
  <c r="B618" i="8"/>
  <c r="B617" i="8"/>
  <c r="G616" i="8"/>
  <c r="B616" i="8"/>
  <c r="C615" i="8"/>
  <c r="B615" i="8"/>
  <c r="H614" i="8"/>
  <c r="G614" i="8"/>
  <c r="E614" i="8"/>
  <c r="F614" i="8" s="1"/>
  <c r="D614" i="8"/>
  <c r="C614" i="8"/>
  <c r="B614" i="8"/>
  <c r="B613" i="8"/>
  <c r="H612" i="8"/>
  <c r="G612" i="8"/>
  <c r="D612" i="8"/>
  <c r="E612" i="8" s="1"/>
  <c r="F612" i="8" s="1"/>
  <c r="B612" i="8"/>
  <c r="C612" i="8" s="1"/>
  <c r="G611" i="8"/>
  <c r="C611" i="8"/>
  <c r="B611" i="8"/>
  <c r="H610" i="8"/>
  <c r="G610" i="8"/>
  <c r="D610" i="8"/>
  <c r="B610" i="8"/>
  <c r="C610" i="8" s="1"/>
  <c r="C609" i="8"/>
  <c r="B609" i="8"/>
  <c r="H608" i="8"/>
  <c r="B608" i="8"/>
  <c r="H607" i="8"/>
  <c r="G607" i="8"/>
  <c r="F607" i="8"/>
  <c r="E607" i="8"/>
  <c r="D607" i="8"/>
  <c r="C607" i="8"/>
  <c r="B607" i="8"/>
  <c r="H606" i="8"/>
  <c r="G606" i="8"/>
  <c r="D606" i="8"/>
  <c r="B606" i="8"/>
  <c r="C606" i="8" s="1"/>
  <c r="E606" i="8" s="1"/>
  <c r="F606" i="8" s="1"/>
  <c r="H605" i="8"/>
  <c r="G605" i="8"/>
  <c r="F605" i="8"/>
  <c r="E605" i="8"/>
  <c r="C605" i="8"/>
  <c r="B605" i="8"/>
  <c r="D605" i="8" s="1"/>
  <c r="H604" i="8"/>
  <c r="D604" i="8"/>
  <c r="C604" i="8"/>
  <c r="E604" i="8" s="1"/>
  <c r="F604" i="8" s="1"/>
  <c r="B604" i="8"/>
  <c r="G604" i="8" s="1"/>
  <c r="H603" i="8"/>
  <c r="G603" i="8"/>
  <c r="E603" i="8"/>
  <c r="F603" i="8" s="1"/>
  <c r="D603" i="8"/>
  <c r="C603" i="8"/>
  <c r="B603" i="8"/>
  <c r="B602" i="8"/>
  <c r="G601" i="8"/>
  <c r="E601" i="8"/>
  <c r="F601" i="8" s="1"/>
  <c r="D601" i="8"/>
  <c r="C601" i="8"/>
  <c r="B601" i="8"/>
  <c r="H601" i="8" s="1"/>
  <c r="B600" i="8"/>
  <c r="H599" i="8"/>
  <c r="G599" i="8"/>
  <c r="D599" i="8"/>
  <c r="E599" i="8" s="1"/>
  <c r="F599" i="8" s="1"/>
  <c r="B599" i="8"/>
  <c r="C599" i="8" s="1"/>
  <c r="H598" i="8"/>
  <c r="D598" i="8"/>
  <c r="C598" i="8"/>
  <c r="B598" i="8"/>
  <c r="G598" i="8" s="1"/>
  <c r="H597" i="8"/>
  <c r="G597" i="8"/>
  <c r="B597" i="8"/>
  <c r="H596" i="8"/>
  <c r="B596" i="8"/>
  <c r="H595" i="8"/>
  <c r="G595" i="8"/>
  <c r="D595" i="8"/>
  <c r="C595" i="8"/>
  <c r="E595" i="8" s="1"/>
  <c r="F595" i="8" s="1"/>
  <c r="B595" i="8"/>
  <c r="H594" i="8"/>
  <c r="G594" i="8"/>
  <c r="C594" i="8"/>
  <c r="B594" i="8"/>
  <c r="D594" i="8" s="1"/>
  <c r="H593" i="8"/>
  <c r="C593" i="8"/>
  <c r="B593" i="8"/>
  <c r="B592" i="8"/>
  <c r="D591" i="8"/>
  <c r="B591" i="8"/>
  <c r="H590" i="8"/>
  <c r="G590" i="8"/>
  <c r="E590" i="8"/>
  <c r="F590" i="8" s="1"/>
  <c r="D590" i="8"/>
  <c r="C590" i="8"/>
  <c r="B590" i="8"/>
  <c r="D589" i="8"/>
  <c r="C589" i="8"/>
  <c r="E589" i="8" s="1"/>
  <c r="F589" i="8" s="1"/>
  <c r="B589" i="8"/>
  <c r="H588" i="8"/>
  <c r="G588" i="8"/>
  <c r="E588" i="8"/>
  <c r="F588" i="8" s="1"/>
  <c r="D588" i="8"/>
  <c r="B588" i="8"/>
  <c r="C588" i="8" s="1"/>
  <c r="B587" i="8"/>
  <c r="H586" i="8"/>
  <c r="G586" i="8"/>
  <c r="D586" i="8"/>
  <c r="B586" i="8"/>
  <c r="C586" i="8" s="1"/>
  <c r="D585" i="8"/>
  <c r="C585" i="8"/>
  <c r="E585" i="8" s="1"/>
  <c r="F585" i="8" s="1"/>
  <c r="B585" i="8"/>
  <c r="H584" i="8"/>
  <c r="B584" i="8"/>
  <c r="H583" i="8"/>
  <c r="G583" i="8"/>
  <c r="E583" i="8"/>
  <c r="F583" i="8" s="1"/>
  <c r="D583" i="8"/>
  <c r="C583" i="8"/>
  <c r="B583" i="8"/>
  <c r="H582" i="8"/>
  <c r="G582" i="8"/>
  <c r="D582" i="8"/>
  <c r="C582" i="8"/>
  <c r="B582" i="8"/>
  <c r="B581" i="8"/>
  <c r="C580" i="8"/>
  <c r="B580" i="8"/>
  <c r="B579" i="8"/>
  <c r="D578" i="8"/>
  <c r="E578" i="8" s="1"/>
  <c r="F578" i="8" s="1"/>
  <c r="C578" i="8"/>
  <c r="B578" i="8"/>
  <c r="G577" i="8"/>
  <c r="F577" i="8"/>
  <c r="D577" i="8"/>
  <c r="C577" i="8"/>
  <c r="E577" i="8" s="1"/>
  <c r="B577" i="8"/>
  <c r="H577" i="8" s="1"/>
  <c r="B576" i="8"/>
  <c r="H575" i="8"/>
  <c r="G575" i="8"/>
  <c r="F575" i="8"/>
  <c r="D575" i="8"/>
  <c r="B575" i="8"/>
  <c r="C575" i="8" s="1"/>
  <c r="E575" i="8" s="1"/>
  <c r="C574" i="8"/>
  <c r="B574" i="8"/>
  <c r="H573" i="8"/>
  <c r="G573" i="8"/>
  <c r="B573" i="8"/>
  <c r="H572" i="8"/>
  <c r="B572" i="8"/>
  <c r="H571" i="8"/>
  <c r="G571" i="8"/>
  <c r="F571" i="8"/>
  <c r="D571" i="8"/>
  <c r="C571" i="8"/>
  <c r="E571" i="8" s="1"/>
  <c r="B571" i="8"/>
  <c r="G570" i="8"/>
  <c r="B570" i="8"/>
  <c r="H569" i="8"/>
  <c r="C569" i="8"/>
  <c r="B569" i="8"/>
  <c r="G568" i="8"/>
  <c r="E568" i="8"/>
  <c r="F568" i="8" s="1"/>
  <c r="D568" i="8"/>
  <c r="C568" i="8"/>
  <c r="B568" i="8"/>
  <c r="H568" i="8" s="1"/>
  <c r="G567" i="8"/>
  <c r="D567" i="8"/>
  <c r="E567" i="8" s="1"/>
  <c r="F567" i="8" s="1"/>
  <c r="C567" i="8"/>
  <c r="B567" i="8"/>
  <c r="H567" i="8" s="1"/>
  <c r="H566" i="8"/>
  <c r="G566" i="8"/>
  <c r="F566" i="8"/>
  <c r="E566" i="8"/>
  <c r="D566" i="8"/>
  <c r="C566" i="8"/>
  <c r="B566" i="8"/>
  <c r="G565" i="8"/>
  <c r="E565" i="8"/>
  <c r="F565" i="8" s="1"/>
  <c r="D565" i="8"/>
  <c r="C565" i="8"/>
  <c r="B565" i="8"/>
  <c r="H565" i="8" s="1"/>
  <c r="H564" i="8"/>
  <c r="G564" i="8"/>
  <c r="F564" i="8"/>
  <c r="E564" i="8"/>
  <c r="D564" i="8"/>
  <c r="B564" i="8"/>
  <c r="C564" i="8" s="1"/>
  <c r="H563" i="8"/>
  <c r="G563" i="8"/>
  <c r="B563" i="8"/>
  <c r="H562" i="8"/>
  <c r="G562" i="8"/>
  <c r="D562" i="8"/>
  <c r="B562" i="8"/>
  <c r="C562" i="8" s="1"/>
  <c r="B561" i="8"/>
  <c r="H560" i="8"/>
  <c r="C560" i="8"/>
  <c r="B560" i="8"/>
  <c r="H559" i="8"/>
  <c r="G559" i="8"/>
  <c r="F559" i="8"/>
  <c r="E559" i="8"/>
  <c r="D559" i="8"/>
  <c r="C559" i="8"/>
  <c r="B559" i="8"/>
  <c r="H558" i="8"/>
  <c r="G558" i="8"/>
  <c r="D558" i="8"/>
  <c r="E558" i="8" s="1"/>
  <c r="F558" i="8" s="1"/>
  <c r="C558" i="8"/>
  <c r="B558" i="8"/>
  <c r="B557" i="8"/>
  <c r="H556" i="8"/>
  <c r="C556" i="8"/>
  <c r="B556" i="8"/>
  <c r="G556" i="8" s="1"/>
  <c r="H555" i="8"/>
  <c r="G555" i="8"/>
  <c r="B555" i="8"/>
  <c r="D554" i="8"/>
  <c r="C554" i="8"/>
  <c r="B554" i="8"/>
  <c r="G553" i="8"/>
  <c r="E553" i="8"/>
  <c r="F553" i="8" s="1"/>
  <c r="D553" i="8"/>
  <c r="C553" i="8"/>
  <c r="B553" i="8"/>
  <c r="H553" i="8" s="1"/>
  <c r="B552" i="8"/>
  <c r="H551" i="8"/>
  <c r="G551" i="8"/>
  <c r="B551" i="8"/>
  <c r="H550" i="8"/>
  <c r="D550" i="8"/>
  <c r="C550" i="8"/>
  <c r="B550" i="8"/>
  <c r="G550" i="8" s="1"/>
  <c r="H549" i="8"/>
  <c r="G549" i="8"/>
  <c r="B549" i="8"/>
  <c r="H548" i="8"/>
  <c r="B548" i="8"/>
  <c r="H547" i="8"/>
  <c r="G547" i="8"/>
  <c r="D547" i="8"/>
  <c r="C547" i="8"/>
  <c r="B547" i="8"/>
  <c r="H546" i="8"/>
  <c r="B546" i="8"/>
  <c r="H545" i="8"/>
  <c r="B545" i="8"/>
  <c r="H544" i="8"/>
  <c r="G544" i="8"/>
  <c r="D544" i="8"/>
  <c r="E544" i="8" s="1"/>
  <c r="F544" i="8" s="1"/>
  <c r="C544" i="8"/>
  <c r="B544" i="8"/>
  <c r="G543" i="8"/>
  <c r="B543" i="8"/>
  <c r="H542" i="8"/>
  <c r="G542" i="8"/>
  <c r="D542" i="8"/>
  <c r="C542" i="8"/>
  <c r="B542" i="8"/>
  <c r="B541" i="8"/>
  <c r="H540" i="8"/>
  <c r="G540" i="8"/>
  <c r="F540" i="8"/>
  <c r="D540" i="8"/>
  <c r="E540" i="8" s="1"/>
  <c r="B540" i="8"/>
  <c r="C540" i="8" s="1"/>
  <c r="G539" i="8"/>
  <c r="B539" i="8"/>
  <c r="B538" i="8"/>
  <c r="H537" i="8"/>
  <c r="G537" i="8"/>
  <c r="D537" i="8"/>
  <c r="C537" i="8"/>
  <c r="B537" i="8"/>
  <c r="C536" i="8"/>
  <c r="B536" i="8"/>
  <c r="H535" i="8"/>
  <c r="G535" i="8"/>
  <c r="D535" i="8"/>
  <c r="C535" i="8"/>
  <c r="B535" i="8"/>
  <c r="B534" i="8"/>
  <c r="H533" i="8"/>
  <c r="C533" i="8"/>
  <c r="B533" i="8"/>
  <c r="H532" i="8"/>
  <c r="B532" i="8"/>
  <c r="B531" i="8"/>
  <c r="G530" i="8"/>
  <c r="D530" i="8"/>
  <c r="E530" i="8" s="1"/>
  <c r="F530" i="8" s="1"/>
  <c r="C530" i="8"/>
  <c r="B530" i="8"/>
  <c r="H530" i="8" s="1"/>
  <c r="G529" i="8"/>
  <c r="D529" i="8"/>
  <c r="C529" i="8"/>
  <c r="E529" i="8" s="1"/>
  <c r="F529" i="8" s="1"/>
  <c r="B529" i="8"/>
  <c r="H529" i="8" s="1"/>
  <c r="B528" i="8"/>
  <c r="B527" i="8"/>
  <c r="H526" i="8"/>
  <c r="B526" i="8"/>
  <c r="H525" i="8"/>
  <c r="G525" i="8"/>
  <c r="E525" i="8"/>
  <c r="F525" i="8" s="1"/>
  <c r="C525" i="8"/>
  <c r="B525" i="8"/>
  <c r="D525" i="8" s="1"/>
  <c r="H524" i="8"/>
  <c r="D524" i="8"/>
  <c r="E524" i="8" s="1"/>
  <c r="F524" i="8" s="1"/>
  <c r="C524" i="8"/>
  <c r="B524" i="8"/>
  <c r="G524" i="8" s="1"/>
  <c r="H523" i="8"/>
  <c r="G523" i="8"/>
  <c r="D523" i="8"/>
  <c r="C523" i="8"/>
  <c r="B523" i="8"/>
  <c r="G522" i="8"/>
  <c r="E522" i="8"/>
  <c r="F522" i="8" s="1"/>
  <c r="D522" i="8"/>
  <c r="C522" i="8"/>
  <c r="B522" i="8"/>
  <c r="H522" i="8" s="1"/>
  <c r="C521" i="8"/>
  <c r="B521" i="8"/>
  <c r="D520" i="8"/>
  <c r="B520" i="8"/>
  <c r="B519" i="8"/>
  <c r="D518" i="8"/>
  <c r="B518" i="8"/>
  <c r="H517" i="8"/>
  <c r="E517" i="8"/>
  <c r="F517" i="8" s="1"/>
  <c r="D517" i="8"/>
  <c r="C517" i="8"/>
  <c r="B517" i="8"/>
  <c r="G517" i="8" s="1"/>
  <c r="D516" i="8"/>
  <c r="C516" i="8"/>
  <c r="B516" i="8"/>
  <c r="G515" i="8"/>
  <c r="D515" i="8"/>
  <c r="E515" i="8" s="1"/>
  <c r="F515" i="8" s="1"/>
  <c r="C515" i="8"/>
  <c r="B515" i="8"/>
  <c r="H515" i="8" s="1"/>
  <c r="H514" i="8"/>
  <c r="D514" i="8"/>
  <c r="C514" i="8"/>
  <c r="E514" i="8" s="1"/>
  <c r="F514" i="8" s="1"/>
  <c r="B514" i="8"/>
  <c r="G514" i="8" s="1"/>
  <c r="H513" i="8"/>
  <c r="G513" i="8"/>
  <c r="D513" i="8"/>
  <c r="C513" i="8"/>
  <c r="B513" i="8"/>
  <c r="C512" i="8"/>
  <c r="B512" i="8"/>
  <c r="H511" i="8"/>
  <c r="G511" i="8"/>
  <c r="F511" i="8"/>
  <c r="E511" i="8"/>
  <c r="C511" i="8"/>
  <c r="B511" i="8"/>
  <c r="D511" i="8" s="1"/>
  <c r="B510" i="8"/>
  <c r="H509" i="8"/>
  <c r="G509" i="8"/>
  <c r="D509" i="8"/>
  <c r="C509" i="8"/>
  <c r="E509" i="8" s="1"/>
  <c r="F509" i="8" s="1"/>
  <c r="B509" i="8"/>
  <c r="G508" i="8"/>
  <c r="D508" i="8"/>
  <c r="E508" i="8" s="1"/>
  <c r="F508" i="8" s="1"/>
  <c r="C508" i="8"/>
  <c r="B508" i="8"/>
  <c r="H508" i="8" s="1"/>
  <c r="G507" i="8"/>
  <c r="D507" i="8"/>
  <c r="E507" i="8" s="1"/>
  <c r="F507" i="8" s="1"/>
  <c r="C507" i="8"/>
  <c r="B507" i="8"/>
  <c r="H507" i="8" s="1"/>
  <c r="E506" i="8"/>
  <c r="F506" i="8" s="1"/>
  <c r="D506" i="8"/>
  <c r="C506" i="8"/>
  <c r="B506" i="8"/>
  <c r="H505" i="8"/>
  <c r="G505" i="8"/>
  <c r="E505" i="8"/>
  <c r="F505" i="8" s="1"/>
  <c r="D505" i="8"/>
  <c r="C505" i="8"/>
  <c r="B505" i="8"/>
  <c r="G504" i="8"/>
  <c r="B504" i="8"/>
  <c r="B503" i="8"/>
  <c r="H502" i="8"/>
  <c r="G502" i="8"/>
  <c r="F502" i="8"/>
  <c r="D502" i="8"/>
  <c r="E502" i="8" s="1"/>
  <c r="C502" i="8"/>
  <c r="B502" i="8"/>
  <c r="B501" i="8"/>
  <c r="H500" i="8"/>
  <c r="G500" i="8"/>
  <c r="F500" i="8"/>
  <c r="E500" i="8"/>
  <c r="D500" i="8"/>
  <c r="C500" i="8"/>
  <c r="B500" i="8"/>
  <c r="C499" i="8"/>
  <c r="B499" i="8"/>
  <c r="H498" i="8"/>
  <c r="G498" i="8"/>
  <c r="E498" i="8"/>
  <c r="F498" i="8" s="1"/>
  <c r="D498" i="8"/>
  <c r="B498" i="8"/>
  <c r="C498" i="8" s="1"/>
  <c r="C497" i="8"/>
  <c r="B497" i="8"/>
  <c r="B496" i="8"/>
  <c r="B495" i="8"/>
  <c r="H494" i="8"/>
  <c r="D494" i="8"/>
  <c r="E494" i="8" s="1"/>
  <c r="F494" i="8" s="1"/>
  <c r="C494" i="8"/>
  <c r="B494" i="8"/>
  <c r="G494" i="8" s="1"/>
  <c r="H493" i="8"/>
  <c r="G493" i="8"/>
  <c r="D493" i="8"/>
  <c r="C493" i="8"/>
  <c r="E493" i="8" s="1"/>
  <c r="F493" i="8" s="1"/>
  <c r="B493" i="8"/>
  <c r="B492" i="8"/>
  <c r="B491" i="8"/>
  <c r="B490" i="8"/>
  <c r="H489" i="8"/>
  <c r="G489" i="8"/>
  <c r="D489" i="8"/>
  <c r="E489" i="8" s="1"/>
  <c r="F489" i="8" s="1"/>
  <c r="C489" i="8"/>
  <c r="B489" i="8"/>
  <c r="C488" i="8"/>
  <c r="B488" i="8"/>
  <c r="H488" i="8" s="1"/>
  <c r="G487" i="8"/>
  <c r="F487" i="8"/>
  <c r="E487" i="8"/>
  <c r="D487" i="8"/>
  <c r="C487" i="8"/>
  <c r="B487" i="8"/>
  <c r="H487" i="8" s="1"/>
  <c r="B486" i="8"/>
  <c r="H485" i="8"/>
  <c r="G485" i="8"/>
  <c r="E485" i="8"/>
  <c r="F485" i="8" s="1"/>
  <c r="D485" i="8"/>
  <c r="B485" i="8"/>
  <c r="C485" i="8" s="1"/>
  <c r="C484" i="8"/>
  <c r="B484" i="8"/>
  <c r="H483" i="8"/>
  <c r="G483" i="8"/>
  <c r="D483" i="8"/>
  <c r="C483" i="8"/>
  <c r="E483" i="8" s="1"/>
  <c r="F483" i="8" s="1"/>
  <c r="B483" i="8"/>
  <c r="C482" i="8"/>
  <c r="B482" i="8"/>
  <c r="H481" i="8"/>
  <c r="G481" i="8"/>
  <c r="E481" i="8"/>
  <c r="F481" i="8" s="1"/>
  <c r="D481" i="8"/>
  <c r="C481" i="8"/>
  <c r="B481" i="8"/>
  <c r="D480" i="8"/>
  <c r="B480" i="8"/>
  <c r="H479" i="8"/>
  <c r="B479" i="8"/>
  <c r="D478" i="8"/>
  <c r="C478" i="8"/>
  <c r="E478" i="8" s="1"/>
  <c r="F478" i="8" s="1"/>
  <c r="B478" i="8"/>
  <c r="C477" i="8"/>
  <c r="E477" i="8" s="1"/>
  <c r="F477" i="8" s="1"/>
  <c r="B477" i="8"/>
  <c r="D477" i="8" s="1"/>
  <c r="H476" i="8"/>
  <c r="C476" i="8"/>
  <c r="B476" i="8"/>
  <c r="G475" i="8"/>
  <c r="D475" i="8"/>
  <c r="C475" i="8"/>
  <c r="B475" i="8"/>
  <c r="H475" i="8" s="1"/>
  <c r="H474" i="8"/>
  <c r="G474" i="8"/>
  <c r="E474" i="8"/>
  <c r="F474" i="8" s="1"/>
  <c r="D474" i="8"/>
  <c r="B474" i="8"/>
  <c r="C474" i="8" s="1"/>
  <c r="H473" i="8"/>
  <c r="C473" i="8"/>
  <c r="B473" i="8"/>
  <c r="H472" i="8"/>
  <c r="G472" i="8"/>
  <c r="F472" i="8"/>
  <c r="D472" i="8"/>
  <c r="C472" i="8"/>
  <c r="E472" i="8" s="1"/>
  <c r="B472" i="8"/>
  <c r="D471" i="8"/>
  <c r="C471" i="8"/>
  <c r="B471" i="8"/>
  <c r="H470" i="8"/>
  <c r="F470" i="8"/>
  <c r="E470" i="8"/>
  <c r="D470" i="8"/>
  <c r="C470" i="8"/>
  <c r="B470" i="8"/>
  <c r="G470" i="8" s="1"/>
  <c r="H469" i="8"/>
  <c r="G469" i="8"/>
  <c r="E469" i="8"/>
  <c r="F469" i="8" s="1"/>
  <c r="D469" i="8"/>
  <c r="C469" i="8"/>
  <c r="B469" i="8"/>
  <c r="H468" i="8"/>
  <c r="G468" i="8"/>
  <c r="B468" i="8"/>
  <c r="C467" i="8"/>
  <c r="B467" i="8"/>
  <c r="H466" i="8"/>
  <c r="G466" i="8"/>
  <c r="C466" i="8"/>
  <c r="E466" i="8" s="1"/>
  <c r="F466" i="8" s="1"/>
  <c r="B466" i="8"/>
  <c r="D466" i="8" s="1"/>
  <c r="D465" i="8"/>
  <c r="C465" i="8"/>
  <c r="B465" i="8"/>
  <c r="D464" i="8"/>
  <c r="B464" i="8"/>
  <c r="C463" i="8"/>
  <c r="B463" i="8"/>
  <c r="D462" i="8"/>
  <c r="B462" i="8"/>
  <c r="G461" i="8"/>
  <c r="B461" i="8"/>
  <c r="C460" i="8"/>
  <c r="B460" i="8"/>
  <c r="H459" i="8"/>
  <c r="G459" i="8"/>
  <c r="F459" i="8"/>
  <c r="D459" i="8"/>
  <c r="E459" i="8" s="1"/>
  <c r="C459" i="8"/>
  <c r="B459" i="8"/>
  <c r="B458" i="8"/>
  <c r="H457" i="8"/>
  <c r="G457" i="8"/>
  <c r="F457" i="8"/>
  <c r="D457" i="8"/>
  <c r="E457" i="8" s="1"/>
  <c r="C457" i="8"/>
  <c r="B457" i="8"/>
  <c r="B456" i="8"/>
  <c r="H455" i="8"/>
  <c r="G455" i="8"/>
  <c r="B455" i="8"/>
  <c r="B454" i="8"/>
  <c r="H453" i="8"/>
  <c r="G453" i="8"/>
  <c r="B453" i="8"/>
  <c r="D453" i="8" s="1"/>
  <c r="B452" i="8"/>
  <c r="G451" i="8"/>
  <c r="D451" i="8"/>
  <c r="C451" i="8"/>
  <c r="B451" i="8"/>
  <c r="H451" i="8" s="1"/>
  <c r="B450" i="8"/>
  <c r="E449" i="8"/>
  <c r="F449" i="8" s="1"/>
  <c r="D449" i="8"/>
  <c r="C449" i="8"/>
  <c r="B449" i="8"/>
  <c r="B448" i="8"/>
  <c r="C447" i="8"/>
  <c r="B447" i="8"/>
  <c r="H446" i="8"/>
  <c r="E446" i="8"/>
  <c r="F446" i="8" s="1"/>
  <c r="D446" i="8"/>
  <c r="C446" i="8"/>
  <c r="B446" i="8"/>
  <c r="G446" i="8" s="1"/>
  <c r="H445" i="8"/>
  <c r="G445" i="8"/>
  <c r="D445" i="8"/>
  <c r="C445" i="8"/>
  <c r="E445" i="8" s="1"/>
  <c r="F445" i="8" s="1"/>
  <c r="B445" i="8"/>
  <c r="B444" i="8"/>
  <c r="H443" i="8"/>
  <c r="G443" i="8"/>
  <c r="B443" i="8"/>
  <c r="D443" i="8" s="1"/>
  <c r="H442" i="8"/>
  <c r="G442" i="8"/>
  <c r="F442" i="8"/>
  <c r="C442" i="8"/>
  <c r="E442" i="8" s="1"/>
  <c r="B442" i="8"/>
  <c r="D442" i="8" s="1"/>
  <c r="H441" i="8"/>
  <c r="G441" i="8"/>
  <c r="D441" i="8"/>
  <c r="C441" i="8"/>
  <c r="B441" i="8"/>
  <c r="H440" i="8"/>
  <c r="G440" i="8"/>
  <c r="D440" i="8"/>
  <c r="C440" i="8"/>
  <c r="E440" i="8" s="1"/>
  <c r="F440" i="8" s="1"/>
  <c r="B440" i="8"/>
  <c r="D439" i="8"/>
  <c r="C439" i="8"/>
  <c r="E439" i="8" s="1"/>
  <c r="F439" i="8" s="1"/>
  <c r="B439" i="8"/>
  <c r="H438" i="8"/>
  <c r="D438" i="8"/>
  <c r="B438" i="8"/>
  <c r="C437" i="8"/>
  <c r="B437" i="8"/>
  <c r="C436" i="8"/>
  <c r="B436" i="8"/>
  <c r="H435" i="8"/>
  <c r="G435" i="8"/>
  <c r="D435" i="8"/>
  <c r="C435" i="8"/>
  <c r="B435" i="8"/>
  <c r="D434" i="8"/>
  <c r="B434" i="8"/>
  <c r="H433" i="8"/>
  <c r="G433" i="8"/>
  <c r="D433" i="8"/>
  <c r="E433" i="8" s="1"/>
  <c r="F433" i="8" s="1"/>
  <c r="C433" i="8"/>
  <c r="B433" i="8"/>
  <c r="H432" i="8"/>
  <c r="G432" i="8"/>
  <c r="E432" i="8"/>
  <c r="F432" i="8" s="1"/>
  <c r="D432" i="8"/>
  <c r="B432" i="8"/>
  <c r="C432" i="8" s="1"/>
  <c r="B431" i="8"/>
  <c r="H430" i="8"/>
  <c r="G430" i="8"/>
  <c r="D430" i="8"/>
  <c r="C430" i="8"/>
  <c r="E430" i="8" s="1"/>
  <c r="F430" i="8" s="1"/>
  <c r="B430" i="8"/>
  <c r="B429" i="8"/>
  <c r="H428" i="8"/>
  <c r="G428" i="8"/>
  <c r="F428" i="8"/>
  <c r="E428" i="8"/>
  <c r="D428" i="8"/>
  <c r="C428" i="8"/>
  <c r="B428" i="8"/>
  <c r="G427" i="8"/>
  <c r="D427" i="8"/>
  <c r="C427" i="8"/>
  <c r="B427" i="8"/>
  <c r="H427" i="8" s="1"/>
  <c r="D426" i="8"/>
  <c r="E426" i="8" s="1"/>
  <c r="F426" i="8" s="1"/>
  <c r="B426" i="8"/>
  <c r="C426" i="8" s="1"/>
  <c r="H425" i="8"/>
  <c r="E425" i="8"/>
  <c r="F425" i="8" s="1"/>
  <c r="D425" i="8"/>
  <c r="C425" i="8"/>
  <c r="B425" i="8"/>
  <c r="G425" i="8" s="1"/>
  <c r="D424" i="8"/>
  <c r="B424" i="8"/>
  <c r="D423" i="8"/>
  <c r="B423" i="8"/>
  <c r="H422" i="8"/>
  <c r="D422" i="8"/>
  <c r="C422" i="8"/>
  <c r="B422" i="8"/>
  <c r="G422" i="8" s="1"/>
  <c r="H421" i="8"/>
  <c r="G421" i="8"/>
  <c r="F421" i="8"/>
  <c r="E421" i="8"/>
  <c r="D421" i="8"/>
  <c r="C421" i="8"/>
  <c r="B421" i="8"/>
  <c r="B420" i="8"/>
  <c r="H419" i="8"/>
  <c r="G419" i="8"/>
  <c r="B419" i="8"/>
  <c r="D419" i="8" s="1"/>
  <c r="C418" i="8"/>
  <c r="B418" i="8"/>
  <c r="H417" i="8"/>
  <c r="G417" i="8"/>
  <c r="E417" i="8"/>
  <c r="F417" i="8" s="1"/>
  <c r="D417" i="8"/>
  <c r="C417" i="8"/>
  <c r="B417" i="8"/>
  <c r="B416" i="8"/>
  <c r="G415" i="8"/>
  <c r="C415" i="8"/>
  <c r="B415" i="8"/>
  <c r="H415" i="8" s="1"/>
  <c r="H414" i="8"/>
  <c r="D414" i="8"/>
  <c r="B414" i="8"/>
  <c r="H413" i="8"/>
  <c r="G413" i="8"/>
  <c r="D413" i="8"/>
  <c r="C413" i="8"/>
  <c r="E413" i="8" s="1"/>
  <c r="F413" i="8" s="1"/>
  <c r="B413" i="8"/>
  <c r="F412" i="8"/>
  <c r="D412" i="8"/>
  <c r="C412" i="8"/>
  <c r="E412" i="8" s="1"/>
  <c r="B412" i="8"/>
  <c r="H411" i="8"/>
  <c r="G411" i="8"/>
  <c r="E411" i="8"/>
  <c r="F411" i="8" s="1"/>
  <c r="D411" i="8"/>
  <c r="C411" i="8"/>
  <c r="B411" i="8"/>
  <c r="E410" i="8"/>
  <c r="F410" i="8" s="1"/>
  <c r="D410" i="8"/>
  <c r="C410" i="8"/>
  <c r="B410" i="8"/>
  <c r="H409" i="8"/>
  <c r="G409" i="8"/>
  <c r="D409" i="8"/>
  <c r="E409" i="8" s="1"/>
  <c r="F409" i="8" s="1"/>
  <c r="C409" i="8"/>
  <c r="B409" i="8"/>
  <c r="G408" i="8"/>
  <c r="B408" i="8"/>
  <c r="B407" i="8"/>
  <c r="H406" i="8"/>
  <c r="G406" i="8"/>
  <c r="F406" i="8"/>
  <c r="D406" i="8"/>
  <c r="E406" i="8" s="1"/>
  <c r="C406" i="8"/>
  <c r="B406" i="8"/>
  <c r="C405" i="8"/>
  <c r="E405" i="8" s="1"/>
  <c r="F405" i="8" s="1"/>
  <c r="B405" i="8"/>
  <c r="D405" i="8" s="1"/>
  <c r="H404" i="8"/>
  <c r="G404" i="8"/>
  <c r="E404" i="8"/>
  <c r="F404" i="8" s="1"/>
  <c r="D404" i="8"/>
  <c r="C404" i="8"/>
  <c r="B404" i="8"/>
  <c r="C403" i="8"/>
  <c r="B403" i="8"/>
  <c r="H402" i="8"/>
  <c r="G402" i="8"/>
  <c r="F402" i="8"/>
  <c r="E402" i="8"/>
  <c r="D402" i="8"/>
  <c r="B402" i="8"/>
  <c r="C402" i="8" s="1"/>
  <c r="B401" i="8"/>
  <c r="H400" i="8"/>
  <c r="C400" i="8"/>
  <c r="B400" i="8"/>
  <c r="G400" i="8" s="1"/>
  <c r="B399" i="8"/>
  <c r="H398" i="8"/>
  <c r="E398" i="8"/>
  <c r="F398" i="8" s="1"/>
  <c r="D398" i="8"/>
  <c r="C398" i="8"/>
  <c r="B398" i="8"/>
  <c r="G398" i="8" s="1"/>
  <c r="H397" i="8"/>
  <c r="G397" i="8"/>
  <c r="D397" i="8"/>
  <c r="C397" i="8"/>
  <c r="E397" i="8" s="1"/>
  <c r="F397" i="8" s="1"/>
  <c r="B397" i="8"/>
  <c r="H396" i="8"/>
  <c r="G396" i="8"/>
  <c r="B396" i="8"/>
  <c r="H395" i="8"/>
  <c r="B395" i="8"/>
  <c r="C394" i="8"/>
  <c r="E394" i="8" s="1"/>
  <c r="F394" i="8" s="1"/>
  <c r="B394" i="8"/>
  <c r="D394" i="8" s="1"/>
  <c r="H393" i="8"/>
  <c r="G393" i="8"/>
  <c r="D393" i="8"/>
  <c r="E393" i="8" s="1"/>
  <c r="F393" i="8" s="1"/>
  <c r="C393" i="8"/>
  <c r="B393" i="8"/>
  <c r="H392" i="8"/>
  <c r="G392" i="8"/>
  <c r="C392" i="8"/>
  <c r="B392" i="8"/>
  <c r="D392" i="8" s="1"/>
  <c r="G391" i="8"/>
  <c r="E391" i="8"/>
  <c r="F391" i="8" s="1"/>
  <c r="D391" i="8"/>
  <c r="C391" i="8"/>
  <c r="B391" i="8"/>
  <c r="H391" i="8" s="1"/>
  <c r="D390" i="8"/>
  <c r="B390" i="8"/>
  <c r="H389" i="8"/>
  <c r="G389" i="8"/>
  <c r="E389" i="8"/>
  <c r="F389" i="8" s="1"/>
  <c r="D389" i="8"/>
  <c r="B389" i="8"/>
  <c r="C389" i="8" s="1"/>
  <c r="C388" i="8"/>
  <c r="B388" i="8"/>
  <c r="H387" i="8"/>
  <c r="G387" i="8"/>
  <c r="E387" i="8"/>
  <c r="F387" i="8" s="1"/>
  <c r="D387" i="8"/>
  <c r="C387" i="8"/>
  <c r="B387" i="8"/>
  <c r="C386" i="8"/>
  <c r="B386" i="8"/>
  <c r="H385" i="8"/>
  <c r="G385" i="8"/>
  <c r="E385" i="8"/>
  <c r="F385" i="8" s="1"/>
  <c r="D385" i="8"/>
  <c r="C385" i="8"/>
  <c r="B385" i="8"/>
  <c r="B384" i="8"/>
  <c r="G383" i="8"/>
  <c r="B383" i="8"/>
  <c r="D382" i="8"/>
  <c r="B382" i="8"/>
  <c r="H381" i="8"/>
  <c r="C381" i="8"/>
  <c r="E381" i="8" s="1"/>
  <c r="F381" i="8" s="1"/>
  <c r="B381" i="8"/>
  <c r="D381" i="8" s="1"/>
  <c r="B380" i="8"/>
  <c r="G379" i="8"/>
  <c r="D379" i="8"/>
  <c r="C379" i="8"/>
  <c r="B379" i="8"/>
  <c r="H379" i="8" s="1"/>
  <c r="H378" i="8"/>
  <c r="G378" i="8"/>
  <c r="E378" i="8"/>
  <c r="F378" i="8" s="1"/>
  <c r="D378" i="8"/>
  <c r="B378" i="8"/>
  <c r="C378" i="8" s="1"/>
  <c r="H377" i="8"/>
  <c r="B377" i="8"/>
  <c r="H376" i="8"/>
  <c r="G376" i="8"/>
  <c r="F376" i="8"/>
  <c r="D376" i="8"/>
  <c r="C376" i="8"/>
  <c r="E376" i="8" s="1"/>
  <c r="B376" i="8"/>
  <c r="B375" i="8"/>
  <c r="H374" i="8"/>
  <c r="F374" i="8"/>
  <c r="D374" i="8"/>
  <c r="E374" i="8" s="1"/>
  <c r="C374" i="8"/>
  <c r="B374" i="8"/>
  <c r="G374" i="8" s="1"/>
  <c r="H373" i="8"/>
  <c r="G373" i="8"/>
  <c r="E373" i="8"/>
  <c r="F373" i="8" s="1"/>
  <c r="D373" i="8"/>
  <c r="C373" i="8"/>
  <c r="B373" i="8"/>
  <c r="H372" i="8"/>
  <c r="G372" i="8"/>
  <c r="B372" i="8"/>
  <c r="C371" i="8"/>
  <c r="B371" i="8"/>
  <c r="H370" i="8"/>
  <c r="G370" i="8"/>
  <c r="F370" i="8"/>
  <c r="C370" i="8"/>
  <c r="E370" i="8" s="1"/>
  <c r="B370" i="8"/>
  <c r="D370" i="8" s="1"/>
  <c r="D369" i="8"/>
  <c r="C369" i="8"/>
  <c r="E369" i="8" s="1"/>
  <c r="F369" i="8" s="1"/>
  <c r="B369" i="8"/>
  <c r="H368" i="8"/>
  <c r="B368" i="8"/>
  <c r="B367" i="8"/>
  <c r="H366" i="8"/>
  <c r="D366" i="8"/>
  <c r="B366" i="8"/>
  <c r="H365" i="8"/>
  <c r="G365" i="8"/>
  <c r="B365" i="8"/>
  <c r="C364" i="8"/>
  <c r="B364" i="8"/>
  <c r="H363" i="8"/>
  <c r="G363" i="8"/>
  <c r="F363" i="8"/>
  <c r="D363" i="8"/>
  <c r="E363" i="8" s="1"/>
  <c r="C363" i="8"/>
  <c r="B363" i="8"/>
  <c r="B362" i="8"/>
  <c r="H361" i="8"/>
  <c r="G361" i="8"/>
  <c r="D361" i="8"/>
  <c r="E361" i="8" s="1"/>
  <c r="F361" i="8" s="1"/>
  <c r="C361" i="8"/>
  <c r="B361" i="8"/>
  <c r="H360" i="8"/>
  <c r="G360" i="8"/>
  <c r="C360" i="8"/>
  <c r="E360" i="8" s="1"/>
  <c r="F360" i="8" s="1"/>
  <c r="B360" i="8"/>
  <c r="D360" i="8" s="1"/>
  <c r="H359" i="8"/>
  <c r="G359" i="8"/>
  <c r="B359" i="8"/>
  <c r="G358" i="8"/>
  <c r="D358" i="8"/>
  <c r="B358" i="8"/>
  <c r="H358" i="8" s="1"/>
  <c r="H357" i="8"/>
  <c r="G357" i="8"/>
  <c r="D357" i="8"/>
  <c r="C357" i="8"/>
  <c r="E357" i="8" s="1"/>
  <c r="F357" i="8" s="1"/>
  <c r="B357" i="8"/>
  <c r="G356" i="8"/>
  <c r="E356" i="8"/>
  <c r="F356" i="8" s="1"/>
  <c r="D356" i="8"/>
  <c r="C356" i="8"/>
  <c r="B356" i="8"/>
  <c r="H356" i="8" s="1"/>
  <c r="D355" i="8"/>
  <c r="C355" i="8"/>
  <c r="E355" i="8" s="1"/>
  <c r="F355" i="8" s="1"/>
  <c r="B355" i="8"/>
  <c r="H354" i="8"/>
  <c r="G354" i="8"/>
  <c r="D354" i="8"/>
  <c r="E354" i="8" s="1"/>
  <c r="F354" i="8" s="1"/>
  <c r="C354" i="8"/>
  <c r="B354" i="8"/>
  <c r="B353" i="8"/>
  <c r="H352" i="8"/>
  <c r="G352" i="8"/>
  <c r="F352" i="8"/>
  <c r="C352" i="8"/>
  <c r="E352" i="8" s="1"/>
  <c r="B352" i="8"/>
  <c r="D352" i="8" s="1"/>
  <c r="H351" i="8"/>
  <c r="G351" i="8"/>
  <c r="B351" i="8"/>
  <c r="B350" i="8"/>
  <c r="H349" i="8"/>
  <c r="G349" i="8"/>
  <c r="E349" i="8"/>
  <c r="F349" i="8" s="1"/>
  <c r="D349" i="8"/>
  <c r="C349" i="8"/>
  <c r="B349" i="8"/>
  <c r="B348" i="8"/>
  <c r="H347" i="8"/>
  <c r="G347" i="8"/>
  <c r="B347" i="8"/>
  <c r="H346" i="8"/>
  <c r="B346" i="8"/>
  <c r="H345" i="8"/>
  <c r="G345" i="8"/>
  <c r="D345" i="8"/>
  <c r="C345" i="8"/>
  <c r="B345" i="8"/>
  <c r="H344" i="8"/>
  <c r="B344" i="8"/>
  <c r="D343" i="8"/>
  <c r="E343" i="8" s="1"/>
  <c r="F343" i="8" s="1"/>
  <c r="C343" i="8"/>
  <c r="B343" i="8"/>
  <c r="H342" i="8"/>
  <c r="G342" i="8"/>
  <c r="E342" i="8"/>
  <c r="F342" i="8" s="1"/>
  <c r="D342" i="8"/>
  <c r="C342" i="8"/>
  <c r="B342" i="8"/>
  <c r="B341" i="8"/>
  <c r="H340" i="8"/>
  <c r="G340" i="8"/>
  <c r="B340" i="8"/>
  <c r="D340" i="8" s="1"/>
  <c r="B339" i="8"/>
  <c r="H338" i="8"/>
  <c r="E338" i="8"/>
  <c r="F338" i="8" s="1"/>
  <c r="D338" i="8"/>
  <c r="C338" i="8"/>
  <c r="B338" i="8"/>
  <c r="G338" i="8" s="1"/>
  <c r="H337" i="8"/>
  <c r="G337" i="8"/>
  <c r="D337" i="8"/>
  <c r="C337" i="8"/>
  <c r="E337" i="8" s="1"/>
  <c r="F337" i="8" s="1"/>
  <c r="B337" i="8"/>
  <c r="B336" i="8"/>
  <c r="G335" i="8"/>
  <c r="B335" i="8"/>
  <c r="D334" i="8"/>
  <c r="C334" i="8"/>
  <c r="B334" i="8"/>
  <c r="G333" i="8"/>
  <c r="B333" i="8"/>
  <c r="H332" i="8"/>
  <c r="G332" i="8"/>
  <c r="C332" i="8"/>
  <c r="E332" i="8" s="1"/>
  <c r="F332" i="8" s="1"/>
  <c r="B332" i="8"/>
  <c r="D332" i="8" s="1"/>
  <c r="B331" i="8"/>
  <c r="H330" i="8"/>
  <c r="G330" i="8"/>
  <c r="F330" i="8"/>
  <c r="E330" i="8"/>
  <c r="D330" i="8"/>
  <c r="B330" i="8"/>
  <c r="C330" i="8" s="1"/>
  <c r="C329" i="8"/>
  <c r="B329" i="8"/>
  <c r="H328" i="8"/>
  <c r="G328" i="8"/>
  <c r="C328" i="8"/>
  <c r="E328" i="8" s="1"/>
  <c r="F328" i="8" s="1"/>
  <c r="B328" i="8"/>
  <c r="D328" i="8" s="1"/>
  <c r="H327" i="8"/>
  <c r="B327" i="8"/>
  <c r="B326" i="8"/>
  <c r="H325" i="8"/>
  <c r="G325" i="8"/>
  <c r="F325" i="8"/>
  <c r="D325" i="8"/>
  <c r="C325" i="8"/>
  <c r="E325" i="8" s="1"/>
  <c r="B325" i="8"/>
  <c r="C324" i="8"/>
  <c r="B324" i="8"/>
  <c r="G323" i="8"/>
  <c r="B323" i="8"/>
  <c r="B322" i="8"/>
  <c r="B321" i="8"/>
  <c r="H320" i="8"/>
  <c r="G320" i="8"/>
  <c r="F320" i="8"/>
  <c r="E320" i="8"/>
  <c r="D320" i="8"/>
  <c r="C320" i="8"/>
  <c r="B320" i="8"/>
  <c r="B319" i="8"/>
  <c r="H318" i="8"/>
  <c r="G318" i="8"/>
  <c r="F318" i="8"/>
  <c r="D318" i="8"/>
  <c r="E318" i="8" s="1"/>
  <c r="C318" i="8"/>
  <c r="B318" i="8"/>
  <c r="G317" i="8"/>
  <c r="D317" i="8"/>
  <c r="B317" i="8"/>
  <c r="H317" i="8" s="1"/>
  <c r="B316" i="8"/>
  <c r="D315" i="8"/>
  <c r="C315" i="8"/>
  <c r="E315" i="8" s="1"/>
  <c r="F315" i="8" s="1"/>
  <c r="B315" i="8"/>
  <c r="H315" i="8" s="1"/>
  <c r="B314" i="8"/>
  <c r="H313" i="8"/>
  <c r="G313" i="8"/>
  <c r="D313" i="8"/>
  <c r="C313" i="8"/>
  <c r="B313" i="8"/>
  <c r="G312" i="8"/>
  <c r="C312" i="8"/>
  <c r="B312" i="8"/>
  <c r="H312" i="8" s="1"/>
  <c r="H311" i="8"/>
  <c r="B311" i="8"/>
  <c r="H310" i="8"/>
  <c r="G310" i="8"/>
  <c r="D310" i="8"/>
  <c r="C310" i="8"/>
  <c r="E310" i="8" s="1"/>
  <c r="F310" i="8" s="1"/>
  <c r="B310" i="8"/>
  <c r="B309" i="8"/>
  <c r="G308" i="8"/>
  <c r="E308" i="8"/>
  <c r="F308" i="8" s="1"/>
  <c r="D308" i="8"/>
  <c r="C308" i="8"/>
  <c r="B308" i="8"/>
  <c r="H308" i="8" s="1"/>
  <c r="B307" i="8"/>
  <c r="H306" i="8"/>
  <c r="G306" i="8"/>
  <c r="D306" i="8"/>
  <c r="B306" i="8"/>
  <c r="C306" i="8" s="1"/>
  <c r="E306" i="8" s="1"/>
  <c r="F306" i="8" s="1"/>
  <c r="H305" i="8"/>
  <c r="G305" i="8"/>
  <c r="D305" i="8"/>
  <c r="C305" i="8"/>
  <c r="B305" i="8"/>
  <c r="B304" i="8"/>
  <c r="H303" i="8"/>
  <c r="G303" i="8"/>
  <c r="C303" i="8"/>
  <c r="B303" i="8"/>
  <c r="D303" i="8" s="1"/>
  <c r="H302" i="8"/>
  <c r="B302" i="8"/>
  <c r="G301" i="8"/>
  <c r="D301" i="8"/>
  <c r="C301" i="8"/>
  <c r="B301" i="8"/>
  <c r="H301" i="8" s="1"/>
  <c r="G300" i="8"/>
  <c r="B300" i="8"/>
  <c r="B299" i="8"/>
  <c r="H298" i="8"/>
  <c r="G298" i="8"/>
  <c r="F298" i="8"/>
  <c r="D298" i="8"/>
  <c r="E298" i="8" s="1"/>
  <c r="C298" i="8"/>
  <c r="B298" i="8"/>
  <c r="B297" i="8"/>
  <c r="H296" i="8"/>
  <c r="B296" i="8"/>
  <c r="B295" i="8"/>
  <c r="B294" i="8"/>
  <c r="H293" i="8"/>
  <c r="G293" i="8"/>
  <c r="F293" i="8"/>
  <c r="E293" i="8"/>
  <c r="D293" i="8"/>
  <c r="C293" i="8"/>
  <c r="B293" i="8"/>
  <c r="G292" i="8"/>
  <c r="C292" i="8"/>
  <c r="B292" i="8"/>
  <c r="H292" i="8" s="1"/>
  <c r="H291" i="8"/>
  <c r="G291" i="8"/>
  <c r="B291" i="8"/>
  <c r="H290" i="8"/>
  <c r="G290" i="8"/>
  <c r="C290" i="8"/>
  <c r="E290" i="8" s="1"/>
  <c r="F290" i="8" s="1"/>
  <c r="B290" i="8"/>
  <c r="D290" i="8" s="1"/>
  <c r="B289" i="8"/>
  <c r="H288" i="8"/>
  <c r="G288" i="8"/>
  <c r="C288" i="8"/>
  <c r="E288" i="8" s="1"/>
  <c r="F288" i="8" s="1"/>
  <c r="B288" i="8"/>
  <c r="D288" i="8" s="1"/>
  <c r="C287" i="8"/>
  <c r="B287" i="8"/>
  <c r="H286" i="8"/>
  <c r="G286" i="8"/>
  <c r="E286" i="8"/>
  <c r="F286" i="8" s="1"/>
  <c r="D286" i="8"/>
  <c r="C286" i="8"/>
  <c r="B286" i="8"/>
  <c r="D285" i="8"/>
  <c r="B285" i="8"/>
  <c r="C284" i="8"/>
  <c r="E284" i="8" s="1"/>
  <c r="F284" i="8" s="1"/>
  <c r="B284" i="8"/>
  <c r="D284" i="8" s="1"/>
  <c r="H283" i="8"/>
  <c r="G283" i="8"/>
  <c r="F283" i="8"/>
  <c r="E283" i="8"/>
  <c r="D283" i="8"/>
  <c r="C283" i="8"/>
  <c r="B283" i="8"/>
  <c r="C282" i="8"/>
  <c r="B282" i="8"/>
  <c r="G282" i="8" s="1"/>
  <c r="H281" i="8"/>
  <c r="G281" i="8"/>
  <c r="D281" i="8"/>
  <c r="C281" i="8"/>
  <c r="B281" i="8"/>
  <c r="D280" i="8"/>
  <c r="B280" i="8"/>
  <c r="G279" i="8"/>
  <c r="B279" i="8"/>
  <c r="H278" i="8"/>
  <c r="D278" i="8"/>
  <c r="B278" i="8"/>
  <c r="H277" i="8"/>
  <c r="G277" i="8"/>
  <c r="D277" i="8"/>
  <c r="C277" i="8"/>
  <c r="B277" i="8"/>
  <c r="H276" i="8"/>
  <c r="D276" i="8"/>
  <c r="B276" i="8"/>
  <c r="D275" i="8"/>
  <c r="B275" i="8"/>
  <c r="H274" i="8"/>
  <c r="G274" i="8"/>
  <c r="D274" i="8"/>
  <c r="E274" i="8" s="1"/>
  <c r="F274" i="8" s="1"/>
  <c r="C274" i="8"/>
  <c r="B274" i="8"/>
  <c r="H273" i="8"/>
  <c r="G273" i="8"/>
  <c r="D273" i="8"/>
  <c r="C273" i="8"/>
  <c r="B273" i="8"/>
  <c r="B272" i="8"/>
  <c r="H271" i="8"/>
  <c r="G271" i="8"/>
  <c r="E271" i="8"/>
  <c r="F271" i="8" s="1"/>
  <c r="D271" i="8"/>
  <c r="C271" i="8"/>
  <c r="B271" i="8"/>
  <c r="B270" i="8"/>
  <c r="H269" i="8"/>
  <c r="G269" i="8"/>
  <c r="D269" i="8"/>
  <c r="C269" i="8"/>
  <c r="E269" i="8" s="1"/>
  <c r="F269" i="8" s="1"/>
  <c r="B269" i="8"/>
  <c r="B268" i="8"/>
  <c r="H267" i="8"/>
  <c r="G267" i="8"/>
  <c r="B267" i="8"/>
  <c r="B266" i="8"/>
  <c r="H265" i="8"/>
  <c r="C265" i="8"/>
  <c r="B265" i="8"/>
  <c r="C264" i="8"/>
  <c r="B264" i="8"/>
  <c r="C263" i="8"/>
  <c r="B263" i="8"/>
  <c r="H262" i="8"/>
  <c r="G262" i="8"/>
  <c r="E262" i="8"/>
  <c r="F262" i="8" s="1"/>
  <c r="D262" i="8"/>
  <c r="C262" i="8"/>
  <c r="B262" i="8"/>
  <c r="H261" i="8"/>
  <c r="G261" i="8"/>
  <c r="D261" i="8"/>
  <c r="B261" i="8"/>
  <c r="C261" i="8" s="1"/>
  <c r="B260" i="8"/>
  <c r="H259" i="8"/>
  <c r="G259" i="8"/>
  <c r="F259" i="8"/>
  <c r="E259" i="8"/>
  <c r="D259" i="8"/>
  <c r="B259" i="8"/>
  <c r="C259" i="8" s="1"/>
  <c r="C258" i="8"/>
  <c r="B258" i="8"/>
  <c r="H257" i="8"/>
  <c r="G257" i="8"/>
  <c r="E257" i="8"/>
  <c r="F257" i="8" s="1"/>
  <c r="D257" i="8"/>
  <c r="C257" i="8"/>
  <c r="B257" i="8"/>
  <c r="B256" i="8"/>
  <c r="H255" i="8"/>
  <c r="G255" i="8"/>
  <c r="B255" i="8"/>
  <c r="E254" i="8"/>
  <c r="F254" i="8" s="1"/>
  <c r="D254" i="8"/>
  <c r="C254" i="8"/>
  <c r="B254" i="8"/>
  <c r="H253" i="8"/>
  <c r="G253" i="8"/>
  <c r="D253" i="8"/>
  <c r="C253" i="8"/>
  <c r="E253" i="8" s="1"/>
  <c r="F253" i="8" s="1"/>
  <c r="B253" i="8"/>
  <c r="D252" i="8"/>
  <c r="C252" i="8"/>
  <c r="E252" i="8" s="1"/>
  <c r="F252" i="8" s="1"/>
  <c r="B252" i="8"/>
  <c r="D251" i="8"/>
  <c r="C251" i="8"/>
  <c r="E251" i="8" s="1"/>
  <c r="F251" i="8" s="1"/>
  <c r="B251" i="8"/>
  <c r="H250" i="8"/>
  <c r="G250" i="8"/>
  <c r="D250" i="8"/>
  <c r="E250" i="8" s="1"/>
  <c r="F250" i="8" s="1"/>
  <c r="C250" i="8"/>
  <c r="B250" i="8"/>
  <c r="H249" i="8"/>
  <c r="G249" i="8"/>
  <c r="E249" i="8"/>
  <c r="F249" i="8" s="1"/>
  <c r="D249" i="8"/>
  <c r="C249" i="8"/>
  <c r="B249" i="8"/>
  <c r="H248" i="8"/>
  <c r="G248" i="8"/>
  <c r="C248" i="8"/>
  <c r="E248" i="8" s="1"/>
  <c r="F248" i="8" s="1"/>
  <c r="B248" i="8"/>
  <c r="D248" i="8" s="1"/>
  <c r="H247" i="8"/>
  <c r="G247" i="8"/>
  <c r="E247" i="8"/>
  <c r="F247" i="8" s="1"/>
  <c r="D247" i="8"/>
  <c r="C247" i="8"/>
  <c r="B247" i="8"/>
  <c r="H246" i="8"/>
  <c r="D246" i="8"/>
  <c r="C246" i="8"/>
  <c r="E246" i="8" s="1"/>
  <c r="F246" i="8" s="1"/>
  <c r="B246" i="8"/>
  <c r="G246" i="8" s="1"/>
  <c r="H245" i="8"/>
  <c r="G245" i="8"/>
  <c r="E245" i="8"/>
  <c r="F245" i="8" s="1"/>
  <c r="D245" i="8"/>
  <c r="C245" i="8"/>
  <c r="B245" i="8"/>
  <c r="G244" i="8"/>
  <c r="E244" i="8"/>
  <c r="F244" i="8" s="1"/>
  <c r="D244" i="8"/>
  <c r="C244" i="8"/>
  <c r="B244" i="8"/>
  <c r="H244" i="8" s="1"/>
  <c r="H243" i="8"/>
  <c r="G243" i="8"/>
  <c r="B243" i="8"/>
  <c r="B242" i="8"/>
  <c r="H241" i="8"/>
  <c r="G241" i="8"/>
  <c r="D241" i="8"/>
  <c r="B241" i="8"/>
  <c r="C241" i="8" s="1"/>
  <c r="D240" i="8"/>
  <c r="C240" i="8"/>
  <c r="B240" i="8"/>
  <c r="H240" i="8" s="1"/>
  <c r="D239" i="8"/>
  <c r="B239" i="8"/>
  <c r="H238" i="8"/>
  <c r="G238" i="8"/>
  <c r="E238" i="8"/>
  <c r="F238" i="8" s="1"/>
  <c r="D238" i="8"/>
  <c r="C238" i="8"/>
  <c r="B238" i="8"/>
  <c r="H237" i="8"/>
  <c r="G237" i="8"/>
  <c r="B237" i="8"/>
  <c r="C236" i="8"/>
  <c r="B236" i="8"/>
  <c r="B235" i="8"/>
  <c r="H234" i="8"/>
  <c r="D234" i="8"/>
  <c r="B234" i="8"/>
  <c r="G234" i="8" s="1"/>
  <c r="H233" i="8"/>
  <c r="G233" i="8"/>
  <c r="F233" i="8"/>
  <c r="D233" i="8"/>
  <c r="E233" i="8" s="1"/>
  <c r="C233" i="8"/>
  <c r="B233" i="8"/>
  <c r="G232" i="8"/>
  <c r="D232" i="8"/>
  <c r="B232" i="8"/>
  <c r="H232" i="8" s="1"/>
  <c r="H231" i="8"/>
  <c r="G231" i="8"/>
  <c r="B231" i="8"/>
  <c r="H230" i="8"/>
  <c r="G230" i="8"/>
  <c r="D230" i="8"/>
  <c r="C230" i="8"/>
  <c r="E230" i="8" s="1"/>
  <c r="F230" i="8" s="1"/>
  <c r="B230" i="8"/>
  <c r="H229" i="8"/>
  <c r="G229" i="8"/>
  <c r="D229" i="8"/>
  <c r="C229" i="8"/>
  <c r="E229" i="8" s="1"/>
  <c r="F229" i="8" s="1"/>
  <c r="B229" i="8"/>
  <c r="H228" i="8"/>
  <c r="G228" i="8"/>
  <c r="D228" i="8"/>
  <c r="C228" i="8"/>
  <c r="E228" i="8" s="1"/>
  <c r="F228" i="8" s="1"/>
  <c r="B228" i="8"/>
  <c r="D227" i="8"/>
  <c r="C227" i="8"/>
  <c r="E227" i="8" s="1"/>
  <c r="F227" i="8" s="1"/>
  <c r="B227" i="8"/>
  <c r="H226" i="8"/>
  <c r="G226" i="8"/>
  <c r="F226" i="8"/>
  <c r="E226" i="8"/>
  <c r="D226" i="8"/>
  <c r="C226" i="8"/>
  <c r="B226" i="8"/>
  <c r="B225" i="8"/>
  <c r="C224" i="8"/>
  <c r="B224" i="8"/>
  <c r="H223" i="8"/>
  <c r="G223" i="8"/>
  <c r="C223" i="8"/>
  <c r="E223" i="8" s="1"/>
  <c r="F223" i="8" s="1"/>
  <c r="B223" i="8"/>
  <c r="D223" i="8" s="1"/>
  <c r="H222" i="8"/>
  <c r="D222" i="8"/>
  <c r="B222" i="8"/>
  <c r="H221" i="8"/>
  <c r="D221" i="8"/>
  <c r="B221" i="8"/>
  <c r="G221" i="8" s="1"/>
  <c r="D220" i="8"/>
  <c r="B220" i="8"/>
  <c r="G219" i="8"/>
  <c r="D219" i="8"/>
  <c r="B219" i="8"/>
  <c r="H218" i="8"/>
  <c r="G218" i="8"/>
  <c r="D218" i="8"/>
  <c r="C218" i="8"/>
  <c r="E218" i="8" s="1"/>
  <c r="F218" i="8" s="1"/>
  <c r="B218" i="8"/>
  <c r="H217" i="8"/>
  <c r="D217" i="8"/>
  <c r="C217" i="8"/>
  <c r="B217" i="8"/>
  <c r="G217" i="8" s="1"/>
  <c r="D216" i="8"/>
  <c r="B216" i="8"/>
  <c r="C215" i="8"/>
  <c r="B215" i="8"/>
  <c r="H214" i="8"/>
  <c r="G214" i="8"/>
  <c r="D214" i="8"/>
  <c r="C214" i="8"/>
  <c r="E214" i="8" s="1"/>
  <c r="F214" i="8" s="1"/>
  <c r="B214" i="8"/>
  <c r="H213" i="8"/>
  <c r="G213" i="8"/>
  <c r="E213" i="8"/>
  <c r="F213" i="8" s="1"/>
  <c r="D213" i="8"/>
  <c r="C213" i="8"/>
  <c r="B213" i="8"/>
  <c r="B212" i="8"/>
  <c r="H211" i="8"/>
  <c r="G211" i="8"/>
  <c r="E211" i="8"/>
  <c r="F211" i="8" s="1"/>
  <c r="D211" i="8"/>
  <c r="C211" i="8"/>
  <c r="B211" i="8"/>
  <c r="B210" i="8"/>
  <c r="B209" i="8"/>
  <c r="F208" i="8"/>
  <c r="D208" i="8"/>
  <c r="C208" i="8"/>
  <c r="E208" i="8" s="1"/>
  <c r="B208" i="8"/>
  <c r="G207" i="8"/>
  <c r="D207" i="8"/>
  <c r="E207" i="8" s="1"/>
  <c r="F207" i="8" s="1"/>
  <c r="B207" i="8"/>
  <c r="C207" i="8" s="1"/>
  <c r="G206" i="8"/>
  <c r="D206" i="8"/>
  <c r="B206" i="8"/>
  <c r="H206" i="8" s="1"/>
  <c r="H205" i="8"/>
  <c r="G205" i="8"/>
  <c r="D205" i="8"/>
  <c r="C205" i="8"/>
  <c r="B205" i="8"/>
  <c r="H204" i="8"/>
  <c r="D204" i="8"/>
  <c r="B204" i="8"/>
  <c r="G204" i="8" s="1"/>
  <c r="D203" i="8"/>
  <c r="B203" i="8"/>
  <c r="H202" i="8"/>
  <c r="G202" i="8"/>
  <c r="F202" i="8"/>
  <c r="E202" i="8"/>
  <c r="D202" i="8"/>
  <c r="C202" i="8"/>
  <c r="B202" i="8"/>
  <c r="G201" i="8"/>
  <c r="B201" i="8"/>
  <c r="H200" i="8"/>
  <c r="G200" i="8"/>
  <c r="E200" i="8"/>
  <c r="F200" i="8" s="1"/>
  <c r="C200" i="8"/>
  <c r="B200" i="8"/>
  <c r="D200" i="8" s="1"/>
  <c r="B199" i="8"/>
  <c r="H198" i="8"/>
  <c r="G198" i="8"/>
  <c r="D198" i="8"/>
  <c r="C198" i="8"/>
  <c r="E198" i="8" s="1"/>
  <c r="F198" i="8" s="1"/>
  <c r="B198" i="8"/>
  <c r="C197" i="8"/>
  <c r="B197" i="8"/>
  <c r="G196" i="8"/>
  <c r="F196" i="8"/>
  <c r="D196" i="8"/>
  <c r="C196" i="8"/>
  <c r="E196" i="8" s="1"/>
  <c r="B196" i="8"/>
  <c r="H196" i="8" s="1"/>
  <c r="G195" i="8"/>
  <c r="D195" i="8"/>
  <c r="B195" i="8"/>
  <c r="H194" i="8"/>
  <c r="G194" i="8"/>
  <c r="F194" i="8"/>
  <c r="D194" i="8"/>
  <c r="C194" i="8"/>
  <c r="E194" i="8" s="1"/>
  <c r="B194" i="8"/>
  <c r="H193" i="8"/>
  <c r="F193" i="8"/>
  <c r="D193" i="8"/>
  <c r="C193" i="8"/>
  <c r="E193" i="8" s="1"/>
  <c r="B193" i="8"/>
  <c r="G193" i="8" s="1"/>
  <c r="D192" i="8"/>
  <c r="B192" i="8"/>
  <c r="D191" i="8"/>
  <c r="B191" i="8"/>
  <c r="H190" i="8"/>
  <c r="G190" i="8"/>
  <c r="E190" i="8"/>
  <c r="F190" i="8" s="1"/>
  <c r="D190" i="8"/>
  <c r="C190" i="8"/>
  <c r="B190" i="8"/>
  <c r="B189" i="8"/>
  <c r="B188" i="8"/>
  <c r="H187" i="8"/>
  <c r="G187" i="8"/>
  <c r="F187" i="8"/>
  <c r="E187" i="8"/>
  <c r="D187" i="8"/>
  <c r="C187" i="8"/>
  <c r="B187" i="8"/>
  <c r="H186" i="8"/>
  <c r="B186" i="8"/>
  <c r="H185" i="8"/>
  <c r="G185" i="8"/>
  <c r="D185" i="8"/>
  <c r="B185" i="8"/>
  <c r="C185" i="8" s="1"/>
  <c r="E185" i="8" s="1"/>
  <c r="F185" i="8" s="1"/>
  <c r="D184" i="8"/>
  <c r="B184" i="8"/>
  <c r="H183" i="8"/>
  <c r="G183" i="8"/>
  <c r="E183" i="8"/>
  <c r="F183" i="8" s="1"/>
  <c r="D183" i="8"/>
  <c r="B183" i="8"/>
  <c r="C183" i="8" s="1"/>
  <c r="C182" i="8"/>
  <c r="B182" i="8"/>
  <c r="H181" i="8"/>
  <c r="G181" i="8"/>
  <c r="D181" i="8"/>
  <c r="C181" i="8"/>
  <c r="B181" i="8"/>
  <c r="B180" i="8"/>
  <c r="B179" i="8"/>
  <c r="H178" i="8"/>
  <c r="G178" i="8"/>
  <c r="D178" i="8"/>
  <c r="C178" i="8"/>
  <c r="E178" i="8" s="1"/>
  <c r="F178" i="8" s="1"/>
  <c r="B178" i="8"/>
  <c r="D177" i="8"/>
  <c r="B177" i="8"/>
  <c r="B176" i="8"/>
  <c r="H175" i="8"/>
  <c r="G175" i="8"/>
  <c r="E175" i="8"/>
  <c r="F175" i="8" s="1"/>
  <c r="C175" i="8"/>
  <c r="B175" i="8"/>
  <c r="D175" i="8" s="1"/>
  <c r="H174" i="8"/>
  <c r="G174" i="8"/>
  <c r="E174" i="8"/>
  <c r="F174" i="8" s="1"/>
  <c r="D174" i="8"/>
  <c r="C174" i="8"/>
  <c r="B174" i="8"/>
  <c r="H173" i="8"/>
  <c r="D173" i="8"/>
  <c r="C173" i="8"/>
  <c r="B173" i="8"/>
  <c r="G173" i="8" s="1"/>
  <c r="G172" i="8"/>
  <c r="D172" i="8"/>
  <c r="B172" i="8"/>
  <c r="H172" i="8" s="1"/>
  <c r="B171" i="8"/>
  <c r="H170" i="8"/>
  <c r="G170" i="8"/>
  <c r="D170" i="8"/>
  <c r="E170" i="8" s="1"/>
  <c r="F170" i="8" s="1"/>
  <c r="C170" i="8"/>
  <c r="B170" i="8"/>
  <c r="B169" i="8"/>
  <c r="H168" i="8"/>
  <c r="G168" i="8"/>
  <c r="E168" i="8"/>
  <c r="F168" i="8" s="1"/>
  <c r="D168" i="8"/>
  <c r="B168" i="8"/>
  <c r="C168" i="8" s="1"/>
  <c r="C167" i="8"/>
  <c r="B167" i="8"/>
  <c r="H166" i="8"/>
  <c r="G166" i="8"/>
  <c r="D166" i="8"/>
  <c r="C166" i="8"/>
  <c r="E166" i="8" s="1"/>
  <c r="F166" i="8" s="1"/>
  <c r="B166" i="8"/>
  <c r="D165" i="8"/>
  <c r="B165" i="8"/>
  <c r="B164" i="8"/>
  <c r="D163" i="8"/>
  <c r="B163" i="8"/>
  <c r="H162" i="8"/>
  <c r="C162" i="8"/>
  <c r="B162" i="8"/>
  <c r="B161" i="8"/>
  <c r="D160" i="8"/>
  <c r="B160" i="8"/>
  <c r="H159" i="8"/>
  <c r="B159" i="8"/>
  <c r="G158" i="8"/>
  <c r="C158" i="8"/>
  <c r="B158" i="8"/>
  <c r="H158" i="8" s="1"/>
  <c r="H157" i="8"/>
  <c r="G157" i="8"/>
  <c r="D157" i="8"/>
  <c r="B157" i="8"/>
  <c r="C157" i="8" s="1"/>
  <c r="G156" i="8"/>
  <c r="B156" i="8"/>
  <c r="H155" i="8"/>
  <c r="F155" i="8"/>
  <c r="D155" i="8"/>
  <c r="C155" i="8"/>
  <c r="E155" i="8" s="1"/>
  <c r="B155" i="8"/>
  <c r="G155" i="8" s="1"/>
  <c r="H154" i="8"/>
  <c r="G154" i="8"/>
  <c r="D154" i="8"/>
  <c r="C154" i="8"/>
  <c r="E154" i="8" s="1"/>
  <c r="F154" i="8" s="1"/>
  <c r="B154" i="8"/>
  <c r="B153" i="8"/>
  <c r="H152" i="8"/>
  <c r="G152" i="8"/>
  <c r="D152" i="8"/>
  <c r="C152" i="8"/>
  <c r="E152" i="8" s="1"/>
  <c r="F152" i="8" s="1"/>
  <c r="B152" i="8"/>
  <c r="B151" i="8"/>
  <c r="G150" i="8"/>
  <c r="B150" i="8"/>
  <c r="C149" i="8"/>
  <c r="B149" i="8"/>
  <c r="D148" i="8"/>
  <c r="C148" i="8"/>
  <c r="E148" i="8" s="1"/>
  <c r="F148" i="8" s="1"/>
  <c r="B148" i="8"/>
  <c r="H148" i="8" s="1"/>
  <c r="B147" i="8"/>
  <c r="G146" i="8"/>
  <c r="E146" i="8"/>
  <c r="F146" i="8" s="1"/>
  <c r="D146" i="8"/>
  <c r="C146" i="8"/>
  <c r="B146" i="8"/>
  <c r="H146" i="8" s="1"/>
  <c r="B145" i="8"/>
  <c r="G144" i="8"/>
  <c r="B144" i="8"/>
  <c r="B143" i="8"/>
  <c r="H142" i="8"/>
  <c r="G142" i="8"/>
  <c r="D142" i="8"/>
  <c r="C142" i="8"/>
  <c r="E142" i="8" s="1"/>
  <c r="F142" i="8" s="1"/>
  <c r="B142" i="8"/>
  <c r="B141" i="8"/>
  <c r="H140" i="8"/>
  <c r="G140" i="8"/>
  <c r="E140" i="8"/>
  <c r="F140" i="8" s="1"/>
  <c r="D140" i="8"/>
  <c r="C140" i="8"/>
  <c r="B140" i="8"/>
  <c r="D139" i="8"/>
  <c r="B139" i="8"/>
  <c r="H138" i="8"/>
  <c r="G138" i="8"/>
  <c r="C138" i="8"/>
  <c r="E138" i="8" s="1"/>
  <c r="F138" i="8" s="1"/>
  <c r="B138" i="8"/>
  <c r="D138" i="8" s="1"/>
  <c r="B137" i="8"/>
  <c r="G136" i="8"/>
  <c r="D136" i="8"/>
  <c r="C136" i="8"/>
  <c r="E136" i="8" s="1"/>
  <c r="F136" i="8" s="1"/>
  <c r="B136" i="8"/>
  <c r="H136" i="8" s="1"/>
  <c r="D135" i="8"/>
  <c r="B135" i="8"/>
  <c r="G134" i="8"/>
  <c r="D134" i="8"/>
  <c r="C134" i="8"/>
  <c r="E134" i="8" s="1"/>
  <c r="F134" i="8" s="1"/>
  <c r="B134" i="8"/>
  <c r="H134" i="8" s="1"/>
  <c r="B133" i="8"/>
  <c r="H132" i="8"/>
  <c r="G132" i="8"/>
  <c r="F132" i="8"/>
  <c r="D132" i="8"/>
  <c r="E132" i="8" s="1"/>
  <c r="C132" i="8"/>
  <c r="B132" i="8"/>
  <c r="B131" i="8"/>
  <c r="H130" i="8"/>
  <c r="G130" i="8"/>
  <c r="D130" i="8"/>
  <c r="C130" i="8"/>
  <c r="B130" i="8"/>
  <c r="D129" i="8"/>
  <c r="C129" i="8"/>
  <c r="B129" i="8"/>
  <c r="H128" i="8"/>
  <c r="G128" i="8"/>
  <c r="E128" i="8"/>
  <c r="F128" i="8" s="1"/>
  <c r="D128" i="8"/>
  <c r="C128" i="8"/>
  <c r="B128" i="8"/>
  <c r="D127" i="8"/>
  <c r="E127" i="8" s="1"/>
  <c r="F127" i="8" s="1"/>
  <c r="C127" i="8"/>
  <c r="B127" i="8"/>
  <c r="H126" i="8"/>
  <c r="G126" i="8"/>
  <c r="E126" i="8"/>
  <c r="F126" i="8" s="1"/>
  <c r="C126" i="8"/>
  <c r="B126" i="8"/>
  <c r="D126" i="8" s="1"/>
  <c r="D125" i="8"/>
  <c r="C125" i="8"/>
  <c r="E125" i="8" s="1"/>
  <c r="F125" i="8" s="1"/>
  <c r="B125" i="8"/>
  <c r="G124" i="8"/>
  <c r="D124" i="8"/>
  <c r="E124" i="8" s="1"/>
  <c r="F124" i="8" s="1"/>
  <c r="C124" i="8"/>
  <c r="B124" i="8"/>
  <c r="H124" i="8" s="1"/>
  <c r="B123" i="8"/>
  <c r="G122" i="8"/>
  <c r="E122" i="8"/>
  <c r="F122" i="8" s="1"/>
  <c r="D122" i="8"/>
  <c r="C122" i="8"/>
  <c r="B122" i="8"/>
  <c r="H122" i="8" s="1"/>
  <c r="B121" i="8"/>
  <c r="H120" i="8"/>
  <c r="G120" i="8"/>
  <c r="E120" i="8"/>
  <c r="F120" i="8" s="1"/>
  <c r="D120" i="8"/>
  <c r="C120" i="8"/>
  <c r="B120" i="8"/>
  <c r="B119" i="8"/>
  <c r="H118" i="8"/>
  <c r="G118" i="8"/>
  <c r="F118" i="8"/>
  <c r="D118" i="8"/>
  <c r="E118" i="8" s="1"/>
  <c r="C118" i="8"/>
  <c r="B118" i="8"/>
  <c r="D117" i="8"/>
  <c r="B117" i="8"/>
  <c r="H116" i="8"/>
  <c r="G116" i="8"/>
  <c r="F116" i="8"/>
  <c r="E116" i="8"/>
  <c r="D116" i="8"/>
  <c r="C116" i="8"/>
  <c r="B116" i="8"/>
  <c r="B115" i="8"/>
  <c r="H114" i="8"/>
  <c r="G114" i="8"/>
  <c r="B114" i="8"/>
  <c r="D114" i="8" s="1"/>
  <c r="G113" i="8"/>
  <c r="D113" i="8"/>
  <c r="C113" i="8"/>
  <c r="E113" i="8" s="1"/>
  <c r="F113" i="8" s="1"/>
  <c r="B113" i="8"/>
  <c r="H113" i="8" s="1"/>
  <c r="G112" i="8"/>
  <c r="D112" i="8"/>
  <c r="B112" i="8"/>
  <c r="H112" i="8" s="1"/>
  <c r="G111" i="8"/>
  <c r="B111" i="8"/>
  <c r="G110" i="8"/>
  <c r="D110" i="8"/>
  <c r="B110" i="8"/>
  <c r="H110" i="8" s="1"/>
  <c r="D109" i="8"/>
  <c r="B109" i="8"/>
  <c r="H108" i="8"/>
  <c r="G108" i="8"/>
  <c r="E108" i="8"/>
  <c r="F108" i="8" s="1"/>
  <c r="D108" i="8"/>
  <c r="B108" i="8"/>
  <c r="C108" i="8" s="1"/>
  <c r="C107" i="8"/>
  <c r="B107" i="8"/>
  <c r="H106" i="8"/>
  <c r="G106" i="8"/>
  <c r="E106" i="8"/>
  <c r="F106" i="8" s="1"/>
  <c r="D106" i="8"/>
  <c r="C106" i="8"/>
  <c r="B106" i="8"/>
  <c r="C105" i="8"/>
  <c r="B105" i="8"/>
  <c r="H104" i="8"/>
  <c r="G104" i="8"/>
  <c r="F104" i="8"/>
  <c r="E104" i="8"/>
  <c r="D104" i="8"/>
  <c r="C104" i="8"/>
  <c r="B104" i="8"/>
  <c r="B103" i="8"/>
  <c r="B102" i="8"/>
  <c r="G101" i="8"/>
  <c r="B101" i="8"/>
  <c r="B100" i="8"/>
  <c r="H99" i="8"/>
  <c r="G99" i="8"/>
  <c r="E99" i="8"/>
  <c r="F99" i="8" s="1"/>
  <c r="D99" i="8"/>
  <c r="C99" i="8"/>
  <c r="B99" i="8"/>
  <c r="C98" i="8"/>
  <c r="B98" i="8"/>
  <c r="H97" i="8"/>
  <c r="G97" i="8"/>
  <c r="E97" i="8"/>
  <c r="F97" i="8" s="1"/>
  <c r="D97" i="8"/>
  <c r="B97" i="8"/>
  <c r="C97" i="8" s="1"/>
  <c r="G96" i="8"/>
  <c r="C96" i="8"/>
  <c r="B96" i="8"/>
  <c r="H96" i="8" s="1"/>
  <c r="H95" i="8"/>
  <c r="G95" i="8"/>
  <c r="B95" i="8"/>
  <c r="H94" i="8"/>
  <c r="G94" i="8"/>
  <c r="B94" i="8"/>
  <c r="D94" i="8" s="1"/>
  <c r="B93" i="8"/>
  <c r="H92" i="8"/>
  <c r="G92" i="8"/>
  <c r="F92" i="8"/>
  <c r="D92" i="8"/>
  <c r="E92" i="8" s="1"/>
  <c r="C92" i="8"/>
  <c r="B92" i="8"/>
  <c r="B91" i="8"/>
  <c r="H90" i="8"/>
  <c r="G90" i="8"/>
  <c r="F90" i="8"/>
  <c r="E90" i="8"/>
  <c r="D90" i="8"/>
  <c r="C90" i="8"/>
  <c r="B90" i="8"/>
  <c r="D89" i="8"/>
  <c r="C89" i="8"/>
  <c r="E89" i="8" s="1"/>
  <c r="F89" i="8" s="1"/>
  <c r="B89" i="8"/>
  <c r="H89" i="8" s="1"/>
  <c r="H88" i="8"/>
  <c r="C88" i="8"/>
  <c r="B88" i="8"/>
  <c r="H87" i="8"/>
  <c r="G87" i="8"/>
  <c r="D87" i="8"/>
  <c r="C87" i="8"/>
  <c r="E87" i="8" s="1"/>
  <c r="F87" i="8" s="1"/>
  <c r="B87" i="8"/>
  <c r="B86" i="8"/>
  <c r="H85" i="8"/>
  <c r="G85" i="8"/>
  <c r="D85" i="8"/>
  <c r="B85" i="8"/>
  <c r="C85" i="8" s="1"/>
  <c r="E85" i="8" s="1"/>
  <c r="F85" i="8" s="1"/>
  <c r="B84" i="8"/>
  <c r="H83" i="8"/>
  <c r="G83" i="8"/>
  <c r="B83" i="8"/>
  <c r="F82" i="8"/>
  <c r="D82" i="8"/>
  <c r="C82" i="8"/>
  <c r="E82" i="8" s="1"/>
  <c r="B82" i="8"/>
  <c r="H82" i="8" s="1"/>
  <c r="B81" i="8"/>
  <c r="H80" i="8"/>
  <c r="G80" i="8"/>
  <c r="D80" i="8"/>
  <c r="E80" i="8" s="1"/>
  <c r="F80" i="8" s="1"/>
  <c r="C80" i="8"/>
  <c r="B80" i="8"/>
  <c r="C79" i="8"/>
  <c r="B79" i="8"/>
  <c r="H78" i="8"/>
  <c r="G78" i="8"/>
  <c r="F78" i="8"/>
  <c r="E78" i="8"/>
  <c r="D78" i="8"/>
  <c r="C78" i="8"/>
  <c r="B78" i="8"/>
  <c r="H77" i="8"/>
  <c r="G77" i="8"/>
  <c r="D77" i="8"/>
  <c r="E77" i="8" s="1"/>
  <c r="F77" i="8" s="1"/>
  <c r="C77" i="8"/>
  <c r="B77" i="8"/>
  <c r="B76" i="8"/>
  <c r="H75" i="8"/>
  <c r="G75" i="8"/>
  <c r="D75" i="8"/>
  <c r="C75" i="8"/>
  <c r="E75" i="8" s="1"/>
  <c r="F75" i="8" s="1"/>
  <c r="B75" i="8"/>
  <c r="E74" i="8"/>
  <c r="F74" i="8" s="1"/>
  <c r="D74" i="8"/>
  <c r="C74" i="8"/>
  <c r="B74" i="8"/>
  <c r="H73" i="8"/>
  <c r="G73" i="8"/>
  <c r="E73" i="8"/>
  <c r="F73" i="8" s="1"/>
  <c r="D73" i="8"/>
  <c r="B73" i="8"/>
  <c r="C73" i="8" s="1"/>
  <c r="G72" i="8"/>
  <c r="F72" i="8"/>
  <c r="E72" i="8"/>
  <c r="D72" i="8"/>
  <c r="C72" i="8"/>
  <c r="B72" i="8"/>
  <c r="H72" i="8" s="1"/>
  <c r="H71" i="8"/>
  <c r="B71" i="8"/>
  <c r="H70" i="8"/>
  <c r="G70" i="8"/>
  <c r="D70" i="8"/>
  <c r="C70" i="8"/>
  <c r="E70" i="8" s="1"/>
  <c r="F70" i="8" s="1"/>
  <c r="B70" i="8"/>
  <c r="B69" i="8"/>
  <c r="H68" i="8"/>
  <c r="G68" i="8"/>
  <c r="D68" i="8"/>
  <c r="E68" i="8" s="1"/>
  <c r="F68" i="8" s="1"/>
  <c r="C68" i="8"/>
  <c r="B68" i="8"/>
  <c r="B67" i="8"/>
  <c r="H66" i="8"/>
  <c r="G66" i="8"/>
  <c r="F66" i="8"/>
  <c r="E66" i="8"/>
  <c r="D66" i="8"/>
  <c r="C66" i="8"/>
  <c r="B66" i="8"/>
  <c r="B65" i="8"/>
  <c r="B64" i="8"/>
  <c r="H63" i="8"/>
  <c r="G63" i="8"/>
  <c r="D63" i="8"/>
  <c r="E63" i="8" s="1"/>
  <c r="F63" i="8" s="1"/>
  <c r="C63" i="8"/>
  <c r="B63" i="8"/>
  <c r="D62" i="8"/>
  <c r="C62" i="8"/>
  <c r="B62" i="8"/>
  <c r="H61" i="8"/>
  <c r="G61" i="8"/>
  <c r="E61" i="8"/>
  <c r="F61" i="8" s="1"/>
  <c r="D61" i="8"/>
  <c r="B61" i="8"/>
  <c r="C61" i="8" s="1"/>
  <c r="D60" i="8"/>
  <c r="C60" i="8"/>
  <c r="B60" i="8"/>
  <c r="H60" i="8" s="1"/>
  <c r="B59" i="8"/>
  <c r="B58" i="8"/>
  <c r="D57" i="8"/>
  <c r="B57" i="8"/>
  <c r="H56" i="8"/>
  <c r="G56" i="8"/>
  <c r="D56" i="8"/>
  <c r="E56" i="8" s="1"/>
  <c r="F56" i="8" s="1"/>
  <c r="C56" i="8"/>
  <c r="B56" i="8"/>
  <c r="B55" i="8"/>
  <c r="H54" i="8"/>
  <c r="G54" i="8"/>
  <c r="F54" i="8"/>
  <c r="E54" i="8"/>
  <c r="D54" i="8"/>
  <c r="C54" i="8"/>
  <c r="B54" i="8"/>
  <c r="G53" i="8"/>
  <c r="D53" i="8"/>
  <c r="B53" i="8"/>
  <c r="H53" i="8" s="1"/>
  <c r="H52" i="8"/>
  <c r="B52" i="8"/>
  <c r="H51" i="8"/>
  <c r="G51" i="8"/>
  <c r="E51" i="8"/>
  <c r="F51" i="8" s="1"/>
  <c r="D51" i="8"/>
  <c r="C51" i="8"/>
  <c r="B51" i="8"/>
  <c r="D50" i="8"/>
  <c r="E50" i="8" s="1"/>
  <c r="F50" i="8" s="1"/>
  <c r="C50" i="8"/>
  <c r="B50" i="8"/>
  <c r="H49" i="8"/>
  <c r="G49" i="8"/>
  <c r="D49" i="8"/>
  <c r="B49" i="8"/>
  <c r="C49" i="8" s="1"/>
  <c r="E49" i="8" s="1"/>
  <c r="F49" i="8" s="1"/>
  <c r="G48" i="8"/>
  <c r="F48" i="8"/>
  <c r="D48" i="8"/>
  <c r="C48" i="8"/>
  <c r="E48" i="8" s="1"/>
  <c r="B48" i="8"/>
  <c r="H48" i="8" s="1"/>
  <c r="B47" i="8"/>
  <c r="C46" i="8"/>
  <c r="B46" i="8"/>
  <c r="D45" i="8"/>
  <c r="B45" i="8"/>
  <c r="H44" i="8"/>
  <c r="G44" i="8"/>
  <c r="E44" i="8"/>
  <c r="F44" i="8" s="1"/>
  <c r="D44" i="8"/>
  <c r="C44" i="8"/>
  <c r="B44" i="8"/>
  <c r="D43" i="8"/>
  <c r="B43" i="8"/>
  <c r="H42" i="8"/>
  <c r="G42" i="8"/>
  <c r="F42" i="8"/>
  <c r="E42" i="8"/>
  <c r="D42" i="8"/>
  <c r="C42" i="8"/>
  <c r="B42" i="8"/>
  <c r="G41" i="8"/>
  <c r="B41" i="8"/>
  <c r="C40" i="8"/>
  <c r="B40" i="8"/>
  <c r="H39" i="8"/>
  <c r="G39" i="8"/>
  <c r="F39" i="8"/>
  <c r="E39" i="8"/>
  <c r="D39" i="8"/>
  <c r="C39" i="8"/>
  <c r="B39" i="8"/>
  <c r="D38" i="8"/>
  <c r="B38" i="8"/>
  <c r="H37" i="8"/>
  <c r="G37" i="8"/>
  <c r="D37" i="8"/>
  <c r="B37" i="8"/>
  <c r="C37" i="8" s="1"/>
  <c r="E37" i="8" s="1"/>
  <c r="F37" i="8" s="1"/>
  <c r="D36" i="8"/>
  <c r="B36" i="8"/>
  <c r="B35" i="8"/>
  <c r="H34" i="8"/>
  <c r="B34" i="8"/>
  <c r="B33" i="8"/>
  <c r="H32" i="8"/>
  <c r="G32" i="8"/>
  <c r="D32" i="8"/>
  <c r="E32" i="8" s="1"/>
  <c r="F32" i="8" s="1"/>
  <c r="C32" i="8"/>
  <c r="B32" i="8"/>
  <c r="B31" i="8"/>
  <c r="H30" i="8"/>
  <c r="G30" i="8"/>
  <c r="F30" i="8"/>
  <c r="E30" i="8"/>
  <c r="D30" i="8"/>
  <c r="C30" i="8"/>
  <c r="B30" i="8"/>
  <c r="B29" i="8"/>
  <c r="H28" i="8"/>
  <c r="B28" i="8"/>
  <c r="H27" i="8"/>
  <c r="G27" i="8"/>
  <c r="E27" i="8"/>
  <c r="F27" i="8" s="1"/>
  <c r="D27" i="8"/>
  <c r="C27" i="8"/>
  <c r="B27" i="8"/>
  <c r="D26" i="8"/>
  <c r="B26" i="8"/>
  <c r="H25" i="8"/>
  <c r="G25" i="8"/>
  <c r="D25" i="8"/>
  <c r="B25" i="8"/>
  <c r="C25" i="8" s="1"/>
  <c r="E25" i="8" s="1"/>
  <c r="C22" i="8"/>
  <c r="C21" i="8"/>
  <c r="C20" i="8"/>
  <c r="C19" i="8"/>
  <c r="C18" i="8"/>
  <c r="C15" i="8"/>
  <c r="C13" i="10" s="1"/>
  <c r="F13" i="10" s="1"/>
  <c r="E20" i="6"/>
  <c r="C20" i="6"/>
  <c r="D20" i="6" s="1"/>
  <c r="E19" i="6"/>
  <c r="D19" i="6"/>
  <c r="C19" i="6"/>
  <c r="E18" i="6"/>
  <c r="C18" i="6"/>
  <c r="F18" i="6" s="1"/>
  <c r="F17" i="6"/>
  <c r="E17" i="6"/>
  <c r="C17" i="6"/>
  <c r="D17" i="6" s="1"/>
  <c r="E16" i="6"/>
  <c r="D16" i="6"/>
  <c r="C16" i="6"/>
  <c r="E15" i="6"/>
  <c r="C15" i="6"/>
  <c r="F14" i="6"/>
  <c r="E14" i="6"/>
  <c r="C14" i="6"/>
  <c r="D14" i="6" s="1"/>
  <c r="E13" i="6"/>
  <c r="D13" i="6"/>
  <c r="C13" i="6"/>
  <c r="E12" i="6"/>
  <c r="C12" i="6"/>
  <c r="F11" i="6"/>
  <c r="E11" i="6"/>
  <c r="C11" i="6"/>
  <c r="C8" i="6"/>
  <c r="B520" i="5"/>
  <c r="B519" i="5"/>
  <c r="B518" i="5"/>
  <c r="B517" i="5"/>
  <c r="B516" i="5"/>
  <c r="B515" i="5"/>
  <c r="B514" i="5"/>
  <c r="B513" i="5"/>
  <c r="B512" i="5"/>
  <c r="B511" i="5"/>
  <c r="B510" i="5"/>
  <c r="B509" i="5"/>
  <c r="B508" i="5"/>
  <c r="B507" i="5"/>
  <c r="B506" i="5"/>
  <c r="B505" i="5"/>
  <c r="B504" i="5"/>
  <c r="B503" i="5"/>
  <c r="B502" i="5"/>
  <c r="B501" i="5"/>
  <c r="B500" i="5"/>
  <c r="B499" i="5"/>
  <c r="B498" i="5"/>
  <c r="B497" i="5"/>
  <c r="B496" i="5"/>
  <c r="B495" i="5"/>
  <c r="B494" i="5"/>
  <c r="B493" i="5"/>
  <c r="B492" i="5"/>
  <c r="B491" i="5"/>
  <c r="B490" i="5"/>
  <c r="B489" i="5"/>
  <c r="B488" i="5"/>
  <c r="B487" i="5"/>
  <c r="B486" i="5"/>
  <c r="B485" i="5"/>
  <c r="B484" i="5"/>
  <c r="B483" i="5"/>
  <c r="B482" i="5"/>
  <c r="B481" i="5"/>
  <c r="B480" i="5"/>
  <c r="B479" i="5"/>
  <c r="B478" i="5"/>
  <c r="B477" i="5"/>
  <c r="B476" i="5"/>
  <c r="B475" i="5"/>
  <c r="B474" i="5"/>
  <c r="B473" i="5"/>
  <c r="B472" i="5"/>
  <c r="B471" i="5"/>
  <c r="B470" i="5"/>
  <c r="B469" i="5"/>
  <c r="B468" i="5"/>
  <c r="B467" i="5"/>
  <c r="B466" i="5"/>
  <c r="B465" i="5"/>
  <c r="B464" i="5"/>
  <c r="B463" i="5"/>
  <c r="B462" i="5"/>
  <c r="B461" i="5"/>
  <c r="B460" i="5"/>
  <c r="B459" i="5"/>
  <c r="B458" i="5"/>
  <c r="B457" i="5"/>
  <c r="B456" i="5"/>
  <c r="B455" i="5"/>
  <c r="B454" i="5"/>
  <c r="B453" i="5"/>
  <c r="B452" i="5"/>
  <c r="B451" i="5"/>
  <c r="B450" i="5"/>
  <c r="B449" i="5"/>
  <c r="B448" i="5"/>
  <c r="B447" i="5"/>
  <c r="B446" i="5"/>
  <c r="B445" i="5"/>
  <c r="B444" i="5"/>
  <c r="B443" i="5"/>
  <c r="B442" i="5"/>
  <c r="B441" i="5"/>
  <c r="B440" i="5"/>
  <c r="B439" i="5"/>
  <c r="B438" i="5"/>
  <c r="B437" i="5"/>
  <c r="B436" i="5"/>
  <c r="B435" i="5"/>
  <c r="B434" i="5"/>
  <c r="B433" i="5"/>
  <c r="B432" i="5"/>
  <c r="B431" i="5"/>
  <c r="B430" i="5"/>
  <c r="B429" i="5"/>
  <c r="B428" i="5"/>
  <c r="B427" i="5"/>
  <c r="B426" i="5"/>
  <c r="B425" i="5"/>
  <c r="B424" i="5"/>
  <c r="B423" i="5"/>
  <c r="B422" i="5"/>
  <c r="B421" i="5"/>
  <c r="B420" i="5"/>
  <c r="B419" i="5"/>
  <c r="B418" i="5"/>
  <c r="B417" i="5"/>
  <c r="B416" i="5"/>
  <c r="B415" i="5"/>
  <c r="B414" i="5"/>
  <c r="B413" i="5"/>
  <c r="B412" i="5"/>
  <c r="B411" i="5"/>
  <c r="B410" i="5"/>
  <c r="B409" i="5"/>
  <c r="B408" i="5"/>
  <c r="B407" i="5"/>
  <c r="B406" i="5"/>
  <c r="B405" i="5"/>
  <c r="B404" i="5"/>
  <c r="B403" i="5"/>
  <c r="B402" i="5"/>
  <c r="B401" i="5"/>
  <c r="B400" i="5"/>
  <c r="B399" i="5"/>
  <c r="B398" i="5"/>
  <c r="B397" i="5"/>
  <c r="B396" i="5"/>
  <c r="B395" i="5"/>
  <c r="B394" i="5"/>
  <c r="B393" i="5"/>
  <c r="B392" i="5"/>
  <c r="B391" i="5"/>
  <c r="B390" i="5"/>
  <c r="B389" i="5"/>
  <c r="B388" i="5"/>
  <c r="B387" i="5"/>
  <c r="B386" i="5"/>
  <c r="B385" i="5"/>
  <c r="B384" i="5"/>
  <c r="B383" i="5"/>
  <c r="B382" i="5"/>
  <c r="B381" i="5"/>
  <c r="B380" i="5"/>
  <c r="B379" i="5"/>
  <c r="B378" i="5"/>
  <c r="B377" i="5"/>
  <c r="B376" i="5"/>
  <c r="B375" i="5"/>
  <c r="B374" i="5"/>
  <c r="B373" i="5"/>
  <c r="B372" i="5"/>
  <c r="B371" i="5"/>
  <c r="B370" i="5"/>
  <c r="B369" i="5"/>
  <c r="B368" i="5"/>
  <c r="B367" i="5"/>
  <c r="B366" i="5"/>
  <c r="B365" i="5"/>
  <c r="B364" i="5"/>
  <c r="B363" i="5"/>
  <c r="B362" i="5"/>
  <c r="B361" i="5"/>
  <c r="B360" i="5"/>
  <c r="B359" i="5"/>
  <c r="B358" i="5"/>
  <c r="B357" i="5"/>
  <c r="B356" i="5"/>
  <c r="B355" i="5"/>
  <c r="B354" i="5"/>
  <c r="B353" i="5"/>
  <c r="B352" i="5"/>
  <c r="B351" i="5"/>
  <c r="B350" i="5"/>
  <c r="B349" i="5"/>
  <c r="B348" i="5"/>
  <c r="B347" i="5"/>
  <c r="B346" i="5"/>
  <c r="B345" i="5"/>
  <c r="B344" i="5"/>
  <c r="B343" i="5"/>
  <c r="B342" i="5"/>
  <c r="B341" i="5"/>
  <c r="B340" i="5"/>
  <c r="B339" i="5"/>
  <c r="B338" i="5"/>
  <c r="B337" i="5"/>
  <c r="B336" i="5"/>
  <c r="B335" i="5"/>
  <c r="B334" i="5"/>
  <c r="B333" i="5"/>
  <c r="B332" i="5"/>
  <c r="B331" i="5"/>
  <c r="B330" i="5"/>
  <c r="B329" i="5"/>
  <c r="B328" i="5"/>
  <c r="B327" i="5"/>
  <c r="B326" i="5"/>
  <c r="B325" i="5"/>
  <c r="B324" i="5"/>
  <c r="B323" i="5"/>
  <c r="B322" i="5"/>
  <c r="B321" i="5"/>
  <c r="B320" i="5"/>
  <c r="B319" i="5"/>
  <c r="B318" i="5"/>
  <c r="B317" i="5"/>
  <c r="B316" i="5"/>
  <c r="B315" i="5"/>
  <c r="B314" i="5"/>
  <c r="B313" i="5"/>
  <c r="B312" i="5"/>
  <c r="B311" i="5"/>
  <c r="B310" i="5"/>
  <c r="B309" i="5"/>
  <c r="B308" i="5"/>
  <c r="B307" i="5"/>
  <c r="B306" i="5"/>
  <c r="B305" i="5"/>
  <c r="B304" i="5"/>
  <c r="B303" i="5"/>
  <c r="B302" i="5"/>
  <c r="B301" i="5"/>
  <c r="B300" i="5"/>
  <c r="B299" i="5"/>
  <c r="B298" i="5"/>
  <c r="B297" i="5"/>
  <c r="B296" i="5"/>
  <c r="B295" i="5"/>
  <c r="B294" i="5"/>
  <c r="B293" i="5"/>
  <c r="B292" i="5"/>
  <c r="B291" i="5"/>
  <c r="B290" i="5"/>
  <c r="B289" i="5"/>
  <c r="B288" i="5"/>
  <c r="B287" i="5"/>
  <c r="B286" i="5"/>
  <c r="B285" i="5"/>
  <c r="B284" i="5"/>
  <c r="B283" i="5"/>
  <c r="B282" i="5"/>
  <c r="B281" i="5"/>
  <c r="B280" i="5"/>
  <c r="B279" i="5"/>
  <c r="B278" i="5"/>
  <c r="B277" i="5"/>
  <c r="B276" i="5"/>
  <c r="B275" i="5"/>
  <c r="B274" i="5"/>
  <c r="B273" i="5"/>
  <c r="B272" i="5"/>
  <c r="B271" i="5"/>
  <c r="B270" i="5"/>
  <c r="B269" i="5"/>
  <c r="B268" i="5"/>
  <c r="B267" i="5"/>
  <c r="B266" i="5"/>
  <c r="B265" i="5"/>
  <c r="B264" i="5"/>
  <c r="B263" i="5"/>
  <c r="B262" i="5"/>
  <c r="B261" i="5"/>
  <c r="B260" i="5"/>
  <c r="B259" i="5"/>
  <c r="B258" i="5"/>
  <c r="B257" i="5"/>
  <c r="B256" i="5"/>
  <c r="B255" i="5"/>
  <c r="B254" i="5"/>
  <c r="B253" i="5"/>
  <c r="B252" i="5"/>
  <c r="B251" i="5"/>
  <c r="B250" i="5"/>
  <c r="B249" i="5"/>
  <c r="B248" i="5"/>
  <c r="B247" i="5"/>
  <c r="B246" i="5"/>
  <c r="B245" i="5"/>
  <c r="B244" i="5"/>
  <c r="B243" i="5"/>
  <c r="B242" i="5"/>
  <c r="B241" i="5"/>
  <c r="B240" i="5"/>
  <c r="B239" i="5"/>
  <c r="B238" i="5"/>
  <c r="B237" i="5"/>
  <c r="B236" i="5"/>
  <c r="B235" i="5"/>
  <c r="B234" i="5"/>
  <c r="B233" i="5"/>
  <c r="B232" i="5"/>
  <c r="B231" i="5"/>
  <c r="B230" i="5"/>
  <c r="B229" i="5"/>
  <c r="B228" i="5"/>
  <c r="B227" i="5"/>
  <c r="B226" i="5"/>
  <c r="B225" i="5"/>
  <c r="B224" i="5"/>
  <c r="B223" i="5"/>
  <c r="B222" i="5"/>
  <c r="B221" i="5"/>
  <c r="B220" i="5"/>
  <c r="B219" i="5"/>
  <c r="B218" i="5"/>
  <c r="B217" i="5"/>
  <c r="B216" i="5"/>
  <c r="B215" i="5"/>
  <c r="B214" i="5"/>
  <c r="B213" i="5"/>
  <c r="B212" i="5"/>
  <c r="B211" i="5"/>
  <c r="B210" i="5"/>
  <c r="B209" i="5"/>
  <c r="B208" i="5"/>
  <c r="B207" i="5"/>
  <c r="B206" i="5"/>
  <c r="B205" i="5"/>
  <c r="B204" i="5"/>
  <c r="B203" i="5"/>
  <c r="B202" i="5"/>
  <c r="B201" i="5"/>
  <c r="B200" i="5"/>
  <c r="B199" i="5"/>
  <c r="B198" i="5"/>
  <c r="B197" i="5"/>
  <c r="B196" i="5"/>
  <c r="B195" i="5"/>
  <c r="B194" i="5"/>
  <c r="B193" i="5"/>
  <c r="B192" i="5"/>
  <c r="B191" i="5"/>
  <c r="B190" i="5"/>
  <c r="B189" i="5"/>
  <c r="B188" i="5"/>
  <c r="B187" i="5"/>
  <c r="B186" i="5"/>
  <c r="B185" i="5"/>
  <c r="B184" i="5"/>
  <c r="B183" i="5"/>
  <c r="B182" i="5"/>
  <c r="B181" i="5"/>
  <c r="B180" i="5"/>
  <c r="B179" i="5"/>
  <c r="B178" i="5"/>
  <c r="B177" i="5"/>
  <c r="B176" i="5"/>
  <c r="B175" i="5"/>
  <c r="B174" i="5"/>
  <c r="B173" i="5"/>
  <c r="B172" i="5"/>
  <c r="B171" i="5"/>
  <c r="B170" i="5"/>
  <c r="B169" i="5"/>
  <c r="B168" i="5"/>
  <c r="B167" i="5"/>
  <c r="B166" i="5"/>
  <c r="B165" i="5"/>
  <c r="B164" i="5"/>
  <c r="B163" i="5"/>
  <c r="B162" i="5"/>
  <c r="B161" i="5"/>
  <c r="B160" i="5"/>
  <c r="B159" i="5"/>
  <c r="B158" i="5"/>
  <c r="B157" i="5"/>
  <c r="B156" i="5"/>
  <c r="B155" i="5"/>
  <c r="B154" i="5"/>
  <c r="B153" i="5"/>
  <c r="B152" i="5"/>
  <c r="B151" i="5"/>
  <c r="B150" i="5"/>
  <c r="B149" i="5"/>
  <c r="B148" i="5"/>
  <c r="B147" i="5"/>
  <c r="B146" i="5"/>
  <c r="B145" i="5"/>
  <c r="B144" i="5"/>
  <c r="B143" i="5"/>
  <c r="B142" i="5"/>
  <c r="B141" i="5"/>
  <c r="B140" i="5"/>
  <c r="B139" i="5"/>
  <c r="B138" i="5"/>
  <c r="B137" i="5"/>
  <c r="B136" i="5"/>
  <c r="B135" i="5"/>
  <c r="B134" i="5"/>
  <c r="B133" i="5"/>
  <c r="B132" i="5"/>
  <c r="B131" i="5"/>
  <c r="B130" i="5"/>
  <c r="B129" i="5"/>
  <c r="B128" i="5"/>
  <c r="B127" i="5"/>
  <c r="B126" i="5"/>
  <c r="B125" i="5"/>
  <c r="B124" i="5"/>
  <c r="B123" i="5"/>
  <c r="B122" i="5"/>
  <c r="B121" i="5"/>
  <c r="B120" i="5"/>
  <c r="B119" i="5"/>
  <c r="B118" i="5"/>
  <c r="B117" i="5"/>
  <c r="B116" i="5"/>
  <c r="C115" i="5"/>
  <c r="B115" i="5"/>
  <c r="B114" i="5"/>
  <c r="B113" i="5"/>
  <c r="B112" i="5"/>
  <c r="B111" i="5"/>
  <c r="B110" i="5"/>
  <c r="B109" i="5"/>
  <c r="B108" i="5"/>
  <c r="B107" i="5"/>
  <c r="B106" i="5"/>
  <c r="B105" i="5"/>
  <c r="B104" i="5"/>
  <c r="B103" i="5"/>
  <c r="B102" i="5"/>
  <c r="B101" i="5"/>
  <c r="B100" i="5"/>
  <c r="B99" i="5"/>
  <c r="B98" i="5"/>
  <c r="B97" i="5"/>
  <c r="B96" i="5"/>
  <c r="B95" i="5"/>
  <c r="B94" i="5"/>
  <c r="B93" i="5"/>
  <c r="B92" i="5"/>
  <c r="B91" i="5"/>
  <c r="B90" i="5"/>
  <c r="B89" i="5"/>
  <c r="B88" i="5"/>
  <c r="B87" i="5"/>
  <c r="B86" i="5"/>
  <c r="B85" i="5"/>
  <c r="B84" i="5"/>
  <c r="B83" i="5"/>
  <c r="B82" i="5"/>
  <c r="B81" i="5"/>
  <c r="B80" i="5"/>
  <c r="B79" i="5"/>
  <c r="B78" i="5"/>
  <c r="B77" i="5"/>
  <c r="B76" i="5"/>
  <c r="B75" i="5"/>
  <c r="B74" i="5"/>
  <c r="B73" i="5"/>
  <c r="B72" i="5"/>
  <c r="B71" i="5"/>
  <c r="B70" i="5"/>
  <c r="B69" i="5"/>
  <c r="B68" i="5"/>
  <c r="B67" i="5"/>
  <c r="B66" i="5"/>
  <c r="B65" i="5"/>
  <c r="B64" i="5"/>
  <c r="B63" i="5"/>
  <c r="B62" i="5"/>
  <c r="B61" i="5"/>
  <c r="B60" i="5"/>
  <c r="B59" i="5"/>
  <c r="B58" i="5"/>
  <c r="B57" i="5"/>
  <c r="B56" i="5"/>
  <c r="B55" i="5"/>
  <c r="B54" i="5"/>
  <c r="B53" i="5"/>
  <c r="B52" i="5"/>
  <c r="B51" i="5"/>
  <c r="B50" i="5"/>
  <c r="B49" i="5"/>
  <c r="B48" i="5"/>
  <c r="B47" i="5"/>
  <c r="B46" i="5"/>
  <c r="B45" i="5"/>
  <c r="B44" i="5"/>
  <c r="B43" i="5"/>
  <c r="B42" i="5"/>
  <c r="B41" i="5"/>
  <c r="B40" i="5"/>
  <c r="B39" i="5"/>
  <c r="B38" i="5"/>
  <c r="B37" i="5"/>
  <c r="B36" i="5"/>
  <c r="B35" i="5"/>
  <c r="C34" i="5"/>
  <c r="B34" i="5"/>
  <c r="B33" i="5"/>
  <c r="B32" i="5"/>
  <c r="B31" i="5"/>
  <c r="B30" i="5"/>
  <c r="B29" i="5"/>
  <c r="B28" i="5"/>
  <c r="B27" i="5"/>
  <c r="B26" i="5"/>
  <c r="B25" i="5"/>
  <c r="B24" i="5"/>
  <c r="B23" i="5"/>
  <c r="B22" i="5"/>
  <c r="B21" i="5"/>
  <c r="B20" i="5"/>
  <c r="M1002" i="4"/>
  <c r="L1002" i="4"/>
  <c r="K1002" i="4"/>
  <c r="J1002" i="4"/>
  <c r="I1002" i="4"/>
  <c r="G1002" i="4"/>
  <c r="C1002" i="4"/>
  <c r="B1002" i="4"/>
  <c r="A1002" i="4"/>
  <c r="L1001" i="4"/>
  <c r="A1001" i="4"/>
  <c r="L1000" i="4"/>
  <c r="K1000" i="4"/>
  <c r="I1000" i="4"/>
  <c r="H1000" i="4"/>
  <c r="G1000" i="4"/>
  <c r="E1000" i="4"/>
  <c r="A1000" i="4"/>
  <c r="M999" i="4"/>
  <c r="L999" i="4"/>
  <c r="J999" i="4"/>
  <c r="I999" i="4"/>
  <c r="H999" i="4"/>
  <c r="G999" i="4"/>
  <c r="E999" i="4"/>
  <c r="D999" i="4"/>
  <c r="C999" i="4"/>
  <c r="A999" i="4"/>
  <c r="M998" i="4"/>
  <c r="K998" i="4"/>
  <c r="J998" i="4"/>
  <c r="I998" i="4"/>
  <c r="H998" i="4"/>
  <c r="G998" i="4"/>
  <c r="E998" i="4"/>
  <c r="D998" i="4"/>
  <c r="C998" i="4"/>
  <c r="B998" i="4"/>
  <c r="A998" i="4"/>
  <c r="L997" i="4"/>
  <c r="K997" i="4"/>
  <c r="J997" i="4"/>
  <c r="I997" i="4"/>
  <c r="H997" i="4"/>
  <c r="G997" i="4"/>
  <c r="F997" i="4"/>
  <c r="E997" i="4"/>
  <c r="D997" i="4"/>
  <c r="C997" i="4"/>
  <c r="B997" i="4"/>
  <c r="A997" i="4"/>
  <c r="M997" i="4" s="1"/>
  <c r="L996" i="4"/>
  <c r="F996" i="4"/>
  <c r="E996" i="4"/>
  <c r="D996" i="4"/>
  <c r="C996" i="4"/>
  <c r="A996" i="4"/>
  <c r="F995" i="4"/>
  <c r="A995" i="4"/>
  <c r="I994" i="4"/>
  <c r="A994" i="4"/>
  <c r="H993" i="4"/>
  <c r="D993" i="4"/>
  <c r="C993" i="4"/>
  <c r="B993" i="4"/>
  <c r="A993" i="4"/>
  <c r="L992" i="4"/>
  <c r="A992" i="4"/>
  <c r="L991" i="4"/>
  <c r="K991" i="4"/>
  <c r="D991" i="4"/>
  <c r="A991" i="4"/>
  <c r="J990" i="4"/>
  <c r="I990" i="4"/>
  <c r="D990" i="4"/>
  <c r="C990" i="4"/>
  <c r="A990" i="4"/>
  <c r="M989" i="4"/>
  <c r="L989" i="4"/>
  <c r="K989" i="4"/>
  <c r="J989" i="4"/>
  <c r="H989" i="4"/>
  <c r="G989" i="4"/>
  <c r="C989" i="4"/>
  <c r="B989" i="4"/>
  <c r="A989" i="4"/>
  <c r="M988" i="4"/>
  <c r="L988" i="4"/>
  <c r="K988" i="4"/>
  <c r="I988" i="4"/>
  <c r="H988" i="4"/>
  <c r="G988" i="4"/>
  <c r="E988" i="4"/>
  <c r="A988" i="4"/>
  <c r="H987" i="4"/>
  <c r="G987" i="4"/>
  <c r="A987" i="4"/>
  <c r="M986" i="4"/>
  <c r="K986" i="4"/>
  <c r="J986" i="4"/>
  <c r="I986" i="4"/>
  <c r="H986" i="4"/>
  <c r="G986" i="4"/>
  <c r="E986" i="4"/>
  <c r="D986" i="4"/>
  <c r="C986" i="4"/>
  <c r="A986" i="4"/>
  <c r="L985" i="4"/>
  <c r="K985" i="4"/>
  <c r="J985" i="4"/>
  <c r="I985" i="4"/>
  <c r="H985" i="4"/>
  <c r="G985" i="4"/>
  <c r="F985" i="4"/>
  <c r="E985" i="4"/>
  <c r="D985" i="4"/>
  <c r="C985" i="4"/>
  <c r="B985" i="4"/>
  <c r="A985" i="4"/>
  <c r="M985" i="4" s="1"/>
  <c r="M984" i="4"/>
  <c r="L984" i="4"/>
  <c r="K984" i="4"/>
  <c r="J984" i="4"/>
  <c r="I984" i="4"/>
  <c r="H984" i="4"/>
  <c r="F984" i="4"/>
  <c r="E984" i="4"/>
  <c r="D984" i="4"/>
  <c r="C984" i="4"/>
  <c r="A984" i="4"/>
  <c r="I983" i="4"/>
  <c r="A983" i="4"/>
  <c r="B982" i="4"/>
  <c r="A982" i="4"/>
  <c r="I981" i="4"/>
  <c r="F981" i="4"/>
  <c r="D981" i="4"/>
  <c r="C981" i="4"/>
  <c r="B981" i="4"/>
  <c r="A981" i="4"/>
  <c r="I980" i="4"/>
  <c r="H980" i="4"/>
  <c r="A980" i="4"/>
  <c r="L979" i="4"/>
  <c r="K979" i="4"/>
  <c r="C979" i="4"/>
  <c r="B979" i="4"/>
  <c r="A979" i="4"/>
  <c r="K978" i="4"/>
  <c r="J978" i="4"/>
  <c r="E978" i="4"/>
  <c r="D978" i="4"/>
  <c r="B978" i="4"/>
  <c r="A978" i="4"/>
  <c r="A977" i="4"/>
  <c r="M976" i="4"/>
  <c r="L976" i="4"/>
  <c r="K976" i="4"/>
  <c r="I976" i="4"/>
  <c r="H976" i="4"/>
  <c r="G976" i="4"/>
  <c r="C976" i="4"/>
  <c r="B976" i="4"/>
  <c r="A976" i="4"/>
  <c r="G975" i="4"/>
  <c r="A975" i="4"/>
  <c r="J974" i="4"/>
  <c r="E974" i="4"/>
  <c r="A974" i="4"/>
  <c r="L973" i="4"/>
  <c r="K973" i="4"/>
  <c r="J973" i="4"/>
  <c r="I973" i="4"/>
  <c r="H973" i="4"/>
  <c r="G973" i="4"/>
  <c r="F973" i="4"/>
  <c r="E973" i="4"/>
  <c r="D973" i="4"/>
  <c r="C973" i="4"/>
  <c r="B973" i="4"/>
  <c r="A973" i="4"/>
  <c r="M973" i="4" s="1"/>
  <c r="M972" i="4"/>
  <c r="L972" i="4"/>
  <c r="K972" i="4"/>
  <c r="J972" i="4"/>
  <c r="I972" i="4"/>
  <c r="H972" i="4"/>
  <c r="F972" i="4"/>
  <c r="E972" i="4"/>
  <c r="D972" i="4"/>
  <c r="A972" i="4"/>
  <c r="M971" i="4"/>
  <c r="L971" i="4"/>
  <c r="K971" i="4"/>
  <c r="J971" i="4"/>
  <c r="I971" i="4"/>
  <c r="H971" i="4"/>
  <c r="F971" i="4"/>
  <c r="E971" i="4"/>
  <c r="D971" i="4"/>
  <c r="B971" i="4"/>
  <c r="A971" i="4"/>
  <c r="A970" i="4"/>
  <c r="H969" i="4"/>
  <c r="F969" i="4"/>
  <c r="D969" i="4"/>
  <c r="C969" i="4"/>
  <c r="B969" i="4"/>
  <c r="A969" i="4"/>
  <c r="J968" i="4"/>
  <c r="A968" i="4"/>
  <c r="L967" i="4"/>
  <c r="I967" i="4"/>
  <c r="A967" i="4"/>
  <c r="K966" i="4"/>
  <c r="G966" i="4"/>
  <c r="E966" i="4"/>
  <c r="C966" i="4"/>
  <c r="B966" i="4"/>
  <c r="A966" i="4"/>
  <c r="K965" i="4"/>
  <c r="J965" i="4"/>
  <c r="A965" i="4"/>
  <c r="L964" i="4"/>
  <c r="K964" i="4"/>
  <c r="D964" i="4"/>
  <c r="C964" i="4"/>
  <c r="A964" i="4"/>
  <c r="M963" i="4"/>
  <c r="L963" i="4"/>
  <c r="J963" i="4"/>
  <c r="I963" i="4"/>
  <c r="H963" i="4"/>
  <c r="G963" i="4"/>
  <c r="C963" i="4"/>
  <c r="B963" i="4"/>
  <c r="A963" i="4"/>
  <c r="M962" i="4"/>
  <c r="K962" i="4"/>
  <c r="E962" i="4"/>
  <c r="A962" i="4"/>
  <c r="L961" i="4"/>
  <c r="K961" i="4"/>
  <c r="J961" i="4"/>
  <c r="I961" i="4"/>
  <c r="H961" i="4"/>
  <c r="G961" i="4"/>
  <c r="F961" i="4"/>
  <c r="E961" i="4"/>
  <c r="D961" i="4"/>
  <c r="C961" i="4"/>
  <c r="B961" i="4"/>
  <c r="A961" i="4"/>
  <c r="M961" i="4" s="1"/>
  <c r="M960" i="4"/>
  <c r="K960" i="4"/>
  <c r="J960" i="4"/>
  <c r="I960" i="4"/>
  <c r="H960" i="4"/>
  <c r="A960" i="4"/>
  <c r="L960" i="4" s="1"/>
  <c r="M959" i="4"/>
  <c r="L959" i="4"/>
  <c r="K959" i="4"/>
  <c r="J959" i="4"/>
  <c r="I959" i="4"/>
  <c r="H959" i="4"/>
  <c r="F959" i="4"/>
  <c r="E959" i="4"/>
  <c r="D959" i="4"/>
  <c r="A959" i="4"/>
  <c r="M958" i="4"/>
  <c r="L958" i="4"/>
  <c r="K958" i="4"/>
  <c r="J958" i="4"/>
  <c r="I958" i="4"/>
  <c r="H958" i="4"/>
  <c r="F958" i="4"/>
  <c r="E958" i="4"/>
  <c r="C958" i="4"/>
  <c r="B958" i="4"/>
  <c r="A958" i="4"/>
  <c r="A957" i="4"/>
  <c r="K956" i="4"/>
  <c r="J956" i="4"/>
  <c r="B956" i="4"/>
  <c r="A956" i="4"/>
  <c r="A955" i="4"/>
  <c r="M954" i="4"/>
  <c r="L954" i="4"/>
  <c r="I954" i="4"/>
  <c r="G954" i="4"/>
  <c r="E954" i="4"/>
  <c r="D954" i="4"/>
  <c r="C954" i="4"/>
  <c r="B954" i="4"/>
  <c r="A954" i="4"/>
  <c r="E953" i="4"/>
  <c r="D953" i="4"/>
  <c r="A953" i="4"/>
  <c r="M952" i="4"/>
  <c r="L952" i="4"/>
  <c r="D952" i="4"/>
  <c r="B952" i="4"/>
  <c r="A952" i="4"/>
  <c r="J951" i="4"/>
  <c r="A951" i="4"/>
  <c r="M950" i="4"/>
  <c r="K950" i="4"/>
  <c r="J950" i="4"/>
  <c r="I950" i="4"/>
  <c r="H950" i="4"/>
  <c r="G950" i="4"/>
  <c r="C950" i="4"/>
  <c r="B950" i="4"/>
  <c r="A950" i="4"/>
  <c r="L949" i="4"/>
  <c r="K949" i="4"/>
  <c r="J949" i="4"/>
  <c r="I949" i="4"/>
  <c r="H949" i="4"/>
  <c r="G949" i="4"/>
  <c r="F949" i="4"/>
  <c r="E949" i="4"/>
  <c r="D949" i="4"/>
  <c r="C949" i="4"/>
  <c r="B949" i="4"/>
  <c r="A949" i="4"/>
  <c r="M949" i="4" s="1"/>
  <c r="A948" i="4"/>
  <c r="M947" i="4"/>
  <c r="H947" i="4"/>
  <c r="A947" i="4"/>
  <c r="M946" i="4"/>
  <c r="L946" i="4"/>
  <c r="K946" i="4"/>
  <c r="J946" i="4"/>
  <c r="I946" i="4"/>
  <c r="H946" i="4"/>
  <c r="F946" i="4"/>
  <c r="E946" i="4"/>
  <c r="C946" i="4"/>
  <c r="A946" i="4"/>
  <c r="M945" i="4"/>
  <c r="L945" i="4"/>
  <c r="K945" i="4"/>
  <c r="J945" i="4"/>
  <c r="I945" i="4"/>
  <c r="H945" i="4"/>
  <c r="F945" i="4"/>
  <c r="D945" i="4"/>
  <c r="C945" i="4"/>
  <c r="B945" i="4"/>
  <c r="A945" i="4"/>
  <c r="L944" i="4"/>
  <c r="K944" i="4"/>
  <c r="J944" i="4"/>
  <c r="I944" i="4"/>
  <c r="H944" i="4"/>
  <c r="E944" i="4"/>
  <c r="D944" i="4"/>
  <c r="C944" i="4"/>
  <c r="A944" i="4"/>
  <c r="A943" i="4"/>
  <c r="M942" i="4"/>
  <c r="E942" i="4"/>
  <c r="D942" i="4"/>
  <c r="C942" i="4"/>
  <c r="B942" i="4"/>
  <c r="A942" i="4"/>
  <c r="L941" i="4"/>
  <c r="H941" i="4"/>
  <c r="G941" i="4"/>
  <c r="B941" i="4"/>
  <c r="A941" i="4"/>
  <c r="M941" i="4" s="1"/>
  <c r="M940" i="4"/>
  <c r="L940" i="4"/>
  <c r="K940" i="4"/>
  <c r="G940" i="4"/>
  <c r="E940" i="4"/>
  <c r="D940" i="4"/>
  <c r="C940" i="4"/>
  <c r="A940" i="4"/>
  <c r="A939" i="4"/>
  <c r="M938" i="4"/>
  <c r="H938" i="4"/>
  <c r="D938" i="4"/>
  <c r="C938" i="4"/>
  <c r="B938" i="4"/>
  <c r="A938" i="4"/>
  <c r="L937" i="4"/>
  <c r="K937" i="4"/>
  <c r="J937" i="4"/>
  <c r="I937" i="4"/>
  <c r="H937" i="4"/>
  <c r="G937" i="4"/>
  <c r="F937" i="4"/>
  <c r="E937" i="4"/>
  <c r="D937" i="4"/>
  <c r="C937" i="4"/>
  <c r="B937" i="4"/>
  <c r="A937" i="4"/>
  <c r="M937" i="4" s="1"/>
  <c r="A936" i="4"/>
  <c r="M935" i="4"/>
  <c r="J935" i="4"/>
  <c r="I935" i="4"/>
  <c r="H935" i="4"/>
  <c r="B935" i="4"/>
  <c r="A935" i="4"/>
  <c r="L935" i="4" s="1"/>
  <c r="A934" i="4"/>
  <c r="M933" i="4"/>
  <c r="L933" i="4"/>
  <c r="K933" i="4"/>
  <c r="J933" i="4"/>
  <c r="I933" i="4"/>
  <c r="H933" i="4"/>
  <c r="G933" i="4"/>
  <c r="D933" i="4"/>
  <c r="A933" i="4"/>
  <c r="M932" i="4"/>
  <c r="L932" i="4"/>
  <c r="K932" i="4"/>
  <c r="J932" i="4"/>
  <c r="I932" i="4"/>
  <c r="H932" i="4"/>
  <c r="G932" i="4"/>
  <c r="D932" i="4"/>
  <c r="C932" i="4"/>
  <c r="A932" i="4"/>
  <c r="M931" i="4"/>
  <c r="L931" i="4"/>
  <c r="K931" i="4"/>
  <c r="J931" i="4"/>
  <c r="I931" i="4"/>
  <c r="H931" i="4"/>
  <c r="F931" i="4"/>
  <c r="D931" i="4"/>
  <c r="C931" i="4"/>
  <c r="B931" i="4"/>
  <c r="A931" i="4"/>
  <c r="A930" i="4"/>
  <c r="J929" i="4"/>
  <c r="G929" i="4"/>
  <c r="F929" i="4"/>
  <c r="A929" i="4"/>
  <c r="A928" i="4"/>
  <c r="M927" i="4"/>
  <c r="L927" i="4"/>
  <c r="G927" i="4"/>
  <c r="F927" i="4"/>
  <c r="D927" i="4"/>
  <c r="C927" i="4"/>
  <c r="A927" i="4"/>
  <c r="M926" i="4"/>
  <c r="K926" i="4"/>
  <c r="J926" i="4"/>
  <c r="F926" i="4"/>
  <c r="D926" i="4"/>
  <c r="C926" i="4"/>
  <c r="B926" i="4"/>
  <c r="A926" i="4"/>
  <c r="L925" i="4"/>
  <c r="K925" i="4"/>
  <c r="J925" i="4"/>
  <c r="I925" i="4"/>
  <c r="H925" i="4"/>
  <c r="G925" i="4"/>
  <c r="F925" i="4"/>
  <c r="E925" i="4"/>
  <c r="D925" i="4"/>
  <c r="C925" i="4"/>
  <c r="B925" i="4"/>
  <c r="A925" i="4"/>
  <c r="M925" i="4" s="1"/>
  <c r="L924" i="4"/>
  <c r="K924" i="4"/>
  <c r="E924" i="4"/>
  <c r="C924" i="4"/>
  <c r="A924" i="4"/>
  <c r="J923" i="4"/>
  <c r="A923" i="4"/>
  <c r="M922" i="4"/>
  <c r="J922" i="4"/>
  <c r="I922" i="4"/>
  <c r="H922" i="4"/>
  <c r="B922" i="4"/>
  <c r="A922" i="4"/>
  <c r="L922" i="4" s="1"/>
  <c r="I921" i="4"/>
  <c r="A921" i="4"/>
  <c r="M920" i="4"/>
  <c r="L920" i="4"/>
  <c r="K920" i="4"/>
  <c r="J920" i="4"/>
  <c r="I920" i="4"/>
  <c r="H920" i="4"/>
  <c r="G920" i="4"/>
  <c r="D920" i="4"/>
  <c r="A920" i="4"/>
  <c r="M919" i="4"/>
  <c r="L919" i="4"/>
  <c r="K919" i="4"/>
  <c r="J919" i="4"/>
  <c r="I919" i="4"/>
  <c r="H919" i="4"/>
  <c r="F919" i="4"/>
  <c r="D919" i="4"/>
  <c r="C919" i="4"/>
  <c r="A919" i="4"/>
  <c r="M918" i="4"/>
  <c r="L918" i="4"/>
  <c r="K918" i="4"/>
  <c r="J918" i="4"/>
  <c r="I918" i="4"/>
  <c r="G918" i="4"/>
  <c r="F918" i="4"/>
  <c r="D918" i="4"/>
  <c r="C918" i="4"/>
  <c r="B918" i="4"/>
  <c r="A918" i="4"/>
  <c r="G917" i="4"/>
  <c r="C917" i="4"/>
  <c r="A917" i="4"/>
  <c r="I916" i="4"/>
  <c r="G916" i="4"/>
  <c r="F916" i="4"/>
  <c r="A916" i="4"/>
  <c r="A915" i="4"/>
  <c r="M914" i="4"/>
  <c r="K914" i="4"/>
  <c r="G914" i="4"/>
  <c r="F914" i="4"/>
  <c r="D914" i="4"/>
  <c r="C914" i="4"/>
  <c r="A914" i="4"/>
  <c r="L913" i="4"/>
  <c r="K913" i="4"/>
  <c r="J913" i="4"/>
  <c r="I913" i="4"/>
  <c r="H913" i="4"/>
  <c r="G913" i="4"/>
  <c r="F913" i="4"/>
  <c r="E913" i="4"/>
  <c r="D913" i="4"/>
  <c r="C913" i="4"/>
  <c r="B913" i="4"/>
  <c r="A913" i="4"/>
  <c r="M913" i="4" s="1"/>
  <c r="M912" i="4"/>
  <c r="L912" i="4"/>
  <c r="K912" i="4"/>
  <c r="G912" i="4"/>
  <c r="E912" i="4"/>
  <c r="D912" i="4"/>
  <c r="C912" i="4"/>
  <c r="A912" i="4"/>
  <c r="L911" i="4"/>
  <c r="K911" i="4"/>
  <c r="E911" i="4"/>
  <c r="B911" i="4"/>
  <c r="A911" i="4"/>
  <c r="J910" i="4"/>
  <c r="I910" i="4"/>
  <c r="A910" i="4"/>
  <c r="M909" i="4"/>
  <c r="J909" i="4"/>
  <c r="I909" i="4"/>
  <c r="H909" i="4"/>
  <c r="B909" i="4"/>
  <c r="A909" i="4"/>
  <c r="L909" i="4" s="1"/>
  <c r="A908" i="4"/>
  <c r="M907" i="4"/>
  <c r="L907" i="4"/>
  <c r="K907" i="4"/>
  <c r="J907" i="4"/>
  <c r="I907" i="4"/>
  <c r="H907" i="4"/>
  <c r="F907" i="4"/>
  <c r="D907" i="4"/>
  <c r="A907" i="4"/>
  <c r="M906" i="4"/>
  <c r="L906" i="4"/>
  <c r="K906" i="4"/>
  <c r="J906" i="4"/>
  <c r="I906" i="4"/>
  <c r="G906" i="4"/>
  <c r="F906" i="4"/>
  <c r="D906" i="4"/>
  <c r="C906" i="4"/>
  <c r="A906" i="4"/>
  <c r="M905" i="4"/>
  <c r="L905" i="4"/>
  <c r="K905" i="4"/>
  <c r="J905" i="4"/>
  <c r="H905" i="4"/>
  <c r="G905" i="4"/>
  <c r="F905" i="4"/>
  <c r="D905" i="4"/>
  <c r="C905" i="4"/>
  <c r="B905" i="4"/>
  <c r="A905" i="4"/>
  <c r="C904" i="4"/>
  <c r="A904" i="4"/>
  <c r="I903" i="4"/>
  <c r="G903" i="4"/>
  <c r="F903" i="4"/>
  <c r="A903" i="4"/>
  <c r="D902" i="4"/>
  <c r="A902" i="4"/>
  <c r="L901" i="4"/>
  <c r="K901" i="4"/>
  <c r="J901" i="4"/>
  <c r="I901" i="4"/>
  <c r="H901" i="4"/>
  <c r="G901" i="4"/>
  <c r="F901" i="4"/>
  <c r="E901" i="4"/>
  <c r="D901" i="4"/>
  <c r="C901" i="4"/>
  <c r="B901" i="4"/>
  <c r="A901" i="4"/>
  <c r="M901" i="4" s="1"/>
  <c r="M900" i="4"/>
  <c r="L900" i="4"/>
  <c r="H900" i="4"/>
  <c r="G900" i="4"/>
  <c r="E900" i="4"/>
  <c r="D900" i="4"/>
  <c r="A900" i="4"/>
  <c r="M899" i="4"/>
  <c r="L899" i="4"/>
  <c r="K899" i="4"/>
  <c r="G899" i="4"/>
  <c r="E899" i="4"/>
  <c r="D899" i="4"/>
  <c r="B899" i="4"/>
  <c r="A899" i="4"/>
  <c r="L898" i="4"/>
  <c r="K898" i="4"/>
  <c r="E898" i="4"/>
  <c r="B898" i="4"/>
  <c r="A898" i="4"/>
  <c r="A897" i="4"/>
  <c r="M896" i="4"/>
  <c r="J896" i="4"/>
  <c r="I896" i="4"/>
  <c r="H896" i="4"/>
  <c r="B896" i="4"/>
  <c r="A896" i="4"/>
  <c r="L896" i="4" s="1"/>
  <c r="I895" i="4"/>
  <c r="A895" i="4"/>
  <c r="M894" i="4"/>
  <c r="L894" i="4"/>
  <c r="K894" i="4"/>
  <c r="J894" i="4"/>
  <c r="I894" i="4"/>
  <c r="G894" i="4"/>
  <c r="F894" i="4"/>
  <c r="D894" i="4"/>
  <c r="A894" i="4"/>
  <c r="M893" i="4"/>
  <c r="L893" i="4"/>
  <c r="K893" i="4"/>
  <c r="J893" i="4"/>
  <c r="H893" i="4"/>
  <c r="G893" i="4"/>
  <c r="F893" i="4"/>
  <c r="D893" i="4"/>
  <c r="C893" i="4"/>
  <c r="A893" i="4"/>
  <c r="M892" i="4"/>
  <c r="L892" i="4"/>
  <c r="K892" i="4"/>
  <c r="I892" i="4"/>
  <c r="H892" i="4"/>
  <c r="G892" i="4"/>
  <c r="F892" i="4"/>
  <c r="D892" i="4"/>
  <c r="C892" i="4"/>
  <c r="B892" i="4"/>
  <c r="A892" i="4"/>
  <c r="A891" i="4"/>
  <c r="I890" i="4"/>
  <c r="G890" i="4"/>
  <c r="F890" i="4"/>
  <c r="A890" i="4"/>
  <c r="L889" i="4"/>
  <c r="K889" i="4"/>
  <c r="J889" i="4"/>
  <c r="I889" i="4"/>
  <c r="H889" i="4"/>
  <c r="G889" i="4"/>
  <c r="F889" i="4"/>
  <c r="E889" i="4"/>
  <c r="D889" i="4"/>
  <c r="C889" i="4"/>
  <c r="B889" i="4"/>
  <c r="A889" i="4"/>
  <c r="M889" i="4" s="1"/>
  <c r="E888" i="4"/>
  <c r="A888" i="4"/>
  <c r="M887" i="4"/>
  <c r="L887" i="4"/>
  <c r="H887" i="4"/>
  <c r="G887" i="4"/>
  <c r="E887" i="4"/>
  <c r="D887" i="4"/>
  <c r="A887" i="4"/>
  <c r="M886" i="4"/>
  <c r="L886" i="4"/>
  <c r="K886" i="4"/>
  <c r="G886" i="4"/>
  <c r="E886" i="4"/>
  <c r="C886" i="4"/>
  <c r="B886" i="4"/>
  <c r="A886" i="4"/>
  <c r="L885" i="4"/>
  <c r="K885" i="4"/>
  <c r="D885" i="4"/>
  <c r="B885" i="4"/>
  <c r="A885" i="4"/>
  <c r="J884" i="4"/>
  <c r="I884" i="4"/>
  <c r="A884" i="4"/>
  <c r="M883" i="4"/>
  <c r="J883" i="4"/>
  <c r="I883" i="4"/>
  <c r="H883" i="4"/>
  <c r="B883" i="4"/>
  <c r="A883" i="4"/>
  <c r="L883" i="4" s="1"/>
  <c r="I882" i="4"/>
  <c r="G882" i="4"/>
  <c r="A882" i="4"/>
  <c r="M881" i="4"/>
  <c r="L881" i="4"/>
  <c r="K881" i="4"/>
  <c r="J881" i="4"/>
  <c r="H881" i="4"/>
  <c r="G881" i="4"/>
  <c r="F881" i="4"/>
  <c r="D881" i="4"/>
  <c r="A881" i="4"/>
  <c r="M880" i="4"/>
  <c r="L880" i="4"/>
  <c r="K880" i="4"/>
  <c r="I880" i="4"/>
  <c r="H880" i="4"/>
  <c r="G880" i="4"/>
  <c r="F880" i="4"/>
  <c r="D880" i="4"/>
  <c r="C880" i="4"/>
  <c r="B880" i="4"/>
  <c r="A880" i="4"/>
  <c r="M879" i="4"/>
  <c r="L879" i="4"/>
  <c r="J879" i="4"/>
  <c r="I879" i="4"/>
  <c r="H879" i="4"/>
  <c r="G879" i="4"/>
  <c r="F879" i="4"/>
  <c r="D879" i="4"/>
  <c r="C879" i="4"/>
  <c r="B879" i="4"/>
  <c r="A879" i="4"/>
  <c r="A878" i="4"/>
  <c r="L877" i="4"/>
  <c r="K877" i="4"/>
  <c r="J877" i="4"/>
  <c r="I877" i="4"/>
  <c r="H877" i="4"/>
  <c r="G877" i="4"/>
  <c r="F877" i="4"/>
  <c r="E877" i="4"/>
  <c r="D877" i="4"/>
  <c r="C877" i="4"/>
  <c r="B877" i="4"/>
  <c r="A877" i="4"/>
  <c r="M877" i="4" s="1"/>
  <c r="J876" i="4"/>
  <c r="H876" i="4"/>
  <c r="C876" i="4"/>
  <c r="A876" i="4"/>
  <c r="G875" i="4"/>
  <c r="E875" i="4"/>
  <c r="A875" i="4"/>
  <c r="M874" i="4"/>
  <c r="L874" i="4"/>
  <c r="H874" i="4"/>
  <c r="G874" i="4"/>
  <c r="E874" i="4"/>
  <c r="C874" i="4"/>
  <c r="A874" i="4"/>
  <c r="M873" i="4"/>
  <c r="L873" i="4"/>
  <c r="K873" i="4"/>
  <c r="G873" i="4"/>
  <c r="D873" i="4"/>
  <c r="C873" i="4"/>
  <c r="B873" i="4"/>
  <c r="A873" i="4"/>
  <c r="L872" i="4"/>
  <c r="J872" i="4"/>
  <c r="D872" i="4"/>
  <c r="A872" i="4"/>
  <c r="K871" i="4"/>
  <c r="J871" i="4"/>
  <c r="C871" i="4"/>
  <c r="A871" i="4"/>
  <c r="M870" i="4"/>
  <c r="J870" i="4"/>
  <c r="I870" i="4"/>
  <c r="G870" i="4"/>
  <c r="B870" i="4"/>
  <c r="A870" i="4"/>
  <c r="L870" i="4" s="1"/>
  <c r="H869" i="4"/>
  <c r="F869" i="4"/>
  <c r="A869" i="4"/>
  <c r="M868" i="4"/>
  <c r="L868" i="4"/>
  <c r="K868" i="4"/>
  <c r="I868" i="4"/>
  <c r="H868" i="4"/>
  <c r="G868" i="4"/>
  <c r="F868" i="4"/>
  <c r="D868" i="4"/>
  <c r="A868" i="4"/>
  <c r="M867" i="4"/>
  <c r="L867" i="4"/>
  <c r="J867" i="4"/>
  <c r="I867" i="4"/>
  <c r="H867" i="4"/>
  <c r="G867" i="4"/>
  <c r="F867" i="4"/>
  <c r="D867" i="4"/>
  <c r="C867" i="4"/>
  <c r="A867" i="4"/>
  <c r="M866" i="4"/>
  <c r="K866" i="4"/>
  <c r="J866" i="4"/>
  <c r="I866" i="4"/>
  <c r="H866" i="4"/>
  <c r="G866" i="4"/>
  <c r="F866" i="4"/>
  <c r="D866" i="4"/>
  <c r="C866" i="4"/>
  <c r="B866" i="4"/>
  <c r="A866" i="4"/>
  <c r="L865" i="4"/>
  <c r="K865" i="4"/>
  <c r="J865" i="4"/>
  <c r="I865" i="4"/>
  <c r="H865" i="4"/>
  <c r="G865" i="4"/>
  <c r="F865" i="4"/>
  <c r="E865" i="4"/>
  <c r="D865" i="4"/>
  <c r="C865" i="4"/>
  <c r="B865" i="4"/>
  <c r="A865" i="4"/>
  <c r="M865" i="4" s="1"/>
  <c r="I864" i="4"/>
  <c r="A864" i="4"/>
  <c r="J863" i="4"/>
  <c r="H863" i="4"/>
  <c r="B863" i="4"/>
  <c r="A863" i="4"/>
  <c r="G862" i="4"/>
  <c r="E862" i="4"/>
  <c r="A862" i="4"/>
  <c r="M861" i="4"/>
  <c r="L861" i="4"/>
  <c r="H861" i="4"/>
  <c r="G861" i="4"/>
  <c r="D861" i="4"/>
  <c r="C861" i="4"/>
  <c r="A861" i="4"/>
  <c r="M860" i="4"/>
  <c r="L860" i="4"/>
  <c r="K860" i="4"/>
  <c r="G860" i="4"/>
  <c r="D860" i="4"/>
  <c r="C860" i="4"/>
  <c r="B860" i="4"/>
  <c r="A860" i="4"/>
  <c r="L859" i="4"/>
  <c r="J859" i="4"/>
  <c r="D859" i="4"/>
  <c r="A859" i="4"/>
  <c r="K858" i="4"/>
  <c r="A858" i="4"/>
  <c r="M857" i="4"/>
  <c r="J857" i="4"/>
  <c r="H857" i="4"/>
  <c r="G857" i="4"/>
  <c r="B857" i="4"/>
  <c r="A857" i="4"/>
  <c r="L857" i="4" s="1"/>
  <c r="L856" i="4"/>
  <c r="H856" i="4"/>
  <c r="F856" i="4"/>
  <c r="A856" i="4"/>
  <c r="M855" i="4"/>
  <c r="L855" i="4"/>
  <c r="J855" i="4"/>
  <c r="I855" i="4"/>
  <c r="H855" i="4"/>
  <c r="G855" i="4"/>
  <c r="F855" i="4"/>
  <c r="D855" i="4"/>
  <c r="A855" i="4"/>
  <c r="M854" i="4"/>
  <c r="K854" i="4"/>
  <c r="J854" i="4"/>
  <c r="I854" i="4"/>
  <c r="H854" i="4"/>
  <c r="G854" i="4"/>
  <c r="F854" i="4"/>
  <c r="D854" i="4"/>
  <c r="C854" i="4"/>
  <c r="A854" i="4"/>
  <c r="L853" i="4"/>
  <c r="K853" i="4"/>
  <c r="J853" i="4"/>
  <c r="I853" i="4"/>
  <c r="H853" i="4"/>
  <c r="G853" i="4"/>
  <c r="F853" i="4"/>
  <c r="E853" i="4"/>
  <c r="D853" i="4"/>
  <c r="C853" i="4"/>
  <c r="B853" i="4"/>
  <c r="A853" i="4"/>
  <c r="M853" i="4" s="1"/>
  <c r="M852" i="4"/>
  <c r="L852" i="4"/>
  <c r="K852" i="4"/>
  <c r="J852" i="4"/>
  <c r="I852" i="4"/>
  <c r="H852" i="4"/>
  <c r="G852" i="4"/>
  <c r="E852" i="4"/>
  <c r="D852" i="4"/>
  <c r="C852" i="4"/>
  <c r="A852" i="4"/>
  <c r="B851" i="4"/>
  <c r="A851" i="4"/>
  <c r="J850" i="4"/>
  <c r="H850" i="4"/>
  <c r="B850" i="4"/>
  <c r="A850" i="4"/>
  <c r="G849" i="4"/>
  <c r="D849" i="4"/>
  <c r="A849" i="4"/>
  <c r="M848" i="4"/>
  <c r="L848" i="4"/>
  <c r="H848" i="4"/>
  <c r="G848" i="4"/>
  <c r="D848" i="4"/>
  <c r="C848" i="4"/>
  <c r="A848" i="4"/>
  <c r="M847" i="4"/>
  <c r="L847" i="4"/>
  <c r="K847" i="4"/>
  <c r="F847" i="4"/>
  <c r="D847" i="4"/>
  <c r="C847" i="4"/>
  <c r="B847" i="4"/>
  <c r="A847" i="4"/>
  <c r="L846" i="4"/>
  <c r="J846" i="4"/>
  <c r="D846" i="4"/>
  <c r="A846" i="4"/>
  <c r="J845" i="4"/>
  <c r="A845" i="4"/>
  <c r="M844" i="4"/>
  <c r="I844" i="4"/>
  <c r="H844" i="4"/>
  <c r="G844" i="4"/>
  <c r="B844" i="4"/>
  <c r="A844" i="4"/>
  <c r="L844" i="4" s="1"/>
  <c r="L843" i="4"/>
  <c r="A843" i="4"/>
  <c r="M842" i="4"/>
  <c r="K842" i="4"/>
  <c r="J842" i="4"/>
  <c r="I842" i="4"/>
  <c r="H842" i="4"/>
  <c r="G842" i="4"/>
  <c r="F842" i="4"/>
  <c r="D842" i="4"/>
  <c r="A842" i="4"/>
  <c r="L841" i="4"/>
  <c r="K841" i="4"/>
  <c r="J841" i="4"/>
  <c r="I841" i="4"/>
  <c r="H841" i="4"/>
  <c r="G841" i="4"/>
  <c r="F841" i="4"/>
  <c r="E841" i="4"/>
  <c r="D841" i="4"/>
  <c r="C841" i="4"/>
  <c r="B841" i="4"/>
  <c r="A841" i="4"/>
  <c r="M841" i="4" s="1"/>
  <c r="M840" i="4"/>
  <c r="L840" i="4"/>
  <c r="K840" i="4"/>
  <c r="J840" i="4"/>
  <c r="I840" i="4"/>
  <c r="H840" i="4"/>
  <c r="G840" i="4"/>
  <c r="E840" i="4"/>
  <c r="D840" i="4"/>
  <c r="C840" i="4"/>
  <c r="A840" i="4"/>
  <c r="M839" i="4"/>
  <c r="L839" i="4"/>
  <c r="K839" i="4"/>
  <c r="J839" i="4"/>
  <c r="I839" i="4"/>
  <c r="H839" i="4"/>
  <c r="G839" i="4"/>
  <c r="E839" i="4"/>
  <c r="D839" i="4"/>
  <c r="B839" i="4"/>
  <c r="A839" i="4"/>
  <c r="L838" i="4"/>
  <c r="K838" i="4"/>
  <c r="J838" i="4"/>
  <c r="I838" i="4"/>
  <c r="H838" i="4"/>
  <c r="G838" i="4"/>
  <c r="E838" i="4"/>
  <c r="D838" i="4"/>
  <c r="C838" i="4"/>
  <c r="B838" i="4"/>
  <c r="A838" i="4"/>
  <c r="F838" i="4" s="1"/>
  <c r="L837" i="4"/>
  <c r="K837" i="4"/>
  <c r="J837" i="4"/>
  <c r="I837" i="4"/>
  <c r="H837" i="4"/>
  <c r="F837" i="4"/>
  <c r="E837" i="4"/>
  <c r="D837" i="4"/>
  <c r="C837" i="4"/>
  <c r="B837" i="4"/>
  <c r="A837" i="4"/>
  <c r="G837" i="4" s="1"/>
  <c r="L836" i="4"/>
  <c r="K836" i="4"/>
  <c r="J836" i="4"/>
  <c r="I836" i="4"/>
  <c r="G836" i="4"/>
  <c r="F836" i="4"/>
  <c r="E836" i="4"/>
  <c r="D836" i="4"/>
  <c r="C836" i="4"/>
  <c r="B836" i="4"/>
  <c r="A836" i="4"/>
  <c r="H836" i="4" s="1"/>
  <c r="L835" i="4"/>
  <c r="K835" i="4"/>
  <c r="J835" i="4"/>
  <c r="H835" i="4"/>
  <c r="G835" i="4"/>
  <c r="F835" i="4"/>
  <c r="E835" i="4"/>
  <c r="D835" i="4"/>
  <c r="C835" i="4"/>
  <c r="B835" i="4"/>
  <c r="A835" i="4"/>
  <c r="I835" i="4" s="1"/>
  <c r="L834" i="4"/>
  <c r="K834" i="4"/>
  <c r="I834" i="4"/>
  <c r="H834" i="4"/>
  <c r="G834" i="4"/>
  <c r="F834" i="4"/>
  <c r="E834" i="4"/>
  <c r="D834" i="4"/>
  <c r="C834" i="4"/>
  <c r="B834" i="4"/>
  <c r="A834" i="4"/>
  <c r="J834" i="4" s="1"/>
  <c r="L833" i="4"/>
  <c r="J833" i="4"/>
  <c r="I833" i="4"/>
  <c r="H833" i="4"/>
  <c r="G833" i="4"/>
  <c r="F833" i="4"/>
  <c r="E833" i="4"/>
  <c r="D833" i="4"/>
  <c r="C833" i="4"/>
  <c r="B833" i="4"/>
  <c r="A833" i="4"/>
  <c r="K833" i="4" s="1"/>
  <c r="K832" i="4"/>
  <c r="J832" i="4"/>
  <c r="I832" i="4"/>
  <c r="H832" i="4"/>
  <c r="G832" i="4"/>
  <c r="F832" i="4"/>
  <c r="E832" i="4"/>
  <c r="D832" i="4"/>
  <c r="C832" i="4"/>
  <c r="B832" i="4"/>
  <c r="A832" i="4"/>
  <c r="L832" i="4" s="1"/>
  <c r="L831" i="4"/>
  <c r="K831" i="4"/>
  <c r="J831" i="4"/>
  <c r="I831" i="4"/>
  <c r="H831" i="4"/>
  <c r="G831" i="4"/>
  <c r="F831" i="4"/>
  <c r="E831" i="4"/>
  <c r="D831" i="4"/>
  <c r="C831" i="4"/>
  <c r="B831" i="4"/>
  <c r="A831" i="4"/>
  <c r="M831" i="4" s="1"/>
  <c r="L830" i="4"/>
  <c r="K830" i="4"/>
  <c r="J830" i="4"/>
  <c r="I830" i="4"/>
  <c r="H830" i="4"/>
  <c r="G830" i="4"/>
  <c r="F830" i="4"/>
  <c r="E830" i="4"/>
  <c r="D830" i="4"/>
  <c r="C830" i="4"/>
  <c r="A830" i="4"/>
  <c r="B830" i="4" s="1"/>
  <c r="L829" i="4"/>
  <c r="K829" i="4"/>
  <c r="J829" i="4"/>
  <c r="I829" i="4"/>
  <c r="H829" i="4"/>
  <c r="G829" i="4"/>
  <c r="F829" i="4"/>
  <c r="E829" i="4"/>
  <c r="D829" i="4"/>
  <c r="B829" i="4"/>
  <c r="A829" i="4"/>
  <c r="C829" i="4" s="1"/>
  <c r="L828" i="4"/>
  <c r="K828" i="4"/>
  <c r="J828" i="4"/>
  <c r="I828" i="4"/>
  <c r="H828" i="4"/>
  <c r="G828" i="4"/>
  <c r="F828" i="4"/>
  <c r="E828" i="4"/>
  <c r="C828" i="4"/>
  <c r="B828" i="4"/>
  <c r="A828" i="4"/>
  <c r="D828" i="4" s="1"/>
  <c r="L827" i="4"/>
  <c r="K827" i="4"/>
  <c r="J827" i="4"/>
  <c r="I827" i="4"/>
  <c r="H827" i="4"/>
  <c r="G827" i="4"/>
  <c r="F827" i="4"/>
  <c r="D827" i="4"/>
  <c r="C827" i="4"/>
  <c r="B827" i="4"/>
  <c r="A827" i="4"/>
  <c r="E827" i="4" s="1"/>
  <c r="L826" i="4"/>
  <c r="K826" i="4"/>
  <c r="J826" i="4"/>
  <c r="I826" i="4"/>
  <c r="H826" i="4"/>
  <c r="G826" i="4"/>
  <c r="E826" i="4"/>
  <c r="D826" i="4"/>
  <c r="C826" i="4"/>
  <c r="B826" i="4"/>
  <c r="A826" i="4"/>
  <c r="F826" i="4" s="1"/>
  <c r="L825" i="4"/>
  <c r="K825" i="4"/>
  <c r="J825" i="4"/>
  <c r="I825" i="4"/>
  <c r="H825" i="4"/>
  <c r="F825" i="4"/>
  <c r="E825" i="4"/>
  <c r="D825" i="4"/>
  <c r="C825" i="4"/>
  <c r="B825" i="4"/>
  <c r="A825" i="4"/>
  <c r="G825" i="4" s="1"/>
  <c r="L824" i="4"/>
  <c r="K824" i="4"/>
  <c r="J824" i="4"/>
  <c r="I824" i="4"/>
  <c r="G824" i="4"/>
  <c r="F824" i="4"/>
  <c r="E824" i="4"/>
  <c r="D824" i="4"/>
  <c r="C824" i="4"/>
  <c r="B824" i="4"/>
  <c r="A824" i="4"/>
  <c r="H824" i="4" s="1"/>
  <c r="L823" i="4"/>
  <c r="K823" i="4"/>
  <c r="J823" i="4"/>
  <c r="H823" i="4"/>
  <c r="G823" i="4"/>
  <c r="F823" i="4"/>
  <c r="E823" i="4"/>
  <c r="D823" i="4"/>
  <c r="C823" i="4"/>
  <c r="B823" i="4"/>
  <c r="A823" i="4"/>
  <c r="I823" i="4" s="1"/>
  <c r="L822" i="4"/>
  <c r="K822" i="4"/>
  <c r="I822" i="4"/>
  <c r="H822" i="4"/>
  <c r="G822" i="4"/>
  <c r="F822" i="4"/>
  <c r="E822" i="4"/>
  <c r="D822" i="4"/>
  <c r="C822" i="4"/>
  <c r="B822" i="4"/>
  <c r="A822" i="4"/>
  <c r="J822" i="4" s="1"/>
  <c r="L821" i="4"/>
  <c r="J821" i="4"/>
  <c r="I821" i="4"/>
  <c r="H821" i="4"/>
  <c r="G821" i="4"/>
  <c r="F821" i="4"/>
  <c r="E821" i="4"/>
  <c r="D821" i="4"/>
  <c r="C821" i="4"/>
  <c r="B821" i="4"/>
  <c r="A821" i="4"/>
  <c r="K821" i="4" s="1"/>
  <c r="K820" i="4"/>
  <c r="J820" i="4"/>
  <c r="I820" i="4"/>
  <c r="H820" i="4"/>
  <c r="G820" i="4"/>
  <c r="F820" i="4"/>
  <c r="E820" i="4"/>
  <c r="D820" i="4"/>
  <c r="C820" i="4"/>
  <c r="B820" i="4"/>
  <c r="A820" i="4"/>
  <c r="L820" i="4" s="1"/>
  <c r="L819" i="4"/>
  <c r="K819" i="4"/>
  <c r="J819" i="4"/>
  <c r="I819" i="4"/>
  <c r="H819" i="4"/>
  <c r="G819" i="4"/>
  <c r="F819" i="4"/>
  <c r="E819" i="4"/>
  <c r="D819" i="4"/>
  <c r="C819" i="4"/>
  <c r="B819" i="4"/>
  <c r="A819" i="4"/>
  <c r="M819" i="4" s="1"/>
  <c r="L818" i="4"/>
  <c r="K818" i="4"/>
  <c r="J818" i="4"/>
  <c r="I818" i="4"/>
  <c r="H818" i="4"/>
  <c r="G818" i="4"/>
  <c r="F818" i="4"/>
  <c r="E818" i="4"/>
  <c r="D818" i="4"/>
  <c r="C818" i="4"/>
  <c r="B818" i="4"/>
  <c r="A818" i="4"/>
  <c r="M818" i="4" s="1"/>
  <c r="L817" i="4"/>
  <c r="K817" i="4"/>
  <c r="J817" i="4"/>
  <c r="I817" i="4"/>
  <c r="H817" i="4"/>
  <c r="G817" i="4"/>
  <c r="F817" i="4"/>
  <c r="E817" i="4"/>
  <c r="D817" i="4"/>
  <c r="A817" i="4"/>
  <c r="C817" i="4" s="1"/>
  <c r="M816" i="4"/>
  <c r="L816" i="4"/>
  <c r="K816" i="4"/>
  <c r="G816" i="4"/>
  <c r="F816" i="4"/>
  <c r="A816" i="4"/>
  <c r="M815" i="4"/>
  <c r="L815" i="4"/>
  <c r="K815" i="4"/>
  <c r="H815" i="4"/>
  <c r="G815" i="4"/>
  <c r="F815" i="4"/>
  <c r="B815" i="4"/>
  <c r="A815" i="4"/>
  <c r="C814" i="4"/>
  <c r="A814" i="4"/>
  <c r="M813" i="4"/>
  <c r="J813" i="4"/>
  <c r="I813" i="4"/>
  <c r="D813" i="4"/>
  <c r="C813" i="4"/>
  <c r="A813" i="4"/>
  <c r="L812" i="4"/>
  <c r="K812" i="4"/>
  <c r="J812" i="4"/>
  <c r="I812" i="4"/>
  <c r="E812" i="4"/>
  <c r="D812" i="4"/>
  <c r="C812" i="4"/>
  <c r="B812" i="4"/>
  <c r="A812" i="4"/>
  <c r="H812" i="4" s="1"/>
  <c r="L811" i="4"/>
  <c r="K811" i="4"/>
  <c r="J811" i="4"/>
  <c r="F811" i="4"/>
  <c r="E811" i="4"/>
  <c r="D811" i="4"/>
  <c r="C811" i="4"/>
  <c r="A811" i="4"/>
  <c r="I811" i="4" s="1"/>
  <c r="M810" i="4"/>
  <c r="A810" i="4"/>
  <c r="M809" i="4"/>
  <c r="H809" i="4"/>
  <c r="G809" i="4"/>
  <c r="F809" i="4"/>
  <c r="E809" i="4"/>
  <c r="A809" i="4"/>
  <c r="L809" i="4" s="1"/>
  <c r="B808" i="4"/>
  <c r="A808" i="4"/>
  <c r="K807" i="4"/>
  <c r="J807" i="4"/>
  <c r="I807" i="4"/>
  <c r="H807" i="4"/>
  <c r="G807" i="4"/>
  <c r="F807" i="4"/>
  <c r="E807" i="4"/>
  <c r="D807" i="4"/>
  <c r="C807" i="4"/>
  <c r="B807" i="4"/>
  <c r="A807" i="4"/>
  <c r="M807" i="4" s="1"/>
  <c r="L806" i="4"/>
  <c r="K806" i="4"/>
  <c r="J806" i="4"/>
  <c r="I806" i="4"/>
  <c r="H806" i="4"/>
  <c r="G806" i="4"/>
  <c r="F806" i="4"/>
  <c r="E806" i="4"/>
  <c r="D806" i="4"/>
  <c r="C806" i="4"/>
  <c r="B806" i="4"/>
  <c r="A806" i="4"/>
  <c r="M806" i="4" s="1"/>
  <c r="L805" i="4"/>
  <c r="K805" i="4"/>
  <c r="J805" i="4"/>
  <c r="I805" i="4"/>
  <c r="H805" i="4"/>
  <c r="G805" i="4"/>
  <c r="F805" i="4"/>
  <c r="E805" i="4"/>
  <c r="D805" i="4"/>
  <c r="A805" i="4"/>
  <c r="C805" i="4" s="1"/>
  <c r="M804" i="4"/>
  <c r="L804" i="4"/>
  <c r="K804" i="4"/>
  <c r="J804" i="4"/>
  <c r="G804" i="4"/>
  <c r="E804" i="4"/>
  <c r="A804" i="4"/>
  <c r="K803" i="4"/>
  <c r="F803" i="4"/>
  <c r="B803" i="4"/>
  <c r="A803" i="4"/>
  <c r="A802" i="4"/>
  <c r="M801" i="4"/>
  <c r="J801" i="4"/>
  <c r="I801" i="4"/>
  <c r="H801" i="4"/>
  <c r="D801" i="4"/>
  <c r="B801" i="4"/>
  <c r="A801" i="4"/>
  <c r="L800" i="4"/>
  <c r="K800" i="4"/>
  <c r="J800" i="4"/>
  <c r="I800" i="4"/>
  <c r="E800" i="4"/>
  <c r="D800" i="4"/>
  <c r="C800" i="4"/>
  <c r="B800" i="4"/>
  <c r="A800" i="4"/>
  <c r="H800" i="4" s="1"/>
  <c r="L799" i="4"/>
  <c r="K799" i="4"/>
  <c r="J799" i="4"/>
  <c r="F799" i="4"/>
  <c r="E799" i="4"/>
  <c r="D799" i="4"/>
  <c r="C799" i="4"/>
  <c r="A799" i="4"/>
  <c r="I799" i="4" s="1"/>
  <c r="M798" i="4"/>
  <c r="L798" i="4"/>
  <c r="K798" i="4"/>
  <c r="G798" i="4"/>
  <c r="E798" i="4"/>
  <c r="D798" i="4"/>
  <c r="A798" i="4"/>
  <c r="L797" i="4"/>
  <c r="F797" i="4"/>
  <c r="E797" i="4"/>
  <c r="B797" i="4"/>
  <c r="A797" i="4"/>
  <c r="I796" i="4"/>
  <c r="C796" i="4"/>
  <c r="B796" i="4"/>
  <c r="A796" i="4"/>
  <c r="K795" i="4"/>
  <c r="J795" i="4"/>
  <c r="I795" i="4"/>
  <c r="H795" i="4"/>
  <c r="G795" i="4"/>
  <c r="F795" i="4"/>
  <c r="E795" i="4"/>
  <c r="D795" i="4"/>
  <c r="C795" i="4"/>
  <c r="B795" i="4"/>
  <c r="A795" i="4"/>
  <c r="M795" i="4" s="1"/>
  <c r="L794" i="4"/>
  <c r="K794" i="4"/>
  <c r="J794" i="4"/>
  <c r="I794" i="4"/>
  <c r="H794" i="4"/>
  <c r="G794" i="4"/>
  <c r="F794" i="4"/>
  <c r="E794" i="4"/>
  <c r="D794" i="4"/>
  <c r="C794" i="4"/>
  <c r="B794" i="4"/>
  <c r="A794" i="4"/>
  <c r="M794" i="4" s="1"/>
  <c r="L793" i="4"/>
  <c r="K793" i="4"/>
  <c r="J793" i="4"/>
  <c r="I793" i="4"/>
  <c r="H793" i="4"/>
  <c r="G793" i="4"/>
  <c r="F793" i="4"/>
  <c r="E793" i="4"/>
  <c r="D793" i="4"/>
  <c r="A793" i="4"/>
  <c r="C793" i="4" s="1"/>
  <c r="M792" i="4"/>
  <c r="L792" i="4"/>
  <c r="J792" i="4"/>
  <c r="H792" i="4"/>
  <c r="G792" i="4"/>
  <c r="F792" i="4"/>
  <c r="A792" i="4"/>
  <c r="K792" i="4" s="1"/>
  <c r="H791" i="4"/>
  <c r="F791" i="4"/>
  <c r="A791" i="4"/>
  <c r="M790" i="4"/>
  <c r="J790" i="4"/>
  <c r="C790" i="4"/>
  <c r="B790" i="4"/>
  <c r="A790" i="4"/>
  <c r="M789" i="4"/>
  <c r="K789" i="4"/>
  <c r="J789" i="4"/>
  <c r="I789" i="4"/>
  <c r="D789" i="4"/>
  <c r="C789" i="4"/>
  <c r="A789" i="4"/>
  <c r="L788" i="4"/>
  <c r="K788" i="4"/>
  <c r="J788" i="4"/>
  <c r="I788" i="4"/>
  <c r="E788" i="4"/>
  <c r="D788" i="4"/>
  <c r="C788" i="4"/>
  <c r="B788" i="4"/>
  <c r="A788" i="4"/>
  <c r="H788" i="4" s="1"/>
  <c r="J787" i="4"/>
  <c r="A787" i="4"/>
  <c r="M786" i="4"/>
  <c r="K786" i="4"/>
  <c r="D786" i="4"/>
  <c r="B786" i="4"/>
  <c r="A786" i="4"/>
  <c r="M785" i="4"/>
  <c r="L785" i="4"/>
  <c r="H785" i="4"/>
  <c r="G785" i="4"/>
  <c r="E785" i="4"/>
  <c r="C785" i="4"/>
  <c r="A785" i="4"/>
  <c r="M784" i="4"/>
  <c r="I784" i="4"/>
  <c r="G784" i="4"/>
  <c r="F784" i="4"/>
  <c r="D784" i="4"/>
  <c r="C784" i="4"/>
  <c r="A784" i="4"/>
  <c r="H784" i="4" s="1"/>
  <c r="K783" i="4"/>
  <c r="J783" i="4"/>
  <c r="I783" i="4"/>
  <c r="H783" i="4"/>
  <c r="G783" i="4"/>
  <c r="F783" i="4"/>
  <c r="E783" i="4"/>
  <c r="D783" i="4"/>
  <c r="C783" i="4"/>
  <c r="B783" i="4"/>
  <c r="A783" i="4"/>
  <c r="M783" i="4" s="1"/>
  <c r="L782" i="4"/>
  <c r="K782" i="4"/>
  <c r="J782" i="4"/>
  <c r="I782" i="4"/>
  <c r="H782" i="4"/>
  <c r="G782" i="4"/>
  <c r="F782" i="4"/>
  <c r="E782" i="4"/>
  <c r="D782" i="4"/>
  <c r="C782" i="4"/>
  <c r="A782" i="4"/>
  <c r="B782" i="4" s="1"/>
  <c r="L781" i="4"/>
  <c r="K781" i="4"/>
  <c r="J781" i="4"/>
  <c r="I781" i="4"/>
  <c r="H781" i="4"/>
  <c r="G781" i="4"/>
  <c r="F781" i="4"/>
  <c r="E781" i="4"/>
  <c r="D781" i="4"/>
  <c r="A781" i="4"/>
  <c r="C781" i="4" s="1"/>
  <c r="M780" i="4"/>
  <c r="L780" i="4"/>
  <c r="J780" i="4"/>
  <c r="F780" i="4"/>
  <c r="E780" i="4"/>
  <c r="A780" i="4"/>
  <c r="M779" i="4"/>
  <c r="L779" i="4"/>
  <c r="K779" i="4"/>
  <c r="J779" i="4"/>
  <c r="A779" i="4"/>
  <c r="M778" i="4"/>
  <c r="L778" i="4"/>
  <c r="K778" i="4"/>
  <c r="J778" i="4"/>
  <c r="I778" i="4"/>
  <c r="H778" i="4"/>
  <c r="C778" i="4"/>
  <c r="B778" i="4"/>
  <c r="A778" i="4"/>
  <c r="L777" i="4"/>
  <c r="K777" i="4"/>
  <c r="I777" i="4"/>
  <c r="H777" i="4"/>
  <c r="D777" i="4"/>
  <c r="C777" i="4"/>
  <c r="A777" i="4"/>
  <c r="M777" i="4" s="1"/>
  <c r="J776" i="4"/>
  <c r="I776" i="4"/>
  <c r="C776" i="4"/>
  <c r="B776" i="4"/>
  <c r="A776" i="4"/>
  <c r="E775" i="4"/>
  <c r="A775" i="4"/>
  <c r="M774" i="4"/>
  <c r="L774" i="4"/>
  <c r="G774" i="4"/>
  <c r="C774" i="4"/>
  <c r="B774" i="4"/>
  <c r="A774" i="4"/>
  <c r="M773" i="4"/>
  <c r="L773" i="4"/>
  <c r="H773" i="4"/>
  <c r="A773" i="4"/>
  <c r="M772" i="4"/>
  <c r="I772" i="4"/>
  <c r="H772" i="4"/>
  <c r="G772" i="4"/>
  <c r="F772" i="4"/>
  <c r="E772" i="4"/>
  <c r="C772" i="4"/>
  <c r="B772" i="4"/>
  <c r="A772" i="4"/>
  <c r="L771" i="4"/>
  <c r="K771" i="4"/>
  <c r="J771" i="4"/>
  <c r="I771" i="4"/>
  <c r="H771" i="4"/>
  <c r="G771" i="4"/>
  <c r="F771" i="4"/>
  <c r="E771" i="4"/>
  <c r="D771" i="4"/>
  <c r="C771" i="4"/>
  <c r="B771" i="4"/>
  <c r="A771" i="4"/>
  <c r="M771" i="4" s="1"/>
  <c r="L770" i="4"/>
  <c r="K770" i="4"/>
  <c r="J770" i="4"/>
  <c r="I770" i="4"/>
  <c r="H770" i="4"/>
  <c r="G770" i="4"/>
  <c r="F770" i="4"/>
  <c r="E770" i="4"/>
  <c r="D770" i="4"/>
  <c r="C770" i="4"/>
  <c r="A770" i="4"/>
  <c r="B770" i="4" s="1"/>
  <c r="L769" i="4"/>
  <c r="K769" i="4"/>
  <c r="J769" i="4"/>
  <c r="I769" i="4"/>
  <c r="H769" i="4"/>
  <c r="G769" i="4"/>
  <c r="F769" i="4"/>
  <c r="E769" i="4"/>
  <c r="D769" i="4"/>
  <c r="A769" i="4"/>
  <c r="C769" i="4" s="1"/>
  <c r="I768" i="4"/>
  <c r="H768" i="4"/>
  <c r="F768" i="4"/>
  <c r="E768" i="4"/>
  <c r="A768" i="4"/>
  <c r="G767" i="4"/>
  <c r="A767" i="4"/>
  <c r="M766" i="4"/>
  <c r="B766" i="4"/>
  <c r="A766" i="4"/>
  <c r="M765" i="4"/>
  <c r="L765" i="4"/>
  <c r="K765" i="4"/>
  <c r="J765" i="4"/>
  <c r="I765" i="4"/>
  <c r="D765" i="4"/>
  <c r="C765" i="4"/>
  <c r="A765" i="4"/>
  <c r="M764" i="4"/>
  <c r="L764" i="4"/>
  <c r="K764" i="4"/>
  <c r="J764" i="4"/>
  <c r="I764" i="4"/>
  <c r="E764" i="4"/>
  <c r="D764" i="4"/>
  <c r="B764" i="4"/>
  <c r="A764" i="4"/>
  <c r="M763" i="4"/>
  <c r="L763" i="4"/>
  <c r="K763" i="4"/>
  <c r="J763" i="4"/>
  <c r="F763" i="4"/>
  <c r="E763" i="4"/>
  <c r="D763" i="4"/>
  <c r="C763" i="4"/>
  <c r="B763" i="4"/>
  <c r="A763" i="4"/>
  <c r="A762" i="4"/>
  <c r="A761" i="4"/>
  <c r="A760" i="4"/>
  <c r="K759" i="4"/>
  <c r="J759" i="4"/>
  <c r="I759" i="4"/>
  <c r="H759" i="4"/>
  <c r="G759" i="4"/>
  <c r="F759" i="4"/>
  <c r="E759" i="4"/>
  <c r="D759" i="4"/>
  <c r="C759" i="4"/>
  <c r="B759" i="4"/>
  <c r="A759" i="4"/>
  <c r="M759" i="4" s="1"/>
  <c r="L758" i="4"/>
  <c r="K758" i="4"/>
  <c r="J758" i="4"/>
  <c r="I758" i="4"/>
  <c r="H758" i="4"/>
  <c r="G758" i="4"/>
  <c r="F758" i="4"/>
  <c r="E758" i="4"/>
  <c r="D758" i="4"/>
  <c r="C758" i="4"/>
  <c r="A758" i="4"/>
  <c r="B758" i="4" s="1"/>
  <c r="L757" i="4"/>
  <c r="K757" i="4"/>
  <c r="J757" i="4"/>
  <c r="I757" i="4"/>
  <c r="H757" i="4"/>
  <c r="G757" i="4"/>
  <c r="F757" i="4"/>
  <c r="E757" i="4"/>
  <c r="D757" i="4"/>
  <c r="A757" i="4"/>
  <c r="C757" i="4" s="1"/>
  <c r="M756" i="4"/>
  <c r="L756" i="4"/>
  <c r="K756" i="4"/>
  <c r="J756" i="4"/>
  <c r="I756" i="4"/>
  <c r="H756" i="4"/>
  <c r="G756" i="4"/>
  <c r="F756" i="4"/>
  <c r="E756" i="4"/>
  <c r="A756" i="4"/>
  <c r="A755" i="4"/>
  <c r="A754" i="4"/>
  <c r="M753" i="4"/>
  <c r="I753" i="4"/>
  <c r="A753" i="4"/>
  <c r="M752" i="4"/>
  <c r="L752" i="4"/>
  <c r="K752" i="4"/>
  <c r="J752" i="4"/>
  <c r="I752" i="4"/>
  <c r="D752" i="4"/>
  <c r="C752" i="4"/>
  <c r="A752" i="4"/>
  <c r="M751" i="4"/>
  <c r="L751" i="4"/>
  <c r="K751" i="4"/>
  <c r="J751" i="4"/>
  <c r="F751" i="4"/>
  <c r="E751" i="4"/>
  <c r="D751" i="4"/>
  <c r="B751" i="4"/>
  <c r="A751" i="4"/>
  <c r="L750" i="4"/>
  <c r="K750" i="4"/>
  <c r="G750" i="4"/>
  <c r="F750" i="4"/>
  <c r="E750" i="4"/>
  <c r="D750" i="4"/>
  <c r="C750" i="4"/>
  <c r="B750" i="4"/>
  <c r="A750" i="4"/>
  <c r="M750" i="4" s="1"/>
  <c r="M749" i="4"/>
  <c r="F749" i="4"/>
  <c r="E749" i="4"/>
  <c r="C749" i="4"/>
  <c r="B749" i="4"/>
  <c r="A749" i="4"/>
  <c r="H748" i="4"/>
  <c r="A748" i="4"/>
  <c r="K747" i="4"/>
  <c r="J747" i="4"/>
  <c r="I747" i="4"/>
  <c r="H747" i="4"/>
  <c r="G747" i="4"/>
  <c r="F747" i="4"/>
  <c r="E747" i="4"/>
  <c r="D747" i="4"/>
  <c r="C747" i="4"/>
  <c r="B747" i="4"/>
  <c r="A747" i="4"/>
  <c r="M747" i="4" s="1"/>
  <c r="L746" i="4"/>
  <c r="K746" i="4"/>
  <c r="J746" i="4"/>
  <c r="I746" i="4"/>
  <c r="H746" i="4"/>
  <c r="G746" i="4"/>
  <c r="F746" i="4"/>
  <c r="E746" i="4"/>
  <c r="D746" i="4"/>
  <c r="C746" i="4"/>
  <c r="A746" i="4"/>
  <c r="B746" i="4" s="1"/>
  <c r="A745" i="4"/>
  <c r="M744" i="4"/>
  <c r="L744" i="4"/>
  <c r="K744" i="4"/>
  <c r="J744" i="4"/>
  <c r="I744" i="4"/>
  <c r="H744" i="4"/>
  <c r="F744" i="4"/>
  <c r="E744" i="4"/>
  <c r="A744" i="4"/>
  <c r="M743" i="4"/>
  <c r="L743" i="4"/>
  <c r="K743" i="4"/>
  <c r="J743" i="4"/>
  <c r="I743" i="4"/>
  <c r="H743" i="4"/>
  <c r="G743" i="4"/>
  <c r="F743" i="4"/>
  <c r="C743" i="4"/>
  <c r="B743" i="4"/>
  <c r="A743" i="4"/>
  <c r="L742" i="4"/>
  <c r="K742" i="4"/>
  <c r="J742" i="4"/>
  <c r="I742" i="4"/>
  <c r="H742" i="4"/>
  <c r="G742" i="4"/>
  <c r="D742" i="4"/>
  <c r="B742" i="4"/>
  <c r="A742" i="4"/>
  <c r="M742" i="4" s="1"/>
  <c r="A741" i="4"/>
  <c r="M740" i="4"/>
  <c r="K740" i="4"/>
  <c r="J740" i="4"/>
  <c r="I740" i="4"/>
  <c r="F740" i="4"/>
  <c r="E740" i="4"/>
  <c r="D740" i="4"/>
  <c r="C740" i="4"/>
  <c r="B740" i="4"/>
  <c r="A740" i="4"/>
  <c r="L740" i="4" s="1"/>
  <c r="G739" i="4"/>
  <c r="A739" i="4"/>
  <c r="A738" i="4"/>
  <c r="M737" i="4"/>
  <c r="I737" i="4"/>
  <c r="E737" i="4"/>
  <c r="A737" i="4"/>
  <c r="D736" i="4"/>
  <c r="A736" i="4"/>
  <c r="K735" i="4"/>
  <c r="J735" i="4"/>
  <c r="I735" i="4"/>
  <c r="H735" i="4"/>
  <c r="G735" i="4"/>
  <c r="F735" i="4"/>
  <c r="E735" i="4"/>
  <c r="D735" i="4"/>
  <c r="C735" i="4"/>
  <c r="B735" i="4"/>
  <c r="A735" i="4"/>
  <c r="M735" i="4" s="1"/>
  <c r="L734" i="4"/>
  <c r="K734" i="4"/>
  <c r="J734" i="4"/>
  <c r="I734" i="4"/>
  <c r="H734" i="4"/>
  <c r="G734" i="4"/>
  <c r="F734" i="4"/>
  <c r="E734" i="4"/>
  <c r="D734" i="4"/>
  <c r="C734" i="4"/>
  <c r="B734" i="4"/>
  <c r="A734" i="4"/>
  <c r="M734" i="4" s="1"/>
  <c r="M733" i="4"/>
  <c r="L733" i="4"/>
  <c r="K733" i="4"/>
  <c r="J733" i="4"/>
  <c r="A733" i="4"/>
  <c r="J732" i="4"/>
  <c r="A732" i="4"/>
  <c r="M731" i="4"/>
  <c r="L731" i="4"/>
  <c r="K731" i="4"/>
  <c r="J731" i="4"/>
  <c r="I731" i="4"/>
  <c r="H731" i="4"/>
  <c r="F731" i="4"/>
  <c r="C731" i="4"/>
  <c r="A731" i="4"/>
  <c r="M730" i="4"/>
  <c r="L730" i="4"/>
  <c r="K730" i="4"/>
  <c r="J730" i="4"/>
  <c r="I730" i="4"/>
  <c r="H730" i="4"/>
  <c r="G730" i="4"/>
  <c r="D730" i="4"/>
  <c r="C730" i="4"/>
  <c r="B730" i="4"/>
  <c r="A730" i="4"/>
  <c r="L729" i="4"/>
  <c r="K729" i="4"/>
  <c r="J729" i="4"/>
  <c r="I729" i="4"/>
  <c r="H729" i="4"/>
  <c r="E729" i="4"/>
  <c r="D729" i="4"/>
  <c r="B729" i="4"/>
  <c r="A729" i="4"/>
  <c r="M729" i="4" s="1"/>
  <c r="A728" i="4"/>
  <c r="M727" i="4"/>
  <c r="K727" i="4"/>
  <c r="J727" i="4"/>
  <c r="G727" i="4"/>
  <c r="F727" i="4"/>
  <c r="E727" i="4"/>
  <c r="D727" i="4"/>
  <c r="C727" i="4"/>
  <c r="B727" i="4"/>
  <c r="A727" i="4"/>
  <c r="L727" i="4" s="1"/>
  <c r="M726" i="4"/>
  <c r="G726" i="4"/>
  <c r="F726" i="4"/>
  <c r="E726" i="4"/>
  <c r="C726" i="4"/>
  <c r="B726" i="4"/>
  <c r="A726" i="4"/>
  <c r="F725" i="4"/>
  <c r="C725" i="4"/>
  <c r="B725" i="4"/>
  <c r="A725" i="4"/>
  <c r="D724" i="4"/>
  <c r="A724" i="4"/>
  <c r="K723" i="4"/>
  <c r="J723" i="4"/>
  <c r="I723" i="4"/>
  <c r="H723" i="4"/>
  <c r="G723" i="4"/>
  <c r="F723" i="4"/>
  <c r="E723" i="4"/>
  <c r="D723" i="4"/>
  <c r="C723" i="4"/>
  <c r="B723" i="4"/>
  <c r="A723" i="4"/>
  <c r="M723" i="4" s="1"/>
  <c r="L722" i="4"/>
  <c r="K722" i="4"/>
  <c r="J722" i="4"/>
  <c r="I722" i="4"/>
  <c r="H722" i="4"/>
  <c r="G722" i="4"/>
  <c r="F722" i="4"/>
  <c r="E722" i="4"/>
  <c r="D722" i="4"/>
  <c r="C722" i="4"/>
  <c r="B722" i="4"/>
  <c r="A722" i="4"/>
  <c r="M722" i="4" s="1"/>
  <c r="L721" i="4"/>
  <c r="A721" i="4"/>
  <c r="B720" i="4"/>
  <c r="A720" i="4"/>
  <c r="L719" i="4"/>
  <c r="K719" i="4"/>
  <c r="J719" i="4"/>
  <c r="I719" i="4"/>
  <c r="A719" i="4"/>
  <c r="M719" i="4" s="1"/>
  <c r="M718" i="4"/>
  <c r="L718" i="4"/>
  <c r="K718" i="4"/>
  <c r="J718" i="4"/>
  <c r="I718" i="4"/>
  <c r="H718" i="4"/>
  <c r="D718" i="4"/>
  <c r="C718" i="4"/>
  <c r="A718" i="4"/>
  <c r="M717" i="4"/>
  <c r="L717" i="4"/>
  <c r="K717" i="4"/>
  <c r="J717" i="4"/>
  <c r="I717" i="4"/>
  <c r="H717" i="4"/>
  <c r="E717" i="4"/>
  <c r="D717" i="4"/>
  <c r="C717" i="4"/>
  <c r="B717" i="4"/>
  <c r="A717" i="4"/>
  <c r="L716" i="4"/>
  <c r="K716" i="4"/>
  <c r="J716" i="4"/>
  <c r="I716" i="4"/>
  <c r="F716" i="4"/>
  <c r="E716" i="4"/>
  <c r="D716" i="4"/>
  <c r="B716" i="4"/>
  <c r="A716" i="4"/>
  <c r="M716" i="4" s="1"/>
  <c r="J715" i="4"/>
  <c r="A715" i="4"/>
  <c r="M714" i="4"/>
  <c r="K714" i="4"/>
  <c r="H714" i="4"/>
  <c r="G714" i="4"/>
  <c r="F714" i="4"/>
  <c r="E714" i="4"/>
  <c r="D714" i="4"/>
  <c r="C714" i="4"/>
  <c r="B714" i="4"/>
  <c r="A714" i="4"/>
  <c r="L714" i="4" s="1"/>
  <c r="C713" i="4"/>
  <c r="A713" i="4"/>
  <c r="J712" i="4"/>
  <c r="F712" i="4"/>
  <c r="E712" i="4"/>
  <c r="C712" i="4"/>
  <c r="B712" i="4"/>
  <c r="A712" i="4"/>
  <c r="K711" i="4"/>
  <c r="J711" i="4"/>
  <c r="I711" i="4"/>
  <c r="H711" i="4"/>
  <c r="G711" i="4"/>
  <c r="F711" i="4"/>
  <c r="E711" i="4"/>
  <c r="D711" i="4"/>
  <c r="C711" i="4"/>
  <c r="B711" i="4"/>
  <c r="A711" i="4"/>
  <c r="M711" i="4" s="1"/>
  <c r="L710" i="4"/>
  <c r="K710" i="4"/>
  <c r="J710" i="4"/>
  <c r="I710" i="4"/>
  <c r="H710" i="4"/>
  <c r="G710" i="4"/>
  <c r="F710" i="4"/>
  <c r="E710" i="4"/>
  <c r="D710" i="4"/>
  <c r="C710" i="4"/>
  <c r="A710" i="4"/>
  <c r="B710" i="4" s="1"/>
  <c r="M709" i="4"/>
  <c r="I709" i="4"/>
  <c r="H709" i="4"/>
  <c r="D709" i="4"/>
  <c r="A709" i="4"/>
  <c r="M708" i="4"/>
  <c r="L708" i="4"/>
  <c r="H708" i="4"/>
  <c r="A708" i="4"/>
  <c r="M707" i="4"/>
  <c r="K707" i="4"/>
  <c r="J707" i="4"/>
  <c r="I707" i="4"/>
  <c r="G707" i="4"/>
  <c r="A707" i="4"/>
  <c r="L707" i="4" s="1"/>
  <c r="M706" i="4"/>
  <c r="L706" i="4"/>
  <c r="K706" i="4"/>
  <c r="J706" i="4"/>
  <c r="I706" i="4"/>
  <c r="H706" i="4"/>
  <c r="D706" i="4"/>
  <c r="C706" i="4"/>
  <c r="A706" i="4"/>
  <c r="M705" i="4"/>
  <c r="L705" i="4"/>
  <c r="K705" i="4"/>
  <c r="J705" i="4"/>
  <c r="I705" i="4"/>
  <c r="H705" i="4"/>
  <c r="E705" i="4"/>
  <c r="D705" i="4"/>
  <c r="C705" i="4"/>
  <c r="B705" i="4"/>
  <c r="A705" i="4"/>
  <c r="L704" i="4"/>
  <c r="K704" i="4"/>
  <c r="F704" i="4"/>
  <c r="D704" i="4"/>
  <c r="B704" i="4"/>
  <c r="A704" i="4"/>
  <c r="J703" i="4"/>
  <c r="G703" i="4"/>
  <c r="F703" i="4"/>
  <c r="E703" i="4"/>
  <c r="A703" i="4"/>
  <c r="M702" i="4"/>
  <c r="K702" i="4"/>
  <c r="H702" i="4"/>
  <c r="G702" i="4"/>
  <c r="F702" i="4"/>
  <c r="E702" i="4"/>
  <c r="D702" i="4"/>
  <c r="C702" i="4"/>
  <c r="B702" i="4"/>
  <c r="A702" i="4"/>
  <c r="L702" i="4" s="1"/>
  <c r="A701" i="4"/>
  <c r="J700" i="4"/>
  <c r="B700" i="4"/>
  <c r="A700" i="4"/>
  <c r="K699" i="4"/>
  <c r="J699" i="4"/>
  <c r="I699" i="4"/>
  <c r="H699" i="4"/>
  <c r="G699" i="4"/>
  <c r="F699" i="4"/>
  <c r="E699" i="4"/>
  <c r="D699" i="4"/>
  <c r="C699" i="4"/>
  <c r="B699" i="4"/>
  <c r="A699" i="4"/>
  <c r="M699" i="4" s="1"/>
  <c r="L698" i="4"/>
  <c r="K698" i="4"/>
  <c r="J698" i="4"/>
  <c r="I698" i="4"/>
  <c r="H698" i="4"/>
  <c r="G698" i="4"/>
  <c r="F698" i="4"/>
  <c r="E698" i="4"/>
  <c r="D698" i="4"/>
  <c r="C698" i="4"/>
  <c r="B698" i="4"/>
  <c r="A698" i="4"/>
  <c r="M698" i="4" s="1"/>
  <c r="M697" i="4"/>
  <c r="L697" i="4"/>
  <c r="J697" i="4"/>
  <c r="I697" i="4"/>
  <c r="F697" i="4"/>
  <c r="E697" i="4"/>
  <c r="D697" i="4"/>
  <c r="A697" i="4"/>
  <c r="H696" i="4"/>
  <c r="E696" i="4"/>
  <c r="A696" i="4"/>
  <c r="H695" i="4"/>
  <c r="A695" i="4"/>
  <c r="M694" i="4"/>
  <c r="L694" i="4"/>
  <c r="K694" i="4"/>
  <c r="J694" i="4"/>
  <c r="I694" i="4"/>
  <c r="G694" i="4"/>
  <c r="D694" i="4"/>
  <c r="A694" i="4"/>
  <c r="M693" i="4"/>
  <c r="L693" i="4"/>
  <c r="K693" i="4"/>
  <c r="J693" i="4"/>
  <c r="I693" i="4"/>
  <c r="H693" i="4"/>
  <c r="D693" i="4"/>
  <c r="C693" i="4"/>
  <c r="A693" i="4"/>
  <c r="M692" i="4"/>
  <c r="L692" i="4"/>
  <c r="K692" i="4"/>
  <c r="J692" i="4"/>
  <c r="I692" i="4"/>
  <c r="F692" i="4"/>
  <c r="E692" i="4"/>
  <c r="D692" i="4"/>
  <c r="C692" i="4"/>
  <c r="B692" i="4"/>
  <c r="A692" i="4"/>
  <c r="L691" i="4"/>
  <c r="K691" i="4"/>
  <c r="B691" i="4"/>
  <c r="A691" i="4"/>
  <c r="A690" i="4"/>
  <c r="M689" i="4"/>
  <c r="I689" i="4"/>
  <c r="H689" i="4"/>
  <c r="G689" i="4"/>
  <c r="F689" i="4"/>
  <c r="E689" i="4"/>
  <c r="D689" i="4"/>
  <c r="C689" i="4"/>
  <c r="B689" i="4"/>
  <c r="A689" i="4"/>
  <c r="L689" i="4" s="1"/>
  <c r="J688" i="4"/>
  <c r="G688" i="4"/>
  <c r="B688" i="4"/>
  <c r="A688" i="4"/>
  <c r="K687" i="4"/>
  <c r="J687" i="4"/>
  <c r="I687" i="4"/>
  <c r="H687" i="4"/>
  <c r="G687" i="4"/>
  <c r="F687" i="4"/>
  <c r="E687" i="4"/>
  <c r="D687" i="4"/>
  <c r="C687" i="4"/>
  <c r="B687" i="4"/>
  <c r="A687" i="4"/>
  <c r="M687" i="4" s="1"/>
  <c r="L686" i="4"/>
  <c r="K686" i="4"/>
  <c r="J686" i="4"/>
  <c r="I686" i="4"/>
  <c r="H686" i="4"/>
  <c r="G686" i="4"/>
  <c r="F686" i="4"/>
  <c r="E686" i="4"/>
  <c r="D686" i="4"/>
  <c r="C686" i="4"/>
  <c r="A686" i="4"/>
  <c r="B686" i="4" s="1"/>
  <c r="M685" i="4"/>
  <c r="J685" i="4"/>
  <c r="A685" i="4"/>
  <c r="L684" i="4"/>
  <c r="K684" i="4"/>
  <c r="B684" i="4"/>
  <c r="A684" i="4"/>
  <c r="A683" i="4"/>
  <c r="M682" i="4"/>
  <c r="I682" i="4"/>
  <c r="A682" i="4"/>
  <c r="M681" i="4"/>
  <c r="L681" i="4"/>
  <c r="K681" i="4"/>
  <c r="J681" i="4"/>
  <c r="I681" i="4"/>
  <c r="H681" i="4"/>
  <c r="D681" i="4"/>
  <c r="C681" i="4"/>
  <c r="A681" i="4"/>
  <c r="M680" i="4"/>
  <c r="L680" i="4"/>
  <c r="K680" i="4"/>
  <c r="J680" i="4"/>
  <c r="I680" i="4"/>
  <c r="F680" i="4"/>
  <c r="E680" i="4"/>
  <c r="D680" i="4"/>
  <c r="C680" i="4"/>
  <c r="B680" i="4"/>
  <c r="A680" i="4"/>
  <c r="L679" i="4"/>
  <c r="J679" i="4"/>
  <c r="G679" i="4"/>
  <c r="E679" i="4"/>
  <c r="D679" i="4"/>
  <c r="B679" i="4"/>
  <c r="A679" i="4"/>
  <c r="K678" i="4"/>
  <c r="H678" i="4"/>
  <c r="G678" i="4"/>
  <c r="F678" i="4"/>
  <c r="D678" i="4"/>
  <c r="C678" i="4"/>
  <c r="A678" i="4"/>
  <c r="M677" i="4"/>
  <c r="I677" i="4"/>
  <c r="H677" i="4"/>
  <c r="G677" i="4"/>
  <c r="F677" i="4"/>
  <c r="E677" i="4"/>
  <c r="D677" i="4"/>
  <c r="C677" i="4"/>
  <c r="B677" i="4"/>
  <c r="A677" i="4"/>
  <c r="L677" i="4" s="1"/>
  <c r="G676" i="4"/>
  <c r="E676" i="4"/>
  <c r="D676" i="4"/>
  <c r="A676" i="4"/>
  <c r="K675" i="4"/>
  <c r="J675" i="4"/>
  <c r="I675" i="4"/>
  <c r="H675" i="4"/>
  <c r="G675" i="4"/>
  <c r="F675" i="4"/>
  <c r="E675" i="4"/>
  <c r="D675" i="4"/>
  <c r="C675" i="4"/>
  <c r="B675" i="4"/>
  <c r="A675" i="4"/>
  <c r="M675" i="4" s="1"/>
  <c r="L674" i="4"/>
  <c r="K674" i="4"/>
  <c r="J674" i="4"/>
  <c r="I674" i="4"/>
  <c r="H674" i="4"/>
  <c r="G674" i="4"/>
  <c r="F674" i="4"/>
  <c r="E674" i="4"/>
  <c r="D674" i="4"/>
  <c r="C674" i="4"/>
  <c r="A674" i="4"/>
  <c r="B674" i="4" s="1"/>
  <c r="M673" i="4"/>
  <c r="L673" i="4"/>
  <c r="J673" i="4"/>
  <c r="F673" i="4"/>
  <c r="E673" i="4"/>
  <c r="A673" i="4"/>
  <c r="M672" i="4"/>
  <c r="L672" i="4"/>
  <c r="K672" i="4"/>
  <c r="I672" i="4"/>
  <c r="H672" i="4"/>
  <c r="E672" i="4"/>
  <c r="B672" i="4"/>
  <c r="A672" i="4"/>
  <c r="M671" i="4"/>
  <c r="L671" i="4"/>
  <c r="B671" i="4"/>
  <c r="A671" i="4"/>
  <c r="M670" i="4"/>
  <c r="L670" i="4"/>
  <c r="G670" i="4"/>
  <c r="A670" i="4"/>
  <c r="M669" i="4"/>
  <c r="L669" i="4"/>
  <c r="K669" i="4"/>
  <c r="J669" i="4"/>
  <c r="I669" i="4"/>
  <c r="H669" i="4"/>
  <c r="D669" i="4"/>
  <c r="C669" i="4"/>
  <c r="A669" i="4"/>
  <c r="M668" i="4"/>
  <c r="L668" i="4"/>
  <c r="K668" i="4"/>
  <c r="J668" i="4"/>
  <c r="I668" i="4"/>
  <c r="F668" i="4"/>
  <c r="E668" i="4"/>
  <c r="D668" i="4"/>
  <c r="C668" i="4"/>
  <c r="B668" i="4"/>
  <c r="A668" i="4"/>
  <c r="L667" i="4"/>
  <c r="G667" i="4"/>
  <c r="F667" i="4"/>
  <c r="E667" i="4"/>
  <c r="A667" i="4"/>
  <c r="K667" i="4" s="1"/>
  <c r="K666" i="4"/>
  <c r="H666" i="4"/>
  <c r="F666" i="4"/>
  <c r="E666" i="4"/>
  <c r="C666" i="4"/>
  <c r="A666" i="4"/>
  <c r="M665" i="4"/>
  <c r="I665" i="4"/>
  <c r="H665" i="4"/>
  <c r="G665" i="4"/>
  <c r="F665" i="4"/>
  <c r="E665" i="4"/>
  <c r="D665" i="4"/>
  <c r="C665" i="4"/>
  <c r="B665" i="4"/>
  <c r="A665" i="4"/>
  <c r="L665" i="4" s="1"/>
  <c r="M664" i="4"/>
  <c r="J664" i="4"/>
  <c r="G664" i="4"/>
  <c r="F664" i="4"/>
  <c r="E664" i="4"/>
  <c r="D664" i="4"/>
  <c r="C664" i="4"/>
  <c r="B664" i="4"/>
  <c r="A664" i="4"/>
  <c r="K663" i="4"/>
  <c r="J663" i="4"/>
  <c r="I663" i="4"/>
  <c r="H663" i="4"/>
  <c r="G663" i="4"/>
  <c r="F663" i="4"/>
  <c r="E663" i="4"/>
  <c r="D663" i="4"/>
  <c r="C663" i="4"/>
  <c r="B663" i="4"/>
  <c r="A663" i="4"/>
  <c r="M663" i="4" s="1"/>
  <c r="L662" i="4"/>
  <c r="K662" i="4"/>
  <c r="J662" i="4"/>
  <c r="I662" i="4"/>
  <c r="H662" i="4"/>
  <c r="G662" i="4"/>
  <c r="F662" i="4"/>
  <c r="E662" i="4"/>
  <c r="D662" i="4"/>
  <c r="C662" i="4"/>
  <c r="B662" i="4"/>
  <c r="A662" i="4"/>
  <c r="M662" i="4" s="1"/>
  <c r="K661" i="4"/>
  <c r="J661" i="4"/>
  <c r="F661" i="4"/>
  <c r="E661" i="4"/>
  <c r="D661" i="4"/>
  <c r="A661" i="4"/>
  <c r="M660" i="4"/>
  <c r="L660" i="4"/>
  <c r="J660" i="4"/>
  <c r="I660" i="4"/>
  <c r="E660" i="4"/>
  <c r="B660" i="4"/>
  <c r="A660" i="4"/>
  <c r="L659" i="4"/>
  <c r="K659" i="4"/>
  <c r="C659" i="4"/>
  <c r="B659" i="4"/>
  <c r="A659" i="4"/>
  <c r="A658" i="4"/>
  <c r="M657" i="4"/>
  <c r="L657" i="4"/>
  <c r="K657" i="4"/>
  <c r="J657" i="4"/>
  <c r="F657" i="4"/>
  <c r="E657" i="4"/>
  <c r="A657" i="4"/>
  <c r="A656" i="4"/>
  <c r="M655" i="4"/>
  <c r="L655" i="4"/>
  <c r="K655" i="4"/>
  <c r="J655" i="4"/>
  <c r="H655" i="4"/>
  <c r="G655" i="4"/>
  <c r="D655" i="4"/>
  <c r="C655" i="4"/>
  <c r="B655" i="4"/>
  <c r="A655" i="4"/>
  <c r="L654" i="4"/>
  <c r="I654" i="4"/>
  <c r="H654" i="4"/>
  <c r="B654" i="4"/>
  <c r="A654" i="4"/>
  <c r="M654" i="4" s="1"/>
  <c r="M653" i="4"/>
  <c r="J653" i="4"/>
  <c r="I653" i="4"/>
  <c r="E653" i="4"/>
  <c r="D653" i="4"/>
  <c r="C653" i="4"/>
  <c r="B653" i="4"/>
  <c r="A653" i="4"/>
  <c r="K652" i="4"/>
  <c r="J652" i="4"/>
  <c r="F652" i="4"/>
  <c r="E652" i="4"/>
  <c r="C652" i="4"/>
  <c r="B652" i="4"/>
  <c r="A652" i="4"/>
  <c r="L651" i="4"/>
  <c r="K651" i="4"/>
  <c r="I651" i="4"/>
  <c r="H651" i="4"/>
  <c r="G651" i="4"/>
  <c r="F651" i="4"/>
  <c r="E651" i="4"/>
  <c r="D651" i="4"/>
  <c r="C651" i="4"/>
  <c r="B651" i="4"/>
  <c r="A651" i="4"/>
  <c r="M651" i="4" s="1"/>
  <c r="M650" i="4"/>
  <c r="L650" i="4"/>
  <c r="I650" i="4"/>
  <c r="H650" i="4"/>
  <c r="G650" i="4"/>
  <c r="F650" i="4"/>
  <c r="D650" i="4"/>
  <c r="C650" i="4"/>
  <c r="A650" i="4"/>
  <c r="M649" i="4"/>
  <c r="J649" i="4"/>
  <c r="I649" i="4"/>
  <c r="H649" i="4"/>
  <c r="G649" i="4"/>
  <c r="F649" i="4"/>
  <c r="E649" i="4"/>
  <c r="D649" i="4"/>
  <c r="A649" i="4"/>
  <c r="L648" i="4"/>
  <c r="K648" i="4"/>
  <c r="J648" i="4"/>
  <c r="I648" i="4"/>
  <c r="H648" i="4"/>
  <c r="G648" i="4"/>
  <c r="F648" i="4"/>
  <c r="E648" i="4"/>
  <c r="C648" i="4"/>
  <c r="B648" i="4"/>
  <c r="A648" i="4"/>
  <c r="D648" i="4" s="1"/>
  <c r="L647" i="4"/>
  <c r="K647" i="4"/>
  <c r="J647" i="4"/>
  <c r="I647" i="4"/>
  <c r="H647" i="4"/>
  <c r="G647" i="4"/>
  <c r="F647" i="4"/>
  <c r="D647" i="4"/>
  <c r="C647" i="4"/>
  <c r="A647" i="4"/>
  <c r="E647" i="4" s="1"/>
  <c r="A646" i="4"/>
  <c r="M645" i="4"/>
  <c r="K645" i="4"/>
  <c r="I645" i="4"/>
  <c r="H645" i="4"/>
  <c r="A645" i="4"/>
  <c r="L645" i="4" s="1"/>
  <c r="M644" i="4"/>
  <c r="K644" i="4"/>
  <c r="C644" i="4"/>
  <c r="A644" i="4"/>
  <c r="M643" i="4"/>
  <c r="H643" i="4"/>
  <c r="D643" i="4"/>
  <c r="B643" i="4"/>
  <c r="A643" i="4"/>
  <c r="M642" i="4"/>
  <c r="L642" i="4"/>
  <c r="K642" i="4"/>
  <c r="I642" i="4"/>
  <c r="H642" i="4"/>
  <c r="E642" i="4"/>
  <c r="D642" i="4"/>
  <c r="C642" i="4"/>
  <c r="B642" i="4"/>
  <c r="A642" i="4"/>
  <c r="M641" i="4"/>
  <c r="L641" i="4"/>
  <c r="F641" i="4"/>
  <c r="E641" i="4"/>
  <c r="D641" i="4"/>
  <c r="A641" i="4"/>
  <c r="I641" i="4" s="1"/>
  <c r="A640" i="4"/>
  <c r="L639" i="4"/>
  <c r="K639" i="4"/>
  <c r="I639" i="4"/>
  <c r="H639" i="4"/>
  <c r="G639" i="4"/>
  <c r="F639" i="4"/>
  <c r="E639" i="4"/>
  <c r="D639" i="4"/>
  <c r="C639" i="4"/>
  <c r="B639" i="4"/>
  <c r="A639" i="4"/>
  <c r="M639" i="4" s="1"/>
  <c r="M638" i="4"/>
  <c r="L638" i="4"/>
  <c r="E638" i="4"/>
  <c r="A638" i="4"/>
  <c r="M637" i="4"/>
  <c r="J637" i="4"/>
  <c r="I637" i="4"/>
  <c r="H637" i="4"/>
  <c r="G637" i="4"/>
  <c r="F637" i="4"/>
  <c r="D637" i="4"/>
  <c r="B637" i="4"/>
  <c r="A637" i="4"/>
  <c r="L636" i="4"/>
  <c r="K636" i="4"/>
  <c r="J636" i="4"/>
  <c r="I636" i="4"/>
  <c r="H636" i="4"/>
  <c r="G636" i="4"/>
  <c r="F636" i="4"/>
  <c r="E636" i="4"/>
  <c r="D636" i="4"/>
  <c r="C636" i="4"/>
  <c r="B636" i="4"/>
  <c r="A636" i="4"/>
  <c r="M636" i="4" s="1"/>
  <c r="L635" i="4"/>
  <c r="K635" i="4"/>
  <c r="J635" i="4"/>
  <c r="I635" i="4"/>
  <c r="H635" i="4"/>
  <c r="G635" i="4"/>
  <c r="F635" i="4"/>
  <c r="D635" i="4"/>
  <c r="C635" i="4"/>
  <c r="A635" i="4"/>
  <c r="E635" i="4" s="1"/>
  <c r="A634" i="4"/>
  <c r="A633" i="4"/>
  <c r="M632" i="4"/>
  <c r="L632" i="4"/>
  <c r="J632" i="4"/>
  <c r="I632" i="4"/>
  <c r="F632" i="4"/>
  <c r="C632" i="4"/>
  <c r="B632" i="4"/>
  <c r="A632" i="4"/>
  <c r="G631" i="4"/>
  <c r="B631" i="4"/>
  <c r="A631" i="4"/>
  <c r="M630" i="4"/>
  <c r="H630" i="4"/>
  <c r="D630" i="4"/>
  <c r="B630" i="4"/>
  <c r="A630" i="4"/>
  <c r="L629" i="4"/>
  <c r="J629" i="4"/>
  <c r="I629" i="4"/>
  <c r="C629" i="4"/>
  <c r="A629" i="4"/>
  <c r="M629" i="4" s="1"/>
  <c r="M628" i="4"/>
  <c r="K628" i="4"/>
  <c r="J628" i="4"/>
  <c r="H628" i="4"/>
  <c r="G628" i="4"/>
  <c r="F628" i="4"/>
  <c r="E628" i="4"/>
  <c r="C628" i="4"/>
  <c r="B628" i="4"/>
  <c r="A628" i="4"/>
  <c r="L627" i="4"/>
  <c r="K627" i="4"/>
  <c r="I627" i="4"/>
  <c r="H627" i="4"/>
  <c r="G627" i="4"/>
  <c r="F627" i="4"/>
  <c r="E627" i="4"/>
  <c r="D627" i="4"/>
  <c r="C627" i="4"/>
  <c r="B627" i="4"/>
  <c r="A627" i="4"/>
  <c r="M627" i="4" s="1"/>
  <c r="D626" i="4"/>
  <c r="A626" i="4"/>
  <c r="M625" i="4"/>
  <c r="K625" i="4"/>
  <c r="J625" i="4"/>
  <c r="I625" i="4"/>
  <c r="H625" i="4"/>
  <c r="G625" i="4"/>
  <c r="F625" i="4"/>
  <c r="E625" i="4"/>
  <c r="D625" i="4"/>
  <c r="B625" i="4"/>
  <c r="A625" i="4"/>
  <c r="L624" i="4"/>
  <c r="K624" i="4"/>
  <c r="J624" i="4"/>
  <c r="I624" i="4"/>
  <c r="H624" i="4"/>
  <c r="G624" i="4"/>
  <c r="F624" i="4"/>
  <c r="E624" i="4"/>
  <c r="D624" i="4"/>
  <c r="C624" i="4"/>
  <c r="B624" i="4"/>
  <c r="A624" i="4"/>
  <c r="M624" i="4" s="1"/>
  <c r="M623" i="4"/>
  <c r="L623" i="4"/>
  <c r="G623" i="4"/>
  <c r="D623" i="4"/>
  <c r="C623" i="4"/>
  <c r="A623" i="4"/>
  <c r="K622" i="4"/>
  <c r="I622" i="4"/>
  <c r="H622" i="4"/>
  <c r="B622" i="4"/>
  <c r="A622" i="4"/>
  <c r="L622" i="4" s="1"/>
  <c r="M621" i="4"/>
  <c r="K621" i="4"/>
  <c r="J621" i="4"/>
  <c r="H621" i="4"/>
  <c r="F621" i="4"/>
  <c r="E621" i="4"/>
  <c r="C621" i="4"/>
  <c r="B621" i="4"/>
  <c r="A621" i="4"/>
  <c r="F620" i="4"/>
  <c r="B620" i="4"/>
  <c r="A620" i="4"/>
  <c r="M619" i="4"/>
  <c r="G619" i="4"/>
  <c r="C619" i="4"/>
  <c r="B619" i="4"/>
  <c r="A619" i="4"/>
  <c r="L618" i="4"/>
  <c r="K618" i="4"/>
  <c r="I618" i="4"/>
  <c r="B618" i="4"/>
  <c r="A618" i="4"/>
  <c r="M618" i="4" s="1"/>
  <c r="M617" i="4"/>
  <c r="L617" i="4"/>
  <c r="J617" i="4"/>
  <c r="I617" i="4"/>
  <c r="G617" i="4"/>
  <c r="E617" i="4"/>
  <c r="D617" i="4"/>
  <c r="B617" i="4"/>
  <c r="A617" i="4"/>
  <c r="A616" i="4"/>
  <c r="L615" i="4"/>
  <c r="K615" i="4"/>
  <c r="I615" i="4"/>
  <c r="H615" i="4"/>
  <c r="G615" i="4"/>
  <c r="F615" i="4"/>
  <c r="E615" i="4"/>
  <c r="D615" i="4"/>
  <c r="C615" i="4"/>
  <c r="B615" i="4"/>
  <c r="A615" i="4"/>
  <c r="M615" i="4" s="1"/>
  <c r="M614" i="4"/>
  <c r="L614" i="4"/>
  <c r="G614" i="4"/>
  <c r="E614" i="4"/>
  <c r="C614" i="4"/>
  <c r="A614" i="4"/>
  <c r="J613" i="4"/>
  <c r="I613" i="4"/>
  <c r="H613" i="4"/>
  <c r="D613" i="4"/>
  <c r="A613" i="4"/>
  <c r="K613" i="4" s="1"/>
  <c r="L612" i="4"/>
  <c r="K612" i="4"/>
  <c r="J612" i="4"/>
  <c r="I612" i="4"/>
  <c r="H612" i="4"/>
  <c r="G612" i="4"/>
  <c r="F612" i="4"/>
  <c r="E612" i="4"/>
  <c r="C612" i="4"/>
  <c r="B612" i="4"/>
  <c r="A612" i="4"/>
  <c r="D612" i="4" s="1"/>
  <c r="M611" i="4"/>
  <c r="L611" i="4"/>
  <c r="J611" i="4"/>
  <c r="I611" i="4"/>
  <c r="H611" i="4"/>
  <c r="G611" i="4"/>
  <c r="F611" i="4"/>
  <c r="D611" i="4"/>
  <c r="C611" i="4"/>
  <c r="A611" i="4"/>
  <c r="G610" i="4"/>
  <c r="B610" i="4"/>
  <c r="A610" i="4"/>
  <c r="M609" i="4"/>
  <c r="F609" i="4"/>
  <c r="C609" i="4"/>
  <c r="B609" i="4"/>
  <c r="A609" i="4"/>
  <c r="L608" i="4"/>
  <c r="J608" i="4"/>
  <c r="I608" i="4"/>
  <c r="B608" i="4"/>
  <c r="A608" i="4"/>
  <c r="M608" i="4" s="1"/>
  <c r="M607" i="4"/>
  <c r="L607" i="4"/>
  <c r="K607" i="4"/>
  <c r="H607" i="4"/>
  <c r="G607" i="4"/>
  <c r="D607" i="4"/>
  <c r="C607" i="4"/>
  <c r="B607" i="4"/>
  <c r="A607" i="4"/>
  <c r="A606" i="4"/>
  <c r="M605" i="4"/>
  <c r="G605" i="4"/>
  <c r="D605" i="4"/>
  <c r="B605" i="4"/>
  <c r="A605" i="4"/>
  <c r="K604" i="4"/>
  <c r="J604" i="4"/>
  <c r="H604" i="4"/>
  <c r="C604" i="4"/>
  <c r="A604" i="4"/>
  <c r="M604" i="4" s="1"/>
  <c r="L603" i="4"/>
  <c r="K603" i="4"/>
  <c r="J603" i="4"/>
  <c r="I603" i="4"/>
  <c r="H603" i="4"/>
  <c r="G603" i="4"/>
  <c r="F603" i="4"/>
  <c r="E603" i="4"/>
  <c r="D603" i="4"/>
  <c r="C603" i="4"/>
  <c r="B603" i="4"/>
  <c r="A603" i="4"/>
  <c r="M603" i="4" s="1"/>
  <c r="M602" i="4"/>
  <c r="L602" i="4"/>
  <c r="J602" i="4"/>
  <c r="I602" i="4"/>
  <c r="H602" i="4"/>
  <c r="G602" i="4"/>
  <c r="F602" i="4"/>
  <c r="D602" i="4"/>
  <c r="C602" i="4"/>
  <c r="A602" i="4"/>
  <c r="M601" i="4"/>
  <c r="K601" i="4"/>
  <c r="J601" i="4"/>
  <c r="I601" i="4"/>
  <c r="H601" i="4"/>
  <c r="G601" i="4"/>
  <c r="F601" i="4"/>
  <c r="E601" i="4"/>
  <c r="B601" i="4"/>
  <c r="A601" i="4"/>
  <c r="L600" i="4"/>
  <c r="K600" i="4"/>
  <c r="J600" i="4"/>
  <c r="I600" i="4"/>
  <c r="H600" i="4"/>
  <c r="G600" i="4"/>
  <c r="F600" i="4"/>
  <c r="E600" i="4"/>
  <c r="C600" i="4"/>
  <c r="B600" i="4"/>
  <c r="A600" i="4"/>
  <c r="D600" i="4" s="1"/>
  <c r="M599" i="4"/>
  <c r="L599" i="4"/>
  <c r="K599" i="4"/>
  <c r="J599" i="4"/>
  <c r="I599" i="4"/>
  <c r="H599" i="4"/>
  <c r="G599" i="4"/>
  <c r="F599" i="4"/>
  <c r="D599" i="4"/>
  <c r="C599" i="4"/>
  <c r="A599" i="4"/>
  <c r="M598" i="4"/>
  <c r="H598" i="4"/>
  <c r="G598" i="4"/>
  <c r="E598" i="4"/>
  <c r="D598" i="4"/>
  <c r="B598" i="4"/>
  <c r="A598" i="4"/>
  <c r="L597" i="4"/>
  <c r="K597" i="4"/>
  <c r="I597" i="4"/>
  <c r="C597" i="4"/>
  <c r="A597" i="4"/>
  <c r="M596" i="4"/>
  <c r="K596" i="4"/>
  <c r="J596" i="4"/>
  <c r="G596" i="4"/>
  <c r="F596" i="4"/>
  <c r="D596" i="4"/>
  <c r="A596" i="4"/>
  <c r="A595" i="4"/>
  <c r="H594" i="4"/>
  <c r="F594" i="4"/>
  <c r="D594" i="4"/>
  <c r="C594" i="4"/>
  <c r="B594" i="4"/>
  <c r="A594" i="4"/>
  <c r="M593" i="4"/>
  <c r="L593" i="4"/>
  <c r="J593" i="4"/>
  <c r="C593" i="4"/>
  <c r="A593" i="4"/>
  <c r="M592" i="4"/>
  <c r="K592" i="4"/>
  <c r="J592" i="4"/>
  <c r="H592" i="4"/>
  <c r="G592" i="4"/>
  <c r="E592" i="4"/>
  <c r="A592" i="4"/>
  <c r="L591" i="4"/>
  <c r="K591" i="4"/>
  <c r="I591" i="4"/>
  <c r="H591" i="4"/>
  <c r="G591" i="4"/>
  <c r="F591" i="4"/>
  <c r="E591" i="4"/>
  <c r="D591" i="4"/>
  <c r="C591" i="4"/>
  <c r="B591" i="4"/>
  <c r="A591" i="4"/>
  <c r="M591" i="4" s="1"/>
  <c r="M590" i="4"/>
  <c r="L590" i="4"/>
  <c r="J590" i="4"/>
  <c r="I590" i="4"/>
  <c r="H590" i="4"/>
  <c r="G590" i="4"/>
  <c r="F590" i="4"/>
  <c r="D590" i="4"/>
  <c r="C590" i="4"/>
  <c r="A590" i="4"/>
  <c r="A589" i="4"/>
  <c r="L588" i="4"/>
  <c r="K588" i="4"/>
  <c r="J588" i="4"/>
  <c r="I588" i="4"/>
  <c r="H588" i="4"/>
  <c r="G588" i="4"/>
  <c r="F588" i="4"/>
  <c r="E588" i="4"/>
  <c r="C588" i="4"/>
  <c r="B588" i="4"/>
  <c r="A588" i="4"/>
  <c r="D588" i="4" s="1"/>
  <c r="M587" i="4"/>
  <c r="L587" i="4"/>
  <c r="K587" i="4"/>
  <c r="J587" i="4"/>
  <c r="I587" i="4"/>
  <c r="H587" i="4"/>
  <c r="G587" i="4"/>
  <c r="F587" i="4"/>
  <c r="D587" i="4"/>
  <c r="C587" i="4"/>
  <c r="A587" i="4"/>
  <c r="L586" i="4"/>
  <c r="J586" i="4"/>
  <c r="D586" i="4"/>
  <c r="A586" i="4"/>
  <c r="L585" i="4"/>
  <c r="K585" i="4"/>
  <c r="I585" i="4"/>
  <c r="H585" i="4"/>
  <c r="F585" i="4"/>
  <c r="E585" i="4"/>
  <c r="A585" i="4"/>
  <c r="M584" i="4"/>
  <c r="J584" i="4"/>
  <c r="G584" i="4"/>
  <c r="C584" i="4"/>
  <c r="B584" i="4"/>
  <c r="A584" i="4"/>
  <c r="H583" i="4"/>
  <c r="E583" i="4"/>
  <c r="D583" i="4"/>
  <c r="C583" i="4"/>
  <c r="B583" i="4"/>
  <c r="A583" i="4"/>
  <c r="M582" i="4"/>
  <c r="L582" i="4"/>
  <c r="C582" i="4"/>
  <c r="A582" i="4"/>
  <c r="M581" i="4"/>
  <c r="L581" i="4"/>
  <c r="J581" i="4"/>
  <c r="I581" i="4"/>
  <c r="F581" i="4"/>
  <c r="E581" i="4"/>
  <c r="A581" i="4"/>
  <c r="M580" i="4"/>
  <c r="J580" i="4"/>
  <c r="H580" i="4"/>
  <c r="D580" i="4"/>
  <c r="B580" i="4"/>
  <c r="A580" i="4"/>
  <c r="L579" i="4"/>
  <c r="K579" i="4"/>
  <c r="I579" i="4"/>
  <c r="H579" i="4"/>
  <c r="G579" i="4"/>
  <c r="F579" i="4"/>
  <c r="E579" i="4"/>
  <c r="D579" i="4"/>
  <c r="C579" i="4"/>
  <c r="B579" i="4"/>
  <c r="A579" i="4"/>
  <c r="M579" i="4" s="1"/>
  <c r="M578" i="4"/>
  <c r="L578" i="4"/>
  <c r="J578" i="4"/>
  <c r="I578" i="4"/>
  <c r="H578" i="4"/>
  <c r="G578" i="4"/>
  <c r="F578" i="4"/>
  <c r="D578" i="4"/>
  <c r="C578" i="4"/>
  <c r="A578" i="4"/>
  <c r="B577" i="4"/>
  <c r="A577" i="4"/>
  <c r="L576" i="4"/>
  <c r="K576" i="4"/>
  <c r="J576" i="4"/>
  <c r="I576" i="4"/>
  <c r="H576" i="4"/>
  <c r="G576" i="4"/>
  <c r="F576" i="4"/>
  <c r="E576" i="4"/>
  <c r="C576" i="4"/>
  <c r="B576" i="4"/>
  <c r="A576" i="4"/>
  <c r="D576" i="4" s="1"/>
  <c r="M575" i="4"/>
  <c r="L575" i="4"/>
  <c r="K575" i="4"/>
  <c r="J575" i="4"/>
  <c r="I575" i="4"/>
  <c r="H575" i="4"/>
  <c r="G575" i="4"/>
  <c r="F575" i="4"/>
  <c r="D575" i="4"/>
  <c r="C575" i="4"/>
  <c r="A575" i="4"/>
  <c r="M574" i="4"/>
  <c r="L574" i="4"/>
  <c r="J574" i="4"/>
  <c r="I574" i="4"/>
  <c r="H574" i="4"/>
  <c r="G574" i="4"/>
  <c r="E574" i="4"/>
  <c r="A574" i="4"/>
  <c r="C573" i="4"/>
  <c r="B573" i="4"/>
  <c r="A573" i="4"/>
  <c r="G572" i="4"/>
  <c r="F572" i="4"/>
  <c r="D572" i="4"/>
  <c r="C572" i="4"/>
  <c r="B572" i="4"/>
  <c r="A572" i="4"/>
  <c r="C571" i="4"/>
  <c r="A571" i="4"/>
  <c r="M570" i="4"/>
  <c r="L570" i="4"/>
  <c r="K570" i="4"/>
  <c r="H570" i="4"/>
  <c r="F570" i="4"/>
  <c r="D570" i="4"/>
  <c r="A570" i="4"/>
  <c r="A569" i="4"/>
  <c r="H568" i="4"/>
  <c r="G568" i="4"/>
  <c r="E568" i="4"/>
  <c r="D568" i="4"/>
  <c r="B568" i="4"/>
  <c r="A568" i="4"/>
  <c r="L567" i="4"/>
  <c r="K567" i="4"/>
  <c r="I567" i="4"/>
  <c r="H567" i="4"/>
  <c r="G567" i="4"/>
  <c r="F567" i="4"/>
  <c r="E567" i="4"/>
  <c r="D567" i="4"/>
  <c r="C567" i="4"/>
  <c r="B567" i="4"/>
  <c r="A567" i="4"/>
  <c r="M567" i="4" s="1"/>
  <c r="M566" i="4"/>
  <c r="L566" i="4"/>
  <c r="J566" i="4"/>
  <c r="I566" i="4"/>
  <c r="H566" i="4"/>
  <c r="G566" i="4"/>
  <c r="F566" i="4"/>
  <c r="D566" i="4"/>
  <c r="C566" i="4"/>
  <c r="A566" i="4"/>
  <c r="M565" i="4"/>
  <c r="I565" i="4"/>
  <c r="G565" i="4"/>
  <c r="A565" i="4"/>
  <c r="L564" i="4"/>
  <c r="K564" i="4"/>
  <c r="J564" i="4"/>
  <c r="I564" i="4"/>
  <c r="H564" i="4"/>
  <c r="G564" i="4"/>
  <c r="F564" i="4"/>
  <c r="E564" i="4"/>
  <c r="D564" i="4"/>
  <c r="C564" i="4"/>
  <c r="B564" i="4"/>
  <c r="A564" i="4"/>
  <c r="M564" i="4" s="1"/>
  <c r="L563" i="4"/>
  <c r="K563" i="4"/>
  <c r="J563" i="4"/>
  <c r="I563" i="4"/>
  <c r="H563" i="4"/>
  <c r="G563" i="4"/>
  <c r="F563" i="4"/>
  <c r="D563" i="4"/>
  <c r="A563" i="4"/>
  <c r="M562" i="4"/>
  <c r="L562" i="4"/>
  <c r="K562" i="4"/>
  <c r="J562" i="4"/>
  <c r="I562" i="4"/>
  <c r="H562" i="4"/>
  <c r="G562" i="4"/>
  <c r="E562" i="4"/>
  <c r="D562" i="4"/>
  <c r="B562" i="4"/>
  <c r="A562" i="4"/>
  <c r="I561" i="4"/>
  <c r="E561" i="4"/>
  <c r="A561" i="4"/>
  <c r="K560" i="4"/>
  <c r="D560" i="4"/>
  <c r="B560" i="4"/>
  <c r="A560" i="4"/>
  <c r="A559" i="4"/>
  <c r="M558" i="4"/>
  <c r="L558" i="4"/>
  <c r="I558" i="4"/>
  <c r="H558" i="4"/>
  <c r="E558" i="4"/>
  <c r="D558" i="4"/>
  <c r="C558" i="4"/>
  <c r="B558" i="4"/>
  <c r="A558" i="4"/>
  <c r="J557" i="4"/>
  <c r="F557" i="4"/>
  <c r="D557" i="4"/>
  <c r="A557" i="4"/>
  <c r="A556" i="4"/>
  <c r="L555" i="4"/>
  <c r="K555" i="4"/>
  <c r="J555" i="4"/>
  <c r="I555" i="4"/>
  <c r="H555" i="4"/>
  <c r="G555" i="4"/>
  <c r="F555" i="4"/>
  <c r="E555" i="4"/>
  <c r="D555" i="4"/>
  <c r="C555" i="4"/>
  <c r="B555" i="4"/>
  <c r="A555" i="4"/>
  <c r="M555" i="4" s="1"/>
  <c r="J554" i="4"/>
  <c r="A554" i="4"/>
  <c r="M553" i="4"/>
  <c r="K553" i="4"/>
  <c r="J553" i="4"/>
  <c r="I553" i="4"/>
  <c r="H553" i="4"/>
  <c r="G553" i="4"/>
  <c r="E553" i="4"/>
  <c r="D553" i="4"/>
  <c r="A553" i="4"/>
  <c r="L552" i="4"/>
  <c r="K552" i="4"/>
  <c r="J552" i="4"/>
  <c r="I552" i="4"/>
  <c r="H552" i="4"/>
  <c r="G552" i="4"/>
  <c r="F552" i="4"/>
  <c r="E552" i="4"/>
  <c r="C552" i="4"/>
  <c r="B552" i="4"/>
  <c r="A552" i="4"/>
  <c r="D552" i="4" s="1"/>
  <c r="A551" i="4"/>
  <c r="L550" i="4"/>
  <c r="K550" i="4"/>
  <c r="D550" i="4"/>
  <c r="A550" i="4"/>
  <c r="M549" i="4"/>
  <c r="L549" i="4"/>
  <c r="K549" i="4"/>
  <c r="J549" i="4"/>
  <c r="I549" i="4"/>
  <c r="H549" i="4"/>
  <c r="F549" i="4"/>
  <c r="E549" i="4"/>
  <c r="C549" i="4"/>
  <c r="B549" i="4"/>
  <c r="A549" i="4"/>
  <c r="G548" i="4"/>
  <c r="F548" i="4"/>
  <c r="A548" i="4"/>
  <c r="L547" i="4"/>
  <c r="K547" i="4"/>
  <c r="H547" i="4"/>
  <c r="G547" i="4"/>
  <c r="E547" i="4"/>
  <c r="D547" i="4"/>
  <c r="C547" i="4"/>
  <c r="B547" i="4"/>
  <c r="A547" i="4"/>
  <c r="I546" i="4"/>
  <c r="E546" i="4"/>
  <c r="D546" i="4"/>
  <c r="A546" i="4"/>
  <c r="M545" i="4"/>
  <c r="L545" i="4"/>
  <c r="D545" i="4"/>
  <c r="B545" i="4"/>
  <c r="A545" i="4"/>
  <c r="A544" i="4"/>
  <c r="L543" i="4"/>
  <c r="K543" i="4"/>
  <c r="I543" i="4"/>
  <c r="H543" i="4"/>
  <c r="G543" i="4"/>
  <c r="F543" i="4"/>
  <c r="E543" i="4"/>
  <c r="D543" i="4"/>
  <c r="C543" i="4"/>
  <c r="B543" i="4"/>
  <c r="A543" i="4"/>
  <c r="M543" i="4" s="1"/>
  <c r="I542" i="4"/>
  <c r="A542" i="4"/>
  <c r="I541" i="4"/>
  <c r="H541" i="4"/>
  <c r="G541" i="4"/>
  <c r="E541" i="4"/>
  <c r="D541" i="4"/>
  <c r="A541" i="4"/>
  <c r="L540" i="4"/>
  <c r="K540" i="4"/>
  <c r="J540" i="4"/>
  <c r="I540" i="4"/>
  <c r="H540" i="4"/>
  <c r="G540" i="4"/>
  <c r="F540" i="4"/>
  <c r="E540" i="4"/>
  <c r="D540" i="4"/>
  <c r="C540" i="4"/>
  <c r="B540" i="4"/>
  <c r="A540" i="4"/>
  <c r="M540" i="4" s="1"/>
  <c r="M539" i="4"/>
  <c r="L539" i="4"/>
  <c r="K539" i="4"/>
  <c r="J539" i="4"/>
  <c r="I539" i="4"/>
  <c r="H539" i="4"/>
  <c r="G539" i="4"/>
  <c r="D539" i="4"/>
  <c r="C539" i="4"/>
  <c r="A539" i="4"/>
  <c r="M538" i="4"/>
  <c r="K538" i="4"/>
  <c r="J538" i="4"/>
  <c r="I538" i="4"/>
  <c r="B538" i="4"/>
  <c r="A538" i="4"/>
  <c r="L538" i="4" s="1"/>
  <c r="L537" i="4"/>
  <c r="K537" i="4"/>
  <c r="J537" i="4"/>
  <c r="I537" i="4"/>
  <c r="H537" i="4"/>
  <c r="F537" i="4"/>
  <c r="E537" i="4"/>
  <c r="C537" i="4"/>
  <c r="A537" i="4"/>
  <c r="M536" i="4"/>
  <c r="L536" i="4"/>
  <c r="K536" i="4"/>
  <c r="J536" i="4"/>
  <c r="I536" i="4"/>
  <c r="G536" i="4"/>
  <c r="F536" i="4"/>
  <c r="D536" i="4"/>
  <c r="C536" i="4"/>
  <c r="B536" i="4"/>
  <c r="A536" i="4"/>
  <c r="J535" i="4"/>
  <c r="G535" i="4"/>
  <c r="E535" i="4"/>
  <c r="B535" i="4"/>
  <c r="A535" i="4"/>
  <c r="L534" i="4"/>
  <c r="E534" i="4"/>
  <c r="C534" i="4"/>
  <c r="B534" i="4"/>
  <c r="A534" i="4"/>
  <c r="J533" i="4"/>
  <c r="I533" i="4"/>
  <c r="F533" i="4"/>
  <c r="B533" i="4"/>
  <c r="A533" i="4"/>
  <c r="M533" i="4" s="1"/>
  <c r="M532" i="4"/>
  <c r="K532" i="4"/>
  <c r="H532" i="4"/>
  <c r="G532" i="4"/>
  <c r="E532" i="4"/>
  <c r="D532" i="4"/>
  <c r="C532" i="4"/>
  <c r="B532" i="4"/>
  <c r="A532" i="4"/>
  <c r="L531" i="4"/>
  <c r="K531" i="4"/>
  <c r="I531" i="4"/>
  <c r="H531" i="4"/>
  <c r="G531" i="4"/>
  <c r="F531" i="4"/>
  <c r="E531" i="4"/>
  <c r="D531" i="4"/>
  <c r="C531" i="4"/>
  <c r="B531" i="4"/>
  <c r="A531" i="4"/>
  <c r="M531" i="4" s="1"/>
  <c r="A530" i="4"/>
  <c r="A529" i="4"/>
  <c r="L528" i="4"/>
  <c r="K528" i="4"/>
  <c r="J528" i="4"/>
  <c r="I528" i="4"/>
  <c r="H528" i="4"/>
  <c r="G528" i="4"/>
  <c r="F528" i="4"/>
  <c r="E528" i="4"/>
  <c r="D528" i="4"/>
  <c r="C528" i="4"/>
  <c r="B528" i="4"/>
  <c r="A528" i="4"/>
  <c r="M528" i="4" s="1"/>
  <c r="K527" i="4"/>
  <c r="J527" i="4"/>
  <c r="I527" i="4"/>
  <c r="A527" i="4"/>
  <c r="M526" i="4"/>
  <c r="L526" i="4"/>
  <c r="K526" i="4"/>
  <c r="J526" i="4"/>
  <c r="I526" i="4"/>
  <c r="H526" i="4"/>
  <c r="G526" i="4"/>
  <c r="D526" i="4"/>
  <c r="B526" i="4"/>
  <c r="A526" i="4"/>
  <c r="I525" i="4"/>
  <c r="E525" i="4"/>
  <c r="B525" i="4"/>
  <c r="A525" i="4"/>
  <c r="I524" i="4"/>
  <c r="G524" i="4"/>
  <c r="F524" i="4"/>
  <c r="D524" i="4"/>
  <c r="C524" i="4"/>
  <c r="A524" i="4"/>
  <c r="M523" i="4"/>
  <c r="L523" i="4"/>
  <c r="K523" i="4"/>
  <c r="J523" i="4"/>
  <c r="H523" i="4"/>
  <c r="G523" i="4"/>
  <c r="E523" i="4"/>
  <c r="D523" i="4"/>
  <c r="C523" i="4"/>
  <c r="B523" i="4"/>
  <c r="A523" i="4"/>
  <c r="A522" i="4"/>
  <c r="L521" i="4"/>
  <c r="J521" i="4"/>
  <c r="G521" i="4"/>
  <c r="F521" i="4"/>
  <c r="E521" i="4"/>
  <c r="D521" i="4"/>
  <c r="A521" i="4"/>
  <c r="C520" i="4"/>
  <c r="B520" i="4"/>
  <c r="A520" i="4"/>
  <c r="L519" i="4"/>
  <c r="K519" i="4"/>
  <c r="I519" i="4"/>
  <c r="H519" i="4"/>
  <c r="G519" i="4"/>
  <c r="F519" i="4"/>
  <c r="E519" i="4"/>
  <c r="D519" i="4"/>
  <c r="C519" i="4"/>
  <c r="B519" i="4"/>
  <c r="A519" i="4"/>
  <c r="M519" i="4" s="1"/>
  <c r="M518" i="4"/>
  <c r="G518" i="4"/>
  <c r="D518" i="4"/>
  <c r="C518" i="4"/>
  <c r="A518" i="4"/>
  <c r="K517" i="4"/>
  <c r="J517" i="4"/>
  <c r="I517" i="4"/>
  <c r="B517" i="4"/>
  <c r="A517" i="4"/>
  <c r="M517" i="4" s="1"/>
  <c r="L516" i="4"/>
  <c r="K516" i="4"/>
  <c r="J516" i="4"/>
  <c r="I516" i="4"/>
  <c r="H516" i="4"/>
  <c r="G516" i="4"/>
  <c r="F516" i="4"/>
  <c r="E516" i="4"/>
  <c r="D516" i="4"/>
  <c r="C516" i="4"/>
  <c r="B516" i="4"/>
  <c r="A516" i="4"/>
  <c r="M516" i="4" s="1"/>
  <c r="M515" i="4"/>
  <c r="L515" i="4"/>
  <c r="K515" i="4"/>
  <c r="J515" i="4"/>
  <c r="I515" i="4"/>
  <c r="G515" i="4"/>
  <c r="F515" i="4"/>
  <c r="C515" i="4"/>
  <c r="A515" i="4"/>
  <c r="D514" i="4"/>
  <c r="A514" i="4"/>
  <c r="M513" i="4"/>
  <c r="L513" i="4"/>
  <c r="K513" i="4"/>
  <c r="J513" i="4"/>
  <c r="I513" i="4"/>
  <c r="H513" i="4"/>
  <c r="F513" i="4"/>
  <c r="C513" i="4"/>
  <c r="B513" i="4"/>
  <c r="A513" i="4"/>
  <c r="M512" i="4"/>
  <c r="K512" i="4"/>
  <c r="A512" i="4"/>
  <c r="J511" i="4"/>
  <c r="H511" i="4"/>
  <c r="A511" i="4"/>
  <c r="M510" i="4"/>
  <c r="L510" i="4"/>
  <c r="K510" i="4"/>
  <c r="I510" i="4"/>
  <c r="H510" i="4"/>
  <c r="F510" i="4"/>
  <c r="E510" i="4"/>
  <c r="D510" i="4"/>
  <c r="C510" i="4"/>
  <c r="B510" i="4"/>
  <c r="A510" i="4"/>
  <c r="M509" i="4"/>
  <c r="L509" i="4"/>
  <c r="I509" i="4"/>
  <c r="G509" i="4"/>
  <c r="F509" i="4"/>
  <c r="E509" i="4"/>
  <c r="D509" i="4"/>
  <c r="C509" i="4"/>
  <c r="B509" i="4"/>
  <c r="A509" i="4"/>
  <c r="G508" i="4"/>
  <c r="D508" i="4"/>
  <c r="A508" i="4"/>
  <c r="L507" i="4"/>
  <c r="K507" i="4"/>
  <c r="I507" i="4"/>
  <c r="H507" i="4"/>
  <c r="G507" i="4"/>
  <c r="F507" i="4"/>
  <c r="E507" i="4"/>
  <c r="D507" i="4"/>
  <c r="C507" i="4"/>
  <c r="B507" i="4"/>
  <c r="A507" i="4"/>
  <c r="M507" i="4" s="1"/>
  <c r="I506" i="4"/>
  <c r="A506" i="4"/>
  <c r="M505" i="4"/>
  <c r="K505" i="4"/>
  <c r="J505" i="4"/>
  <c r="H505" i="4"/>
  <c r="G505" i="4"/>
  <c r="E505" i="4"/>
  <c r="A505" i="4"/>
  <c r="L504" i="4"/>
  <c r="K504" i="4"/>
  <c r="J504" i="4"/>
  <c r="I504" i="4"/>
  <c r="H504" i="4"/>
  <c r="G504" i="4"/>
  <c r="F504" i="4"/>
  <c r="E504" i="4"/>
  <c r="D504" i="4"/>
  <c r="C504" i="4"/>
  <c r="B504" i="4"/>
  <c r="A504" i="4"/>
  <c r="M504" i="4" s="1"/>
  <c r="J503" i="4"/>
  <c r="D503" i="4"/>
  <c r="C503" i="4"/>
  <c r="A503" i="4"/>
  <c r="J502" i="4"/>
  <c r="I502" i="4"/>
  <c r="G502" i="4"/>
  <c r="E502" i="4"/>
  <c r="B502" i="4"/>
  <c r="A502" i="4"/>
  <c r="K501" i="4"/>
  <c r="E501" i="4"/>
  <c r="A501" i="4"/>
  <c r="M500" i="4"/>
  <c r="L500" i="4"/>
  <c r="K500" i="4"/>
  <c r="J500" i="4"/>
  <c r="I500" i="4"/>
  <c r="G500" i="4"/>
  <c r="F500" i="4"/>
  <c r="C500" i="4"/>
  <c r="B500" i="4"/>
  <c r="A500" i="4"/>
  <c r="M499" i="4"/>
  <c r="L499" i="4"/>
  <c r="K499" i="4"/>
  <c r="J499" i="4"/>
  <c r="H499" i="4"/>
  <c r="G499" i="4"/>
  <c r="E499" i="4"/>
  <c r="D499" i="4"/>
  <c r="B499" i="4"/>
  <c r="A499" i="4"/>
  <c r="H498" i="4"/>
  <c r="F498" i="4"/>
  <c r="E498" i="4"/>
  <c r="C498" i="4"/>
  <c r="A498" i="4"/>
  <c r="M497" i="4"/>
  <c r="L497" i="4"/>
  <c r="J497" i="4"/>
  <c r="I497" i="4"/>
  <c r="G497" i="4"/>
  <c r="F497" i="4"/>
  <c r="E497" i="4"/>
  <c r="D497" i="4"/>
  <c r="C497" i="4"/>
  <c r="B497" i="4"/>
  <c r="A497" i="4"/>
  <c r="K496" i="4"/>
  <c r="E496" i="4"/>
  <c r="C496" i="4"/>
  <c r="A496" i="4"/>
  <c r="M496" i="4" s="1"/>
  <c r="L495" i="4"/>
  <c r="K495" i="4"/>
  <c r="I495" i="4"/>
  <c r="H495" i="4"/>
  <c r="G495" i="4"/>
  <c r="F495" i="4"/>
  <c r="E495" i="4"/>
  <c r="D495" i="4"/>
  <c r="C495" i="4"/>
  <c r="B495" i="4"/>
  <c r="A495" i="4"/>
  <c r="M495" i="4" s="1"/>
  <c r="F494" i="4"/>
  <c r="A494" i="4"/>
  <c r="M493" i="4"/>
  <c r="K493" i="4"/>
  <c r="I493" i="4"/>
  <c r="H493" i="4"/>
  <c r="F493" i="4"/>
  <c r="E493" i="4"/>
  <c r="D493" i="4"/>
  <c r="B493" i="4"/>
  <c r="A493" i="4"/>
  <c r="L492" i="4"/>
  <c r="K492" i="4"/>
  <c r="J492" i="4"/>
  <c r="I492" i="4"/>
  <c r="H492" i="4"/>
  <c r="G492" i="4"/>
  <c r="F492" i="4"/>
  <c r="E492" i="4"/>
  <c r="C492" i="4"/>
  <c r="B492" i="4"/>
  <c r="A492" i="4"/>
  <c r="D492" i="4" s="1"/>
  <c r="J491" i="4"/>
  <c r="H491" i="4"/>
  <c r="G491" i="4"/>
  <c r="D491" i="4"/>
  <c r="C491" i="4"/>
  <c r="A491" i="4"/>
  <c r="M490" i="4"/>
  <c r="L490" i="4"/>
  <c r="K490" i="4"/>
  <c r="E490" i="4"/>
  <c r="A490" i="4"/>
  <c r="M489" i="4"/>
  <c r="L489" i="4"/>
  <c r="K489" i="4"/>
  <c r="J489" i="4"/>
  <c r="I489" i="4"/>
  <c r="H489" i="4"/>
  <c r="A489" i="4"/>
  <c r="M488" i="4"/>
  <c r="L488" i="4"/>
  <c r="K488" i="4"/>
  <c r="J488" i="4"/>
  <c r="I488" i="4"/>
  <c r="G488" i="4"/>
  <c r="F488" i="4"/>
  <c r="C488" i="4"/>
  <c r="B488" i="4"/>
  <c r="A488" i="4"/>
  <c r="E487" i="4"/>
  <c r="B487" i="4"/>
  <c r="A487" i="4"/>
  <c r="A486" i="4"/>
  <c r="M485" i="4"/>
  <c r="L485" i="4"/>
  <c r="J485" i="4"/>
  <c r="I485" i="4"/>
  <c r="G485" i="4"/>
  <c r="F485" i="4"/>
  <c r="E485" i="4"/>
  <c r="D485" i="4"/>
  <c r="C485" i="4"/>
  <c r="B485" i="4"/>
  <c r="A485" i="4"/>
  <c r="M484" i="4"/>
  <c r="H484" i="4"/>
  <c r="G484" i="4"/>
  <c r="F484" i="4"/>
  <c r="B484" i="4"/>
  <c r="A484" i="4"/>
  <c r="K484" i="4" s="1"/>
  <c r="L483" i="4"/>
  <c r="K483" i="4"/>
  <c r="I483" i="4"/>
  <c r="H483" i="4"/>
  <c r="G483" i="4"/>
  <c r="F483" i="4"/>
  <c r="E483" i="4"/>
  <c r="D483" i="4"/>
  <c r="C483" i="4"/>
  <c r="B483" i="4"/>
  <c r="A483" i="4"/>
  <c r="M483" i="4" s="1"/>
  <c r="M482" i="4"/>
  <c r="J482" i="4"/>
  <c r="I482" i="4"/>
  <c r="G482" i="4"/>
  <c r="F482" i="4"/>
  <c r="E482" i="4"/>
  <c r="D482" i="4"/>
  <c r="C482" i="4"/>
  <c r="A482" i="4"/>
  <c r="A481" i="4"/>
  <c r="L480" i="4"/>
  <c r="K480" i="4"/>
  <c r="J480" i="4"/>
  <c r="I480" i="4"/>
  <c r="H480" i="4"/>
  <c r="G480" i="4"/>
  <c r="F480" i="4"/>
  <c r="E480" i="4"/>
  <c r="C480" i="4"/>
  <c r="B480" i="4"/>
  <c r="A480" i="4"/>
  <c r="D480" i="4" s="1"/>
  <c r="M479" i="4"/>
  <c r="L479" i="4"/>
  <c r="D479" i="4"/>
  <c r="A479" i="4"/>
  <c r="M478" i="4"/>
  <c r="L478" i="4"/>
  <c r="K478" i="4"/>
  <c r="J478" i="4"/>
  <c r="I478" i="4"/>
  <c r="G478" i="4"/>
  <c r="A478" i="4"/>
  <c r="A477" i="4"/>
  <c r="M476" i="4"/>
  <c r="L476" i="4"/>
  <c r="K476" i="4"/>
  <c r="J476" i="4"/>
  <c r="I476" i="4"/>
  <c r="G476" i="4"/>
  <c r="F476" i="4"/>
  <c r="C476" i="4"/>
  <c r="B476" i="4"/>
  <c r="A476" i="4"/>
  <c r="L475" i="4"/>
  <c r="G475" i="4"/>
  <c r="D475" i="4"/>
  <c r="B475" i="4"/>
  <c r="A475" i="4"/>
  <c r="K474" i="4"/>
  <c r="I474" i="4"/>
  <c r="H474" i="4"/>
  <c r="C474" i="4"/>
  <c r="A474" i="4"/>
  <c r="L474" i="4" s="1"/>
  <c r="M473" i="4"/>
  <c r="L473" i="4"/>
  <c r="J473" i="4"/>
  <c r="I473" i="4"/>
  <c r="G473" i="4"/>
  <c r="F473" i="4"/>
  <c r="E473" i="4"/>
  <c r="D473" i="4"/>
  <c r="C473" i="4"/>
  <c r="B473" i="4"/>
  <c r="A473" i="4"/>
  <c r="M472" i="4"/>
  <c r="K472" i="4"/>
  <c r="H472" i="4"/>
  <c r="G472" i="4"/>
  <c r="F472" i="4"/>
  <c r="E472" i="4"/>
  <c r="D472" i="4"/>
  <c r="C472" i="4"/>
  <c r="B472" i="4"/>
  <c r="A472" i="4"/>
  <c r="L471" i="4"/>
  <c r="K471" i="4"/>
  <c r="I471" i="4"/>
  <c r="H471" i="4"/>
  <c r="G471" i="4"/>
  <c r="F471" i="4"/>
  <c r="E471" i="4"/>
  <c r="D471" i="4"/>
  <c r="C471" i="4"/>
  <c r="B471" i="4"/>
  <c r="A471" i="4"/>
  <c r="M471" i="4" s="1"/>
  <c r="I470" i="4"/>
  <c r="F470" i="4"/>
  <c r="D470" i="4"/>
  <c r="A470" i="4"/>
  <c r="K469" i="4"/>
  <c r="E469" i="4"/>
  <c r="B469" i="4"/>
  <c r="A469" i="4"/>
  <c r="K468" i="4"/>
  <c r="I468" i="4"/>
  <c r="H468" i="4"/>
  <c r="A468" i="4"/>
  <c r="M468" i="4" s="1"/>
  <c r="M467" i="4"/>
  <c r="L467" i="4"/>
  <c r="I467" i="4"/>
  <c r="G467" i="4"/>
  <c r="F467" i="4"/>
  <c r="B467" i="4"/>
  <c r="A467" i="4"/>
  <c r="J467" i="4" s="1"/>
  <c r="M466" i="4"/>
  <c r="K466" i="4"/>
  <c r="J466" i="4"/>
  <c r="G466" i="4"/>
  <c r="F466" i="4"/>
  <c r="E466" i="4"/>
  <c r="A466" i="4"/>
  <c r="L465" i="4"/>
  <c r="K465" i="4"/>
  <c r="J465" i="4"/>
  <c r="I465" i="4"/>
  <c r="H465" i="4"/>
  <c r="G465" i="4"/>
  <c r="F465" i="4"/>
  <c r="E465" i="4"/>
  <c r="D465" i="4"/>
  <c r="C465" i="4"/>
  <c r="B465" i="4"/>
  <c r="A465" i="4"/>
  <c r="M465" i="4" s="1"/>
  <c r="M464" i="4"/>
  <c r="L464" i="4"/>
  <c r="J464" i="4"/>
  <c r="I464" i="4"/>
  <c r="H464" i="4"/>
  <c r="G464" i="4"/>
  <c r="F464" i="4"/>
  <c r="E464" i="4"/>
  <c r="A464" i="4"/>
  <c r="M463" i="4"/>
  <c r="K463" i="4"/>
  <c r="J463" i="4"/>
  <c r="I463" i="4"/>
  <c r="H463" i="4"/>
  <c r="G463" i="4"/>
  <c r="F463" i="4"/>
  <c r="E463" i="4"/>
  <c r="D463" i="4"/>
  <c r="B463" i="4"/>
  <c r="A463" i="4"/>
  <c r="L462" i="4"/>
  <c r="K462" i="4"/>
  <c r="J462" i="4"/>
  <c r="I462" i="4"/>
  <c r="H462" i="4"/>
  <c r="G462" i="4"/>
  <c r="F462" i="4"/>
  <c r="E462" i="4"/>
  <c r="C462" i="4"/>
  <c r="B462" i="4"/>
  <c r="A462" i="4"/>
  <c r="D462" i="4" s="1"/>
  <c r="A461" i="4"/>
  <c r="J460" i="4"/>
  <c r="A460" i="4"/>
  <c r="C459" i="4"/>
  <c r="A459" i="4"/>
  <c r="M458" i="4"/>
  <c r="L458" i="4"/>
  <c r="G458" i="4"/>
  <c r="F458" i="4"/>
  <c r="D458" i="4"/>
  <c r="C458" i="4"/>
  <c r="B458" i="4"/>
  <c r="A458" i="4"/>
  <c r="K457" i="4"/>
  <c r="E457" i="4"/>
  <c r="C457" i="4"/>
  <c r="B457" i="4"/>
  <c r="A457" i="4"/>
  <c r="L456" i="4"/>
  <c r="K456" i="4"/>
  <c r="I456" i="4"/>
  <c r="B456" i="4"/>
  <c r="A456" i="4"/>
  <c r="J455" i="4"/>
  <c r="I455" i="4"/>
  <c r="G455" i="4"/>
  <c r="C455" i="4"/>
  <c r="A455" i="4"/>
  <c r="M454" i="4"/>
  <c r="K454" i="4"/>
  <c r="H454" i="4"/>
  <c r="G454" i="4"/>
  <c r="F454" i="4"/>
  <c r="B454" i="4"/>
  <c r="A454" i="4"/>
  <c r="J454" i="4" s="1"/>
  <c r="L453" i="4"/>
  <c r="K453" i="4"/>
  <c r="J453" i="4"/>
  <c r="I453" i="4"/>
  <c r="H453" i="4"/>
  <c r="G453" i="4"/>
  <c r="F453" i="4"/>
  <c r="E453" i="4"/>
  <c r="D453" i="4"/>
  <c r="C453" i="4"/>
  <c r="B453" i="4"/>
  <c r="A453" i="4"/>
  <c r="M453" i="4" s="1"/>
  <c r="M452" i="4"/>
  <c r="J452" i="4"/>
  <c r="A452" i="4"/>
  <c r="M451" i="4"/>
  <c r="K451" i="4"/>
  <c r="J451" i="4"/>
  <c r="I451" i="4"/>
  <c r="H451" i="4"/>
  <c r="G451" i="4"/>
  <c r="F451" i="4"/>
  <c r="E451" i="4"/>
  <c r="A451" i="4"/>
  <c r="L450" i="4"/>
  <c r="K450" i="4"/>
  <c r="J450" i="4"/>
  <c r="I450" i="4"/>
  <c r="H450" i="4"/>
  <c r="G450" i="4"/>
  <c r="F450" i="4"/>
  <c r="E450" i="4"/>
  <c r="C450" i="4"/>
  <c r="B450" i="4"/>
  <c r="A450" i="4"/>
  <c r="D450" i="4" s="1"/>
  <c r="M449" i="4"/>
  <c r="L449" i="4"/>
  <c r="K449" i="4"/>
  <c r="J449" i="4"/>
  <c r="I449" i="4"/>
  <c r="H449" i="4"/>
  <c r="G449" i="4"/>
  <c r="F449" i="4"/>
  <c r="D449" i="4"/>
  <c r="C449" i="4"/>
  <c r="A449" i="4"/>
  <c r="K448" i="4"/>
  <c r="I448" i="4"/>
  <c r="H448" i="4"/>
  <c r="G448" i="4"/>
  <c r="D448" i="4"/>
  <c r="B448" i="4"/>
  <c r="A448" i="4"/>
  <c r="E447" i="4"/>
  <c r="B447" i="4"/>
  <c r="A447" i="4"/>
  <c r="M446" i="4"/>
  <c r="I446" i="4"/>
  <c r="F446" i="4"/>
  <c r="D446" i="4"/>
  <c r="C446" i="4"/>
  <c r="A446" i="4"/>
  <c r="M445" i="4"/>
  <c r="L445" i="4"/>
  <c r="G445" i="4"/>
  <c r="E445" i="4"/>
  <c r="D445" i="4"/>
  <c r="C445" i="4"/>
  <c r="B445" i="4"/>
  <c r="A445" i="4"/>
  <c r="M444" i="4"/>
  <c r="L444" i="4"/>
  <c r="K444" i="4"/>
  <c r="E444" i="4"/>
  <c r="C444" i="4"/>
  <c r="B444" i="4"/>
  <c r="A444" i="4"/>
  <c r="L443" i="4"/>
  <c r="J443" i="4"/>
  <c r="A443" i="4"/>
  <c r="M442" i="4"/>
  <c r="J442" i="4"/>
  <c r="H442" i="4"/>
  <c r="G442" i="4"/>
  <c r="C442" i="4"/>
  <c r="A442" i="4"/>
  <c r="L441" i="4"/>
  <c r="K441" i="4"/>
  <c r="J441" i="4"/>
  <c r="I441" i="4"/>
  <c r="H441" i="4"/>
  <c r="G441" i="4"/>
  <c r="F441" i="4"/>
  <c r="E441" i="4"/>
  <c r="D441" i="4"/>
  <c r="C441" i="4"/>
  <c r="B441" i="4"/>
  <c r="A441" i="4"/>
  <c r="M441" i="4" s="1"/>
  <c r="M440" i="4"/>
  <c r="L440" i="4"/>
  <c r="I440" i="4"/>
  <c r="H440" i="4"/>
  <c r="G440" i="4"/>
  <c r="C440" i="4"/>
  <c r="A440" i="4"/>
  <c r="J440" i="4" s="1"/>
  <c r="M439" i="4"/>
  <c r="A439" i="4"/>
  <c r="L438" i="4"/>
  <c r="K438" i="4"/>
  <c r="J438" i="4"/>
  <c r="I438" i="4"/>
  <c r="H438" i="4"/>
  <c r="G438" i="4"/>
  <c r="F438" i="4"/>
  <c r="E438" i="4"/>
  <c r="C438" i="4"/>
  <c r="B438" i="4"/>
  <c r="A438" i="4"/>
  <c r="D438" i="4" s="1"/>
  <c r="M437" i="4"/>
  <c r="L437" i="4"/>
  <c r="K437" i="4"/>
  <c r="J437" i="4"/>
  <c r="I437" i="4"/>
  <c r="H437" i="4"/>
  <c r="G437" i="4"/>
  <c r="F437" i="4"/>
  <c r="D437" i="4"/>
  <c r="C437" i="4"/>
  <c r="A437" i="4"/>
  <c r="M436" i="4"/>
  <c r="L436" i="4"/>
  <c r="K436" i="4"/>
  <c r="J436" i="4"/>
  <c r="I436" i="4"/>
  <c r="H436" i="4"/>
  <c r="G436" i="4"/>
  <c r="E436" i="4"/>
  <c r="D436" i="4"/>
  <c r="B436" i="4"/>
  <c r="A436" i="4"/>
  <c r="I435" i="4"/>
  <c r="F435" i="4"/>
  <c r="A435" i="4"/>
  <c r="J434" i="4"/>
  <c r="G434" i="4"/>
  <c r="F434" i="4"/>
  <c r="D434" i="4"/>
  <c r="B434" i="4"/>
  <c r="A434" i="4"/>
  <c r="H433" i="4"/>
  <c r="E433" i="4"/>
  <c r="A433" i="4"/>
  <c r="M432" i="4"/>
  <c r="L432" i="4"/>
  <c r="F432" i="4"/>
  <c r="E432" i="4"/>
  <c r="D432" i="4"/>
  <c r="C432" i="4"/>
  <c r="B432" i="4"/>
  <c r="A432" i="4"/>
  <c r="M431" i="4"/>
  <c r="L431" i="4"/>
  <c r="J431" i="4"/>
  <c r="E431" i="4"/>
  <c r="C431" i="4"/>
  <c r="B431" i="4"/>
  <c r="A431" i="4"/>
  <c r="A430" i="4"/>
  <c r="L429" i="4"/>
  <c r="K429" i="4"/>
  <c r="J429" i="4"/>
  <c r="I429" i="4"/>
  <c r="H429" i="4"/>
  <c r="G429" i="4"/>
  <c r="F429" i="4"/>
  <c r="E429" i="4"/>
  <c r="D429" i="4"/>
  <c r="C429" i="4"/>
  <c r="B429" i="4"/>
  <c r="A429" i="4"/>
  <c r="M429" i="4" s="1"/>
  <c r="M428" i="4"/>
  <c r="J428" i="4"/>
  <c r="I428" i="4"/>
  <c r="H428" i="4"/>
  <c r="D428" i="4"/>
  <c r="A428" i="4"/>
  <c r="I427" i="4"/>
  <c r="H427" i="4"/>
  <c r="D427" i="4"/>
  <c r="A427" i="4"/>
  <c r="M426" i="4"/>
  <c r="L426" i="4"/>
  <c r="J426" i="4"/>
  <c r="I426" i="4"/>
  <c r="C426" i="4"/>
  <c r="A426" i="4"/>
  <c r="A425" i="4"/>
  <c r="M424" i="4"/>
  <c r="A424" i="4"/>
  <c r="M423" i="4"/>
  <c r="L423" i="4"/>
  <c r="A423" i="4"/>
  <c r="A422" i="4"/>
  <c r="M421" i="4"/>
  <c r="J421" i="4"/>
  <c r="H421" i="4"/>
  <c r="G421" i="4"/>
  <c r="A421" i="4"/>
  <c r="L421" i="4" s="1"/>
  <c r="I420" i="4"/>
  <c r="H420" i="4"/>
  <c r="G420" i="4"/>
  <c r="C420" i="4"/>
  <c r="A420" i="4"/>
  <c r="M419" i="4"/>
  <c r="L419" i="4"/>
  <c r="I419" i="4"/>
  <c r="H419" i="4"/>
  <c r="G419" i="4"/>
  <c r="C419" i="4"/>
  <c r="A419" i="4"/>
  <c r="M418" i="4"/>
  <c r="A418" i="4"/>
  <c r="L417" i="4"/>
  <c r="K417" i="4"/>
  <c r="J417" i="4"/>
  <c r="I417" i="4"/>
  <c r="H417" i="4"/>
  <c r="G417" i="4"/>
  <c r="F417" i="4"/>
  <c r="E417" i="4"/>
  <c r="D417" i="4"/>
  <c r="C417" i="4"/>
  <c r="B417" i="4"/>
  <c r="A417" i="4"/>
  <c r="M417" i="4" s="1"/>
  <c r="A416" i="4"/>
  <c r="M415" i="4"/>
  <c r="L415" i="4"/>
  <c r="J415" i="4"/>
  <c r="I415" i="4"/>
  <c r="H415" i="4"/>
  <c r="D415" i="4"/>
  <c r="A415" i="4"/>
  <c r="I414" i="4"/>
  <c r="H414" i="4"/>
  <c r="C414" i="4"/>
  <c r="A414" i="4"/>
  <c r="M413" i="4"/>
  <c r="L413" i="4"/>
  <c r="J413" i="4"/>
  <c r="I413" i="4"/>
  <c r="C413" i="4"/>
  <c r="A413" i="4"/>
  <c r="A412" i="4"/>
  <c r="L411" i="4"/>
  <c r="A411" i="4"/>
  <c r="M410" i="4"/>
  <c r="G410" i="4"/>
  <c r="A410" i="4"/>
  <c r="A409" i="4"/>
  <c r="M408" i="4"/>
  <c r="L408" i="4"/>
  <c r="I408" i="4"/>
  <c r="H408" i="4"/>
  <c r="G408" i="4"/>
  <c r="A408" i="4"/>
  <c r="I407" i="4"/>
  <c r="H407" i="4"/>
  <c r="G407" i="4"/>
  <c r="C407" i="4"/>
  <c r="A407" i="4"/>
  <c r="M406" i="4"/>
  <c r="K406" i="4"/>
  <c r="I406" i="4"/>
  <c r="H406" i="4"/>
  <c r="G406" i="4"/>
  <c r="C406" i="4"/>
  <c r="A406" i="4"/>
  <c r="L405" i="4"/>
  <c r="K405" i="4"/>
  <c r="J405" i="4"/>
  <c r="I405" i="4"/>
  <c r="H405" i="4"/>
  <c r="G405" i="4"/>
  <c r="F405" i="4"/>
  <c r="E405" i="4"/>
  <c r="D405" i="4"/>
  <c r="C405" i="4"/>
  <c r="B405" i="4"/>
  <c r="A405" i="4"/>
  <c r="M405" i="4" s="1"/>
  <c r="M404" i="4"/>
  <c r="L404" i="4"/>
  <c r="J404" i="4"/>
  <c r="A404" i="4"/>
  <c r="M403" i="4"/>
  <c r="D403" i="4"/>
  <c r="A403" i="4"/>
  <c r="M402" i="4"/>
  <c r="L402" i="4"/>
  <c r="J402" i="4"/>
  <c r="I402" i="4"/>
  <c r="H402" i="4"/>
  <c r="C402" i="4"/>
  <c r="A402" i="4"/>
  <c r="I401" i="4"/>
  <c r="H401" i="4"/>
  <c r="C401" i="4"/>
  <c r="A401" i="4"/>
  <c r="M400" i="4"/>
  <c r="L400" i="4"/>
  <c r="J400" i="4"/>
  <c r="I400" i="4"/>
  <c r="C400" i="4"/>
  <c r="A400" i="4"/>
  <c r="L399" i="4"/>
  <c r="J399" i="4"/>
  <c r="A399" i="4"/>
  <c r="M398" i="4"/>
  <c r="L398" i="4"/>
  <c r="A398" i="4"/>
  <c r="A397" i="4"/>
  <c r="G396" i="4"/>
  <c r="C396" i="4"/>
  <c r="A396" i="4"/>
  <c r="M395" i="4"/>
  <c r="L395" i="4"/>
  <c r="I395" i="4"/>
  <c r="H395" i="4"/>
  <c r="G395" i="4"/>
  <c r="A395" i="4"/>
  <c r="I394" i="4"/>
  <c r="H394" i="4"/>
  <c r="G394" i="4"/>
  <c r="C394" i="4"/>
  <c r="A394" i="4"/>
  <c r="L393" i="4"/>
  <c r="K393" i="4"/>
  <c r="J393" i="4"/>
  <c r="I393" i="4"/>
  <c r="H393" i="4"/>
  <c r="G393" i="4"/>
  <c r="F393" i="4"/>
  <c r="E393" i="4"/>
  <c r="D393" i="4"/>
  <c r="C393" i="4"/>
  <c r="B393" i="4"/>
  <c r="A393" i="4"/>
  <c r="M393" i="4" s="1"/>
  <c r="M392" i="4"/>
  <c r="L392" i="4"/>
  <c r="J392" i="4"/>
  <c r="I392" i="4"/>
  <c r="H392" i="4"/>
  <c r="D392" i="4"/>
  <c r="A392" i="4"/>
  <c r="J391" i="4"/>
  <c r="D391" i="4"/>
  <c r="A391" i="4"/>
  <c r="A390" i="4"/>
  <c r="M389" i="4"/>
  <c r="L389" i="4"/>
  <c r="J389" i="4"/>
  <c r="I389" i="4"/>
  <c r="H389" i="4"/>
  <c r="C389" i="4"/>
  <c r="A389" i="4"/>
  <c r="I388" i="4"/>
  <c r="H388" i="4"/>
  <c r="C388" i="4"/>
  <c r="A388" i="4"/>
  <c r="M387" i="4"/>
  <c r="L387" i="4"/>
  <c r="J387" i="4"/>
  <c r="I387" i="4"/>
  <c r="C387" i="4"/>
  <c r="A387" i="4"/>
  <c r="J386" i="4"/>
  <c r="A386" i="4"/>
  <c r="A385" i="4"/>
  <c r="M384" i="4"/>
  <c r="L384" i="4"/>
  <c r="I384" i="4"/>
  <c r="H384" i="4"/>
  <c r="G384" i="4"/>
  <c r="C384" i="4"/>
  <c r="B384" i="4"/>
  <c r="A384" i="4"/>
  <c r="H383" i="4"/>
  <c r="G383" i="4"/>
  <c r="C383" i="4"/>
  <c r="B383" i="4"/>
  <c r="A383" i="4"/>
  <c r="A382" i="4"/>
  <c r="L381" i="4"/>
  <c r="K381" i="4"/>
  <c r="J381" i="4"/>
  <c r="I381" i="4"/>
  <c r="H381" i="4"/>
  <c r="G381" i="4"/>
  <c r="F381" i="4"/>
  <c r="E381" i="4"/>
  <c r="D381" i="4"/>
  <c r="C381" i="4"/>
  <c r="B381" i="4"/>
  <c r="A381" i="4"/>
  <c r="M381" i="4" s="1"/>
  <c r="M380" i="4"/>
  <c r="L380" i="4"/>
  <c r="J380" i="4"/>
  <c r="I380" i="4"/>
  <c r="H380" i="4"/>
  <c r="D380" i="4"/>
  <c r="C380" i="4"/>
  <c r="A380" i="4"/>
  <c r="I379" i="4"/>
  <c r="H379" i="4"/>
  <c r="D379" i="4"/>
  <c r="B379" i="4"/>
  <c r="A379" i="4"/>
  <c r="M378" i="4"/>
  <c r="L378" i="4"/>
  <c r="J378" i="4"/>
  <c r="A378" i="4"/>
  <c r="M377" i="4"/>
  <c r="L377" i="4"/>
  <c r="J377" i="4"/>
  <c r="I377" i="4"/>
  <c r="H377" i="4"/>
  <c r="C377" i="4"/>
  <c r="B377" i="4"/>
  <c r="A377" i="4"/>
  <c r="I376" i="4"/>
  <c r="H376" i="4"/>
  <c r="C376" i="4"/>
  <c r="B376" i="4"/>
  <c r="A376" i="4"/>
  <c r="A375" i="4"/>
  <c r="M374" i="4"/>
  <c r="L374" i="4"/>
  <c r="J374" i="4"/>
  <c r="I374" i="4"/>
  <c r="G374" i="4"/>
  <c r="C374" i="4"/>
  <c r="B374" i="4"/>
  <c r="A374" i="4"/>
  <c r="H373" i="4"/>
  <c r="G373" i="4"/>
  <c r="C373" i="4"/>
  <c r="B373" i="4"/>
  <c r="A373" i="4"/>
  <c r="I372" i="4"/>
  <c r="A372" i="4"/>
  <c r="M371" i="4"/>
  <c r="L371" i="4"/>
  <c r="I371" i="4"/>
  <c r="H371" i="4"/>
  <c r="G371" i="4"/>
  <c r="C371" i="4"/>
  <c r="B371" i="4"/>
  <c r="A371" i="4"/>
  <c r="H370" i="4"/>
  <c r="G370" i="4"/>
  <c r="C370" i="4"/>
  <c r="B370" i="4"/>
  <c r="A370" i="4"/>
  <c r="L369" i="4"/>
  <c r="K369" i="4"/>
  <c r="J369" i="4"/>
  <c r="I369" i="4"/>
  <c r="H369" i="4"/>
  <c r="G369" i="4"/>
  <c r="F369" i="4"/>
  <c r="E369" i="4"/>
  <c r="D369" i="4"/>
  <c r="C369" i="4"/>
  <c r="B369" i="4"/>
  <c r="A369" i="4"/>
  <c r="M369" i="4" s="1"/>
  <c r="A368" i="4"/>
  <c r="M367" i="4"/>
  <c r="L367" i="4"/>
  <c r="J367" i="4"/>
  <c r="I367" i="4"/>
  <c r="H367" i="4"/>
  <c r="D367" i="4"/>
  <c r="B367" i="4"/>
  <c r="A367" i="4"/>
  <c r="I366" i="4"/>
  <c r="H366" i="4"/>
  <c r="C366" i="4"/>
  <c r="B366" i="4"/>
  <c r="A366" i="4"/>
  <c r="M365" i="4"/>
  <c r="L365" i="4"/>
  <c r="J365" i="4"/>
  <c r="A365" i="4"/>
  <c r="M364" i="4"/>
  <c r="L364" i="4"/>
  <c r="K364" i="4"/>
  <c r="J364" i="4"/>
  <c r="I364" i="4"/>
  <c r="H364" i="4"/>
  <c r="C364" i="4"/>
  <c r="A364" i="4"/>
  <c r="A363" i="4"/>
  <c r="M362" i="4"/>
  <c r="A362" i="4"/>
  <c r="A361" i="4"/>
  <c r="M360" i="4"/>
  <c r="L360" i="4"/>
  <c r="K360" i="4"/>
  <c r="I360" i="4"/>
  <c r="H360" i="4"/>
  <c r="G360" i="4"/>
  <c r="C360" i="4"/>
  <c r="A360" i="4"/>
  <c r="H359" i="4"/>
  <c r="G359" i="4"/>
  <c r="A359" i="4"/>
  <c r="M358" i="4"/>
  <c r="G358" i="4"/>
  <c r="A358" i="4"/>
  <c r="L357" i="4"/>
  <c r="K357" i="4"/>
  <c r="J357" i="4"/>
  <c r="I357" i="4"/>
  <c r="H357" i="4"/>
  <c r="G357" i="4"/>
  <c r="F357" i="4"/>
  <c r="E357" i="4"/>
  <c r="D357" i="4"/>
  <c r="C357" i="4"/>
  <c r="B357" i="4"/>
  <c r="A357" i="4"/>
  <c r="M357" i="4" s="1"/>
  <c r="L356" i="4"/>
  <c r="A356" i="4"/>
  <c r="M355" i="4"/>
  <c r="L355" i="4"/>
  <c r="K355" i="4"/>
  <c r="J355" i="4"/>
  <c r="I355" i="4"/>
  <c r="H355" i="4"/>
  <c r="D355" i="4"/>
  <c r="A355" i="4"/>
  <c r="K354" i="4"/>
  <c r="I354" i="4"/>
  <c r="H354" i="4"/>
  <c r="B354" i="4"/>
  <c r="A354" i="4"/>
  <c r="M353" i="4"/>
  <c r="H353" i="4"/>
  <c r="C353" i="4"/>
  <c r="A353" i="4"/>
  <c r="K352" i="4"/>
  <c r="A352" i="4"/>
  <c r="M351" i="4"/>
  <c r="L351" i="4"/>
  <c r="K351" i="4"/>
  <c r="J351" i="4"/>
  <c r="I351" i="4"/>
  <c r="H351" i="4"/>
  <c r="C351" i="4"/>
  <c r="A351" i="4"/>
  <c r="G350" i="4"/>
  <c r="B350" i="4"/>
  <c r="A350" i="4"/>
  <c r="M349" i="4"/>
  <c r="G349" i="4"/>
  <c r="C349" i="4"/>
  <c r="B349" i="4"/>
  <c r="A349" i="4"/>
  <c r="K348" i="4"/>
  <c r="I348" i="4"/>
  <c r="A348" i="4"/>
  <c r="M347" i="4"/>
  <c r="L347" i="4"/>
  <c r="J347" i="4"/>
  <c r="I347" i="4"/>
  <c r="H347" i="4"/>
  <c r="G347" i="4"/>
  <c r="C347" i="4"/>
  <c r="A347" i="4"/>
  <c r="B346" i="4"/>
  <c r="A346" i="4"/>
  <c r="L345" i="4"/>
  <c r="K345" i="4"/>
  <c r="J345" i="4"/>
  <c r="I345" i="4"/>
  <c r="H345" i="4"/>
  <c r="G345" i="4"/>
  <c r="F345" i="4"/>
  <c r="E345" i="4"/>
  <c r="D345" i="4"/>
  <c r="C345" i="4"/>
  <c r="B345" i="4"/>
  <c r="A345" i="4"/>
  <c r="M345" i="4" s="1"/>
  <c r="D344" i="4"/>
  <c r="C344" i="4"/>
  <c r="A344" i="4"/>
  <c r="K343" i="4"/>
  <c r="J343" i="4"/>
  <c r="A343" i="4"/>
  <c r="M342" i="4"/>
  <c r="L342" i="4"/>
  <c r="K342" i="4"/>
  <c r="J342" i="4"/>
  <c r="I342" i="4"/>
  <c r="H342" i="4"/>
  <c r="C342" i="4"/>
  <c r="A342" i="4"/>
  <c r="I341" i="4"/>
  <c r="C341" i="4"/>
  <c r="A341" i="4"/>
  <c r="M340" i="4"/>
  <c r="H340" i="4"/>
  <c r="C340" i="4"/>
  <c r="B340" i="4"/>
  <c r="A340" i="4"/>
  <c r="A339" i="4"/>
  <c r="M338" i="4"/>
  <c r="L338" i="4"/>
  <c r="K338" i="4"/>
  <c r="J338" i="4"/>
  <c r="I338" i="4"/>
  <c r="G338" i="4"/>
  <c r="C338" i="4"/>
  <c r="A338" i="4"/>
  <c r="J337" i="4"/>
  <c r="G337" i="4"/>
  <c r="C337" i="4"/>
  <c r="B337" i="4"/>
  <c r="A337" i="4"/>
  <c r="M336" i="4"/>
  <c r="G336" i="4"/>
  <c r="C336" i="4"/>
  <c r="A336" i="4"/>
  <c r="L335" i="4"/>
  <c r="A335" i="4"/>
  <c r="M334" i="4"/>
  <c r="K334" i="4"/>
  <c r="J334" i="4"/>
  <c r="I334" i="4"/>
  <c r="H334" i="4"/>
  <c r="G334" i="4"/>
  <c r="C334" i="4"/>
  <c r="A334" i="4"/>
  <c r="L333" i="4"/>
  <c r="K333" i="4"/>
  <c r="J333" i="4"/>
  <c r="I333" i="4"/>
  <c r="H333" i="4"/>
  <c r="G333" i="4"/>
  <c r="F333" i="4"/>
  <c r="E333" i="4"/>
  <c r="D333" i="4"/>
  <c r="C333" i="4"/>
  <c r="B333" i="4"/>
  <c r="A333" i="4"/>
  <c r="M333" i="4" s="1"/>
  <c r="A332" i="4"/>
  <c r="M331" i="4"/>
  <c r="H331" i="4"/>
  <c r="A331" i="4"/>
  <c r="M330" i="4"/>
  <c r="K330" i="4"/>
  <c r="J330" i="4"/>
  <c r="A330" i="4"/>
  <c r="M329" i="4"/>
  <c r="L329" i="4"/>
  <c r="K329" i="4"/>
  <c r="J329" i="4"/>
  <c r="I329" i="4"/>
  <c r="H329" i="4"/>
  <c r="C329" i="4"/>
  <c r="A329" i="4"/>
  <c r="J328" i="4"/>
  <c r="I328" i="4"/>
  <c r="H328" i="4"/>
  <c r="A328" i="4"/>
  <c r="M327" i="4"/>
  <c r="A327" i="4"/>
  <c r="L326" i="4"/>
  <c r="K326" i="4"/>
  <c r="J326" i="4"/>
  <c r="A326" i="4"/>
  <c r="M325" i="4"/>
  <c r="L325" i="4"/>
  <c r="K325" i="4"/>
  <c r="J325" i="4"/>
  <c r="H325" i="4"/>
  <c r="G325" i="4"/>
  <c r="C325" i="4"/>
  <c r="A325" i="4"/>
  <c r="I324" i="4"/>
  <c r="H324" i="4"/>
  <c r="A324" i="4"/>
  <c r="C323" i="4"/>
  <c r="B323" i="4"/>
  <c r="A323" i="4"/>
  <c r="K322" i="4"/>
  <c r="A322" i="4"/>
  <c r="L321" i="4"/>
  <c r="K321" i="4"/>
  <c r="J321" i="4"/>
  <c r="I321" i="4"/>
  <c r="H321" i="4"/>
  <c r="G321" i="4"/>
  <c r="F321" i="4"/>
  <c r="E321" i="4"/>
  <c r="D321" i="4"/>
  <c r="C321" i="4"/>
  <c r="B321" i="4"/>
  <c r="A321" i="4"/>
  <c r="M321" i="4" s="1"/>
  <c r="M320" i="4"/>
  <c r="L320" i="4"/>
  <c r="K320" i="4"/>
  <c r="J320" i="4"/>
  <c r="I320" i="4"/>
  <c r="H320" i="4"/>
  <c r="D320" i="4"/>
  <c r="A320" i="4"/>
  <c r="K319" i="4"/>
  <c r="J319" i="4"/>
  <c r="I319" i="4"/>
  <c r="H319" i="4"/>
  <c r="D319" i="4"/>
  <c r="B319" i="4"/>
  <c r="A319" i="4"/>
  <c r="A318" i="4"/>
  <c r="M317" i="4"/>
  <c r="L317" i="4"/>
  <c r="A317" i="4"/>
  <c r="M316" i="4"/>
  <c r="L316" i="4"/>
  <c r="K316" i="4"/>
  <c r="J316" i="4"/>
  <c r="I316" i="4"/>
  <c r="H316" i="4"/>
  <c r="C316" i="4"/>
  <c r="A316" i="4"/>
  <c r="K315" i="4"/>
  <c r="J315" i="4"/>
  <c r="I315" i="4"/>
  <c r="H315" i="4"/>
  <c r="C315" i="4"/>
  <c r="A315" i="4"/>
  <c r="B314" i="4"/>
  <c r="A314" i="4"/>
  <c r="M313" i="4"/>
  <c r="L313" i="4"/>
  <c r="K313" i="4"/>
  <c r="J313" i="4"/>
  <c r="B313" i="4"/>
  <c r="A313" i="4"/>
  <c r="M312" i="4"/>
  <c r="L312" i="4"/>
  <c r="K312" i="4"/>
  <c r="J312" i="4"/>
  <c r="I312" i="4"/>
  <c r="E312" i="4"/>
  <c r="D312" i="4"/>
  <c r="C312" i="4"/>
  <c r="B312" i="4"/>
  <c r="A312" i="4"/>
  <c r="M311" i="4"/>
  <c r="L311" i="4"/>
  <c r="K311" i="4"/>
  <c r="J311" i="4"/>
  <c r="F311" i="4"/>
  <c r="E311" i="4"/>
  <c r="D311" i="4"/>
  <c r="C311" i="4"/>
  <c r="A311" i="4"/>
  <c r="G310" i="4"/>
  <c r="F310" i="4"/>
  <c r="A310" i="4"/>
  <c r="E309" i="4"/>
  <c r="D309" i="4"/>
  <c r="C309" i="4"/>
  <c r="A309" i="4"/>
  <c r="A308" i="4"/>
  <c r="K307" i="4"/>
  <c r="J307" i="4"/>
  <c r="I307" i="4"/>
  <c r="H307" i="4"/>
  <c r="G307" i="4"/>
  <c r="F307" i="4"/>
  <c r="E307" i="4"/>
  <c r="D307" i="4"/>
  <c r="C307" i="4"/>
  <c r="B307" i="4"/>
  <c r="A307" i="4"/>
  <c r="M307" i="4" s="1"/>
  <c r="L306" i="4"/>
  <c r="K306" i="4"/>
  <c r="J306" i="4"/>
  <c r="I306" i="4"/>
  <c r="H306" i="4"/>
  <c r="G306" i="4"/>
  <c r="F306" i="4"/>
  <c r="E306" i="4"/>
  <c r="D306" i="4"/>
  <c r="C306" i="4"/>
  <c r="B306" i="4"/>
  <c r="A306" i="4"/>
  <c r="M306" i="4" s="1"/>
  <c r="L305" i="4"/>
  <c r="K305" i="4"/>
  <c r="J305" i="4"/>
  <c r="I305" i="4"/>
  <c r="H305" i="4"/>
  <c r="G305" i="4"/>
  <c r="F305" i="4"/>
  <c r="E305" i="4"/>
  <c r="D305" i="4"/>
  <c r="A305" i="4"/>
  <c r="C305" i="4" s="1"/>
  <c r="M304" i="4"/>
  <c r="L304" i="4"/>
  <c r="K304" i="4"/>
  <c r="J304" i="4"/>
  <c r="I304" i="4"/>
  <c r="H304" i="4"/>
  <c r="G304" i="4"/>
  <c r="E304" i="4"/>
  <c r="A304" i="4"/>
  <c r="L303" i="4"/>
  <c r="K303" i="4"/>
  <c r="J303" i="4"/>
  <c r="I303" i="4"/>
  <c r="H303" i="4"/>
  <c r="G303" i="4"/>
  <c r="F303" i="4"/>
  <c r="B303" i="4"/>
  <c r="A303" i="4"/>
  <c r="M303" i="4" s="1"/>
  <c r="J302" i="4"/>
  <c r="I302" i="4"/>
  <c r="H302" i="4"/>
  <c r="G302" i="4"/>
  <c r="C302" i="4"/>
  <c r="A302" i="4"/>
  <c r="C301" i="4"/>
  <c r="B301" i="4"/>
  <c r="A301" i="4"/>
  <c r="M300" i="4"/>
  <c r="L300" i="4"/>
  <c r="K300" i="4"/>
  <c r="D300" i="4"/>
  <c r="A300" i="4"/>
  <c r="A299" i="4"/>
  <c r="M298" i="4"/>
  <c r="L298" i="4"/>
  <c r="G298" i="4"/>
  <c r="B298" i="4"/>
  <c r="A298" i="4"/>
  <c r="M297" i="4"/>
  <c r="G297" i="4"/>
  <c r="A297" i="4"/>
  <c r="M296" i="4"/>
  <c r="J296" i="4"/>
  <c r="I296" i="4"/>
  <c r="H296" i="4"/>
  <c r="G296" i="4"/>
  <c r="F296" i="4"/>
  <c r="E296" i="4"/>
  <c r="D296" i="4"/>
  <c r="C296" i="4"/>
  <c r="B296" i="4"/>
  <c r="A296" i="4"/>
  <c r="K295" i="4"/>
  <c r="J295" i="4"/>
  <c r="I295" i="4"/>
  <c r="H295" i="4"/>
  <c r="G295" i="4"/>
  <c r="F295" i="4"/>
  <c r="E295" i="4"/>
  <c r="D295" i="4"/>
  <c r="C295" i="4"/>
  <c r="B295" i="4"/>
  <c r="A295" i="4"/>
  <c r="M295" i="4" s="1"/>
  <c r="L294" i="4"/>
  <c r="K294" i="4"/>
  <c r="J294" i="4"/>
  <c r="I294" i="4"/>
  <c r="H294" i="4"/>
  <c r="G294" i="4"/>
  <c r="F294" i="4"/>
  <c r="E294" i="4"/>
  <c r="D294" i="4"/>
  <c r="C294" i="4"/>
  <c r="B294" i="4"/>
  <c r="A294" i="4"/>
  <c r="M294" i="4" s="1"/>
  <c r="G293" i="4"/>
  <c r="E293" i="4"/>
  <c r="A293" i="4"/>
  <c r="M292" i="4"/>
  <c r="K292" i="4"/>
  <c r="J292" i="4"/>
  <c r="I292" i="4"/>
  <c r="H292" i="4"/>
  <c r="G292" i="4"/>
  <c r="F292" i="4"/>
  <c r="E292" i="4"/>
  <c r="B292" i="4"/>
  <c r="A292" i="4"/>
  <c r="L292" i="4" s="1"/>
  <c r="M291" i="4"/>
  <c r="J291" i="4"/>
  <c r="I291" i="4"/>
  <c r="H291" i="4"/>
  <c r="G291" i="4"/>
  <c r="F291" i="4"/>
  <c r="C291" i="4"/>
  <c r="A291" i="4"/>
  <c r="A290" i="4"/>
  <c r="K289" i="4"/>
  <c r="C289" i="4"/>
  <c r="A289" i="4"/>
  <c r="M288" i="4"/>
  <c r="L288" i="4"/>
  <c r="J288" i="4"/>
  <c r="E288" i="4"/>
  <c r="D288" i="4"/>
  <c r="C288" i="4"/>
  <c r="A288" i="4"/>
  <c r="C287" i="4"/>
  <c r="A287" i="4"/>
  <c r="M286" i="4"/>
  <c r="A286" i="4"/>
  <c r="M285" i="4"/>
  <c r="L285" i="4"/>
  <c r="I285" i="4"/>
  <c r="H285" i="4"/>
  <c r="G285" i="4"/>
  <c r="E285" i="4"/>
  <c r="A285" i="4"/>
  <c r="J284" i="4"/>
  <c r="H284" i="4"/>
  <c r="A284" i="4"/>
  <c r="K283" i="4"/>
  <c r="J283" i="4"/>
  <c r="I283" i="4"/>
  <c r="H283" i="4"/>
  <c r="G283" i="4"/>
  <c r="F283" i="4"/>
  <c r="E283" i="4"/>
  <c r="D283" i="4"/>
  <c r="C283" i="4"/>
  <c r="B283" i="4"/>
  <c r="A283" i="4"/>
  <c r="M283" i="4" s="1"/>
  <c r="L282" i="4"/>
  <c r="K282" i="4"/>
  <c r="J282" i="4"/>
  <c r="I282" i="4"/>
  <c r="H282" i="4"/>
  <c r="G282" i="4"/>
  <c r="F282" i="4"/>
  <c r="E282" i="4"/>
  <c r="D282" i="4"/>
  <c r="C282" i="4"/>
  <c r="B282" i="4"/>
  <c r="A282" i="4"/>
  <c r="M282" i="4" s="1"/>
  <c r="M281" i="4"/>
  <c r="L281" i="4"/>
  <c r="K281" i="4"/>
  <c r="J281" i="4"/>
  <c r="I281" i="4"/>
  <c r="H281" i="4"/>
  <c r="G281" i="4"/>
  <c r="F281" i="4"/>
  <c r="D281" i="4"/>
  <c r="A281" i="4"/>
  <c r="I280" i="4"/>
  <c r="A280" i="4"/>
  <c r="M279" i="4"/>
  <c r="K279" i="4"/>
  <c r="J279" i="4"/>
  <c r="I279" i="4"/>
  <c r="H279" i="4"/>
  <c r="G279" i="4"/>
  <c r="F279" i="4"/>
  <c r="C279" i="4"/>
  <c r="B279" i="4"/>
  <c r="A279" i="4"/>
  <c r="L279" i="4" s="1"/>
  <c r="A278" i="4"/>
  <c r="L277" i="4"/>
  <c r="D277" i="4"/>
  <c r="B277" i="4"/>
  <c r="A277" i="4"/>
  <c r="M276" i="4"/>
  <c r="K276" i="4"/>
  <c r="F276" i="4"/>
  <c r="E276" i="4"/>
  <c r="D276" i="4"/>
  <c r="A276" i="4"/>
  <c r="M275" i="4"/>
  <c r="J275" i="4"/>
  <c r="E275" i="4"/>
  <c r="D275" i="4"/>
  <c r="B275" i="4"/>
  <c r="A275" i="4"/>
  <c r="D274" i="4"/>
  <c r="A274" i="4"/>
  <c r="M273" i="4"/>
  <c r="L273" i="4"/>
  <c r="I273" i="4"/>
  <c r="H273" i="4"/>
  <c r="F273" i="4"/>
  <c r="A273" i="4"/>
  <c r="M272" i="4"/>
  <c r="G272" i="4"/>
  <c r="A272" i="4"/>
  <c r="K271" i="4"/>
  <c r="J271" i="4"/>
  <c r="I271" i="4"/>
  <c r="H271" i="4"/>
  <c r="G271" i="4"/>
  <c r="F271" i="4"/>
  <c r="E271" i="4"/>
  <c r="D271" i="4"/>
  <c r="C271" i="4"/>
  <c r="B271" i="4"/>
  <c r="A271" i="4"/>
  <c r="M271" i="4" s="1"/>
  <c r="L270" i="4"/>
  <c r="K270" i="4"/>
  <c r="J270" i="4"/>
  <c r="I270" i="4"/>
  <c r="H270" i="4"/>
  <c r="G270" i="4"/>
  <c r="F270" i="4"/>
  <c r="E270" i="4"/>
  <c r="D270" i="4"/>
  <c r="C270" i="4"/>
  <c r="B270" i="4"/>
  <c r="A270" i="4"/>
  <c r="M270" i="4" s="1"/>
  <c r="M269" i="4"/>
  <c r="L269" i="4"/>
  <c r="K269" i="4"/>
  <c r="J269" i="4"/>
  <c r="I269" i="4"/>
  <c r="H269" i="4"/>
  <c r="G269" i="4"/>
  <c r="F269" i="4"/>
  <c r="E269" i="4"/>
  <c r="D269" i="4"/>
  <c r="A269" i="4"/>
  <c r="K268" i="4"/>
  <c r="G268" i="4"/>
  <c r="A268" i="4"/>
  <c r="L267" i="4"/>
  <c r="J267" i="4"/>
  <c r="I267" i="4"/>
  <c r="A267" i="4"/>
  <c r="M266" i="4"/>
  <c r="K266" i="4"/>
  <c r="J266" i="4"/>
  <c r="I266" i="4"/>
  <c r="H266" i="4"/>
  <c r="G266" i="4"/>
  <c r="D266" i="4"/>
  <c r="C266" i="4"/>
  <c r="B266" i="4"/>
  <c r="A266" i="4"/>
  <c r="L266" i="4" s="1"/>
  <c r="B265" i="4"/>
  <c r="A265" i="4"/>
  <c r="F264" i="4"/>
  <c r="D264" i="4"/>
  <c r="C264" i="4"/>
  <c r="B264" i="4"/>
  <c r="A264" i="4"/>
  <c r="J263" i="4"/>
  <c r="A263" i="4"/>
  <c r="M262" i="4"/>
  <c r="L262" i="4"/>
  <c r="H262" i="4"/>
  <c r="G262" i="4"/>
  <c r="E262" i="4"/>
  <c r="D262" i="4"/>
  <c r="A262" i="4"/>
  <c r="A261" i="4"/>
  <c r="H260" i="4"/>
  <c r="E260" i="4"/>
  <c r="C260" i="4"/>
  <c r="B260" i="4"/>
  <c r="A260" i="4"/>
  <c r="K259" i="4"/>
  <c r="J259" i="4"/>
  <c r="I259" i="4"/>
  <c r="H259" i="4"/>
  <c r="G259" i="4"/>
  <c r="F259" i="4"/>
  <c r="E259" i="4"/>
  <c r="D259" i="4"/>
  <c r="C259" i="4"/>
  <c r="B259" i="4"/>
  <c r="A259" i="4"/>
  <c r="M259" i="4" s="1"/>
  <c r="L258" i="4"/>
  <c r="K258" i="4"/>
  <c r="J258" i="4"/>
  <c r="I258" i="4"/>
  <c r="H258" i="4"/>
  <c r="G258" i="4"/>
  <c r="F258" i="4"/>
  <c r="E258" i="4"/>
  <c r="D258" i="4"/>
  <c r="C258" i="4"/>
  <c r="B258" i="4"/>
  <c r="A258" i="4"/>
  <c r="M258" i="4" s="1"/>
  <c r="M257" i="4"/>
  <c r="L257" i="4"/>
  <c r="K257" i="4"/>
  <c r="J257" i="4"/>
  <c r="F257" i="4"/>
  <c r="E257" i="4"/>
  <c r="A257" i="4"/>
  <c r="M256" i="4"/>
  <c r="L256" i="4"/>
  <c r="K256" i="4"/>
  <c r="J256" i="4"/>
  <c r="I256" i="4"/>
  <c r="H256" i="4"/>
  <c r="G256" i="4"/>
  <c r="F256" i="4"/>
  <c r="E256" i="4"/>
  <c r="B256" i="4"/>
  <c r="A256" i="4"/>
  <c r="M255" i="4"/>
  <c r="L255" i="4"/>
  <c r="K255" i="4"/>
  <c r="J255" i="4"/>
  <c r="I255" i="4"/>
  <c r="H255" i="4"/>
  <c r="G255" i="4"/>
  <c r="F255" i="4"/>
  <c r="A255" i="4"/>
  <c r="K254" i="4"/>
  <c r="G254" i="4"/>
  <c r="C254" i="4"/>
  <c r="A254" i="4"/>
  <c r="M253" i="4"/>
  <c r="K253" i="4"/>
  <c r="J253" i="4"/>
  <c r="I253" i="4"/>
  <c r="H253" i="4"/>
  <c r="E253" i="4"/>
  <c r="D253" i="4"/>
  <c r="C253" i="4"/>
  <c r="B253" i="4"/>
  <c r="A253" i="4"/>
  <c r="L253" i="4" s="1"/>
  <c r="A252" i="4"/>
  <c r="F251" i="4"/>
  <c r="A251" i="4"/>
  <c r="M250" i="4"/>
  <c r="K250" i="4"/>
  <c r="H250" i="4"/>
  <c r="F250" i="4"/>
  <c r="E250" i="4"/>
  <c r="D250" i="4"/>
  <c r="C250" i="4"/>
  <c r="B250" i="4"/>
  <c r="A250" i="4"/>
  <c r="A249" i="4"/>
  <c r="J248" i="4"/>
  <c r="D248" i="4"/>
  <c r="A248" i="4"/>
  <c r="K247" i="4"/>
  <c r="J247" i="4"/>
  <c r="I247" i="4"/>
  <c r="H247" i="4"/>
  <c r="G247" i="4"/>
  <c r="F247" i="4"/>
  <c r="E247" i="4"/>
  <c r="D247" i="4"/>
  <c r="C247" i="4"/>
  <c r="B247" i="4"/>
  <c r="A247" i="4"/>
  <c r="M247" i="4" s="1"/>
  <c r="L246" i="4"/>
  <c r="K246" i="4"/>
  <c r="J246" i="4"/>
  <c r="I246" i="4"/>
  <c r="H246" i="4"/>
  <c r="G246" i="4"/>
  <c r="F246" i="4"/>
  <c r="E246" i="4"/>
  <c r="D246" i="4"/>
  <c r="C246" i="4"/>
  <c r="B246" i="4"/>
  <c r="A246" i="4"/>
  <c r="M246" i="4" s="1"/>
  <c r="M245" i="4"/>
  <c r="L245" i="4"/>
  <c r="K245" i="4"/>
  <c r="J245" i="4"/>
  <c r="I245" i="4"/>
  <c r="G245" i="4"/>
  <c r="A245" i="4"/>
  <c r="M244" i="4"/>
  <c r="K244" i="4"/>
  <c r="J244" i="4"/>
  <c r="I244" i="4"/>
  <c r="F244" i="4"/>
  <c r="E244" i="4"/>
  <c r="A244" i="4"/>
  <c r="M243" i="4"/>
  <c r="L243" i="4"/>
  <c r="K243" i="4"/>
  <c r="J243" i="4"/>
  <c r="I243" i="4"/>
  <c r="H243" i="4"/>
  <c r="G243" i="4"/>
  <c r="F243" i="4"/>
  <c r="C243" i="4"/>
  <c r="B243" i="4"/>
  <c r="A243" i="4"/>
  <c r="M242" i="4"/>
  <c r="I242" i="4"/>
  <c r="G242" i="4"/>
  <c r="D242" i="4"/>
  <c r="B242" i="4"/>
  <c r="A242" i="4"/>
  <c r="D241" i="4"/>
  <c r="A241" i="4"/>
  <c r="M240" i="4"/>
  <c r="K240" i="4"/>
  <c r="J240" i="4"/>
  <c r="I240" i="4"/>
  <c r="F240" i="4"/>
  <c r="E240" i="4"/>
  <c r="D240" i="4"/>
  <c r="C240" i="4"/>
  <c r="B240" i="4"/>
  <c r="A240" i="4"/>
  <c r="L240" i="4" s="1"/>
  <c r="M239" i="4"/>
  <c r="L239" i="4"/>
  <c r="J239" i="4"/>
  <c r="G239" i="4"/>
  <c r="F239" i="4"/>
  <c r="E239" i="4"/>
  <c r="D239" i="4"/>
  <c r="C239" i="4"/>
  <c r="A239" i="4"/>
  <c r="A238" i="4"/>
  <c r="C237" i="4"/>
  <c r="A237" i="4"/>
  <c r="M236" i="4"/>
  <c r="J236" i="4"/>
  <c r="H236" i="4"/>
  <c r="G236" i="4"/>
  <c r="C236" i="4"/>
  <c r="B236" i="4"/>
  <c r="A236" i="4"/>
  <c r="K235" i="4"/>
  <c r="J235" i="4"/>
  <c r="I235" i="4"/>
  <c r="H235" i="4"/>
  <c r="G235" i="4"/>
  <c r="F235" i="4"/>
  <c r="E235" i="4"/>
  <c r="D235" i="4"/>
  <c r="C235" i="4"/>
  <c r="B235" i="4"/>
  <c r="A235" i="4"/>
  <c r="M235" i="4" s="1"/>
  <c r="L234" i="4"/>
  <c r="K234" i="4"/>
  <c r="J234" i="4"/>
  <c r="I234" i="4"/>
  <c r="H234" i="4"/>
  <c r="G234" i="4"/>
  <c r="F234" i="4"/>
  <c r="E234" i="4"/>
  <c r="D234" i="4"/>
  <c r="C234" i="4"/>
  <c r="B234" i="4"/>
  <c r="A234" i="4"/>
  <c r="M234" i="4" s="1"/>
  <c r="M233" i="4"/>
  <c r="L233" i="4"/>
  <c r="K233" i="4"/>
  <c r="J233" i="4"/>
  <c r="H233" i="4"/>
  <c r="G233" i="4"/>
  <c r="E233" i="4"/>
  <c r="D233" i="4"/>
  <c r="A233" i="4"/>
  <c r="K232" i="4"/>
  <c r="I232" i="4"/>
  <c r="G232" i="4"/>
  <c r="F232" i="4"/>
  <c r="A232" i="4"/>
  <c r="A231" i="4"/>
  <c r="M230" i="4"/>
  <c r="L230" i="4"/>
  <c r="K230" i="4"/>
  <c r="J230" i="4"/>
  <c r="I230" i="4"/>
  <c r="H230" i="4"/>
  <c r="G230" i="4"/>
  <c r="D230" i="4"/>
  <c r="C230" i="4"/>
  <c r="B230" i="4"/>
  <c r="A230" i="4"/>
  <c r="M229" i="4"/>
  <c r="L229" i="4"/>
  <c r="I229" i="4"/>
  <c r="H229" i="4"/>
  <c r="A229" i="4"/>
  <c r="L228" i="4"/>
  <c r="K228" i="4"/>
  <c r="J228" i="4"/>
  <c r="I228" i="4"/>
  <c r="F228" i="4"/>
  <c r="E228" i="4"/>
  <c r="D228" i="4"/>
  <c r="C228" i="4"/>
  <c r="A228" i="4"/>
  <c r="M227" i="4"/>
  <c r="K227" i="4"/>
  <c r="J227" i="4"/>
  <c r="G227" i="4"/>
  <c r="F227" i="4"/>
  <c r="E227" i="4"/>
  <c r="D227" i="4"/>
  <c r="C227" i="4"/>
  <c r="B227" i="4"/>
  <c r="A227" i="4"/>
  <c r="L227" i="4" s="1"/>
  <c r="M226" i="4"/>
  <c r="F226" i="4"/>
  <c r="D226" i="4"/>
  <c r="C226" i="4"/>
  <c r="B226" i="4"/>
  <c r="A226" i="4"/>
  <c r="A225" i="4"/>
  <c r="M224" i="4"/>
  <c r="I224" i="4"/>
  <c r="H224" i="4"/>
  <c r="F224" i="4"/>
  <c r="E224" i="4"/>
  <c r="D224" i="4"/>
  <c r="A224" i="4"/>
  <c r="K223" i="4"/>
  <c r="J223" i="4"/>
  <c r="I223" i="4"/>
  <c r="H223" i="4"/>
  <c r="G223" i="4"/>
  <c r="F223" i="4"/>
  <c r="E223" i="4"/>
  <c r="D223" i="4"/>
  <c r="C223" i="4"/>
  <c r="B223" i="4"/>
  <c r="A223" i="4"/>
  <c r="M223" i="4" s="1"/>
  <c r="L222" i="4"/>
  <c r="K222" i="4"/>
  <c r="J222" i="4"/>
  <c r="I222" i="4"/>
  <c r="H222" i="4"/>
  <c r="G222" i="4"/>
  <c r="F222" i="4"/>
  <c r="E222" i="4"/>
  <c r="D222" i="4"/>
  <c r="C222" i="4"/>
  <c r="B222" i="4"/>
  <c r="A222" i="4"/>
  <c r="M222" i="4" s="1"/>
  <c r="A221" i="4"/>
  <c r="A220" i="4"/>
  <c r="M219" i="4"/>
  <c r="L219" i="4"/>
  <c r="K219" i="4"/>
  <c r="J219" i="4"/>
  <c r="F219" i="4"/>
  <c r="B219" i="4"/>
  <c r="A219" i="4"/>
  <c r="M218" i="4"/>
  <c r="L218" i="4"/>
  <c r="K218" i="4"/>
  <c r="J218" i="4"/>
  <c r="I218" i="4"/>
  <c r="H218" i="4"/>
  <c r="D218" i="4"/>
  <c r="A218" i="4"/>
  <c r="M217" i="4"/>
  <c r="L217" i="4"/>
  <c r="K217" i="4"/>
  <c r="J217" i="4"/>
  <c r="I217" i="4"/>
  <c r="H217" i="4"/>
  <c r="E217" i="4"/>
  <c r="D217" i="4"/>
  <c r="C217" i="4"/>
  <c r="B217" i="4"/>
  <c r="A217" i="4"/>
  <c r="D216" i="4"/>
  <c r="A216" i="4"/>
  <c r="L215" i="4"/>
  <c r="F215" i="4"/>
  <c r="D215" i="4"/>
  <c r="A215" i="4"/>
  <c r="M214" i="4"/>
  <c r="K214" i="4"/>
  <c r="H214" i="4"/>
  <c r="G214" i="4"/>
  <c r="F214" i="4"/>
  <c r="E214" i="4"/>
  <c r="D214" i="4"/>
  <c r="C214" i="4"/>
  <c r="B214" i="4"/>
  <c r="A214" i="4"/>
  <c r="L214" i="4" s="1"/>
  <c r="A213" i="4"/>
  <c r="J212" i="4"/>
  <c r="I212" i="4"/>
  <c r="G212" i="4"/>
  <c r="F212" i="4"/>
  <c r="E212" i="4"/>
  <c r="D212" i="4"/>
  <c r="C212" i="4"/>
  <c r="B212" i="4"/>
  <c r="A212" i="4"/>
  <c r="K211" i="4"/>
  <c r="J211" i="4"/>
  <c r="I211" i="4"/>
  <c r="H211" i="4"/>
  <c r="G211" i="4"/>
  <c r="F211" i="4"/>
  <c r="E211" i="4"/>
  <c r="D211" i="4"/>
  <c r="C211" i="4"/>
  <c r="B211" i="4"/>
  <c r="A211" i="4"/>
  <c r="M211" i="4" s="1"/>
  <c r="L210" i="4"/>
  <c r="K210" i="4"/>
  <c r="J210" i="4"/>
  <c r="I210" i="4"/>
  <c r="H210" i="4"/>
  <c r="G210" i="4"/>
  <c r="F210" i="4"/>
  <c r="E210" i="4"/>
  <c r="D210" i="4"/>
  <c r="C210" i="4"/>
  <c r="B210" i="4"/>
  <c r="A210" i="4"/>
  <c r="M210" i="4" s="1"/>
  <c r="E209" i="4"/>
  <c r="D209" i="4"/>
  <c r="A209" i="4"/>
  <c r="M208" i="4"/>
  <c r="L208" i="4"/>
  <c r="K208" i="4"/>
  <c r="E208" i="4"/>
  <c r="A208" i="4"/>
  <c r="M207" i="4"/>
  <c r="L207" i="4"/>
  <c r="K207" i="4"/>
  <c r="J207" i="4"/>
  <c r="H207" i="4"/>
  <c r="G207" i="4"/>
  <c r="A207" i="4"/>
  <c r="M206" i="4"/>
  <c r="K206" i="4"/>
  <c r="J206" i="4"/>
  <c r="I206" i="4"/>
  <c r="G206" i="4"/>
  <c r="D206" i="4"/>
  <c r="B206" i="4"/>
  <c r="A206" i="4"/>
  <c r="H205" i="4"/>
  <c r="D205" i="4"/>
  <c r="A205" i="4"/>
  <c r="M204" i="4"/>
  <c r="L204" i="4"/>
  <c r="K204" i="4"/>
  <c r="J204" i="4"/>
  <c r="I204" i="4"/>
  <c r="F204" i="4"/>
  <c r="E204" i="4"/>
  <c r="D204" i="4"/>
  <c r="C204" i="4"/>
  <c r="B204" i="4"/>
  <c r="A204" i="4"/>
  <c r="M203" i="4"/>
  <c r="L203" i="4"/>
  <c r="K203" i="4"/>
  <c r="J203" i="4"/>
  <c r="A203" i="4"/>
  <c r="L202" i="4"/>
  <c r="K202" i="4"/>
  <c r="H202" i="4"/>
  <c r="G202" i="4"/>
  <c r="F202" i="4"/>
  <c r="E202" i="4"/>
  <c r="A202" i="4"/>
  <c r="M201" i="4"/>
  <c r="I201" i="4"/>
  <c r="H201" i="4"/>
  <c r="G201" i="4"/>
  <c r="F201" i="4"/>
  <c r="E201" i="4"/>
  <c r="D201" i="4"/>
  <c r="C201" i="4"/>
  <c r="B201" i="4"/>
  <c r="A201" i="4"/>
  <c r="L201" i="4" s="1"/>
  <c r="H200" i="4"/>
  <c r="F200" i="4"/>
  <c r="E200" i="4"/>
  <c r="D200" i="4"/>
  <c r="C200" i="4"/>
  <c r="A200" i="4"/>
  <c r="K199" i="4"/>
  <c r="J199" i="4"/>
  <c r="I199" i="4"/>
  <c r="H199" i="4"/>
  <c r="G199" i="4"/>
  <c r="F199" i="4"/>
  <c r="E199" i="4"/>
  <c r="D199" i="4"/>
  <c r="C199" i="4"/>
  <c r="B199" i="4"/>
  <c r="A199" i="4"/>
  <c r="M199" i="4" s="1"/>
  <c r="L198" i="4"/>
  <c r="K198" i="4"/>
  <c r="J198" i="4"/>
  <c r="I198" i="4"/>
  <c r="H198" i="4"/>
  <c r="G198" i="4"/>
  <c r="F198" i="4"/>
  <c r="E198" i="4"/>
  <c r="D198" i="4"/>
  <c r="C198" i="4"/>
  <c r="B198" i="4"/>
  <c r="A198" i="4"/>
  <c r="M198" i="4" s="1"/>
  <c r="A197" i="4"/>
  <c r="A196" i="4"/>
  <c r="M195" i="4"/>
  <c r="L195" i="4"/>
  <c r="K195" i="4"/>
  <c r="I195" i="4"/>
  <c r="H195" i="4"/>
  <c r="F195" i="4"/>
  <c r="C195" i="4"/>
  <c r="B195" i="4"/>
  <c r="A195" i="4"/>
  <c r="K194" i="4"/>
  <c r="H194" i="4"/>
  <c r="G194" i="4"/>
  <c r="A194" i="4"/>
  <c r="E193" i="4"/>
  <c r="B193" i="4"/>
  <c r="A193" i="4"/>
  <c r="M192" i="4"/>
  <c r="L192" i="4"/>
  <c r="K192" i="4"/>
  <c r="J192" i="4"/>
  <c r="A192" i="4"/>
  <c r="M191" i="4"/>
  <c r="L191" i="4"/>
  <c r="K191" i="4"/>
  <c r="J191" i="4"/>
  <c r="G191" i="4"/>
  <c r="F191" i="4"/>
  <c r="E191" i="4"/>
  <c r="D191" i="4"/>
  <c r="C191" i="4"/>
  <c r="B191" i="4"/>
  <c r="A191" i="4"/>
  <c r="M190" i="4"/>
  <c r="L190" i="4"/>
  <c r="K190" i="4"/>
  <c r="H190" i="4"/>
  <c r="G190" i="4"/>
  <c r="F190" i="4"/>
  <c r="E190" i="4"/>
  <c r="D190" i="4"/>
  <c r="B190" i="4"/>
  <c r="A190" i="4"/>
  <c r="H189" i="4"/>
  <c r="D189" i="4"/>
  <c r="A189" i="4"/>
  <c r="M188" i="4"/>
  <c r="I188" i="4"/>
  <c r="H188" i="4"/>
  <c r="G188" i="4"/>
  <c r="F188" i="4"/>
  <c r="E188" i="4"/>
  <c r="D188" i="4"/>
  <c r="C188" i="4"/>
  <c r="B188" i="4"/>
  <c r="A188" i="4"/>
  <c r="J188" i="4" s="1"/>
  <c r="K187" i="4"/>
  <c r="J187" i="4"/>
  <c r="I187" i="4"/>
  <c r="H187" i="4"/>
  <c r="G187" i="4"/>
  <c r="F187" i="4"/>
  <c r="E187" i="4"/>
  <c r="D187" i="4"/>
  <c r="C187" i="4"/>
  <c r="B187" i="4"/>
  <c r="A187" i="4"/>
  <c r="M187" i="4" s="1"/>
  <c r="L186" i="4"/>
  <c r="K186" i="4"/>
  <c r="J186" i="4"/>
  <c r="I186" i="4"/>
  <c r="H186" i="4"/>
  <c r="G186" i="4"/>
  <c r="F186" i="4"/>
  <c r="E186" i="4"/>
  <c r="D186" i="4"/>
  <c r="C186" i="4"/>
  <c r="B186" i="4"/>
  <c r="A186" i="4"/>
  <c r="M186" i="4" s="1"/>
  <c r="L185" i="4"/>
  <c r="H185" i="4"/>
  <c r="G185" i="4"/>
  <c r="A185" i="4"/>
  <c r="M184" i="4"/>
  <c r="K184" i="4"/>
  <c r="J184" i="4"/>
  <c r="H184" i="4"/>
  <c r="G184" i="4"/>
  <c r="F184" i="4"/>
  <c r="E184" i="4"/>
  <c r="B184" i="4"/>
  <c r="A184" i="4"/>
  <c r="A183" i="4"/>
  <c r="M182" i="4"/>
  <c r="L182" i="4"/>
  <c r="D182" i="4"/>
  <c r="B182" i="4"/>
  <c r="A182" i="4"/>
  <c r="A181" i="4"/>
  <c r="M180" i="4"/>
  <c r="L180" i="4"/>
  <c r="K180" i="4"/>
  <c r="J180" i="4"/>
  <c r="I180" i="4"/>
  <c r="E180" i="4"/>
  <c r="D180" i="4"/>
  <c r="B180" i="4"/>
  <c r="A180" i="4"/>
  <c r="K179" i="4"/>
  <c r="G179" i="4"/>
  <c r="F179" i="4"/>
  <c r="D179" i="4"/>
  <c r="C179" i="4"/>
  <c r="A179" i="4"/>
  <c r="M178" i="4"/>
  <c r="L178" i="4"/>
  <c r="K178" i="4"/>
  <c r="H178" i="4"/>
  <c r="G178" i="4"/>
  <c r="F178" i="4"/>
  <c r="E178" i="4"/>
  <c r="D178" i="4"/>
  <c r="C178" i="4"/>
  <c r="B178" i="4"/>
  <c r="A178" i="4"/>
  <c r="A177" i="4"/>
  <c r="J176" i="4"/>
  <c r="H176" i="4"/>
  <c r="G176" i="4"/>
  <c r="A176" i="4"/>
  <c r="K175" i="4"/>
  <c r="J175" i="4"/>
  <c r="I175" i="4"/>
  <c r="H175" i="4"/>
  <c r="G175" i="4"/>
  <c r="F175" i="4"/>
  <c r="E175" i="4"/>
  <c r="D175" i="4"/>
  <c r="C175" i="4"/>
  <c r="B175" i="4"/>
  <c r="A175" i="4"/>
  <c r="M175" i="4" s="1"/>
  <c r="L174" i="4"/>
  <c r="K174" i="4"/>
  <c r="J174" i="4"/>
  <c r="I174" i="4"/>
  <c r="H174" i="4"/>
  <c r="G174" i="4"/>
  <c r="F174" i="4"/>
  <c r="E174" i="4"/>
  <c r="D174" i="4"/>
  <c r="C174" i="4"/>
  <c r="B174" i="4"/>
  <c r="A174" i="4"/>
  <c r="M174" i="4" s="1"/>
  <c r="M173" i="4"/>
  <c r="L173" i="4"/>
  <c r="J173" i="4"/>
  <c r="I173" i="4"/>
  <c r="H173" i="4"/>
  <c r="G173" i="4"/>
  <c r="F173" i="4"/>
  <c r="E173" i="4"/>
  <c r="D173" i="4"/>
  <c r="A173" i="4"/>
  <c r="I172" i="4"/>
  <c r="G172" i="4"/>
  <c r="F172" i="4"/>
  <c r="A172" i="4"/>
  <c r="F171" i="4"/>
  <c r="B171" i="4"/>
  <c r="A171" i="4"/>
  <c r="M170" i="4"/>
  <c r="L170" i="4"/>
  <c r="J170" i="4"/>
  <c r="I170" i="4"/>
  <c r="A170" i="4"/>
  <c r="M169" i="4"/>
  <c r="L169" i="4"/>
  <c r="K169" i="4"/>
  <c r="I169" i="4"/>
  <c r="H169" i="4"/>
  <c r="D169" i="4"/>
  <c r="C169" i="4"/>
  <c r="B169" i="4"/>
  <c r="A169" i="4"/>
  <c r="K168" i="4"/>
  <c r="A168" i="4"/>
  <c r="M167" i="4"/>
  <c r="E167" i="4"/>
  <c r="A167" i="4"/>
  <c r="A166" i="4"/>
  <c r="M165" i="4"/>
  <c r="L165" i="4"/>
  <c r="I165" i="4"/>
  <c r="H165" i="4"/>
  <c r="G165" i="4"/>
  <c r="F165" i="4"/>
  <c r="E165" i="4"/>
  <c r="D165" i="4"/>
  <c r="C165" i="4"/>
  <c r="B165" i="4"/>
  <c r="A165" i="4"/>
  <c r="M164" i="4"/>
  <c r="J164" i="4"/>
  <c r="I164" i="4"/>
  <c r="H164" i="4"/>
  <c r="G164" i="4"/>
  <c r="F164" i="4"/>
  <c r="E164" i="4"/>
  <c r="D164" i="4"/>
  <c r="B164" i="4"/>
  <c r="A164" i="4"/>
  <c r="K163" i="4"/>
  <c r="J163" i="4"/>
  <c r="I163" i="4"/>
  <c r="H163" i="4"/>
  <c r="G163" i="4"/>
  <c r="F163" i="4"/>
  <c r="E163" i="4"/>
  <c r="D163" i="4"/>
  <c r="C163" i="4"/>
  <c r="B163" i="4"/>
  <c r="A163" i="4"/>
  <c r="M163" i="4" s="1"/>
  <c r="L162" i="4"/>
  <c r="K162" i="4"/>
  <c r="J162" i="4"/>
  <c r="I162" i="4"/>
  <c r="H162" i="4"/>
  <c r="G162" i="4"/>
  <c r="F162" i="4"/>
  <c r="E162" i="4"/>
  <c r="D162" i="4"/>
  <c r="C162" i="4"/>
  <c r="B162" i="4"/>
  <c r="A162" i="4"/>
  <c r="M162" i="4" s="1"/>
  <c r="M161" i="4"/>
  <c r="K161" i="4"/>
  <c r="J161" i="4"/>
  <c r="I161" i="4"/>
  <c r="H161" i="4"/>
  <c r="G161" i="4"/>
  <c r="F161" i="4"/>
  <c r="E161" i="4"/>
  <c r="D161" i="4"/>
  <c r="A161" i="4"/>
  <c r="L161" i="4" s="1"/>
  <c r="B160" i="4"/>
  <c r="A160" i="4"/>
  <c r="L159" i="4"/>
  <c r="K159" i="4"/>
  <c r="I159" i="4"/>
  <c r="H159" i="4"/>
  <c r="B159" i="4"/>
  <c r="A159" i="4"/>
  <c r="M158" i="4"/>
  <c r="K158" i="4"/>
  <c r="J158" i="4"/>
  <c r="H158" i="4"/>
  <c r="G158" i="4"/>
  <c r="D158" i="4"/>
  <c r="C158" i="4"/>
  <c r="A158" i="4"/>
  <c r="L157" i="4"/>
  <c r="J157" i="4"/>
  <c r="I157" i="4"/>
  <c r="C157" i="4"/>
  <c r="A157" i="4"/>
  <c r="C156" i="4"/>
  <c r="B156" i="4"/>
  <c r="A156" i="4"/>
  <c r="M155" i="4"/>
  <c r="J155" i="4"/>
  <c r="A155" i="4"/>
  <c r="M154" i="4"/>
  <c r="L154" i="4"/>
  <c r="K154" i="4"/>
  <c r="H154" i="4"/>
  <c r="G154" i="4"/>
  <c r="E154" i="4"/>
  <c r="D154" i="4"/>
  <c r="A154" i="4"/>
  <c r="F153" i="4"/>
  <c r="A153" i="4"/>
  <c r="M152" i="4"/>
  <c r="J152" i="4"/>
  <c r="I152" i="4"/>
  <c r="H152" i="4"/>
  <c r="G152" i="4"/>
  <c r="F152" i="4"/>
  <c r="E152" i="4"/>
  <c r="D152" i="4"/>
  <c r="C152" i="4"/>
  <c r="B152" i="4"/>
  <c r="A152" i="4"/>
  <c r="K151" i="4"/>
  <c r="J151" i="4"/>
  <c r="I151" i="4"/>
  <c r="H151" i="4"/>
  <c r="G151" i="4"/>
  <c r="F151" i="4"/>
  <c r="E151" i="4"/>
  <c r="D151" i="4"/>
  <c r="C151" i="4"/>
  <c r="B151" i="4"/>
  <c r="A151" i="4"/>
  <c r="M151" i="4" s="1"/>
  <c r="L150" i="4"/>
  <c r="K150" i="4"/>
  <c r="J150" i="4"/>
  <c r="I150" i="4"/>
  <c r="H150" i="4"/>
  <c r="G150" i="4"/>
  <c r="F150" i="4"/>
  <c r="E150" i="4"/>
  <c r="D150" i="4"/>
  <c r="C150" i="4"/>
  <c r="B150" i="4"/>
  <c r="A150" i="4"/>
  <c r="M150" i="4" s="1"/>
  <c r="L149" i="4"/>
  <c r="K149" i="4"/>
  <c r="J149" i="4"/>
  <c r="G149" i="4"/>
  <c r="F149" i="4"/>
  <c r="A149" i="4"/>
  <c r="M148" i="4"/>
  <c r="K148" i="4"/>
  <c r="J148" i="4"/>
  <c r="I148" i="4"/>
  <c r="H148" i="4"/>
  <c r="G148" i="4"/>
  <c r="F148" i="4"/>
  <c r="E148" i="4"/>
  <c r="B148" i="4"/>
  <c r="A148" i="4"/>
  <c r="L148" i="4" s="1"/>
  <c r="M147" i="4"/>
  <c r="L147" i="4"/>
  <c r="J147" i="4"/>
  <c r="I147" i="4"/>
  <c r="H147" i="4"/>
  <c r="G147" i="4"/>
  <c r="F147" i="4"/>
  <c r="C147" i="4"/>
  <c r="A147" i="4"/>
  <c r="A146" i="4"/>
  <c r="M145" i="4"/>
  <c r="H145" i="4"/>
  <c r="E145" i="4"/>
  <c r="D145" i="4"/>
  <c r="C145" i="4"/>
  <c r="B145" i="4"/>
  <c r="A145" i="4"/>
  <c r="L144" i="4"/>
  <c r="C144" i="4"/>
  <c r="B144" i="4"/>
  <c r="A144" i="4"/>
  <c r="M143" i="4"/>
  <c r="L143" i="4"/>
  <c r="K143" i="4"/>
  <c r="G143" i="4"/>
  <c r="F143" i="4"/>
  <c r="D143" i="4"/>
  <c r="C143" i="4"/>
  <c r="A143" i="4"/>
  <c r="M142" i="4"/>
  <c r="L142" i="4"/>
  <c r="K142" i="4"/>
  <c r="H142" i="4"/>
  <c r="F142" i="4"/>
  <c r="E142" i="4"/>
  <c r="C142" i="4"/>
  <c r="B142" i="4"/>
  <c r="A142" i="4"/>
  <c r="H141" i="4"/>
  <c r="D141" i="4"/>
  <c r="B141" i="4"/>
  <c r="A141" i="4"/>
  <c r="M140" i="4"/>
  <c r="J140" i="4"/>
  <c r="I140" i="4"/>
  <c r="H140" i="4"/>
  <c r="A140" i="4"/>
  <c r="K139" i="4"/>
  <c r="J139" i="4"/>
  <c r="I139" i="4"/>
  <c r="H139" i="4"/>
  <c r="G139" i="4"/>
  <c r="F139" i="4"/>
  <c r="E139" i="4"/>
  <c r="D139" i="4"/>
  <c r="C139" i="4"/>
  <c r="B139" i="4"/>
  <c r="A139" i="4"/>
  <c r="M139" i="4" s="1"/>
  <c r="L138" i="4"/>
  <c r="K138" i="4"/>
  <c r="J138" i="4"/>
  <c r="I138" i="4"/>
  <c r="H138" i="4"/>
  <c r="G138" i="4"/>
  <c r="F138" i="4"/>
  <c r="E138" i="4"/>
  <c r="D138" i="4"/>
  <c r="C138" i="4"/>
  <c r="A138" i="4"/>
  <c r="B138" i="4" s="1"/>
  <c r="H137" i="4"/>
  <c r="G137" i="4"/>
  <c r="E137" i="4"/>
  <c r="A137" i="4"/>
  <c r="M136" i="4"/>
  <c r="K136" i="4"/>
  <c r="J136" i="4"/>
  <c r="I136" i="4"/>
  <c r="H136" i="4"/>
  <c r="G136" i="4"/>
  <c r="F136" i="4"/>
  <c r="E136" i="4"/>
  <c r="B136" i="4"/>
  <c r="A136" i="4"/>
  <c r="L136" i="4" s="1"/>
  <c r="M135" i="4"/>
  <c r="L135" i="4"/>
  <c r="H135" i="4"/>
  <c r="G135" i="4"/>
  <c r="F135" i="4"/>
  <c r="C135" i="4"/>
  <c r="B135" i="4"/>
  <c r="A135" i="4"/>
  <c r="B134" i="4"/>
  <c r="A134" i="4"/>
  <c r="M133" i="4"/>
  <c r="K133" i="4"/>
  <c r="J133" i="4"/>
  <c r="H133" i="4"/>
  <c r="E133" i="4"/>
  <c r="D133" i="4"/>
  <c r="C133" i="4"/>
  <c r="A133" i="4"/>
  <c r="M132" i="4"/>
  <c r="L132" i="4"/>
  <c r="J132" i="4"/>
  <c r="I132" i="4"/>
  <c r="E132" i="4"/>
  <c r="D132" i="4"/>
  <c r="C132" i="4"/>
  <c r="B132" i="4"/>
  <c r="A132" i="4"/>
  <c r="A131" i="4"/>
  <c r="M130" i="4"/>
  <c r="A130" i="4"/>
  <c r="M129" i="4"/>
  <c r="L129" i="4"/>
  <c r="I129" i="4"/>
  <c r="H129" i="4"/>
  <c r="G129" i="4"/>
  <c r="E129" i="4"/>
  <c r="D129" i="4"/>
  <c r="A129" i="4"/>
  <c r="G128" i="4"/>
  <c r="D128" i="4"/>
  <c r="C128" i="4"/>
  <c r="A128" i="4"/>
  <c r="K127" i="4"/>
  <c r="J127" i="4"/>
  <c r="I127" i="4"/>
  <c r="H127" i="4"/>
  <c r="G127" i="4"/>
  <c r="F127" i="4"/>
  <c r="E127" i="4"/>
  <c r="D127" i="4"/>
  <c r="C127" i="4"/>
  <c r="B127" i="4"/>
  <c r="A127" i="4"/>
  <c r="M127" i="4" s="1"/>
  <c r="L126" i="4"/>
  <c r="K126" i="4"/>
  <c r="J126" i="4"/>
  <c r="I126" i="4"/>
  <c r="H126" i="4"/>
  <c r="G126" i="4"/>
  <c r="F126" i="4"/>
  <c r="E126" i="4"/>
  <c r="D126" i="4"/>
  <c r="C126" i="4"/>
  <c r="B126" i="4"/>
  <c r="A126" i="4"/>
  <c r="M126" i="4" s="1"/>
  <c r="L125" i="4"/>
  <c r="A125" i="4"/>
  <c r="L124" i="4"/>
  <c r="K124" i="4"/>
  <c r="J124" i="4"/>
  <c r="I124" i="4"/>
  <c r="F124" i="4"/>
  <c r="E124" i="4"/>
  <c r="A124" i="4"/>
  <c r="M123" i="4"/>
  <c r="K123" i="4"/>
  <c r="J123" i="4"/>
  <c r="I123" i="4"/>
  <c r="H123" i="4"/>
  <c r="G123" i="4"/>
  <c r="F123" i="4"/>
  <c r="C123" i="4"/>
  <c r="B123" i="4"/>
  <c r="A123" i="4"/>
  <c r="L123" i="4" s="1"/>
  <c r="M122" i="4"/>
  <c r="L122" i="4"/>
  <c r="J122" i="4"/>
  <c r="I122" i="4"/>
  <c r="H122" i="4"/>
  <c r="G122" i="4"/>
  <c r="D122" i="4"/>
  <c r="C122" i="4"/>
  <c r="B122" i="4"/>
  <c r="A122" i="4"/>
  <c r="K121" i="4"/>
  <c r="I121" i="4"/>
  <c r="H121" i="4"/>
  <c r="C121" i="4"/>
  <c r="A121" i="4"/>
  <c r="A120" i="4"/>
  <c r="A119" i="4"/>
  <c r="M118" i="4"/>
  <c r="L118" i="4"/>
  <c r="K118" i="4"/>
  <c r="G118" i="4"/>
  <c r="F118" i="4"/>
  <c r="D118" i="4"/>
  <c r="C118" i="4"/>
  <c r="B118" i="4"/>
  <c r="A118" i="4"/>
  <c r="I117" i="4"/>
  <c r="A117" i="4"/>
  <c r="A116" i="4"/>
  <c r="K115" i="4"/>
  <c r="J115" i="4"/>
  <c r="I115" i="4"/>
  <c r="H115" i="4"/>
  <c r="G115" i="4"/>
  <c r="F115" i="4"/>
  <c r="E115" i="4"/>
  <c r="D115" i="4"/>
  <c r="C115" i="4"/>
  <c r="B115" i="4"/>
  <c r="A115" i="4"/>
  <c r="M115" i="4" s="1"/>
  <c r="L114" i="4"/>
  <c r="K114" i="4"/>
  <c r="J114" i="4"/>
  <c r="I114" i="4"/>
  <c r="H114" i="4"/>
  <c r="G114" i="4"/>
  <c r="F114" i="4"/>
  <c r="E114" i="4"/>
  <c r="D114" i="4"/>
  <c r="C114" i="4"/>
  <c r="A114" i="4"/>
  <c r="B114" i="4" s="1"/>
  <c r="M113" i="4"/>
  <c r="L113" i="4"/>
  <c r="K113" i="4"/>
  <c r="J113" i="4"/>
  <c r="I113" i="4"/>
  <c r="H113" i="4"/>
  <c r="G113" i="4"/>
  <c r="A113" i="4"/>
  <c r="A112" i="4"/>
  <c r="M111" i="4"/>
  <c r="K111" i="4"/>
  <c r="J111" i="4"/>
  <c r="I111" i="4"/>
  <c r="H111" i="4"/>
  <c r="G111" i="4"/>
  <c r="F111" i="4"/>
  <c r="C111" i="4"/>
  <c r="B111" i="4"/>
  <c r="A111" i="4"/>
  <c r="L111" i="4" s="1"/>
  <c r="M110" i="4"/>
  <c r="L110" i="4"/>
  <c r="H110" i="4"/>
  <c r="G110" i="4"/>
  <c r="D110" i="4"/>
  <c r="C110" i="4"/>
  <c r="B110" i="4"/>
  <c r="A110" i="4"/>
  <c r="K109" i="4"/>
  <c r="C109" i="4"/>
  <c r="B109" i="4"/>
  <c r="A109" i="4"/>
  <c r="M108" i="4"/>
  <c r="K108" i="4"/>
  <c r="J108" i="4"/>
  <c r="F108" i="4"/>
  <c r="E108" i="4"/>
  <c r="D108" i="4"/>
  <c r="C108" i="4"/>
  <c r="A108" i="4"/>
  <c r="M107" i="4"/>
  <c r="L107" i="4"/>
  <c r="J107" i="4"/>
  <c r="G107" i="4"/>
  <c r="E107" i="4"/>
  <c r="D107" i="4"/>
  <c r="C107" i="4"/>
  <c r="B107" i="4"/>
  <c r="A107" i="4"/>
  <c r="G106" i="4"/>
  <c r="F106" i="4"/>
  <c r="C106" i="4"/>
  <c r="A106" i="4"/>
  <c r="M105" i="4"/>
  <c r="A105" i="4"/>
  <c r="M104" i="4"/>
  <c r="J104" i="4"/>
  <c r="I104" i="4"/>
  <c r="H104" i="4"/>
  <c r="G104" i="4"/>
  <c r="E104" i="4"/>
  <c r="D104" i="4"/>
  <c r="A104" i="4"/>
  <c r="L103" i="4"/>
  <c r="K103" i="4"/>
  <c r="J103" i="4"/>
  <c r="I103" i="4"/>
  <c r="H103" i="4"/>
  <c r="G103" i="4"/>
  <c r="F103" i="4"/>
  <c r="E103" i="4"/>
  <c r="D103" i="4"/>
  <c r="C103" i="4"/>
  <c r="B103" i="4"/>
  <c r="A103" i="4"/>
  <c r="M103" i="4" s="1"/>
  <c r="L102" i="4"/>
  <c r="K102" i="4"/>
  <c r="J102" i="4"/>
  <c r="I102" i="4"/>
  <c r="H102" i="4"/>
  <c r="G102" i="4"/>
  <c r="F102" i="4"/>
  <c r="E102" i="4"/>
  <c r="D102" i="4"/>
  <c r="C102" i="4"/>
  <c r="A102" i="4"/>
  <c r="B102" i="4" s="1"/>
  <c r="M101" i="4"/>
  <c r="L101" i="4"/>
  <c r="K101" i="4"/>
  <c r="J101" i="4"/>
  <c r="I101" i="4"/>
  <c r="H101" i="4"/>
  <c r="G101" i="4"/>
  <c r="F101" i="4"/>
  <c r="E101" i="4"/>
  <c r="D101" i="4"/>
  <c r="A101" i="4"/>
  <c r="I100" i="4"/>
  <c r="F100" i="4"/>
  <c r="B100" i="4"/>
  <c r="A100" i="4"/>
  <c r="L99" i="4"/>
  <c r="K99" i="4"/>
  <c r="H99" i="4"/>
  <c r="G99" i="4"/>
  <c r="A99" i="4"/>
  <c r="M98" i="4"/>
  <c r="K98" i="4"/>
  <c r="J98" i="4"/>
  <c r="I98" i="4"/>
  <c r="H98" i="4"/>
  <c r="G98" i="4"/>
  <c r="D98" i="4"/>
  <c r="C98" i="4"/>
  <c r="B98" i="4"/>
  <c r="A98" i="4"/>
  <c r="L98" i="4" s="1"/>
  <c r="H97" i="4"/>
  <c r="E97" i="4"/>
  <c r="A97" i="4"/>
  <c r="A96" i="4"/>
  <c r="J95" i="4"/>
  <c r="F95" i="4"/>
  <c r="E95" i="4"/>
  <c r="D95" i="4"/>
  <c r="C95" i="4"/>
  <c r="B95" i="4"/>
  <c r="A95" i="4"/>
  <c r="L94" i="4"/>
  <c r="C94" i="4"/>
  <c r="B94" i="4"/>
  <c r="A94" i="4"/>
  <c r="M93" i="4"/>
  <c r="I93" i="4"/>
  <c r="G93" i="4"/>
  <c r="A93" i="4"/>
  <c r="H92" i="4"/>
  <c r="E92" i="4"/>
  <c r="B92" i="4"/>
  <c r="A92" i="4"/>
  <c r="L91" i="4"/>
  <c r="K91" i="4"/>
  <c r="J91" i="4"/>
  <c r="I91" i="4"/>
  <c r="H91" i="4"/>
  <c r="G91" i="4"/>
  <c r="F91" i="4"/>
  <c r="E91" i="4"/>
  <c r="D91" i="4"/>
  <c r="C91" i="4"/>
  <c r="B91" i="4"/>
  <c r="A91" i="4"/>
  <c r="M91" i="4" s="1"/>
  <c r="L90" i="4"/>
  <c r="K90" i="4"/>
  <c r="J90" i="4"/>
  <c r="I90" i="4"/>
  <c r="H90" i="4"/>
  <c r="G90" i="4"/>
  <c r="F90" i="4"/>
  <c r="E90" i="4"/>
  <c r="D90" i="4"/>
  <c r="C90" i="4"/>
  <c r="A90" i="4"/>
  <c r="B90" i="4" s="1"/>
  <c r="M89" i="4"/>
  <c r="H89" i="4"/>
  <c r="A89" i="4"/>
  <c r="M88" i="4"/>
  <c r="L88" i="4"/>
  <c r="K88" i="4"/>
  <c r="J88" i="4"/>
  <c r="I88" i="4"/>
  <c r="H88" i="4"/>
  <c r="G88" i="4"/>
  <c r="F88" i="4"/>
  <c r="E88" i="4"/>
  <c r="B88" i="4"/>
  <c r="A88" i="4"/>
  <c r="M87" i="4"/>
  <c r="L87" i="4"/>
  <c r="K87" i="4"/>
  <c r="J87" i="4"/>
  <c r="I87" i="4"/>
  <c r="F87" i="4"/>
  <c r="B87" i="4"/>
  <c r="A87" i="4"/>
  <c r="L86" i="4"/>
  <c r="K86" i="4"/>
  <c r="J86" i="4"/>
  <c r="I86" i="4"/>
  <c r="H86" i="4"/>
  <c r="G86" i="4"/>
  <c r="D86" i="4"/>
  <c r="A86" i="4"/>
  <c r="M85" i="4"/>
  <c r="K85" i="4"/>
  <c r="J85" i="4"/>
  <c r="I85" i="4"/>
  <c r="H85" i="4"/>
  <c r="E85" i="4"/>
  <c r="D85" i="4"/>
  <c r="C85" i="4"/>
  <c r="B85" i="4"/>
  <c r="A85" i="4"/>
  <c r="L85" i="4" s="1"/>
  <c r="A84" i="4"/>
  <c r="E83" i="4"/>
  <c r="A83" i="4"/>
  <c r="M82" i="4"/>
  <c r="K82" i="4"/>
  <c r="E82" i="4"/>
  <c r="A82" i="4"/>
  <c r="M81" i="4"/>
  <c r="L81" i="4"/>
  <c r="H81" i="4"/>
  <c r="G81" i="4"/>
  <c r="E81" i="4"/>
  <c r="D81" i="4"/>
  <c r="C81" i="4"/>
  <c r="B81" i="4"/>
  <c r="A81" i="4"/>
  <c r="J80" i="4"/>
  <c r="D80" i="4"/>
  <c r="B80" i="4"/>
  <c r="A80" i="4"/>
  <c r="K79" i="4"/>
  <c r="J79" i="4"/>
  <c r="I79" i="4"/>
  <c r="H79" i="4"/>
  <c r="G79" i="4"/>
  <c r="F79" i="4"/>
  <c r="E79" i="4"/>
  <c r="D79" i="4"/>
  <c r="C79" i="4"/>
  <c r="B79" i="4"/>
  <c r="A79" i="4"/>
  <c r="M79" i="4" s="1"/>
  <c r="L78" i="4"/>
  <c r="K78" i="4"/>
  <c r="J78" i="4"/>
  <c r="I78" i="4"/>
  <c r="H78" i="4"/>
  <c r="G78" i="4"/>
  <c r="F78" i="4"/>
  <c r="E78" i="4"/>
  <c r="D78" i="4"/>
  <c r="C78" i="4"/>
  <c r="B78" i="4"/>
  <c r="A78" i="4"/>
  <c r="M78" i="4" s="1"/>
  <c r="M77" i="4"/>
  <c r="L77" i="4"/>
  <c r="K77" i="4"/>
  <c r="G77" i="4"/>
  <c r="F77" i="4"/>
  <c r="D77" i="4"/>
  <c r="A77" i="4"/>
  <c r="L76" i="4"/>
  <c r="K76" i="4"/>
  <c r="A76" i="4"/>
  <c r="M75" i="4"/>
  <c r="L75" i="4"/>
  <c r="K75" i="4"/>
  <c r="J75" i="4"/>
  <c r="I75" i="4"/>
  <c r="H75" i="4"/>
  <c r="G75" i="4"/>
  <c r="F75" i="4"/>
  <c r="C75" i="4"/>
  <c r="B75" i="4"/>
  <c r="A75" i="4"/>
  <c r="M74" i="4"/>
  <c r="L74" i="4"/>
  <c r="I74" i="4"/>
  <c r="D74" i="4"/>
  <c r="B74" i="4"/>
  <c r="A74" i="4"/>
  <c r="J73" i="4"/>
  <c r="I73" i="4"/>
  <c r="H73" i="4"/>
  <c r="E73" i="4"/>
  <c r="A73" i="4"/>
  <c r="M72" i="4"/>
  <c r="K72" i="4"/>
  <c r="J72" i="4"/>
  <c r="I72" i="4"/>
  <c r="F72" i="4"/>
  <c r="E72" i="4"/>
  <c r="D72" i="4"/>
  <c r="C72" i="4"/>
  <c r="B72" i="4"/>
  <c r="A72" i="4"/>
  <c r="L72" i="4" s="1"/>
  <c r="L71" i="4"/>
  <c r="A71" i="4"/>
  <c r="L70" i="4"/>
  <c r="K70" i="4"/>
  <c r="G70" i="4"/>
  <c r="F70" i="4"/>
  <c r="E70" i="4"/>
  <c r="D70" i="4"/>
  <c r="C70" i="4"/>
  <c r="A70" i="4"/>
  <c r="M69" i="4"/>
  <c r="I69" i="4"/>
  <c r="H69" i="4"/>
  <c r="F69" i="4"/>
  <c r="E69" i="4"/>
  <c r="D69" i="4"/>
  <c r="C69" i="4"/>
  <c r="A69" i="4"/>
  <c r="D68" i="4"/>
  <c r="C68" i="4"/>
  <c r="A68" i="4"/>
  <c r="K67" i="4"/>
  <c r="J67" i="4"/>
  <c r="I67" i="4"/>
  <c r="H67" i="4"/>
  <c r="G67" i="4"/>
  <c r="F67" i="4"/>
  <c r="E67" i="4"/>
  <c r="D67" i="4"/>
  <c r="C67" i="4"/>
  <c r="B67" i="4"/>
  <c r="A67" i="4"/>
  <c r="M67" i="4" s="1"/>
  <c r="L66" i="4"/>
  <c r="K66" i="4"/>
  <c r="J66" i="4"/>
  <c r="I66" i="4"/>
  <c r="H66" i="4"/>
  <c r="G66" i="4"/>
  <c r="F66" i="4"/>
  <c r="E66" i="4"/>
  <c r="D66" i="4"/>
  <c r="C66" i="4"/>
  <c r="B66" i="4"/>
  <c r="A66" i="4"/>
  <c r="M66" i="4" s="1"/>
  <c r="M65" i="4"/>
  <c r="L65" i="4"/>
  <c r="A65" i="4"/>
  <c r="M64" i="4"/>
  <c r="L64" i="4"/>
  <c r="K64" i="4"/>
  <c r="J64" i="4"/>
  <c r="I64" i="4"/>
  <c r="G64" i="4"/>
  <c r="F64" i="4"/>
  <c r="B64" i="4"/>
  <c r="A64" i="4"/>
  <c r="J63" i="4"/>
  <c r="F63" i="4"/>
  <c r="C63" i="4"/>
  <c r="A63" i="4"/>
  <c r="M62" i="4"/>
  <c r="L62" i="4"/>
  <c r="K62" i="4"/>
  <c r="J62" i="4"/>
  <c r="I62" i="4"/>
  <c r="H62" i="4"/>
  <c r="G62" i="4"/>
  <c r="D62" i="4"/>
  <c r="C62" i="4"/>
  <c r="B62" i="4"/>
  <c r="A62" i="4"/>
  <c r="K61" i="4"/>
  <c r="A61" i="4"/>
  <c r="J60" i="4"/>
  <c r="I60" i="4"/>
  <c r="F60" i="4"/>
  <c r="A60" i="4"/>
  <c r="M59" i="4"/>
  <c r="K59" i="4"/>
  <c r="J59" i="4"/>
  <c r="G59" i="4"/>
  <c r="F59" i="4"/>
  <c r="E59" i="4"/>
  <c r="D59" i="4"/>
  <c r="C59" i="4"/>
  <c r="B59" i="4"/>
  <c r="A59" i="4"/>
  <c r="L59" i="4" s="1"/>
  <c r="A58" i="4"/>
  <c r="G57" i="4"/>
  <c r="F57" i="4"/>
  <c r="E57" i="4"/>
  <c r="D57" i="4"/>
  <c r="C57" i="4"/>
  <c r="B57" i="4"/>
  <c r="A57" i="4"/>
  <c r="A56" i="4"/>
  <c r="K55" i="4"/>
  <c r="J55" i="4"/>
  <c r="I55" i="4"/>
  <c r="H55" i="4"/>
  <c r="G55" i="4"/>
  <c r="F55" i="4"/>
  <c r="E55" i="4"/>
  <c r="D55" i="4"/>
  <c r="C55" i="4"/>
  <c r="B55" i="4"/>
  <c r="A55" i="4"/>
  <c r="M55" i="4" s="1"/>
  <c r="L54" i="4"/>
  <c r="K54" i="4"/>
  <c r="J54" i="4"/>
  <c r="I54" i="4"/>
  <c r="H54" i="4"/>
  <c r="G54" i="4"/>
  <c r="F54" i="4"/>
  <c r="E54" i="4"/>
  <c r="D54" i="4"/>
  <c r="C54" i="4"/>
  <c r="B54" i="4"/>
  <c r="A54" i="4"/>
  <c r="M54" i="4" s="1"/>
  <c r="M53" i="4"/>
  <c r="L53" i="4"/>
  <c r="K53" i="4"/>
  <c r="I53" i="4"/>
  <c r="H53" i="4"/>
  <c r="F53" i="4"/>
  <c r="E53" i="4"/>
  <c r="A53" i="4"/>
  <c r="A52" i="4"/>
  <c r="A51" i="4"/>
  <c r="M50" i="4"/>
  <c r="L50" i="4"/>
  <c r="K50" i="4"/>
  <c r="J50" i="4"/>
  <c r="D50" i="4"/>
  <c r="A50" i="4"/>
  <c r="M49" i="4"/>
  <c r="L49" i="4"/>
  <c r="K49" i="4"/>
  <c r="J49" i="4"/>
  <c r="I49" i="4"/>
  <c r="H49" i="4"/>
  <c r="E49" i="4"/>
  <c r="D49" i="4"/>
  <c r="C49" i="4"/>
  <c r="B49" i="4"/>
  <c r="A49" i="4"/>
  <c r="M48" i="4"/>
  <c r="L48" i="4"/>
  <c r="K48" i="4"/>
  <c r="J48" i="4"/>
  <c r="I48" i="4"/>
  <c r="F48" i="4"/>
  <c r="E48" i="4"/>
  <c r="D48" i="4"/>
  <c r="A48" i="4"/>
  <c r="A47" i="4"/>
  <c r="M46" i="4"/>
  <c r="K46" i="4"/>
  <c r="H46" i="4"/>
  <c r="G46" i="4"/>
  <c r="F46" i="4"/>
  <c r="E46" i="4"/>
  <c r="D46" i="4"/>
  <c r="C46" i="4"/>
  <c r="B46" i="4"/>
  <c r="A46" i="4"/>
  <c r="L46" i="4" s="1"/>
  <c r="M45" i="4"/>
  <c r="L45" i="4"/>
  <c r="H45" i="4"/>
  <c r="E45" i="4"/>
  <c r="D45" i="4"/>
  <c r="C45" i="4"/>
  <c r="B45" i="4"/>
  <c r="A45" i="4"/>
  <c r="I44" i="4"/>
  <c r="A44" i="4"/>
  <c r="K43" i="4"/>
  <c r="J43" i="4"/>
  <c r="I43" i="4"/>
  <c r="H43" i="4"/>
  <c r="G43" i="4"/>
  <c r="F43" i="4"/>
  <c r="E43" i="4"/>
  <c r="D43" i="4"/>
  <c r="C43" i="4"/>
  <c r="B43" i="4"/>
  <c r="A43" i="4"/>
  <c r="M43" i="4" s="1"/>
  <c r="L42" i="4"/>
  <c r="K42" i="4"/>
  <c r="J42" i="4"/>
  <c r="I42" i="4"/>
  <c r="H42" i="4"/>
  <c r="G42" i="4"/>
  <c r="F42" i="4"/>
  <c r="E42" i="4"/>
  <c r="D42" i="4"/>
  <c r="C42" i="4"/>
  <c r="B42" i="4"/>
  <c r="A42" i="4"/>
  <c r="M42" i="4" s="1"/>
  <c r="M41" i="4"/>
  <c r="L41" i="4"/>
  <c r="J41" i="4"/>
  <c r="I41" i="4"/>
  <c r="G41" i="4"/>
  <c r="F41" i="4"/>
  <c r="E41" i="4"/>
  <c r="D41" i="4"/>
  <c r="A41" i="4"/>
  <c r="I40" i="4"/>
  <c r="A40" i="4"/>
  <c r="M39" i="4"/>
  <c r="G39" i="4"/>
  <c r="A39" i="4"/>
  <c r="M38" i="4"/>
  <c r="L38" i="4"/>
  <c r="K38" i="4"/>
  <c r="J38" i="4"/>
  <c r="I38" i="4"/>
  <c r="G38" i="4"/>
  <c r="A38" i="4"/>
  <c r="A37" i="4"/>
  <c r="M36" i="4"/>
  <c r="L36" i="4"/>
  <c r="K36" i="4"/>
  <c r="J36" i="4"/>
  <c r="I36" i="4"/>
  <c r="F36" i="4"/>
  <c r="E36" i="4"/>
  <c r="D36" i="4"/>
  <c r="C36" i="4"/>
  <c r="B36" i="4"/>
  <c r="A36" i="4"/>
  <c r="M35" i="4"/>
  <c r="J35" i="4"/>
  <c r="G35" i="4"/>
  <c r="D35" i="4"/>
  <c r="A35" i="4"/>
  <c r="K34" i="4"/>
  <c r="E34" i="4"/>
  <c r="D34" i="4"/>
  <c r="C34" i="4"/>
  <c r="A34" i="4"/>
  <c r="M33" i="4"/>
  <c r="I33" i="4"/>
  <c r="H33" i="4"/>
  <c r="G33" i="4"/>
  <c r="F33" i="4"/>
  <c r="E33" i="4"/>
  <c r="D33" i="4"/>
  <c r="C33" i="4"/>
  <c r="B33" i="4"/>
  <c r="A33" i="4"/>
  <c r="L33" i="4" s="1"/>
  <c r="M32" i="4"/>
  <c r="J32" i="4"/>
  <c r="H32" i="4"/>
  <c r="G32" i="4"/>
  <c r="F32" i="4"/>
  <c r="E32" i="4"/>
  <c r="D32" i="4"/>
  <c r="C32" i="4"/>
  <c r="A32" i="4"/>
  <c r="K31" i="4"/>
  <c r="J31" i="4"/>
  <c r="I31" i="4"/>
  <c r="H31" i="4"/>
  <c r="G31" i="4"/>
  <c r="F31" i="4"/>
  <c r="E31" i="4"/>
  <c r="D31" i="4"/>
  <c r="C31" i="4"/>
  <c r="B31" i="4"/>
  <c r="A31" i="4"/>
  <c r="M31" i="4" s="1"/>
  <c r="L30" i="4"/>
  <c r="K30" i="4"/>
  <c r="J30" i="4"/>
  <c r="I30" i="4"/>
  <c r="H30" i="4"/>
  <c r="G30" i="4"/>
  <c r="F30" i="4"/>
  <c r="E30" i="4"/>
  <c r="D30" i="4"/>
  <c r="C30" i="4"/>
  <c r="B30" i="4"/>
  <c r="A30" i="4"/>
  <c r="M30" i="4" s="1"/>
  <c r="K29" i="4"/>
  <c r="J29" i="4"/>
  <c r="H29" i="4"/>
  <c r="G29" i="4"/>
  <c r="F29" i="4"/>
  <c r="E29" i="4"/>
  <c r="A29" i="4"/>
  <c r="M28" i="4"/>
  <c r="F28" i="4"/>
  <c r="E28" i="4"/>
  <c r="A28" i="4"/>
  <c r="M27" i="4"/>
  <c r="L27" i="4"/>
  <c r="K27" i="4"/>
  <c r="I27" i="4"/>
  <c r="H27" i="4"/>
  <c r="B27" i="4"/>
  <c r="A27" i="4"/>
  <c r="M26" i="4"/>
  <c r="L26" i="4"/>
  <c r="K26" i="4"/>
  <c r="J26" i="4"/>
  <c r="H26" i="4"/>
  <c r="G26" i="4"/>
  <c r="C26" i="4"/>
  <c r="B26" i="4"/>
  <c r="A26" i="4"/>
  <c r="K25" i="4"/>
  <c r="D25" i="4"/>
  <c r="B25" i="4"/>
  <c r="A25" i="4"/>
  <c r="M24" i="4"/>
  <c r="L24" i="4"/>
  <c r="I24" i="4"/>
  <c r="F24" i="4"/>
  <c r="D24" i="4"/>
  <c r="C24" i="4"/>
  <c r="A24" i="4"/>
  <c r="M23" i="4"/>
  <c r="L23" i="4"/>
  <c r="K23" i="4"/>
  <c r="J23" i="4"/>
  <c r="G23" i="4"/>
  <c r="F23" i="4"/>
  <c r="E23" i="4"/>
  <c r="D23" i="4"/>
  <c r="C23" i="4"/>
  <c r="B23" i="4"/>
  <c r="A23" i="4"/>
  <c r="A22" i="4"/>
  <c r="L21" i="4"/>
  <c r="I21" i="4"/>
  <c r="H21" i="4"/>
  <c r="G21" i="4"/>
  <c r="F21" i="4"/>
  <c r="E21" i="4"/>
  <c r="D21" i="4"/>
  <c r="C21" i="4"/>
  <c r="A21" i="4"/>
  <c r="M20" i="4"/>
  <c r="I20" i="4"/>
  <c r="H20" i="4"/>
  <c r="G20" i="4"/>
  <c r="F20" i="4"/>
  <c r="E20" i="4"/>
  <c r="D20" i="4"/>
  <c r="C20" i="4"/>
  <c r="B20" i="4"/>
  <c r="A20" i="4"/>
  <c r="J20" i="4" s="1"/>
  <c r="K19" i="4"/>
  <c r="J19" i="4"/>
  <c r="I19" i="4"/>
  <c r="H19" i="4"/>
  <c r="G19" i="4"/>
  <c r="F19" i="4"/>
  <c r="E19" i="4"/>
  <c r="D19" i="4"/>
  <c r="C19" i="4"/>
  <c r="B19" i="4"/>
  <c r="A19" i="4"/>
  <c r="M19" i="4" s="1"/>
  <c r="L18" i="4"/>
  <c r="K18" i="4"/>
  <c r="J18" i="4"/>
  <c r="I18" i="4"/>
  <c r="H18" i="4"/>
  <c r="G18" i="4"/>
  <c r="F18" i="4"/>
  <c r="E18" i="4"/>
  <c r="D18" i="4"/>
  <c r="C18" i="4"/>
  <c r="B18" i="4"/>
  <c r="A18" i="4"/>
  <c r="M18" i="4" s="1"/>
  <c r="A17" i="4"/>
  <c r="A16" i="4"/>
  <c r="M15" i="4"/>
  <c r="L15" i="4"/>
  <c r="J15" i="4"/>
  <c r="I15" i="4"/>
  <c r="G15" i="4"/>
  <c r="F15" i="4"/>
  <c r="C15" i="4"/>
  <c r="B15" i="4"/>
  <c r="A15" i="4"/>
  <c r="A14" i="4"/>
  <c r="B13" i="4"/>
  <c r="A13" i="4"/>
  <c r="M12" i="4"/>
  <c r="L12" i="4"/>
  <c r="K12" i="4"/>
  <c r="J12" i="4"/>
  <c r="I12" i="4"/>
  <c r="A12" i="4"/>
  <c r="M11" i="4"/>
  <c r="L11" i="4"/>
  <c r="K11" i="4"/>
  <c r="J11" i="4"/>
  <c r="G11" i="4"/>
  <c r="F11" i="4"/>
  <c r="D11" i="4"/>
  <c r="C11" i="4"/>
  <c r="A11" i="4"/>
  <c r="M10" i="4"/>
  <c r="L10" i="4"/>
  <c r="K10" i="4"/>
  <c r="H10" i="4"/>
  <c r="G10" i="4"/>
  <c r="F10" i="4"/>
  <c r="E10" i="4"/>
  <c r="D10" i="4"/>
  <c r="C10" i="4"/>
  <c r="B10" i="4"/>
  <c r="A10" i="4"/>
  <c r="A9" i="4"/>
  <c r="J8" i="4"/>
  <c r="I8" i="4"/>
  <c r="F8" i="4"/>
  <c r="E8" i="4"/>
  <c r="D8" i="4"/>
  <c r="C8" i="4"/>
  <c r="A8" i="4"/>
  <c r="L7" i="4"/>
  <c r="K7" i="4"/>
  <c r="J7" i="4"/>
  <c r="I7" i="4"/>
  <c r="H7" i="4"/>
  <c r="G7" i="4"/>
  <c r="F7" i="4"/>
  <c r="E7" i="4"/>
  <c r="D7" i="4"/>
  <c r="C7" i="4"/>
  <c r="B7" i="4"/>
  <c r="A7" i="4"/>
  <c r="M7" i="4" s="1"/>
  <c r="L6" i="4"/>
  <c r="K6" i="4"/>
  <c r="J6" i="4"/>
  <c r="I6" i="4"/>
  <c r="H6" i="4"/>
  <c r="G6" i="4"/>
  <c r="F6" i="4"/>
  <c r="E6" i="4"/>
  <c r="D6" i="4"/>
  <c r="C6" i="4"/>
  <c r="A6" i="4"/>
  <c r="B6" i="4" s="1"/>
  <c r="J5" i="4"/>
  <c r="G5" i="4"/>
  <c r="D5" i="4"/>
  <c r="A5" i="4"/>
  <c r="L4" i="4"/>
  <c r="K4" i="4"/>
  <c r="I4" i="4"/>
  <c r="H4" i="4"/>
  <c r="G4" i="4"/>
  <c r="F4" i="4"/>
  <c r="E4" i="4"/>
  <c r="B4" i="4"/>
  <c r="A4" i="4"/>
  <c r="K3" i="4"/>
  <c r="J3" i="4"/>
  <c r="H3" i="4"/>
  <c r="G3" i="4"/>
  <c r="F3" i="4"/>
  <c r="C3" i="4"/>
  <c r="B3" i="4"/>
  <c r="A3" i="4"/>
  <c r="L2" i="4"/>
  <c r="D2" i="4"/>
  <c r="C2" i="4"/>
  <c r="A2" i="4"/>
  <c r="D24" i="3"/>
  <c r="H21" i="3"/>
  <c r="G21" i="3"/>
  <c r="F21" i="3"/>
  <c r="E21" i="3"/>
  <c r="D21" i="3"/>
  <c r="D23" i="3" s="1"/>
  <c r="C21" i="3"/>
  <c r="C23" i="3" s="1"/>
  <c r="H20" i="3"/>
  <c r="H22" i="3" s="1"/>
  <c r="G20" i="3"/>
  <c r="G22" i="3" s="1"/>
  <c r="F20" i="3"/>
  <c r="E20" i="3"/>
  <c r="D20" i="3"/>
  <c r="D22" i="3" s="1"/>
  <c r="C20" i="3"/>
  <c r="A1002" i="2"/>
  <c r="A1001" i="2"/>
  <c r="L1000" i="2"/>
  <c r="K1000" i="2"/>
  <c r="J1000" i="2"/>
  <c r="N1000" i="2" s="1"/>
  <c r="H1000" i="2"/>
  <c r="D1000" i="2"/>
  <c r="A1000" i="2"/>
  <c r="J999" i="2"/>
  <c r="B999" i="2"/>
  <c r="A999" i="2"/>
  <c r="O998" i="2"/>
  <c r="K998" i="2"/>
  <c r="J998" i="2"/>
  <c r="H998" i="2"/>
  <c r="D998" i="2"/>
  <c r="F998" i="2" s="1"/>
  <c r="C998" i="2"/>
  <c r="E998" i="2" s="1"/>
  <c r="B998" i="2"/>
  <c r="A998" i="2"/>
  <c r="O997" i="2"/>
  <c r="J997" i="2"/>
  <c r="D997" i="2"/>
  <c r="C997" i="2"/>
  <c r="E997" i="2" s="1"/>
  <c r="B997" i="2"/>
  <c r="A997" i="2"/>
  <c r="H996" i="2"/>
  <c r="D996" i="2"/>
  <c r="A996" i="2"/>
  <c r="N995" i="2"/>
  <c r="K995" i="2"/>
  <c r="L995" i="2" s="1"/>
  <c r="J995" i="2"/>
  <c r="H995" i="2"/>
  <c r="B995" i="2"/>
  <c r="A995" i="2"/>
  <c r="A994" i="2"/>
  <c r="L993" i="2"/>
  <c r="K993" i="2"/>
  <c r="J993" i="2"/>
  <c r="H993" i="2"/>
  <c r="F993" i="2"/>
  <c r="E993" i="2"/>
  <c r="O993" i="2" s="1"/>
  <c r="D993" i="2"/>
  <c r="C993" i="2"/>
  <c r="A993" i="2"/>
  <c r="B993" i="2" s="1"/>
  <c r="A992" i="2"/>
  <c r="D991" i="2"/>
  <c r="B991" i="2"/>
  <c r="A991" i="2"/>
  <c r="L990" i="2"/>
  <c r="K990" i="2"/>
  <c r="N990" i="2" s="1"/>
  <c r="J990" i="2"/>
  <c r="H990" i="2"/>
  <c r="C990" i="2"/>
  <c r="E990" i="2" s="1"/>
  <c r="F990" i="2" s="1"/>
  <c r="B990" i="2"/>
  <c r="A990" i="2"/>
  <c r="D990" i="2" s="1"/>
  <c r="C989" i="2"/>
  <c r="E989" i="2" s="1"/>
  <c r="A989" i="2"/>
  <c r="H988" i="2"/>
  <c r="A988" i="2"/>
  <c r="D987" i="2"/>
  <c r="F987" i="2" s="1"/>
  <c r="C987" i="2"/>
  <c r="E987" i="2" s="1"/>
  <c r="O987" i="2" s="1"/>
  <c r="B987" i="2"/>
  <c r="A987" i="2"/>
  <c r="N986" i="2"/>
  <c r="K986" i="2"/>
  <c r="L986" i="2" s="1"/>
  <c r="J986" i="2"/>
  <c r="H986" i="2"/>
  <c r="D986" i="2"/>
  <c r="C986" i="2"/>
  <c r="E986" i="2" s="1"/>
  <c r="O986" i="2" s="1"/>
  <c r="B986" i="2"/>
  <c r="A986" i="2"/>
  <c r="K985" i="2"/>
  <c r="L985" i="2" s="1"/>
  <c r="J985" i="2"/>
  <c r="N985" i="2" s="1"/>
  <c r="H985" i="2"/>
  <c r="D985" i="2"/>
  <c r="C985" i="2"/>
  <c r="E985" i="2" s="1"/>
  <c r="B985" i="2"/>
  <c r="A985" i="2"/>
  <c r="C984" i="2"/>
  <c r="E984" i="2" s="1"/>
  <c r="B984" i="2"/>
  <c r="A984" i="2"/>
  <c r="K983" i="2"/>
  <c r="L983" i="2" s="1"/>
  <c r="H983" i="2"/>
  <c r="A983" i="2"/>
  <c r="A982" i="2"/>
  <c r="L981" i="2"/>
  <c r="K981" i="2"/>
  <c r="J981" i="2"/>
  <c r="N981" i="2" s="1"/>
  <c r="H981" i="2"/>
  <c r="D981" i="2"/>
  <c r="F981" i="2" s="1"/>
  <c r="G981" i="2" s="1"/>
  <c r="I981" i="2" s="1"/>
  <c r="C981" i="2"/>
  <c r="E981" i="2" s="1"/>
  <c r="O981" i="2" s="1"/>
  <c r="A981" i="2"/>
  <c r="B981" i="2" s="1"/>
  <c r="A980" i="2"/>
  <c r="A979" i="2"/>
  <c r="O978" i="2"/>
  <c r="L978" i="2"/>
  <c r="K978" i="2"/>
  <c r="N978" i="2" s="1"/>
  <c r="J978" i="2"/>
  <c r="H978" i="2"/>
  <c r="E978" i="2"/>
  <c r="F978" i="2" s="1"/>
  <c r="D978" i="2"/>
  <c r="C978" i="2"/>
  <c r="B978" i="2"/>
  <c r="A978" i="2"/>
  <c r="K977" i="2"/>
  <c r="L977" i="2" s="1"/>
  <c r="J977" i="2"/>
  <c r="N977" i="2" s="1"/>
  <c r="A977" i="2"/>
  <c r="J976" i="2"/>
  <c r="H976" i="2"/>
  <c r="D976" i="2"/>
  <c r="A976" i="2"/>
  <c r="L975" i="2"/>
  <c r="K975" i="2"/>
  <c r="H975" i="2"/>
  <c r="B975" i="2"/>
  <c r="A975" i="2"/>
  <c r="K974" i="2"/>
  <c r="L974" i="2" s="1"/>
  <c r="H974" i="2"/>
  <c r="D974" i="2"/>
  <c r="C974" i="2"/>
  <c r="E974" i="2" s="1"/>
  <c r="B974" i="2"/>
  <c r="A974" i="2"/>
  <c r="D973" i="2"/>
  <c r="A973" i="2"/>
  <c r="D972" i="2"/>
  <c r="C972" i="2"/>
  <c r="E972" i="2" s="1"/>
  <c r="O972" i="2" s="1"/>
  <c r="B972" i="2"/>
  <c r="A972" i="2"/>
  <c r="K971" i="2"/>
  <c r="L971" i="2" s="1"/>
  <c r="J971" i="2"/>
  <c r="N971" i="2" s="1"/>
  <c r="H971" i="2"/>
  <c r="D971" i="2"/>
  <c r="B971" i="2"/>
  <c r="A971" i="2"/>
  <c r="A970" i="2"/>
  <c r="O969" i="2"/>
  <c r="L969" i="2"/>
  <c r="K969" i="2"/>
  <c r="H969" i="2"/>
  <c r="D969" i="2"/>
  <c r="C969" i="2"/>
  <c r="E969" i="2" s="1"/>
  <c r="B969" i="2"/>
  <c r="A969" i="2"/>
  <c r="J969" i="2" s="1"/>
  <c r="H968" i="2"/>
  <c r="D968" i="2"/>
  <c r="A968" i="2"/>
  <c r="J967" i="2"/>
  <c r="D967" i="2"/>
  <c r="F967" i="2" s="1"/>
  <c r="C967" i="2"/>
  <c r="E967" i="2" s="1"/>
  <c r="B967" i="2"/>
  <c r="A967" i="2"/>
  <c r="K966" i="2"/>
  <c r="L966" i="2" s="1"/>
  <c r="J966" i="2"/>
  <c r="H966" i="2"/>
  <c r="F966" i="2"/>
  <c r="G966" i="2" s="1"/>
  <c r="I966" i="2" s="1"/>
  <c r="D966" i="2"/>
  <c r="C966" i="2"/>
  <c r="E966" i="2" s="1"/>
  <c r="O966" i="2" s="1"/>
  <c r="B966" i="2"/>
  <c r="A966" i="2"/>
  <c r="K965" i="2"/>
  <c r="L965" i="2" s="1"/>
  <c r="J965" i="2"/>
  <c r="H965" i="2"/>
  <c r="C965" i="2"/>
  <c r="E965" i="2" s="1"/>
  <c r="O965" i="2" s="1"/>
  <c r="B965" i="2"/>
  <c r="A965" i="2"/>
  <c r="D965" i="2" s="1"/>
  <c r="J964" i="2"/>
  <c r="D964" i="2"/>
  <c r="C964" i="2"/>
  <c r="E964" i="2" s="1"/>
  <c r="F964" i="2" s="1"/>
  <c r="A964" i="2"/>
  <c r="O964" i="2" s="1"/>
  <c r="H963" i="2"/>
  <c r="C963" i="2"/>
  <c r="E963" i="2" s="1"/>
  <c r="O963" i="2" s="1"/>
  <c r="B963" i="2"/>
  <c r="A963" i="2"/>
  <c r="K962" i="2"/>
  <c r="L962" i="2" s="1"/>
  <c r="E962" i="2"/>
  <c r="D962" i="2"/>
  <c r="C962" i="2"/>
  <c r="A962" i="2"/>
  <c r="K961" i="2"/>
  <c r="L961" i="2" s="1"/>
  <c r="J961" i="2"/>
  <c r="N961" i="2" s="1"/>
  <c r="H961" i="2"/>
  <c r="D961" i="2"/>
  <c r="C961" i="2"/>
  <c r="E961" i="2" s="1"/>
  <c r="A961" i="2"/>
  <c r="B961" i="2" s="1"/>
  <c r="L960" i="2"/>
  <c r="K960" i="2"/>
  <c r="H960" i="2"/>
  <c r="B960" i="2"/>
  <c r="A960" i="2"/>
  <c r="K959" i="2"/>
  <c r="L959" i="2" s="1"/>
  <c r="J959" i="2"/>
  <c r="H959" i="2"/>
  <c r="D959" i="2"/>
  <c r="B959" i="2"/>
  <c r="A959" i="2"/>
  <c r="O958" i="2"/>
  <c r="K958" i="2"/>
  <c r="L958" i="2" s="1"/>
  <c r="D958" i="2"/>
  <c r="F958" i="2" s="1"/>
  <c r="G958" i="2" s="1"/>
  <c r="C958" i="2"/>
  <c r="E958" i="2" s="1"/>
  <c r="B958" i="2"/>
  <c r="A958" i="2"/>
  <c r="N957" i="2"/>
  <c r="K957" i="2"/>
  <c r="L957" i="2" s="1"/>
  <c r="H957" i="2"/>
  <c r="G957" i="2"/>
  <c r="I957" i="2" s="1"/>
  <c r="F957" i="2"/>
  <c r="P957" i="2" s="1"/>
  <c r="Q957" i="2" s="1"/>
  <c r="E957" i="2"/>
  <c r="O957" i="2" s="1"/>
  <c r="D957" i="2"/>
  <c r="C957" i="2"/>
  <c r="B957" i="2"/>
  <c r="A957" i="2"/>
  <c r="J957" i="2" s="1"/>
  <c r="K956" i="2"/>
  <c r="L956" i="2" s="1"/>
  <c r="J956" i="2"/>
  <c r="H956" i="2"/>
  <c r="D956" i="2"/>
  <c r="B956" i="2"/>
  <c r="A956" i="2"/>
  <c r="J955" i="2"/>
  <c r="B955" i="2"/>
  <c r="A955" i="2"/>
  <c r="K954" i="2"/>
  <c r="L954" i="2" s="1"/>
  <c r="J954" i="2"/>
  <c r="N954" i="2" s="1"/>
  <c r="H954" i="2"/>
  <c r="D954" i="2"/>
  <c r="C954" i="2"/>
  <c r="E954" i="2" s="1"/>
  <c r="B954" i="2"/>
  <c r="A954" i="2"/>
  <c r="J953" i="2"/>
  <c r="D953" i="2"/>
  <c r="C953" i="2"/>
  <c r="E953" i="2" s="1"/>
  <c r="A953" i="2"/>
  <c r="A952" i="2"/>
  <c r="N951" i="2"/>
  <c r="K951" i="2"/>
  <c r="L951" i="2" s="1"/>
  <c r="J951" i="2"/>
  <c r="H951" i="2"/>
  <c r="E951" i="2"/>
  <c r="F951" i="2" s="1"/>
  <c r="C951" i="2"/>
  <c r="A951" i="2"/>
  <c r="D951" i="2" s="1"/>
  <c r="O950" i="2"/>
  <c r="C950" i="2"/>
  <c r="E950" i="2" s="1"/>
  <c r="A950" i="2"/>
  <c r="O949" i="2"/>
  <c r="L949" i="2"/>
  <c r="K949" i="2"/>
  <c r="J949" i="2"/>
  <c r="D949" i="2"/>
  <c r="F949" i="2" s="1"/>
  <c r="C949" i="2"/>
  <c r="E949" i="2" s="1"/>
  <c r="A949" i="2"/>
  <c r="H948" i="2"/>
  <c r="D948" i="2"/>
  <c r="F948" i="2" s="1"/>
  <c r="C948" i="2"/>
  <c r="E948" i="2" s="1"/>
  <c r="O948" i="2" s="1"/>
  <c r="A948" i="2"/>
  <c r="J947" i="2"/>
  <c r="H947" i="2"/>
  <c r="A947" i="2"/>
  <c r="L946" i="2"/>
  <c r="K946" i="2"/>
  <c r="J946" i="2"/>
  <c r="N946" i="2" s="1"/>
  <c r="D946" i="2"/>
  <c r="C946" i="2"/>
  <c r="E946" i="2" s="1"/>
  <c r="B946" i="2"/>
  <c r="A946" i="2"/>
  <c r="H946" i="2" s="1"/>
  <c r="L945" i="2"/>
  <c r="K945" i="2"/>
  <c r="H945" i="2"/>
  <c r="F945" i="2"/>
  <c r="P945" i="2" s="1"/>
  <c r="Q945" i="2" s="1"/>
  <c r="E945" i="2"/>
  <c r="O945" i="2" s="1"/>
  <c r="D945" i="2"/>
  <c r="C945" i="2"/>
  <c r="B945" i="2"/>
  <c r="A945" i="2"/>
  <c r="J945" i="2" s="1"/>
  <c r="N945" i="2" s="1"/>
  <c r="A944" i="2"/>
  <c r="B943" i="2"/>
  <c r="A943" i="2"/>
  <c r="N942" i="2"/>
  <c r="K942" i="2"/>
  <c r="L942" i="2" s="1"/>
  <c r="J942" i="2"/>
  <c r="H942" i="2"/>
  <c r="D942" i="2"/>
  <c r="C942" i="2"/>
  <c r="E942" i="2" s="1"/>
  <c r="O942" i="2" s="1"/>
  <c r="B942" i="2"/>
  <c r="A942" i="2"/>
  <c r="H941" i="2"/>
  <c r="A941" i="2"/>
  <c r="O940" i="2"/>
  <c r="C940" i="2"/>
  <c r="E940" i="2" s="1"/>
  <c r="A940" i="2"/>
  <c r="L939" i="2"/>
  <c r="K939" i="2"/>
  <c r="A939" i="2"/>
  <c r="H938" i="2"/>
  <c r="E938" i="2"/>
  <c r="O938" i="2" s="1"/>
  <c r="C938" i="2"/>
  <c r="B938" i="2"/>
  <c r="A938" i="2"/>
  <c r="J937" i="2"/>
  <c r="F937" i="2"/>
  <c r="D937" i="2"/>
  <c r="C937" i="2"/>
  <c r="E937" i="2" s="1"/>
  <c r="O937" i="2" s="1"/>
  <c r="A937" i="2"/>
  <c r="K936" i="2"/>
  <c r="H936" i="2"/>
  <c r="E936" i="2"/>
  <c r="D936" i="2"/>
  <c r="F936" i="2" s="1"/>
  <c r="C936" i="2"/>
  <c r="A936" i="2"/>
  <c r="J936" i="2" s="1"/>
  <c r="J935" i="2"/>
  <c r="H935" i="2"/>
  <c r="B935" i="2"/>
  <c r="A935" i="2"/>
  <c r="K934" i="2"/>
  <c r="L934" i="2" s="1"/>
  <c r="D934" i="2"/>
  <c r="F934" i="2" s="1"/>
  <c r="C934" i="2"/>
  <c r="E934" i="2" s="1"/>
  <c r="O934" i="2" s="1"/>
  <c r="B934" i="2"/>
  <c r="A934" i="2"/>
  <c r="L933" i="2"/>
  <c r="K933" i="2"/>
  <c r="H933" i="2"/>
  <c r="D933" i="2"/>
  <c r="C933" i="2"/>
  <c r="E933" i="2" s="1"/>
  <c r="O933" i="2" s="1"/>
  <c r="B933" i="2"/>
  <c r="A933" i="2"/>
  <c r="J933" i="2" s="1"/>
  <c r="N933" i="2" s="1"/>
  <c r="K932" i="2"/>
  <c r="L932" i="2" s="1"/>
  <c r="D932" i="2"/>
  <c r="B932" i="2"/>
  <c r="A932" i="2"/>
  <c r="J931" i="2"/>
  <c r="D931" i="2"/>
  <c r="C931" i="2"/>
  <c r="E931" i="2" s="1"/>
  <c r="F931" i="2" s="1"/>
  <c r="A931" i="2"/>
  <c r="L930" i="2"/>
  <c r="K930" i="2"/>
  <c r="J930" i="2"/>
  <c r="N930" i="2" s="1"/>
  <c r="H930" i="2"/>
  <c r="D930" i="2"/>
  <c r="C930" i="2"/>
  <c r="E930" i="2" s="1"/>
  <c r="B930" i="2"/>
  <c r="A930" i="2"/>
  <c r="C929" i="2"/>
  <c r="E929" i="2" s="1"/>
  <c r="A929" i="2"/>
  <c r="H928" i="2"/>
  <c r="D928" i="2"/>
  <c r="A928" i="2"/>
  <c r="K927" i="2"/>
  <c r="L927" i="2" s="1"/>
  <c r="J927" i="2"/>
  <c r="H927" i="2"/>
  <c r="A927" i="2"/>
  <c r="K926" i="2"/>
  <c r="L926" i="2" s="1"/>
  <c r="J926" i="2"/>
  <c r="N926" i="2" s="1"/>
  <c r="H926" i="2"/>
  <c r="D926" i="2"/>
  <c r="A926" i="2"/>
  <c r="J925" i="2"/>
  <c r="A925" i="2"/>
  <c r="K924" i="2"/>
  <c r="L924" i="2" s="1"/>
  <c r="D924" i="2"/>
  <c r="C924" i="2"/>
  <c r="E924" i="2" s="1"/>
  <c r="O924" i="2" s="1"/>
  <c r="B924" i="2"/>
  <c r="A924" i="2"/>
  <c r="K923" i="2"/>
  <c r="L923" i="2" s="1"/>
  <c r="H923" i="2"/>
  <c r="D923" i="2"/>
  <c r="B923" i="2"/>
  <c r="A923" i="2"/>
  <c r="O922" i="2"/>
  <c r="K922" i="2"/>
  <c r="L922" i="2" s="1"/>
  <c r="J922" i="2"/>
  <c r="D922" i="2"/>
  <c r="C922" i="2"/>
  <c r="E922" i="2" s="1"/>
  <c r="F922" i="2" s="1"/>
  <c r="B922" i="2"/>
  <c r="A922" i="2"/>
  <c r="H922" i="2" s="1"/>
  <c r="K921" i="2"/>
  <c r="L921" i="2" s="1"/>
  <c r="H921" i="2"/>
  <c r="D921" i="2"/>
  <c r="C921" i="2"/>
  <c r="E921" i="2" s="1"/>
  <c r="B921" i="2"/>
  <c r="A921" i="2"/>
  <c r="J921" i="2" s="1"/>
  <c r="A920" i="2"/>
  <c r="J919" i="2"/>
  <c r="D919" i="2"/>
  <c r="B919" i="2"/>
  <c r="A919" i="2"/>
  <c r="O918" i="2"/>
  <c r="N918" i="2"/>
  <c r="L918" i="2"/>
  <c r="K918" i="2"/>
  <c r="J918" i="2"/>
  <c r="H918" i="2"/>
  <c r="G918" i="2"/>
  <c r="I918" i="2" s="1"/>
  <c r="F918" i="2"/>
  <c r="D918" i="2"/>
  <c r="C918" i="2"/>
  <c r="E918" i="2" s="1"/>
  <c r="B918" i="2"/>
  <c r="A918" i="2"/>
  <c r="K917" i="2"/>
  <c r="L917" i="2" s="1"/>
  <c r="J917" i="2"/>
  <c r="H917" i="2"/>
  <c r="E917" i="2"/>
  <c r="D917" i="2"/>
  <c r="C917" i="2"/>
  <c r="B917" i="2"/>
  <c r="A917" i="2"/>
  <c r="J916" i="2"/>
  <c r="A916" i="2"/>
  <c r="A915" i="2"/>
  <c r="K914" i="2"/>
  <c r="L914" i="2" s="1"/>
  <c r="A914" i="2"/>
  <c r="D913" i="2"/>
  <c r="A913" i="2"/>
  <c r="L912" i="2"/>
  <c r="K912" i="2"/>
  <c r="B912" i="2"/>
  <c r="A912" i="2"/>
  <c r="K911" i="2"/>
  <c r="L911" i="2" s="1"/>
  <c r="J911" i="2"/>
  <c r="N911" i="2" s="1"/>
  <c r="H911" i="2"/>
  <c r="D911" i="2"/>
  <c r="A911" i="2"/>
  <c r="L910" i="2"/>
  <c r="K910" i="2"/>
  <c r="J910" i="2"/>
  <c r="N910" i="2" s="1"/>
  <c r="A910" i="2"/>
  <c r="N909" i="2"/>
  <c r="L909" i="2"/>
  <c r="K909" i="2"/>
  <c r="H909" i="2"/>
  <c r="E909" i="2"/>
  <c r="O909" i="2" s="1"/>
  <c r="D909" i="2"/>
  <c r="C909" i="2"/>
  <c r="B909" i="2"/>
  <c r="A909" i="2"/>
  <c r="J909" i="2" s="1"/>
  <c r="B908" i="2"/>
  <c r="A908" i="2"/>
  <c r="E907" i="2"/>
  <c r="C907" i="2"/>
  <c r="A907" i="2"/>
  <c r="J907" i="2" s="1"/>
  <c r="K906" i="2"/>
  <c r="L906" i="2" s="1"/>
  <c r="J906" i="2"/>
  <c r="N906" i="2" s="1"/>
  <c r="I906" i="2"/>
  <c r="H906" i="2"/>
  <c r="G906" i="2"/>
  <c r="F906" i="2"/>
  <c r="E906" i="2"/>
  <c r="O906" i="2" s="1"/>
  <c r="D906" i="2"/>
  <c r="C906" i="2"/>
  <c r="B906" i="2"/>
  <c r="A906" i="2"/>
  <c r="K905" i="2"/>
  <c r="L905" i="2" s="1"/>
  <c r="D905" i="2"/>
  <c r="F905" i="2" s="1"/>
  <c r="C905" i="2"/>
  <c r="E905" i="2" s="1"/>
  <c r="B905" i="2"/>
  <c r="A905" i="2"/>
  <c r="J904" i="2"/>
  <c r="C904" i="2"/>
  <c r="E904" i="2" s="1"/>
  <c r="A904" i="2"/>
  <c r="E903" i="2"/>
  <c r="O903" i="2" s="1"/>
  <c r="C903" i="2"/>
  <c r="B903" i="2"/>
  <c r="A903" i="2"/>
  <c r="K902" i="2"/>
  <c r="L902" i="2" s="1"/>
  <c r="J902" i="2"/>
  <c r="N902" i="2" s="1"/>
  <c r="H902" i="2"/>
  <c r="D902" i="2"/>
  <c r="F902" i="2" s="1"/>
  <c r="C902" i="2"/>
  <c r="E902" i="2" s="1"/>
  <c r="B902" i="2"/>
  <c r="A902" i="2"/>
  <c r="K901" i="2"/>
  <c r="L901" i="2" s="1"/>
  <c r="J901" i="2"/>
  <c r="H901" i="2"/>
  <c r="D901" i="2"/>
  <c r="A901" i="2"/>
  <c r="B901" i="2" s="1"/>
  <c r="O900" i="2"/>
  <c r="H900" i="2"/>
  <c r="C900" i="2"/>
  <c r="E900" i="2" s="1"/>
  <c r="B900" i="2"/>
  <c r="A900" i="2"/>
  <c r="K899" i="2"/>
  <c r="L899" i="2" s="1"/>
  <c r="D899" i="2"/>
  <c r="A899" i="2"/>
  <c r="D898" i="2"/>
  <c r="C898" i="2"/>
  <c r="E898" i="2" s="1"/>
  <c r="A898" i="2"/>
  <c r="K897" i="2"/>
  <c r="L897" i="2" s="1"/>
  <c r="H897" i="2"/>
  <c r="F897" i="2"/>
  <c r="G897" i="2" s="1"/>
  <c r="I897" i="2" s="1"/>
  <c r="D897" i="2"/>
  <c r="C897" i="2"/>
  <c r="E897" i="2" s="1"/>
  <c r="O897" i="2" s="1"/>
  <c r="B897" i="2"/>
  <c r="A897" i="2"/>
  <c r="J897" i="2" s="1"/>
  <c r="N897" i="2" s="1"/>
  <c r="K896" i="2"/>
  <c r="N896" i="2" s="1"/>
  <c r="J896" i="2"/>
  <c r="H896" i="2"/>
  <c r="D896" i="2"/>
  <c r="A896" i="2"/>
  <c r="C895" i="2"/>
  <c r="E895" i="2" s="1"/>
  <c r="A895" i="2"/>
  <c r="N894" i="2"/>
  <c r="L894" i="2"/>
  <c r="K894" i="2"/>
  <c r="J894" i="2"/>
  <c r="H894" i="2"/>
  <c r="E894" i="2"/>
  <c r="O894" i="2" s="1"/>
  <c r="D894" i="2"/>
  <c r="C894" i="2"/>
  <c r="B894" i="2"/>
  <c r="A894" i="2"/>
  <c r="D893" i="2"/>
  <c r="A893" i="2"/>
  <c r="J892" i="2"/>
  <c r="H892" i="2"/>
  <c r="E892" i="2"/>
  <c r="O892" i="2" s="1"/>
  <c r="D892" i="2"/>
  <c r="C892" i="2"/>
  <c r="A892" i="2"/>
  <c r="K891" i="2"/>
  <c r="L891" i="2" s="1"/>
  <c r="J891" i="2"/>
  <c r="H891" i="2"/>
  <c r="A891" i="2"/>
  <c r="J890" i="2"/>
  <c r="A890" i="2"/>
  <c r="K889" i="2"/>
  <c r="L889" i="2" s="1"/>
  <c r="J889" i="2"/>
  <c r="N889" i="2" s="1"/>
  <c r="F889" i="2"/>
  <c r="D889" i="2"/>
  <c r="C889" i="2"/>
  <c r="E889" i="2" s="1"/>
  <c r="A889" i="2"/>
  <c r="O889" i="2" s="1"/>
  <c r="H888" i="2"/>
  <c r="D888" i="2"/>
  <c r="A888" i="2"/>
  <c r="H887" i="2"/>
  <c r="D887" i="2"/>
  <c r="A887" i="2"/>
  <c r="J887" i="2" s="1"/>
  <c r="K886" i="2"/>
  <c r="L886" i="2" s="1"/>
  <c r="J886" i="2"/>
  <c r="N886" i="2" s="1"/>
  <c r="D886" i="2"/>
  <c r="C886" i="2"/>
  <c r="E886" i="2" s="1"/>
  <c r="F886" i="2" s="1"/>
  <c r="A886" i="2"/>
  <c r="H886" i="2" s="1"/>
  <c r="K885" i="2"/>
  <c r="L885" i="2" s="1"/>
  <c r="H885" i="2"/>
  <c r="G885" i="2"/>
  <c r="I885" i="2" s="1"/>
  <c r="F885" i="2"/>
  <c r="D885" i="2"/>
  <c r="C885" i="2"/>
  <c r="E885" i="2" s="1"/>
  <c r="O885" i="2" s="1"/>
  <c r="B885" i="2"/>
  <c r="P885" i="2" s="1"/>
  <c r="Q885" i="2" s="1"/>
  <c r="A885" i="2"/>
  <c r="J885" i="2" s="1"/>
  <c r="N885" i="2" s="1"/>
  <c r="J884" i="2"/>
  <c r="A884" i="2"/>
  <c r="E883" i="2"/>
  <c r="F883" i="2" s="1"/>
  <c r="D883" i="2"/>
  <c r="C883" i="2"/>
  <c r="B883" i="2"/>
  <c r="A883" i="2"/>
  <c r="O882" i="2"/>
  <c r="K882" i="2"/>
  <c r="L882" i="2" s="1"/>
  <c r="J882" i="2"/>
  <c r="H882" i="2"/>
  <c r="D882" i="2"/>
  <c r="C882" i="2"/>
  <c r="E882" i="2" s="1"/>
  <c r="F882" i="2" s="1"/>
  <c r="G882" i="2" s="1"/>
  <c r="I882" i="2" s="1"/>
  <c r="B882" i="2"/>
  <c r="A882" i="2"/>
  <c r="A881" i="2"/>
  <c r="A880" i="2"/>
  <c r="L879" i="2"/>
  <c r="K879" i="2"/>
  <c r="H879" i="2"/>
  <c r="A879" i="2"/>
  <c r="J878" i="2"/>
  <c r="H878" i="2"/>
  <c r="D878" i="2"/>
  <c r="A878" i="2"/>
  <c r="A877" i="2"/>
  <c r="L876" i="2"/>
  <c r="K876" i="2"/>
  <c r="H876" i="2"/>
  <c r="D876" i="2"/>
  <c r="A876" i="2"/>
  <c r="N875" i="2"/>
  <c r="K875" i="2"/>
  <c r="L875" i="2" s="1"/>
  <c r="J875" i="2"/>
  <c r="H875" i="2"/>
  <c r="D875" i="2"/>
  <c r="B875" i="2"/>
  <c r="A875" i="2"/>
  <c r="O874" i="2"/>
  <c r="N874" i="2"/>
  <c r="K874" i="2"/>
  <c r="L874" i="2" s="1"/>
  <c r="J874" i="2"/>
  <c r="D874" i="2"/>
  <c r="C874" i="2"/>
  <c r="E874" i="2" s="1"/>
  <c r="F874" i="2" s="1"/>
  <c r="B874" i="2"/>
  <c r="A874" i="2"/>
  <c r="H874" i="2" s="1"/>
  <c r="N873" i="2"/>
  <c r="L873" i="2"/>
  <c r="K873" i="2"/>
  <c r="H873" i="2"/>
  <c r="E873" i="2"/>
  <c r="O873" i="2" s="1"/>
  <c r="D873" i="2"/>
  <c r="C873" i="2"/>
  <c r="B873" i="2"/>
  <c r="A873" i="2"/>
  <c r="J873" i="2" s="1"/>
  <c r="A872" i="2"/>
  <c r="J871" i="2"/>
  <c r="A871" i="2"/>
  <c r="O870" i="2"/>
  <c r="K870" i="2"/>
  <c r="J870" i="2"/>
  <c r="H870" i="2"/>
  <c r="D870" i="2"/>
  <c r="C870" i="2"/>
  <c r="E870" i="2" s="1"/>
  <c r="F870" i="2" s="1"/>
  <c r="B870" i="2"/>
  <c r="A870" i="2"/>
  <c r="C869" i="2"/>
  <c r="E869" i="2" s="1"/>
  <c r="O869" i="2" s="1"/>
  <c r="B869" i="2"/>
  <c r="A869" i="2"/>
  <c r="J868" i="2"/>
  <c r="D868" i="2"/>
  <c r="A868" i="2"/>
  <c r="K867" i="2"/>
  <c r="L867" i="2" s="1"/>
  <c r="J867" i="2"/>
  <c r="H867" i="2"/>
  <c r="F867" i="2"/>
  <c r="C867" i="2"/>
  <c r="E867" i="2" s="1"/>
  <c r="B867" i="2"/>
  <c r="A867" i="2"/>
  <c r="D867" i="2" s="1"/>
  <c r="K866" i="2"/>
  <c r="L866" i="2" s="1"/>
  <c r="H866" i="2"/>
  <c r="B866" i="2"/>
  <c r="A866" i="2"/>
  <c r="A865" i="2"/>
  <c r="A864" i="2"/>
  <c r="D863" i="2"/>
  <c r="B863" i="2"/>
  <c r="A863" i="2"/>
  <c r="O862" i="2"/>
  <c r="L862" i="2"/>
  <c r="K862" i="2"/>
  <c r="J862" i="2"/>
  <c r="N862" i="2" s="1"/>
  <c r="C862" i="2"/>
  <c r="E862" i="2" s="1"/>
  <c r="A862" i="2"/>
  <c r="O861" i="2"/>
  <c r="L861" i="2"/>
  <c r="K861" i="2"/>
  <c r="H861" i="2"/>
  <c r="G861" i="2"/>
  <c r="I861" i="2" s="1"/>
  <c r="F861" i="2"/>
  <c r="E861" i="2"/>
  <c r="D861" i="2"/>
  <c r="C861" i="2"/>
  <c r="B861" i="2"/>
  <c r="A861" i="2"/>
  <c r="J861" i="2" s="1"/>
  <c r="N861" i="2" s="1"/>
  <c r="K860" i="2"/>
  <c r="L860" i="2" s="1"/>
  <c r="J860" i="2"/>
  <c r="N860" i="2" s="1"/>
  <c r="H860" i="2"/>
  <c r="D860" i="2"/>
  <c r="B860" i="2"/>
  <c r="A860" i="2"/>
  <c r="J859" i="2"/>
  <c r="D859" i="2"/>
  <c r="F859" i="2" s="1"/>
  <c r="C859" i="2"/>
  <c r="E859" i="2" s="1"/>
  <c r="B859" i="2"/>
  <c r="A859" i="2"/>
  <c r="N858" i="2"/>
  <c r="L858" i="2"/>
  <c r="K858" i="2"/>
  <c r="J858" i="2"/>
  <c r="H858" i="2"/>
  <c r="E858" i="2"/>
  <c r="D858" i="2"/>
  <c r="C858" i="2"/>
  <c r="B858" i="2"/>
  <c r="A858" i="2"/>
  <c r="K857" i="2"/>
  <c r="L857" i="2" s="1"/>
  <c r="J857" i="2"/>
  <c r="N857" i="2" s="1"/>
  <c r="H857" i="2"/>
  <c r="E857" i="2"/>
  <c r="D857" i="2"/>
  <c r="C857" i="2"/>
  <c r="A857" i="2"/>
  <c r="B857" i="2" s="1"/>
  <c r="H856" i="2"/>
  <c r="C856" i="2"/>
  <c r="E856" i="2" s="1"/>
  <c r="A856" i="2"/>
  <c r="J855" i="2"/>
  <c r="E855" i="2"/>
  <c r="O855" i="2" s="1"/>
  <c r="C855" i="2"/>
  <c r="B855" i="2"/>
  <c r="A855" i="2"/>
  <c r="P854" i="2"/>
  <c r="Q854" i="2" s="1"/>
  <c r="O854" i="2"/>
  <c r="K854" i="2"/>
  <c r="L854" i="2" s="1"/>
  <c r="D854" i="2"/>
  <c r="C854" i="2"/>
  <c r="E854" i="2" s="1"/>
  <c r="F854" i="2" s="1"/>
  <c r="B854" i="2"/>
  <c r="G854" i="2" s="1"/>
  <c r="A854" i="2"/>
  <c r="A853" i="2"/>
  <c r="K852" i="2"/>
  <c r="H852" i="2"/>
  <c r="F852" i="2"/>
  <c r="E852" i="2"/>
  <c r="D852" i="2"/>
  <c r="C852" i="2"/>
  <c r="B852" i="2"/>
  <c r="A852" i="2"/>
  <c r="J852" i="2" s="1"/>
  <c r="K851" i="2"/>
  <c r="L851" i="2" s="1"/>
  <c r="J851" i="2"/>
  <c r="H851" i="2"/>
  <c r="A851" i="2"/>
  <c r="A850" i="2"/>
  <c r="L849" i="2"/>
  <c r="K849" i="2"/>
  <c r="H849" i="2"/>
  <c r="F849" i="2"/>
  <c r="P849" i="2" s="1"/>
  <c r="Q849" i="2" s="1"/>
  <c r="D849" i="2"/>
  <c r="C849" i="2"/>
  <c r="E849" i="2" s="1"/>
  <c r="O849" i="2" s="1"/>
  <c r="B849" i="2"/>
  <c r="A849" i="2"/>
  <c r="J849" i="2" s="1"/>
  <c r="N849" i="2" s="1"/>
  <c r="H848" i="2"/>
  <c r="D848" i="2"/>
  <c r="A848" i="2"/>
  <c r="J847" i="2"/>
  <c r="E847" i="2"/>
  <c r="D847" i="2"/>
  <c r="F847" i="2" s="1"/>
  <c r="C847" i="2"/>
  <c r="B847" i="2"/>
  <c r="A847" i="2"/>
  <c r="N846" i="2"/>
  <c r="L846" i="2"/>
  <c r="K846" i="2"/>
  <c r="J846" i="2"/>
  <c r="H846" i="2"/>
  <c r="G846" i="2"/>
  <c r="I846" i="2" s="1"/>
  <c r="F846" i="2"/>
  <c r="E846" i="2"/>
  <c r="O846" i="2" s="1"/>
  <c r="D846" i="2"/>
  <c r="C846" i="2"/>
  <c r="B846" i="2"/>
  <c r="A846" i="2"/>
  <c r="A845" i="2"/>
  <c r="C844" i="2"/>
  <c r="E844" i="2" s="1"/>
  <c r="A844" i="2"/>
  <c r="A843" i="2"/>
  <c r="K842" i="2"/>
  <c r="L842" i="2" s="1"/>
  <c r="J842" i="2"/>
  <c r="N842" i="2" s="1"/>
  <c r="H842" i="2"/>
  <c r="E842" i="2"/>
  <c r="F842" i="2" s="1"/>
  <c r="D842" i="2"/>
  <c r="C842" i="2"/>
  <c r="A842" i="2"/>
  <c r="B842" i="2" s="1"/>
  <c r="L841" i="2"/>
  <c r="K841" i="2"/>
  <c r="J841" i="2"/>
  <c r="N841" i="2" s="1"/>
  <c r="H841" i="2"/>
  <c r="A841" i="2"/>
  <c r="K840" i="2"/>
  <c r="L840" i="2" s="1"/>
  <c r="H840" i="2"/>
  <c r="D840" i="2"/>
  <c r="B840" i="2"/>
  <c r="A840" i="2"/>
  <c r="B839" i="2"/>
  <c r="A839" i="2"/>
  <c r="D838" i="2"/>
  <c r="A838" i="2"/>
  <c r="L837" i="2"/>
  <c r="K837" i="2"/>
  <c r="N837" i="2" s="1"/>
  <c r="H837" i="2"/>
  <c r="D837" i="2"/>
  <c r="C837" i="2"/>
  <c r="E837" i="2" s="1"/>
  <c r="B837" i="2"/>
  <c r="A837" i="2"/>
  <c r="J837" i="2" s="1"/>
  <c r="A836" i="2"/>
  <c r="A835" i="2"/>
  <c r="O834" i="2"/>
  <c r="L834" i="2"/>
  <c r="K834" i="2"/>
  <c r="N834" i="2" s="1"/>
  <c r="J834" i="2"/>
  <c r="H834" i="2"/>
  <c r="E834" i="2"/>
  <c r="F834" i="2" s="1"/>
  <c r="D834" i="2"/>
  <c r="C834" i="2"/>
  <c r="B834" i="2"/>
  <c r="A834" i="2"/>
  <c r="K833" i="2"/>
  <c r="L833" i="2" s="1"/>
  <c r="J833" i="2"/>
  <c r="A833" i="2"/>
  <c r="J832" i="2"/>
  <c r="H832" i="2"/>
  <c r="D832" i="2"/>
  <c r="A832" i="2"/>
  <c r="L831" i="2"/>
  <c r="K831" i="2"/>
  <c r="H831" i="2"/>
  <c r="B831" i="2"/>
  <c r="A831" i="2"/>
  <c r="H830" i="2"/>
  <c r="D830" i="2"/>
  <c r="C830" i="2"/>
  <c r="E830" i="2" s="1"/>
  <c r="A830" i="2"/>
  <c r="K830" i="2" s="1"/>
  <c r="L830" i="2" s="1"/>
  <c r="D829" i="2"/>
  <c r="A829" i="2"/>
  <c r="D828" i="2"/>
  <c r="F828" i="2" s="1"/>
  <c r="C828" i="2"/>
  <c r="E828" i="2" s="1"/>
  <c r="O828" i="2" s="1"/>
  <c r="B828" i="2"/>
  <c r="A828" i="2"/>
  <c r="K827" i="2"/>
  <c r="L827" i="2" s="1"/>
  <c r="J827" i="2"/>
  <c r="N827" i="2" s="1"/>
  <c r="H827" i="2"/>
  <c r="D827" i="2"/>
  <c r="B827" i="2"/>
  <c r="A827" i="2"/>
  <c r="K826" i="2"/>
  <c r="L826" i="2" s="1"/>
  <c r="A826" i="2"/>
  <c r="O825" i="2"/>
  <c r="L825" i="2"/>
  <c r="K825" i="2"/>
  <c r="H825" i="2"/>
  <c r="D825" i="2"/>
  <c r="C825" i="2"/>
  <c r="E825" i="2" s="1"/>
  <c r="B825" i="2"/>
  <c r="A825" i="2"/>
  <c r="J825" i="2" s="1"/>
  <c r="H824" i="2"/>
  <c r="D824" i="2"/>
  <c r="A824" i="2"/>
  <c r="J823" i="2"/>
  <c r="D823" i="2"/>
  <c r="C823" i="2"/>
  <c r="E823" i="2" s="1"/>
  <c r="B823" i="2"/>
  <c r="A823" i="2"/>
  <c r="K822" i="2"/>
  <c r="L822" i="2" s="1"/>
  <c r="J822" i="2"/>
  <c r="H822" i="2"/>
  <c r="F822" i="2"/>
  <c r="G822" i="2" s="1"/>
  <c r="I822" i="2" s="1"/>
  <c r="D822" i="2"/>
  <c r="C822" i="2"/>
  <c r="E822" i="2" s="1"/>
  <c r="O822" i="2" s="1"/>
  <c r="B822" i="2"/>
  <c r="A822" i="2"/>
  <c r="K821" i="2"/>
  <c r="L821" i="2" s="1"/>
  <c r="J821" i="2"/>
  <c r="N821" i="2" s="1"/>
  <c r="H821" i="2"/>
  <c r="C821" i="2"/>
  <c r="E821" i="2" s="1"/>
  <c r="O821" i="2" s="1"/>
  <c r="B821" i="2"/>
  <c r="A821" i="2"/>
  <c r="D821" i="2" s="1"/>
  <c r="J820" i="2"/>
  <c r="D820" i="2"/>
  <c r="C820" i="2"/>
  <c r="E820" i="2" s="1"/>
  <c r="F820" i="2" s="1"/>
  <c r="A820" i="2"/>
  <c r="O819" i="2"/>
  <c r="H819" i="2"/>
  <c r="C819" i="2"/>
  <c r="E819" i="2" s="1"/>
  <c r="B819" i="2"/>
  <c r="A819" i="2"/>
  <c r="K818" i="2"/>
  <c r="L818" i="2" s="1"/>
  <c r="E818" i="2"/>
  <c r="D818" i="2"/>
  <c r="C818" i="2"/>
  <c r="A818" i="2"/>
  <c r="K817" i="2"/>
  <c r="L817" i="2" s="1"/>
  <c r="J817" i="2"/>
  <c r="N817" i="2" s="1"/>
  <c r="H817" i="2"/>
  <c r="D817" i="2"/>
  <c r="C817" i="2"/>
  <c r="E817" i="2" s="1"/>
  <c r="A817" i="2"/>
  <c r="B817" i="2" s="1"/>
  <c r="L816" i="2"/>
  <c r="K816" i="2"/>
  <c r="H816" i="2"/>
  <c r="B816" i="2"/>
  <c r="A816" i="2"/>
  <c r="K815" i="2"/>
  <c r="L815" i="2" s="1"/>
  <c r="J815" i="2"/>
  <c r="N815" i="2" s="1"/>
  <c r="H815" i="2"/>
  <c r="D815" i="2"/>
  <c r="B815" i="2"/>
  <c r="A815" i="2"/>
  <c r="O814" i="2"/>
  <c r="K814" i="2"/>
  <c r="L814" i="2" s="1"/>
  <c r="D814" i="2"/>
  <c r="F814" i="2" s="1"/>
  <c r="G814" i="2" s="1"/>
  <c r="C814" i="2"/>
  <c r="E814" i="2" s="1"/>
  <c r="B814" i="2"/>
  <c r="A814" i="2"/>
  <c r="N813" i="2"/>
  <c r="K813" i="2"/>
  <c r="L813" i="2" s="1"/>
  <c r="H813" i="2"/>
  <c r="E813" i="2"/>
  <c r="O813" i="2" s="1"/>
  <c r="D813" i="2"/>
  <c r="C813" i="2"/>
  <c r="B813" i="2"/>
  <c r="A813" i="2"/>
  <c r="J813" i="2" s="1"/>
  <c r="L812" i="2"/>
  <c r="K812" i="2"/>
  <c r="J812" i="2"/>
  <c r="H812" i="2"/>
  <c r="D812" i="2"/>
  <c r="B812" i="2"/>
  <c r="A812" i="2"/>
  <c r="J811" i="2"/>
  <c r="B811" i="2"/>
  <c r="A811" i="2"/>
  <c r="K810" i="2"/>
  <c r="L810" i="2" s="1"/>
  <c r="J810" i="2"/>
  <c r="N810" i="2" s="1"/>
  <c r="H810" i="2"/>
  <c r="E810" i="2"/>
  <c r="D810" i="2"/>
  <c r="C810" i="2"/>
  <c r="B810" i="2"/>
  <c r="A810" i="2"/>
  <c r="A809" i="2"/>
  <c r="A808" i="2"/>
  <c r="N807" i="2"/>
  <c r="K807" i="2"/>
  <c r="L807" i="2" s="1"/>
  <c r="J807" i="2"/>
  <c r="H807" i="2"/>
  <c r="C807" i="2"/>
  <c r="E807" i="2" s="1"/>
  <c r="F807" i="2" s="1"/>
  <c r="A807" i="2"/>
  <c r="D807" i="2" s="1"/>
  <c r="A806" i="2"/>
  <c r="O805" i="2"/>
  <c r="K805" i="2"/>
  <c r="L805" i="2" s="1"/>
  <c r="J805" i="2"/>
  <c r="D805" i="2"/>
  <c r="F805" i="2" s="1"/>
  <c r="C805" i="2"/>
  <c r="E805" i="2" s="1"/>
  <c r="A805" i="2"/>
  <c r="H804" i="2"/>
  <c r="D804" i="2"/>
  <c r="F804" i="2" s="1"/>
  <c r="C804" i="2"/>
  <c r="E804" i="2" s="1"/>
  <c r="O804" i="2" s="1"/>
  <c r="A804" i="2"/>
  <c r="J803" i="2"/>
  <c r="H803" i="2"/>
  <c r="A803" i="2"/>
  <c r="K802" i="2"/>
  <c r="L802" i="2" s="1"/>
  <c r="J802" i="2"/>
  <c r="D802" i="2"/>
  <c r="C802" i="2"/>
  <c r="E802" i="2" s="1"/>
  <c r="B802" i="2"/>
  <c r="A802" i="2"/>
  <c r="H802" i="2" s="1"/>
  <c r="K801" i="2"/>
  <c r="L801" i="2" s="1"/>
  <c r="H801" i="2"/>
  <c r="E801" i="2"/>
  <c r="O801" i="2" s="1"/>
  <c r="D801" i="2"/>
  <c r="C801" i="2"/>
  <c r="B801" i="2"/>
  <c r="A801" i="2"/>
  <c r="J801" i="2" s="1"/>
  <c r="N801" i="2" s="1"/>
  <c r="A800" i="2"/>
  <c r="A799" i="2"/>
  <c r="N798" i="2"/>
  <c r="K798" i="2"/>
  <c r="L798" i="2" s="1"/>
  <c r="J798" i="2"/>
  <c r="H798" i="2"/>
  <c r="F798" i="2"/>
  <c r="D798" i="2"/>
  <c r="C798" i="2"/>
  <c r="E798" i="2" s="1"/>
  <c r="O798" i="2" s="1"/>
  <c r="B798" i="2"/>
  <c r="A798" i="2"/>
  <c r="H797" i="2"/>
  <c r="A797" i="2"/>
  <c r="D796" i="2"/>
  <c r="C796" i="2"/>
  <c r="E796" i="2" s="1"/>
  <c r="O796" i="2" s="1"/>
  <c r="A796" i="2"/>
  <c r="L795" i="2"/>
  <c r="K795" i="2"/>
  <c r="A795" i="2"/>
  <c r="H794" i="2"/>
  <c r="E794" i="2"/>
  <c r="O794" i="2" s="1"/>
  <c r="C794" i="2"/>
  <c r="B794" i="2"/>
  <c r="A794" i="2"/>
  <c r="O793" i="2"/>
  <c r="J793" i="2"/>
  <c r="D793" i="2"/>
  <c r="F793" i="2" s="1"/>
  <c r="C793" i="2"/>
  <c r="E793" i="2" s="1"/>
  <c r="A793" i="2"/>
  <c r="K792" i="2"/>
  <c r="H792" i="2"/>
  <c r="D792" i="2"/>
  <c r="C792" i="2"/>
  <c r="E792" i="2" s="1"/>
  <c r="A792" i="2"/>
  <c r="J792" i="2" s="1"/>
  <c r="B791" i="2"/>
  <c r="A791" i="2"/>
  <c r="K790" i="2"/>
  <c r="L790" i="2" s="1"/>
  <c r="D790" i="2"/>
  <c r="C790" i="2"/>
  <c r="E790" i="2" s="1"/>
  <c r="O790" i="2" s="1"/>
  <c r="B790" i="2"/>
  <c r="A790" i="2"/>
  <c r="L789" i="2"/>
  <c r="K789" i="2"/>
  <c r="H789" i="2"/>
  <c r="D789" i="2"/>
  <c r="C789" i="2"/>
  <c r="E789" i="2" s="1"/>
  <c r="O789" i="2" s="1"/>
  <c r="B789" i="2"/>
  <c r="A789" i="2"/>
  <c r="J789" i="2" s="1"/>
  <c r="N789" i="2" s="1"/>
  <c r="D788" i="2"/>
  <c r="B788" i="2"/>
  <c r="A788" i="2"/>
  <c r="J787" i="2"/>
  <c r="D787" i="2"/>
  <c r="C787" i="2"/>
  <c r="E787" i="2" s="1"/>
  <c r="F787" i="2" s="1"/>
  <c r="A787" i="2"/>
  <c r="L786" i="2"/>
  <c r="K786" i="2"/>
  <c r="J786" i="2"/>
  <c r="N786" i="2" s="1"/>
  <c r="H786" i="2"/>
  <c r="D786" i="2"/>
  <c r="C786" i="2"/>
  <c r="E786" i="2" s="1"/>
  <c r="B786" i="2"/>
  <c r="A786" i="2"/>
  <c r="C785" i="2"/>
  <c r="E785" i="2" s="1"/>
  <c r="A785" i="2"/>
  <c r="H784" i="2"/>
  <c r="D784" i="2"/>
  <c r="A784" i="2"/>
  <c r="L783" i="2"/>
  <c r="K783" i="2"/>
  <c r="J783" i="2"/>
  <c r="H783" i="2"/>
  <c r="A783" i="2"/>
  <c r="K782" i="2"/>
  <c r="L782" i="2" s="1"/>
  <c r="J782" i="2"/>
  <c r="H782" i="2"/>
  <c r="D782" i="2"/>
  <c r="A782" i="2"/>
  <c r="J781" i="2"/>
  <c r="H781" i="2"/>
  <c r="C781" i="2"/>
  <c r="E781" i="2" s="1"/>
  <c r="A781" i="2"/>
  <c r="O780" i="2"/>
  <c r="K780" i="2"/>
  <c r="L780" i="2" s="1"/>
  <c r="D780" i="2"/>
  <c r="C780" i="2"/>
  <c r="E780" i="2" s="1"/>
  <c r="B780" i="2"/>
  <c r="A780" i="2"/>
  <c r="K779" i="2"/>
  <c r="L779" i="2" s="1"/>
  <c r="H779" i="2"/>
  <c r="D779" i="2"/>
  <c r="B779" i="2"/>
  <c r="A779" i="2"/>
  <c r="O778" i="2"/>
  <c r="K778" i="2"/>
  <c r="L778" i="2" s="1"/>
  <c r="J778" i="2"/>
  <c r="N778" i="2" s="1"/>
  <c r="D778" i="2"/>
  <c r="C778" i="2"/>
  <c r="E778" i="2" s="1"/>
  <c r="F778" i="2" s="1"/>
  <c r="P778" i="2" s="1"/>
  <c r="Q778" i="2" s="1"/>
  <c r="B778" i="2"/>
  <c r="A778" i="2"/>
  <c r="H778" i="2" s="1"/>
  <c r="K777" i="2"/>
  <c r="L777" i="2" s="1"/>
  <c r="H777" i="2"/>
  <c r="D777" i="2"/>
  <c r="C777" i="2"/>
  <c r="E777" i="2" s="1"/>
  <c r="B777" i="2"/>
  <c r="A777" i="2"/>
  <c r="J777" i="2" s="1"/>
  <c r="A776" i="2"/>
  <c r="J775" i="2"/>
  <c r="D775" i="2"/>
  <c r="B775" i="2"/>
  <c r="A775" i="2"/>
  <c r="O774" i="2"/>
  <c r="N774" i="2"/>
  <c r="L774" i="2"/>
  <c r="K774" i="2"/>
  <c r="J774" i="2"/>
  <c r="H774" i="2"/>
  <c r="F774" i="2"/>
  <c r="G774" i="2" s="1"/>
  <c r="I774" i="2" s="1"/>
  <c r="C774" i="2"/>
  <c r="E774" i="2" s="1"/>
  <c r="B774" i="2"/>
  <c r="A774" i="2"/>
  <c r="D774" i="2" s="1"/>
  <c r="L773" i="2"/>
  <c r="K773" i="2"/>
  <c r="J773" i="2"/>
  <c r="N773" i="2" s="1"/>
  <c r="H773" i="2"/>
  <c r="D773" i="2"/>
  <c r="A773" i="2"/>
  <c r="B773" i="2" s="1"/>
  <c r="J772" i="2"/>
  <c r="H772" i="2"/>
  <c r="D772" i="2"/>
  <c r="A772" i="2"/>
  <c r="K771" i="2"/>
  <c r="L771" i="2" s="1"/>
  <c r="J771" i="2"/>
  <c r="H771" i="2"/>
  <c r="B771" i="2"/>
  <c r="A771" i="2"/>
  <c r="K770" i="2"/>
  <c r="L770" i="2" s="1"/>
  <c r="J770" i="2"/>
  <c r="N770" i="2" s="1"/>
  <c r="D770" i="2"/>
  <c r="F770" i="2" s="1"/>
  <c r="C770" i="2"/>
  <c r="E770" i="2" s="1"/>
  <c r="A770" i="2"/>
  <c r="L769" i="2"/>
  <c r="K769" i="2"/>
  <c r="H769" i="2"/>
  <c r="D769" i="2"/>
  <c r="F769" i="2" s="1"/>
  <c r="C769" i="2"/>
  <c r="E769" i="2" s="1"/>
  <c r="O769" i="2" s="1"/>
  <c r="A769" i="2"/>
  <c r="O768" i="2"/>
  <c r="D768" i="2"/>
  <c r="F768" i="2" s="1"/>
  <c r="C768" i="2"/>
  <c r="E768" i="2" s="1"/>
  <c r="A768" i="2"/>
  <c r="K767" i="2"/>
  <c r="L767" i="2" s="1"/>
  <c r="J767" i="2"/>
  <c r="H767" i="2"/>
  <c r="D767" i="2"/>
  <c r="B767" i="2"/>
  <c r="A767" i="2"/>
  <c r="L766" i="2"/>
  <c r="K766" i="2"/>
  <c r="N766" i="2" s="1"/>
  <c r="J766" i="2"/>
  <c r="D766" i="2"/>
  <c r="A766" i="2"/>
  <c r="N765" i="2"/>
  <c r="K765" i="2"/>
  <c r="L765" i="2" s="1"/>
  <c r="H765" i="2"/>
  <c r="D765" i="2"/>
  <c r="C765" i="2"/>
  <c r="E765" i="2" s="1"/>
  <c r="O765" i="2" s="1"/>
  <c r="B765" i="2"/>
  <c r="A765" i="2"/>
  <c r="J765" i="2" s="1"/>
  <c r="A764" i="2"/>
  <c r="J763" i="2"/>
  <c r="D763" i="2"/>
  <c r="A763" i="2"/>
  <c r="K762" i="2"/>
  <c r="L762" i="2" s="1"/>
  <c r="J762" i="2"/>
  <c r="N762" i="2" s="1"/>
  <c r="H762" i="2"/>
  <c r="F762" i="2"/>
  <c r="E762" i="2"/>
  <c r="O762" i="2" s="1"/>
  <c r="C762" i="2"/>
  <c r="B762" i="2"/>
  <c r="A762" i="2"/>
  <c r="D762" i="2" s="1"/>
  <c r="B761" i="2"/>
  <c r="A761" i="2"/>
  <c r="J760" i="2"/>
  <c r="H760" i="2"/>
  <c r="A760" i="2"/>
  <c r="K759" i="2"/>
  <c r="L759" i="2" s="1"/>
  <c r="B759" i="2"/>
  <c r="A759" i="2"/>
  <c r="A758" i="2"/>
  <c r="A757" i="2"/>
  <c r="K756" i="2"/>
  <c r="L756" i="2" s="1"/>
  <c r="A756" i="2"/>
  <c r="K755" i="2"/>
  <c r="L755" i="2" s="1"/>
  <c r="J755" i="2"/>
  <c r="N755" i="2" s="1"/>
  <c r="D755" i="2"/>
  <c r="A755" i="2"/>
  <c r="J754" i="2"/>
  <c r="A754" i="2"/>
  <c r="L753" i="2"/>
  <c r="K753" i="2"/>
  <c r="H753" i="2"/>
  <c r="E753" i="2"/>
  <c r="D753" i="2"/>
  <c r="C753" i="2"/>
  <c r="B753" i="2"/>
  <c r="A753" i="2"/>
  <c r="J753" i="2" s="1"/>
  <c r="N753" i="2" s="1"/>
  <c r="B752" i="2"/>
  <c r="A752" i="2"/>
  <c r="J751" i="2"/>
  <c r="D751" i="2"/>
  <c r="A751" i="2"/>
  <c r="O750" i="2"/>
  <c r="K750" i="2"/>
  <c r="L750" i="2" s="1"/>
  <c r="J750" i="2"/>
  <c r="N750" i="2" s="1"/>
  <c r="H750" i="2"/>
  <c r="C750" i="2"/>
  <c r="E750" i="2" s="1"/>
  <c r="B750" i="2"/>
  <c r="A750" i="2"/>
  <c r="D750" i="2" s="1"/>
  <c r="F750" i="2" s="1"/>
  <c r="G750" i="2" s="1"/>
  <c r="C749" i="2"/>
  <c r="E749" i="2" s="1"/>
  <c r="O749" i="2" s="1"/>
  <c r="A749" i="2"/>
  <c r="C748" i="2"/>
  <c r="E748" i="2" s="1"/>
  <c r="O748" i="2" s="1"/>
  <c r="A748" i="2"/>
  <c r="B747" i="2"/>
  <c r="A747" i="2"/>
  <c r="A746" i="2"/>
  <c r="L745" i="2"/>
  <c r="K745" i="2"/>
  <c r="H745" i="2"/>
  <c r="A745" i="2"/>
  <c r="A744" i="2"/>
  <c r="K743" i="2"/>
  <c r="L743" i="2" s="1"/>
  <c r="H743" i="2"/>
  <c r="B743" i="2"/>
  <c r="A743" i="2"/>
  <c r="A742" i="2"/>
  <c r="K741" i="2"/>
  <c r="H741" i="2"/>
  <c r="D741" i="2"/>
  <c r="C741" i="2"/>
  <c r="E741" i="2" s="1"/>
  <c r="B741" i="2"/>
  <c r="A741" i="2"/>
  <c r="J741" i="2" s="1"/>
  <c r="J740" i="2"/>
  <c r="C740" i="2"/>
  <c r="E740" i="2" s="1"/>
  <c r="B740" i="2"/>
  <c r="A740" i="2"/>
  <c r="D739" i="2"/>
  <c r="A739" i="2"/>
  <c r="H738" i="2"/>
  <c r="D738" i="2"/>
  <c r="A738" i="2"/>
  <c r="J738" i="2" s="1"/>
  <c r="K737" i="2"/>
  <c r="L737" i="2" s="1"/>
  <c r="A737" i="2"/>
  <c r="K736" i="2"/>
  <c r="L736" i="2" s="1"/>
  <c r="J736" i="2"/>
  <c r="N736" i="2" s="1"/>
  <c r="H736" i="2"/>
  <c r="E736" i="2"/>
  <c r="O736" i="2" s="1"/>
  <c r="D736" i="2"/>
  <c r="C736" i="2"/>
  <c r="B736" i="2"/>
  <c r="A736" i="2"/>
  <c r="K735" i="2"/>
  <c r="L735" i="2" s="1"/>
  <c r="H735" i="2"/>
  <c r="D735" i="2"/>
  <c r="F735" i="2" s="1"/>
  <c r="C735" i="2"/>
  <c r="E735" i="2" s="1"/>
  <c r="B735" i="2"/>
  <c r="A735" i="2"/>
  <c r="A734" i="2"/>
  <c r="A733" i="2"/>
  <c r="J732" i="2"/>
  <c r="A732" i="2"/>
  <c r="K731" i="2"/>
  <c r="L731" i="2" s="1"/>
  <c r="J731" i="2"/>
  <c r="H731" i="2"/>
  <c r="E731" i="2"/>
  <c r="O731" i="2" s="1"/>
  <c r="D731" i="2"/>
  <c r="C731" i="2"/>
  <c r="A731" i="2"/>
  <c r="B731" i="2" s="1"/>
  <c r="C730" i="2"/>
  <c r="E730" i="2" s="1"/>
  <c r="A730" i="2"/>
  <c r="J729" i="2"/>
  <c r="F729" i="2"/>
  <c r="G729" i="2" s="1"/>
  <c r="D729" i="2"/>
  <c r="C729" i="2"/>
  <c r="E729" i="2" s="1"/>
  <c r="O729" i="2" s="1"/>
  <c r="B729" i="2"/>
  <c r="A729" i="2"/>
  <c r="J728" i="2"/>
  <c r="C728" i="2"/>
  <c r="E728" i="2" s="1"/>
  <c r="A728" i="2"/>
  <c r="K727" i="2"/>
  <c r="L727" i="2" s="1"/>
  <c r="H727" i="2"/>
  <c r="A727" i="2"/>
  <c r="L726" i="2"/>
  <c r="K726" i="2"/>
  <c r="J726" i="2"/>
  <c r="N726" i="2" s="1"/>
  <c r="H726" i="2"/>
  <c r="D726" i="2"/>
  <c r="A726" i="2"/>
  <c r="C725" i="2"/>
  <c r="E725" i="2" s="1"/>
  <c r="B725" i="2"/>
  <c r="A725" i="2"/>
  <c r="K724" i="2"/>
  <c r="J724" i="2"/>
  <c r="H724" i="2"/>
  <c r="E724" i="2"/>
  <c r="O724" i="2" s="1"/>
  <c r="D724" i="2"/>
  <c r="F724" i="2" s="1"/>
  <c r="P724" i="2" s="1"/>
  <c r="Q724" i="2" s="1"/>
  <c r="C724" i="2"/>
  <c r="B724" i="2"/>
  <c r="A724" i="2"/>
  <c r="L723" i="2"/>
  <c r="J723" i="2"/>
  <c r="N723" i="2" s="1"/>
  <c r="H723" i="2"/>
  <c r="D723" i="2"/>
  <c r="F723" i="2" s="1"/>
  <c r="C723" i="2"/>
  <c r="E723" i="2" s="1"/>
  <c r="A723" i="2"/>
  <c r="K723" i="2" s="1"/>
  <c r="H722" i="2"/>
  <c r="D722" i="2"/>
  <c r="A722" i="2"/>
  <c r="L721" i="2"/>
  <c r="K721" i="2"/>
  <c r="J721" i="2"/>
  <c r="N721" i="2" s="1"/>
  <c r="H721" i="2"/>
  <c r="B721" i="2"/>
  <c r="A721" i="2"/>
  <c r="K720" i="2"/>
  <c r="L720" i="2" s="1"/>
  <c r="J720" i="2"/>
  <c r="N720" i="2" s="1"/>
  <c r="E720" i="2"/>
  <c r="C720" i="2"/>
  <c r="A720" i="2"/>
  <c r="O720" i="2" s="1"/>
  <c r="O719" i="2"/>
  <c r="K719" i="2"/>
  <c r="L719" i="2" s="1"/>
  <c r="J719" i="2"/>
  <c r="H719" i="2"/>
  <c r="E719" i="2"/>
  <c r="F719" i="2" s="1"/>
  <c r="D719" i="2"/>
  <c r="C719" i="2"/>
  <c r="A719" i="2"/>
  <c r="B719" i="2" s="1"/>
  <c r="L718" i="2"/>
  <c r="J718" i="2"/>
  <c r="N718" i="2" s="1"/>
  <c r="H718" i="2"/>
  <c r="E718" i="2"/>
  <c r="O718" i="2" s="1"/>
  <c r="C718" i="2"/>
  <c r="B718" i="2"/>
  <c r="A718" i="2"/>
  <c r="K718" i="2" s="1"/>
  <c r="J717" i="2"/>
  <c r="H717" i="2"/>
  <c r="D717" i="2"/>
  <c r="B717" i="2"/>
  <c r="A717" i="2"/>
  <c r="K716" i="2"/>
  <c r="N716" i="2" s="1"/>
  <c r="J716" i="2"/>
  <c r="H716" i="2"/>
  <c r="G716" i="2"/>
  <c r="I716" i="2" s="1"/>
  <c r="C716" i="2"/>
  <c r="E716" i="2" s="1"/>
  <c r="F716" i="2" s="1"/>
  <c r="B716" i="2"/>
  <c r="A716" i="2"/>
  <c r="D716" i="2" s="1"/>
  <c r="L715" i="2"/>
  <c r="K715" i="2"/>
  <c r="H715" i="2"/>
  <c r="C715" i="2"/>
  <c r="E715" i="2" s="1"/>
  <c r="O715" i="2" s="1"/>
  <c r="B715" i="2"/>
  <c r="A715" i="2"/>
  <c r="L714" i="2"/>
  <c r="K714" i="2"/>
  <c r="A714" i="2"/>
  <c r="L713" i="2"/>
  <c r="K713" i="2"/>
  <c r="E713" i="2"/>
  <c r="O713" i="2" s="1"/>
  <c r="C713" i="2"/>
  <c r="B713" i="2"/>
  <c r="A713" i="2"/>
  <c r="O712" i="2"/>
  <c r="N712" i="2"/>
  <c r="K712" i="2"/>
  <c r="L712" i="2" s="1"/>
  <c r="J712" i="2"/>
  <c r="H712" i="2"/>
  <c r="E712" i="2"/>
  <c r="D712" i="2"/>
  <c r="F712" i="2" s="1"/>
  <c r="G712" i="2" s="1"/>
  <c r="I712" i="2" s="1"/>
  <c r="C712" i="2"/>
  <c r="B712" i="2"/>
  <c r="A712" i="2"/>
  <c r="N711" i="2"/>
  <c r="L711" i="2"/>
  <c r="K711" i="2"/>
  <c r="J711" i="2"/>
  <c r="H711" i="2"/>
  <c r="D711" i="2"/>
  <c r="C711" i="2"/>
  <c r="E711" i="2" s="1"/>
  <c r="B711" i="2"/>
  <c r="A711" i="2"/>
  <c r="O711" i="2" s="1"/>
  <c r="H710" i="2"/>
  <c r="C710" i="2"/>
  <c r="E710" i="2" s="1"/>
  <c r="O710" i="2" s="1"/>
  <c r="A710" i="2"/>
  <c r="B709" i="2"/>
  <c r="A709" i="2"/>
  <c r="A708" i="2"/>
  <c r="O707" i="2"/>
  <c r="L707" i="2"/>
  <c r="K707" i="2"/>
  <c r="J707" i="2"/>
  <c r="N707" i="2" s="1"/>
  <c r="H707" i="2"/>
  <c r="E707" i="2"/>
  <c r="F707" i="2" s="1"/>
  <c r="D707" i="2"/>
  <c r="C707" i="2"/>
  <c r="B707" i="2"/>
  <c r="A707" i="2"/>
  <c r="J706" i="2"/>
  <c r="H706" i="2"/>
  <c r="D706" i="2"/>
  <c r="F706" i="2" s="1"/>
  <c r="C706" i="2"/>
  <c r="E706" i="2" s="1"/>
  <c r="A706" i="2"/>
  <c r="F705" i="2"/>
  <c r="D705" i="2"/>
  <c r="C705" i="2"/>
  <c r="E705" i="2" s="1"/>
  <c r="B705" i="2"/>
  <c r="A705" i="2"/>
  <c r="A704" i="2"/>
  <c r="C703" i="2"/>
  <c r="E703" i="2" s="1"/>
  <c r="A703" i="2"/>
  <c r="K702" i="2"/>
  <c r="L702" i="2" s="1"/>
  <c r="J702" i="2"/>
  <c r="N702" i="2" s="1"/>
  <c r="H702" i="2"/>
  <c r="D702" i="2"/>
  <c r="A702" i="2"/>
  <c r="L701" i="2"/>
  <c r="K701" i="2"/>
  <c r="J701" i="2"/>
  <c r="N701" i="2" s="1"/>
  <c r="E701" i="2"/>
  <c r="F701" i="2" s="1"/>
  <c r="D701" i="2"/>
  <c r="C701" i="2"/>
  <c r="B701" i="2"/>
  <c r="A701" i="2"/>
  <c r="H701" i="2" s="1"/>
  <c r="O700" i="2"/>
  <c r="K700" i="2"/>
  <c r="L700" i="2" s="1"/>
  <c r="J700" i="2"/>
  <c r="N700" i="2" s="1"/>
  <c r="H700" i="2"/>
  <c r="E700" i="2"/>
  <c r="F700" i="2" s="1"/>
  <c r="D700" i="2"/>
  <c r="C700" i="2"/>
  <c r="B700" i="2"/>
  <c r="A700" i="2"/>
  <c r="A699" i="2"/>
  <c r="D699" i="2" s="1"/>
  <c r="B698" i="2"/>
  <c r="A698" i="2"/>
  <c r="K697" i="2"/>
  <c r="L697" i="2" s="1"/>
  <c r="J697" i="2"/>
  <c r="N697" i="2" s="1"/>
  <c r="H697" i="2"/>
  <c r="B697" i="2"/>
  <c r="A697" i="2"/>
  <c r="N696" i="2"/>
  <c r="K696" i="2"/>
  <c r="L696" i="2" s="1"/>
  <c r="M696" i="2" s="1"/>
  <c r="J696" i="2"/>
  <c r="G696" i="2"/>
  <c r="I696" i="2" s="1"/>
  <c r="F696" i="2"/>
  <c r="E696" i="2"/>
  <c r="D696" i="2"/>
  <c r="C696" i="2"/>
  <c r="B696" i="2"/>
  <c r="A696" i="2"/>
  <c r="H696" i="2" s="1"/>
  <c r="L695" i="2"/>
  <c r="K695" i="2"/>
  <c r="J695" i="2"/>
  <c r="N695" i="2" s="1"/>
  <c r="H695" i="2"/>
  <c r="E695" i="2"/>
  <c r="D695" i="2"/>
  <c r="C695" i="2"/>
  <c r="A695" i="2"/>
  <c r="B695" i="2" s="1"/>
  <c r="J694" i="2"/>
  <c r="D694" i="2"/>
  <c r="B694" i="2"/>
  <c r="A694" i="2"/>
  <c r="J693" i="2"/>
  <c r="C693" i="2"/>
  <c r="E693" i="2" s="1"/>
  <c r="O693" i="2" s="1"/>
  <c r="B693" i="2"/>
  <c r="A693" i="2"/>
  <c r="K692" i="2"/>
  <c r="L692" i="2" s="1"/>
  <c r="J692" i="2"/>
  <c r="N692" i="2" s="1"/>
  <c r="H692" i="2"/>
  <c r="F692" i="2"/>
  <c r="C692" i="2"/>
  <c r="E692" i="2" s="1"/>
  <c r="B692" i="2"/>
  <c r="A692" i="2"/>
  <c r="D692" i="2" s="1"/>
  <c r="N691" i="2"/>
  <c r="L691" i="2"/>
  <c r="K691" i="2"/>
  <c r="H691" i="2"/>
  <c r="D691" i="2"/>
  <c r="C691" i="2"/>
  <c r="E691" i="2" s="1"/>
  <c r="F691" i="2" s="1"/>
  <c r="B691" i="2"/>
  <c r="A691" i="2"/>
  <c r="J691" i="2" s="1"/>
  <c r="A690" i="2"/>
  <c r="K689" i="2"/>
  <c r="L689" i="2" s="1"/>
  <c r="A689" i="2"/>
  <c r="P688" i="2"/>
  <c r="Q688" i="2" s="1"/>
  <c r="O688" i="2"/>
  <c r="K688" i="2"/>
  <c r="L688" i="2" s="1"/>
  <c r="J688" i="2"/>
  <c r="N688" i="2" s="1"/>
  <c r="H688" i="2"/>
  <c r="D688" i="2"/>
  <c r="F688" i="2" s="1"/>
  <c r="C688" i="2"/>
  <c r="E688" i="2" s="1"/>
  <c r="B688" i="2"/>
  <c r="A688" i="2"/>
  <c r="K687" i="2"/>
  <c r="L687" i="2" s="1"/>
  <c r="J687" i="2"/>
  <c r="N687" i="2" s="1"/>
  <c r="H687" i="2"/>
  <c r="D687" i="2"/>
  <c r="C687" i="2"/>
  <c r="E687" i="2" s="1"/>
  <c r="B687" i="2"/>
  <c r="A687" i="2"/>
  <c r="O687" i="2" s="1"/>
  <c r="H686" i="2"/>
  <c r="D686" i="2"/>
  <c r="C686" i="2"/>
  <c r="E686" i="2" s="1"/>
  <c r="F686" i="2" s="1"/>
  <c r="B686" i="2"/>
  <c r="A686" i="2"/>
  <c r="K685" i="2"/>
  <c r="L685" i="2" s="1"/>
  <c r="J685" i="2"/>
  <c r="A685" i="2"/>
  <c r="O684" i="2"/>
  <c r="L684" i="2"/>
  <c r="K684" i="2"/>
  <c r="D684" i="2"/>
  <c r="F684" i="2" s="1"/>
  <c r="G684" i="2" s="1"/>
  <c r="C684" i="2"/>
  <c r="E684" i="2" s="1"/>
  <c r="B684" i="2"/>
  <c r="A684" i="2"/>
  <c r="L683" i="2"/>
  <c r="K683" i="2"/>
  <c r="J683" i="2"/>
  <c r="N683" i="2" s="1"/>
  <c r="H683" i="2"/>
  <c r="D683" i="2"/>
  <c r="C683" i="2"/>
  <c r="E683" i="2" s="1"/>
  <c r="A683" i="2"/>
  <c r="B683" i="2" s="1"/>
  <c r="N682" i="2"/>
  <c r="K682" i="2"/>
  <c r="L682" i="2" s="1"/>
  <c r="J682" i="2"/>
  <c r="H682" i="2"/>
  <c r="D682" i="2"/>
  <c r="C682" i="2"/>
  <c r="E682" i="2" s="1"/>
  <c r="B682" i="2"/>
  <c r="A682" i="2"/>
  <c r="N681" i="2"/>
  <c r="J681" i="2"/>
  <c r="H681" i="2"/>
  <c r="E681" i="2"/>
  <c r="F681" i="2" s="1"/>
  <c r="D681" i="2"/>
  <c r="C681" i="2"/>
  <c r="B681" i="2"/>
  <c r="A681" i="2"/>
  <c r="K681" i="2" s="1"/>
  <c r="L681" i="2" s="1"/>
  <c r="H680" i="2"/>
  <c r="A680" i="2"/>
  <c r="L679" i="2"/>
  <c r="K679" i="2"/>
  <c r="D679" i="2"/>
  <c r="B679" i="2"/>
  <c r="A679" i="2"/>
  <c r="J678" i="2"/>
  <c r="A678" i="2"/>
  <c r="J677" i="2"/>
  <c r="D677" i="2"/>
  <c r="B677" i="2"/>
  <c r="A677" i="2"/>
  <c r="O676" i="2"/>
  <c r="P676" i="2" s="1"/>
  <c r="Q676" i="2" s="1"/>
  <c r="K676" i="2"/>
  <c r="L676" i="2" s="1"/>
  <c r="J676" i="2"/>
  <c r="H676" i="2"/>
  <c r="F676" i="2"/>
  <c r="E676" i="2"/>
  <c r="D676" i="2"/>
  <c r="C676" i="2"/>
  <c r="B676" i="2"/>
  <c r="A676" i="2"/>
  <c r="K675" i="2"/>
  <c r="L675" i="2" s="1"/>
  <c r="A675" i="2"/>
  <c r="A674" i="2"/>
  <c r="J673" i="2"/>
  <c r="A673" i="2"/>
  <c r="O672" i="2"/>
  <c r="J672" i="2"/>
  <c r="E672" i="2"/>
  <c r="C672" i="2"/>
  <c r="B672" i="2"/>
  <c r="A672" i="2"/>
  <c r="O671" i="2"/>
  <c r="K671" i="2"/>
  <c r="L671" i="2" s="1"/>
  <c r="J671" i="2"/>
  <c r="N671" i="2" s="1"/>
  <c r="H671" i="2"/>
  <c r="E671" i="2"/>
  <c r="D671" i="2"/>
  <c r="F671" i="2" s="1"/>
  <c r="C671" i="2"/>
  <c r="A671" i="2"/>
  <c r="B671" i="2" s="1"/>
  <c r="A670" i="2"/>
  <c r="D669" i="2"/>
  <c r="A669" i="2"/>
  <c r="A668" i="2"/>
  <c r="A667" i="2"/>
  <c r="K666" i="2"/>
  <c r="L666" i="2" s="1"/>
  <c r="J666" i="2"/>
  <c r="N666" i="2" s="1"/>
  <c r="H666" i="2"/>
  <c r="D666" i="2"/>
  <c r="A666" i="2"/>
  <c r="L665" i="2"/>
  <c r="K665" i="2"/>
  <c r="J665" i="2"/>
  <c r="N665" i="2" s="1"/>
  <c r="E665" i="2"/>
  <c r="F665" i="2" s="1"/>
  <c r="D665" i="2"/>
  <c r="C665" i="2"/>
  <c r="B665" i="2"/>
  <c r="A665" i="2"/>
  <c r="H665" i="2" s="1"/>
  <c r="K664" i="2"/>
  <c r="L664" i="2" s="1"/>
  <c r="J664" i="2"/>
  <c r="H664" i="2"/>
  <c r="D664" i="2"/>
  <c r="C664" i="2"/>
  <c r="E664" i="2" s="1"/>
  <c r="B664" i="2"/>
  <c r="A664" i="2"/>
  <c r="C663" i="2"/>
  <c r="E663" i="2" s="1"/>
  <c r="A663" i="2"/>
  <c r="H662" i="2"/>
  <c r="D662" i="2"/>
  <c r="F662" i="2" s="1"/>
  <c r="G662" i="2" s="1"/>
  <c r="I662" i="2" s="1"/>
  <c r="C662" i="2"/>
  <c r="E662" i="2" s="1"/>
  <c r="O662" i="2" s="1"/>
  <c r="B662" i="2"/>
  <c r="A662" i="2"/>
  <c r="K661" i="2"/>
  <c r="L661" i="2" s="1"/>
  <c r="J661" i="2"/>
  <c r="N661" i="2" s="1"/>
  <c r="H661" i="2"/>
  <c r="B661" i="2"/>
  <c r="A661" i="2"/>
  <c r="K660" i="2"/>
  <c r="L660" i="2" s="1"/>
  <c r="J660" i="2"/>
  <c r="N660" i="2" s="1"/>
  <c r="E660" i="2"/>
  <c r="F660" i="2" s="1"/>
  <c r="D660" i="2"/>
  <c r="C660" i="2"/>
  <c r="B660" i="2"/>
  <c r="A660" i="2"/>
  <c r="H660" i="2" s="1"/>
  <c r="L659" i="2"/>
  <c r="K659" i="2"/>
  <c r="J659" i="2"/>
  <c r="N659" i="2" s="1"/>
  <c r="H659" i="2"/>
  <c r="F659" i="2"/>
  <c r="E659" i="2"/>
  <c r="O659" i="2" s="1"/>
  <c r="D659" i="2"/>
  <c r="C659" i="2"/>
  <c r="B659" i="2"/>
  <c r="A659" i="2"/>
  <c r="O658" i="2"/>
  <c r="K658" i="2"/>
  <c r="L658" i="2" s="1"/>
  <c r="J658" i="2"/>
  <c r="H658" i="2"/>
  <c r="E658" i="2"/>
  <c r="C658" i="2"/>
  <c r="B658" i="2"/>
  <c r="A658" i="2"/>
  <c r="D658" i="2" s="1"/>
  <c r="F658" i="2" s="1"/>
  <c r="H657" i="2"/>
  <c r="F657" i="2"/>
  <c r="D657" i="2"/>
  <c r="C657" i="2"/>
  <c r="E657" i="2" s="1"/>
  <c r="B657" i="2"/>
  <c r="A657" i="2"/>
  <c r="K657" i="2" s="1"/>
  <c r="L657" i="2" s="1"/>
  <c r="O656" i="2"/>
  <c r="L656" i="2"/>
  <c r="K656" i="2"/>
  <c r="J656" i="2"/>
  <c r="N656" i="2" s="1"/>
  <c r="H656" i="2"/>
  <c r="C656" i="2"/>
  <c r="E656" i="2" s="1"/>
  <c r="A656" i="2"/>
  <c r="L655" i="2"/>
  <c r="K655" i="2"/>
  <c r="H655" i="2"/>
  <c r="D655" i="2"/>
  <c r="F655" i="2" s="1"/>
  <c r="C655" i="2"/>
  <c r="E655" i="2" s="1"/>
  <c r="O655" i="2" s="1"/>
  <c r="A655" i="2"/>
  <c r="A654" i="2"/>
  <c r="J653" i="2"/>
  <c r="E653" i="2"/>
  <c r="O653" i="2" s="1"/>
  <c r="C653" i="2"/>
  <c r="B653" i="2"/>
  <c r="A653" i="2"/>
  <c r="O652" i="2"/>
  <c r="K652" i="2"/>
  <c r="L652" i="2" s="1"/>
  <c r="J652" i="2"/>
  <c r="N652" i="2" s="1"/>
  <c r="H652" i="2"/>
  <c r="G652" i="2"/>
  <c r="I652" i="2" s="1"/>
  <c r="D652" i="2"/>
  <c r="F652" i="2" s="1"/>
  <c r="P652" i="2" s="1"/>
  <c r="Q652" i="2" s="1"/>
  <c r="C652" i="2"/>
  <c r="E652" i="2" s="1"/>
  <c r="B652" i="2"/>
  <c r="A652" i="2"/>
  <c r="L651" i="2"/>
  <c r="K651" i="2"/>
  <c r="J651" i="2"/>
  <c r="N651" i="2" s="1"/>
  <c r="H651" i="2"/>
  <c r="D651" i="2"/>
  <c r="C651" i="2"/>
  <c r="E651" i="2" s="1"/>
  <c r="O651" i="2" s="1"/>
  <c r="A651" i="2"/>
  <c r="B651" i="2" s="1"/>
  <c r="O650" i="2"/>
  <c r="H650" i="2"/>
  <c r="D650" i="2"/>
  <c r="F650" i="2" s="1"/>
  <c r="C650" i="2"/>
  <c r="E650" i="2" s="1"/>
  <c r="A650" i="2"/>
  <c r="K649" i="2"/>
  <c r="L649" i="2" s="1"/>
  <c r="A649" i="2"/>
  <c r="O648" i="2"/>
  <c r="J648" i="2"/>
  <c r="E648" i="2"/>
  <c r="C648" i="2"/>
  <c r="B648" i="2"/>
  <c r="A648" i="2"/>
  <c r="O647" i="2"/>
  <c r="K647" i="2"/>
  <c r="L647" i="2" s="1"/>
  <c r="J647" i="2"/>
  <c r="N647" i="2" s="1"/>
  <c r="H647" i="2"/>
  <c r="F647" i="2"/>
  <c r="D647" i="2"/>
  <c r="C647" i="2"/>
  <c r="E647" i="2" s="1"/>
  <c r="A647" i="2"/>
  <c r="B647" i="2" s="1"/>
  <c r="O646" i="2"/>
  <c r="L646" i="2"/>
  <c r="K646" i="2"/>
  <c r="J646" i="2"/>
  <c r="N646" i="2" s="1"/>
  <c r="H646" i="2"/>
  <c r="D646" i="2"/>
  <c r="F646" i="2" s="1"/>
  <c r="C646" i="2"/>
  <c r="E646" i="2" s="1"/>
  <c r="A646" i="2"/>
  <c r="B646" i="2" s="1"/>
  <c r="O645" i="2"/>
  <c r="J645" i="2"/>
  <c r="H645" i="2"/>
  <c r="D645" i="2"/>
  <c r="F645" i="2" s="1"/>
  <c r="C645" i="2"/>
  <c r="E645" i="2" s="1"/>
  <c r="A645" i="2"/>
  <c r="J644" i="2"/>
  <c r="A644" i="2"/>
  <c r="H643" i="2"/>
  <c r="E643" i="2"/>
  <c r="O643" i="2" s="1"/>
  <c r="C643" i="2"/>
  <c r="B643" i="2"/>
  <c r="A643" i="2"/>
  <c r="J642" i="2"/>
  <c r="N642" i="2" s="1"/>
  <c r="H642" i="2"/>
  <c r="D642" i="2"/>
  <c r="A642" i="2"/>
  <c r="K642" i="2" s="1"/>
  <c r="L642" i="2" s="1"/>
  <c r="N641" i="2"/>
  <c r="K641" i="2"/>
  <c r="L641" i="2" s="1"/>
  <c r="J641" i="2"/>
  <c r="E641" i="2"/>
  <c r="F641" i="2" s="1"/>
  <c r="D641" i="2"/>
  <c r="C641" i="2"/>
  <c r="B641" i="2"/>
  <c r="A641" i="2"/>
  <c r="H641" i="2" s="1"/>
  <c r="K640" i="2"/>
  <c r="J640" i="2"/>
  <c r="H640" i="2"/>
  <c r="E640" i="2"/>
  <c r="D640" i="2"/>
  <c r="C640" i="2"/>
  <c r="B640" i="2"/>
  <c r="A640" i="2"/>
  <c r="A639" i="2"/>
  <c r="O638" i="2"/>
  <c r="C638" i="2"/>
  <c r="E638" i="2" s="1"/>
  <c r="B638" i="2"/>
  <c r="A638" i="2"/>
  <c r="K637" i="2"/>
  <c r="L637" i="2" s="1"/>
  <c r="A637" i="2"/>
  <c r="K636" i="2"/>
  <c r="L636" i="2" s="1"/>
  <c r="J636" i="2"/>
  <c r="N636" i="2" s="1"/>
  <c r="E636" i="2"/>
  <c r="F636" i="2" s="1"/>
  <c r="D636" i="2"/>
  <c r="C636" i="2"/>
  <c r="B636" i="2"/>
  <c r="A636" i="2"/>
  <c r="H636" i="2" s="1"/>
  <c r="K635" i="2"/>
  <c r="L635" i="2" s="1"/>
  <c r="J635" i="2"/>
  <c r="H635" i="2"/>
  <c r="E635" i="2"/>
  <c r="D635" i="2"/>
  <c r="C635" i="2"/>
  <c r="A635" i="2"/>
  <c r="B635" i="2" s="1"/>
  <c r="K634" i="2"/>
  <c r="L634" i="2" s="1"/>
  <c r="D634" i="2"/>
  <c r="B634" i="2"/>
  <c r="A634" i="2"/>
  <c r="C633" i="2"/>
  <c r="E633" i="2" s="1"/>
  <c r="B633" i="2"/>
  <c r="A633" i="2"/>
  <c r="J632" i="2"/>
  <c r="H632" i="2"/>
  <c r="B632" i="2"/>
  <c r="A632" i="2"/>
  <c r="N631" i="2"/>
  <c r="K631" i="2"/>
  <c r="L631" i="2" s="1"/>
  <c r="H631" i="2"/>
  <c r="G631" i="2"/>
  <c r="I631" i="2" s="1"/>
  <c r="M631" i="2" s="1"/>
  <c r="E631" i="2"/>
  <c r="D631" i="2"/>
  <c r="F631" i="2" s="1"/>
  <c r="C631" i="2"/>
  <c r="B631" i="2"/>
  <c r="A631" i="2"/>
  <c r="J631" i="2" s="1"/>
  <c r="A630" i="2"/>
  <c r="A629" i="2"/>
  <c r="K628" i="2"/>
  <c r="L628" i="2" s="1"/>
  <c r="J628" i="2"/>
  <c r="N628" i="2" s="1"/>
  <c r="H628" i="2"/>
  <c r="D628" i="2"/>
  <c r="C628" i="2"/>
  <c r="E628" i="2" s="1"/>
  <c r="B628" i="2"/>
  <c r="A628" i="2"/>
  <c r="K627" i="2"/>
  <c r="L627" i="2" s="1"/>
  <c r="H627" i="2"/>
  <c r="D627" i="2"/>
  <c r="A627" i="2"/>
  <c r="H626" i="2"/>
  <c r="E626" i="2"/>
  <c r="F626" i="2" s="1"/>
  <c r="D626" i="2"/>
  <c r="C626" i="2"/>
  <c r="B626" i="2"/>
  <c r="A626" i="2"/>
  <c r="A625" i="2"/>
  <c r="C624" i="2"/>
  <c r="E624" i="2" s="1"/>
  <c r="A624" i="2"/>
  <c r="L623" i="2"/>
  <c r="K623" i="2"/>
  <c r="J623" i="2"/>
  <c r="H623" i="2"/>
  <c r="F623" i="2"/>
  <c r="D623" i="2"/>
  <c r="C623" i="2"/>
  <c r="E623" i="2" s="1"/>
  <c r="O623" i="2" s="1"/>
  <c r="A623" i="2"/>
  <c r="B623" i="2" s="1"/>
  <c r="C622" i="2"/>
  <c r="E622" i="2" s="1"/>
  <c r="A622" i="2"/>
  <c r="H621" i="2"/>
  <c r="E621" i="2"/>
  <c r="F621" i="2" s="1"/>
  <c r="D621" i="2"/>
  <c r="C621" i="2"/>
  <c r="B621" i="2"/>
  <c r="A621" i="2"/>
  <c r="K621" i="2" s="1"/>
  <c r="L621" i="2" s="1"/>
  <c r="O620" i="2"/>
  <c r="K620" i="2"/>
  <c r="L620" i="2" s="1"/>
  <c r="J620" i="2"/>
  <c r="H620" i="2"/>
  <c r="C620" i="2"/>
  <c r="E620" i="2" s="1"/>
  <c r="A620" i="2"/>
  <c r="A619" i="2"/>
  <c r="K618" i="2"/>
  <c r="L618" i="2" s="1"/>
  <c r="D618" i="2"/>
  <c r="A618" i="2"/>
  <c r="C617" i="2"/>
  <c r="E617" i="2" s="1"/>
  <c r="B617" i="2"/>
  <c r="A617" i="2"/>
  <c r="K616" i="2"/>
  <c r="L616" i="2" s="1"/>
  <c r="J616" i="2"/>
  <c r="N616" i="2" s="1"/>
  <c r="H616" i="2"/>
  <c r="D616" i="2"/>
  <c r="C616" i="2"/>
  <c r="E616" i="2" s="1"/>
  <c r="B616" i="2"/>
  <c r="A616" i="2"/>
  <c r="K615" i="2"/>
  <c r="L615" i="2" s="1"/>
  <c r="J615" i="2"/>
  <c r="N615" i="2" s="1"/>
  <c r="C615" i="2"/>
  <c r="E615" i="2" s="1"/>
  <c r="A615" i="2"/>
  <c r="H614" i="2"/>
  <c r="C614" i="2"/>
  <c r="E614" i="2" s="1"/>
  <c r="O614" i="2" s="1"/>
  <c r="A614" i="2"/>
  <c r="K613" i="2"/>
  <c r="L613" i="2" s="1"/>
  <c r="J613" i="2"/>
  <c r="N613" i="2" s="1"/>
  <c r="A613" i="2"/>
  <c r="J612" i="2"/>
  <c r="B612" i="2"/>
  <c r="A612" i="2"/>
  <c r="K611" i="2"/>
  <c r="L611" i="2" s="1"/>
  <c r="J611" i="2"/>
  <c r="N611" i="2" s="1"/>
  <c r="H611" i="2"/>
  <c r="E611" i="2"/>
  <c r="D611" i="2"/>
  <c r="C611" i="2"/>
  <c r="A611" i="2"/>
  <c r="B611" i="2" s="1"/>
  <c r="O610" i="2"/>
  <c r="J610" i="2"/>
  <c r="H610" i="2"/>
  <c r="D610" i="2"/>
  <c r="C610" i="2"/>
  <c r="E610" i="2" s="1"/>
  <c r="A610" i="2"/>
  <c r="B610" i="2" s="1"/>
  <c r="D609" i="2"/>
  <c r="C609" i="2"/>
  <c r="E609" i="2" s="1"/>
  <c r="A609" i="2"/>
  <c r="N608" i="2"/>
  <c r="J608" i="2"/>
  <c r="B608" i="2"/>
  <c r="A608" i="2"/>
  <c r="K608" i="2" s="1"/>
  <c r="L608" i="2" s="1"/>
  <c r="D607" i="2"/>
  <c r="F607" i="2" s="1"/>
  <c r="C607" i="2"/>
  <c r="E607" i="2" s="1"/>
  <c r="O607" i="2" s="1"/>
  <c r="A607" i="2"/>
  <c r="A606" i="2"/>
  <c r="K605" i="2"/>
  <c r="L605" i="2" s="1"/>
  <c r="J605" i="2"/>
  <c r="N605" i="2" s="1"/>
  <c r="E605" i="2"/>
  <c r="F605" i="2" s="1"/>
  <c r="D605" i="2"/>
  <c r="C605" i="2"/>
  <c r="B605" i="2"/>
  <c r="A605" i="2"/>
  <c r="H605" i="2" s="1"/>
  <c r="K604" i="2"/>
  <c r="L604" i="2" s="1"/>
  <c r="J604" i="2"/>
  <c r="N604" i="2" s="1"/>
  <c r="H604" i="2"/>
  <c r="D604" i="2"/>
  <c r="C604" i="2"/>
  <c r="E604" i="2" s="1"/>
  <c r="O604" i="2" s="1"/>
  <c r="B604" i="2"/>
  <c r="A604" i="2"/>
  <c r="J603" i="2"/>
  <c r="A603" i="2"/>
  <c r="H602" i="2"/>
  <c r="D602" i="2"/>
  <c r="B602" i="2"/>
  <c r="A602" i="2"/>
  <c r="K601" i="2"/>
  <c r="L601" i="2" s="1"/>
  <c r="H601" i="2"/>
  <c r="A601" i="2"/>
  <c r="K600" i="2"/>
  <c r="L600" i="2" s="1"/>
  <c r="J600" i="2"/>
  <c r="N600" i="2" s="1"/>
  <c r="E600" i="2"/>
  <c r="D600" i="2"/>
  <c r="C600" i="2"/>
  <c r="B600" i="2"/>
  <c r="A600" i="2"/>
  <c r="H600" i="2" s="1"/>
  <c r="L599" i="2"/>
  <c r="K599" i="2"/>
  <c r="J599" i="2"/>
  <c r="N599" i="2" s="1"/>
  <c r="H599" i="2"/>
  <c r="D599" i="2"/>
  <c r="C599" i="2"/>
  <c r="E599" i="2" s="1"/>
  <c r="A599" i="2"/>
  <c r="B599" i="2" s="1"/>
  <c r="K598" i="2"/>
  <c r="L598" i="2" s="1"/>
  <c r="J598" i="2"/>
  <c r="N598" i="2" s="1"/>
  <c r="D598" i="2"/>
  <c r="B598" i="2"/>
  <c r="A598" i="2"/>
  <c r="O597" i="2"/>
  <c r="J597" i="2"/>
  <c r="H597" i="2"/>
  <c r="C597" i="2"/>
  <c r="E597" i="2" s="1"/>
  <c r="A597" i="2"/>
  <c r="K596" i="2"/>
  <c r="J596" i="2"/>
  <c r="H596" i="2"/>
  <c r="C596" i="2"/>
  <c r="E596" i="2" s="1"/>
  <c r="O596" i="2" s="1"/>
  <c r="B596" i="2"/>
  <c r="A596" i="2"/>
  <c r="D596" i="2" s="1"/>
  <c r="N595" i="2"/>
  <c r="K595" i="2"/>
  <c r="L595" i="2" s="1"/>
  <c r="H595" i="2"/>
  <c r="D595" i="2"/>
  <c r="C595" i="2"/>
  <c r="E595" i="2" s="1"/>
  <c r="B595" i="2"/>
  <c r="A595" i="2"/>
  <c r="J595" i="2" s="1"/>
  <c r="K594" i="2"/>
  <c r="L594" i="2" s="1"/>
  <c r="J594" i="2"/>
  <c r="H594" i="2"/>
  <c r="A594" i="2"/>
  <c r="K593" i="2"/>
  <c r="L593" i="2" s="1"/>
  <c r="J593" i="2"/>
  <c r="D593" i="2"/>
  <c r="F593" i="2" s="1"/>
  <c r="C593" i="2"/>
  <c r="E593" i="2" s="1"/>
  <c r="O593" i="2" s="1"/>
  <c r="A593" i="2"/>
  <c r="O592" i="2"/>
  <c r="K592" i="2"/>
  <c r="L592" i="2" s="1"/>
  <c r="J592" i="2"/>
  <c r="N592" i="2" s="1"/>
  <c r="H592" i="2"/>
  <c r="F592" i="2"/>
  <c r="D592" i="2"/>
  <c r="C592" i="2"/>
  <c r="E592" i="2" s="1"/>
  <c r="B592" i="2"/>
  <c r="A592" i="2"/>
  <c r="K591" i="2"/>
  <c r="L591" i="2" s="1"/>
  <c r="J591" i="2"/>
  <c r="N591" i="2" s="1"/>
  <c r="D591" i="2"/>
  <c r="B591" i="2"/>
  <c r="A591" i="2"/>
  <c r="H590" i="2"/>
  <c r="D590" i="2"/>
  <c r="C590" i="2"/>
  <c r="E590" i="2" s="1"/>
  <c r="F590" i="2" s="1"/>
  <c r="B590" i="2"/>
  <c r="A590" i="2"/>
  <c r="A589" i="2"/>
  <c r="K588" i="2"/>
  <c r="L588" i="2" s="1"/>
  <c r="A588" i="2"/>
  <c r="L587" i="2"/>
  <c r="K587" i="2"/>
  <c r="J587" i="2"/>
  <c r="N587" i="2" s="1"/>
  <c r="H587" i="2"/>
  <c r="D587" i="2"/>
  <c r="C587" i="2"/>
  <c r="E587" i="2" s="1"/>
  <c r="O587" i="2" s="1"/>
  <c r="A587" i="2"/>
  <c r="B587" i="2" s="1"/>
  <c r="A586" i="2"/>
  <c r="H585" i="2"/>
  <c r="D585" i="2"/>
  <c r="C585" i="2"/>
  <c r="E585" i="2" s="1"/>
  <c r="B585" i="2"/>
  <c r="A585" i="2"/>
  <c r="K585" i="2" s="1"/>
  <c r="L585" i="2" s="1"/>
  <c r="J584" i="2"/>
  <c r="A584" i="2"/>
  <c r="O583" i="2"/>
  <c r="H583" i="2"/>
  <c r="D583" i="2"/>
  <c r="F583" i="2" s="1"/>
  <c r="C583" i="2"/>
  <c r="E583" i="2" s="1"/>
  <c r="A583" i="2"/>
  <c r="A582" i="2"/>
  <c r="A581" i="2"/>
  <c r="O580" i="2"/>
  <c r="K580" i="2"/>
  <c r="L580" i="2" s="1"/>
  <c r="J580" i="2"/>
  <c r="H580" i="2"/>
  <c r="D580" i="2"/>
  <c r="C580" i="2"/>
  <c r="E580" i="2" s="1"/>
  <c r="B580" i="2"/>
  <c r="A580" i="2"/>
  <c r="O579" i="2"/>
  <c r="J579" i="2"/>
  <c r="D579" i="2"/>
  <c r="F579" i="2" s="1"/>
  <c r="C579" i="2"/>
  <c r="E579" i="2" s="1"/>
  <c r="A579" i="2"/>
  <c r="H578" i="2"/>
  <c r="C578" i="2"/>
  <c r="E578" i="2" s="1"/>
  <c r="A578" i="2"/>
  <c r="J577" i="2"/>
  <c r="B577" i="2"/>
  <c r="A577" i="2"/>
  <c r="D576" i="2"/>
  <c r="C576" i="2"/>
  <c r="E576" i="2" s="1"/>
  <c r="A576" i="2"/>
  <c r="O575" i="2"/>
  <c r="K575" i="2"/>
  <c r="L575" i="2" s="1"/>
  <c r="J575" i="2"/>
  <c r="H575" i="2"/>
  <c r="D575" i="2"/>
  <c r="F575" i="2" s="1"/>
  <c r="C575" i="2"/>
  <c r="E575" i="2" s="1"/>
  <c r="A575" i="2"/>
  <c r="B575" i="2" s="1"/>
  <c r="J574" i="2"/>
  <c r="D574" i="2"/>
  <c r="A574" i="2"/>
  <c r="H573" i="2"/>
  <c r="A573" i="2"/>
  <c r="J572" i="2"/>
  <c r="A572" i="2"/>
  <c r="A571" i="2"/>
  <c r="K570" i="2"/>
  <c r="L570" i="2" s="1"/>
  <c r="D570" i="2"/>
  <c r="A570" i="2"/>
  <c r="N569" i="2"/>
  <c r="K569" i="2"/>
  <c r="L569" i="2" s="1"/>
  <c r="J569" i="2"/>
  <c r="D569" i="2"/>
  <c r="C569" i="2"/>
  <c r="E569" i="2" s="1"/>
  <c r="B569" i="2"/>
  <c r="A569" i="2"/>
  <c r="H569" i="2" s="1"/>
  <c r="K568" i="2"/>
  <c r="L568" i="2" s="1"/>
  <c r="J568" i="2"/>
  <c r="H568" i="2"/>
  <c r="E568" i="2"/>
  <c r="D568" i="2"/>
  <c r="C568" i="2"/>
  <c r="B568" i="2"/>
  <c r="A568" i="2"/>
  <c r="N567" i="2"/>
  <c r="K567" i="2"/>
  <c r="L567" i="2" s="1"/>
  <c r="J567" i="2"/>
  <c r="H567" i="2"/>
  <c r="D567" i="2"/>
  <c r="C567" i="2"/>
  <c r="E567" i="2" s="1"/>
  <c r="B567" i="2"/>
  <c r="A567" i="2"/>
  <c r="J566" i="2"/>
  <c r="H566" i="2"/>
  <c r="E566" i="2"/>
  <c r="C566" i="2"/>
  <c r="A566" i="2"/>
  <c r="O565" i="2"/>
  <c r="K565" i="2"/>
  <c r="L565" i="2" s="1"/>
  <c r="H565" i="2"/>
  <c r="E565" i="2"/>
  <c r="C565" i="2"/>
  <c r="A565" i="2"/>
  <c r="O564" i="2"/>
  <c r="K564" i="2"/>
  <c r="L564" i="2" s="1"/>
  <c r="J564" i="2"/>
  <c r="G564" i="2"/>
  <c r="I564" i="2" s="1"/>
  <c r="F564" i="2"/>
  <c r="P564" i="2" s="1"/>
  <c r="Q564" i="2" s="1"/>
  <c r="D564" i="2"/>
  <c r="C564" i="2"/>
  <c r="E564" i="2" s="1"/>
  <c r="B564" i="2"/>
  <c r="A564" i="2"/>
  <c r="H564" i="2" s="1"/>
  <c r="J563" i="2"/>
  <c r="D563" i="2"/>
  <c r="F563" i="2" s="1"/>
  <c r="C563" i="2"/>
  <c r="E563" i="2" s="1"/>
  <c r="O563" i="2" s="1"/>
  <c r="A563" i="2"/>
  <c r="H562" i="2"/>
  <c r="D562" i="2"/>
  <c r="C562" i="2"/>
  <c r="E562" i="2" s="1"/>
  <c r="O562" i="2" s="1"/>
  <c r="B562" i="2"/>
  <c r="A562" i="2"/>
  <c r="K561" i="2"/>
  <c r="L561" i="2" s="1"/>
  <c r="D561" i="2"/>
  <c r="A561" i="2"/>
  <c r="N560" i="2"/>
  <c r="L560" i="2"/>
  <c r="K560" i="2"/>
  <c r="J560" i="2"/>
  <c r="C560" i="2"/>
  <c r="E560" i="2" s="1"/>
  <c r="B560" i="2"/>
  <c r="A560" i="2"/>
  <c r="H560" i="2" s="1"/>
  <c r="O559" i="2"/>
  <c r="P559" i="2" s="1"/>
  <c r="Q559" i="2" s="1"/>
  <c r="K559" i="2"/>
  <c r="L559" i="2" s="1"/>
  <c r="H559" i="2"/>
  <c r="E559" i="2"/>
  <c r="F559" i="2" s="1"/>
  <c r="D559" i="2"/>
  <c r="C559" i="2"/>
  <c r="B559" i="2"/>
  <c r="A559" i="2"/>
  <c r="J559" i="2" s="1"/>
  <c r="J558" i="2"/>
  <c r="A558" i="2"/>
  <c r="B557" i="2"/>
  <c r="A557" i="2"/>
  <c r="O556" i="2"/>
  <c r="K556" i="2"/>
  <c r="L556" i="2" s="1"/>
  <c r="J556" i="2"/>
  <c r="N556" i="2" s="1"/>
  <c r="H556" i="2"/>
  <c r="G556" i="2"/>
  <c r="I556" i="2" s="1"/>
  <c r="F556" i="2"/>
  <c r="E556" i="2"/>
  <c r="D556" i="2"/>
  <c r="C556" i="2"/>
  <c r="B556" i="2"/>
  <c r="A556" i="2"/>
  <c r="B555" i="2"/>
  <c r="A555" i="2"/>
  <c r="J554" i="2"/>
  <c r="H554" i="2"/>
  <c r="A554" i="2"/>
  <c r="K553" i="2"/>
  <c r="L553" i="2" s="1"/>
  <c r="C553" i="2"/>
  <c r="E553" i="2" s="1"/>
  <c r="B553" i="2"/>
  <c r="A553" i="2"/>
  <c r="K552" i="2"/>
  <c r="L552" i="2" s="1"/>
  <c r="J552" i="2"/>
  <c r="N552" i="2" s="1"/>
  <c r="H552" i="2"/>
  <c r="D552" i="2"/>
  <c r="C552" i="2"/>
  <c r="E552" i="2" s="1"/>
  <c r="B552" i="2"/>
  <c r="A552" i="2"/>
  <c r="L551" i="2"/>
  <c r="K551" i="2"/>
  <c r="J551" i="2"/>
  <c r="H551" i="2"/>
  <c r="D551" i="2"/>
  <c r="A551" i="2"/>
  <c r="L550" i="2"/>
  <c r="K550" i="2"/>
  <c r="H550" i="2"/>
  <c r="D550" i="2"/>
  <c r="F550" i="2" s="1"/>
  <c r="C550" i="2"/>
  <c r="E550" i="2" s="1"/>
  <c r="O550" i="2" s="1"/>
  <c r="A550" i="2"/>
  <c r="N549" i="2"/>
  <c r="K549" i="2"/>
  <c r="L549" i="2" s="1"/>
  <c r="J549" i="2"/>
  <c r="D549" i="2"/>
  <c r="B549" i="2"/>
  <c r="A549" i="2"/>
  <c r="J548" i="2"/>
  <c r="D548" i="2"/>
  <c r="F548" i="2" s="1"/>
  <c r="C548" i="2"/>
  <c r="E548" i="2" s="1"/>
  <c r="O548" i="2" s="1"/>
  <c r="B548" i="2"/>
  <c r="A548" i="2"/>
  <c r="K547" i="2"/>
  <c r="L547" i="2" s="1"/>
  <c r="H547" i="2"/>
  <c r="D547" i="2"/>
  <c r="C547" i="2"/>
  <c r="E547" i="2" s="1"/>
  <c r="O547" i="2" s="1"/>
  <c r="B547" i="2"/>
  <c r="A547" i="2"/>
  <c r="J547" i="2" s="1"/>
  <c r="N547" i="2" s="1"/>
  <c r="N546" i="2"/>
  <c r="K546" i="2"/>
  <c r="L546" i="2" s="1"/>
  <c r="J546" i="2"/>
  <c r="H546" i="2"/>
  <c r="D546" i="2"/>
  <c r="A546" i="2"/>
  <c r="J545" i="2"/>
  <c r="F545" i="2"/>
  <c r="D545" i="2"/>
  <c r="C545" i="2"/>
  <c r="E545" i="2" s="1"/>
  <c r="O545" i="2" s="1"/>
  <c r="A545" i="2"/>
  <c r="O544" i="2"/>
  <c r="K544" i="2"/>
  <c r="L544" i="2" s="1"/>
  <c r="M544" i="2" s="1"/>
  <c r="J544" i="2"/>
  <c r="H544" i="2"/>
  <c r="G544" i="2"/>
  <c r="I544" i="2" s="1"/>
  <c r="F544" i="2"/>
  <c r="D544" i="2"/>
  <c r="C544" i="2"/>
  <c r="E544" i="2" s="1"/>
  <c r="B544" i="2"/>
  <c r="A544" i="2"/>
  <c r="H543" i="2"/>
  <c r="C543" i="2"/>
  <c r="E543" i="2" s="1"/>
  <c r="A543" i="2"/>
  <c r="J542" i="2"/>
  <c r="H542" i="2"/>
  <c r="D542" i="2"/>
  <c r="C542" i="2"/>
  <c r="E542" i="2" s="1"/>
  <c r="O542" i="2" s="1"/>
  <c r="A542" i="2"/>
  <c r="A541" i="2"/>
  <c r="J540" i="2"/>
  <c r="H540" i="2"/>
  <c r="A540" i="2"/>
  <c r="J539" i="2"/>
  <c r="H539" i="2"/>
  <c r="C539" i="2"/>
  <c r="E539" i="2" s="1"/>
  <c r="O539" i="2" s="1"/>
  <c r="A539" i="2"/>
  <c r="B539" i="2" s="1"/>
  <c r="E538" i="2"/>
  <c r="C538" i="2"/>
  <c r="A538" i="2"/>
  <c r="H537" i="2"/>
  <c r="A537" i="2"/>
  <c r="L536" i="2"/>
  <c r="C536" i="2"/>
  <c r="E536" i="2" s="1"/>
  <c r="O536" i="2" s="1"/>
  <c r="A536" i="2"/>
  <c r="K536" i="2" s="1"/>
  <c r="L535" i="2"/>
  <c r="K535" i="2"/>
  <c r="H535" i="2"/>
  <c r="F535" i="2"/>
  <c r="G535" i="2" s="1"/>
  <c r="I535" i="2" s="1"/>
  <c r="D535" i="2"/>
  <c r="C535" i="2"/>
  <c r="E535" i="2" s="1"/>
  <c r="O535" i="2" s="1"/>
  <c r="B535" i="2"/>
  <c r="A535" i="2"/>
  <c r="J535" i="2" s="1"/>
  <c r="N535" i="2" s="1"/>
  <c r="A534" i="2"/>
  <c r="J533" i="2"/>
  <c r="D533" i="2"/>
  <c r="B533" i="2"/>
  <c r="A533" i="2"/>
  <c r="O532" i="2"/>
  <c r="L532" i="2"/>
  <c r="K532" i="2"/>
  <c r="J532" i="2"/>
  <c r="N532" i="2" s="1"/>
  <c r="H532" i="2"/>
  <c r="F532" i="2"/>
  <c r="D532" i="2"/>
  <c r="C532" i="2"/>
  <c r="E532" i="2" s="1"/>
  <c r="B532" i="2"/>
  <c r="A532" i="2"/>
  <c r="L531" i="2"/>
  <c r="K531" i="2"/>
  <c r="J531" i="2"/>
  <c r="N531" i="2" s="1"/>
  <c r="H531" i="2"/>
  <c r="E531" i="2"/>
  <c r="C531" i="2"/>
  <c r="B531" i="2"/>
  <c r="A531" i="2"/>
  <c r="D531" i="2" s="1"/>
  <c r="J530" i="2"/>
  <c r="H530" i="2"/>
  <c r="C530" i="2"/>
  <c r="E530" i="2" s="1"/>
  <c r="O530" i="2" s="1"/>
  <c r="A530" i="2"/>
  <c r="K529" i="2"/>
  <c r="L529" i="2" s="1"/>
  <c r="H529" i="2"/>
  <c r="C529" i="2"/>
  <c r="E529" i="2" s="1"/>
  <c r="O529" i="2" s="1"/>
  <c r="B529" i="2"/>
  <c r="A529" i="2"/>
  <c r="J528" i="2"/>
  <c r="D528" i="2"/>
  <c r="C528" i="2"/>
  <c r="E528" i="2" s="1"/>
  <c r="B528" i="2"/>
  <c r="A528" i="2"/>
  <c r="H528" i="2" s="1"/>
  <c r="D527" i="2"/>
  <c r="F527" i="2" s="1"/>
  <c r="C527" i="2"/>
  <c r="E527" i="2" s="1"/>
  <c r="A527" i="2"/>
  <c r="H526" i="2"/>
  <c r="D526" i="2"/>
  <c r="A526" i="2"/>
  <c r="D525" i="2"/>
  <c r="A525" i="2"/>
  <c r="A524" i="2"/>
  <c r="O523" i="2"/>
  <c r="N523" i="2"/>
  <c r="L523" i="2"/>
  <c r="K523" i="2"/>
  <c r="H523" i="2"/>
  <c r="E523" i="2"/>
  <c r="D523" i="2"/>
  <c r="F523" i="2" s="1"/>
  <c r="C523" i="2"/>
  <c r="B523" i="2"/>
  <c r="A523" i="2"/>
  <c r="J523" i="2" s="1"/>
  <c r="J522" i="2"/>
  <c r="H522" i="2"/>
  <c r="D522" i="2"/>
  <c r="B522" i="2"/>
  <c r="A522" i="2"/>
  <c r="J521" i="2"/>
  <c r="D521" i="2"/>
  <c r="B521" i="2"/>
  <c r="A521" i="2"/>
  <c r="N520" i="2"/>
  <c r="L520" i="2"/>
  <c r="K520" i="2"/>
  <c r="J520" i="2"/>
  <c r="H520" i="2"/>
  <c r="E520" i="2"/>
  <c r="D520" i="2"/>
  <c r="C520" i="2"/>
  <c r="B520" i="2"/>
  <c r="A520" i="2"/>
  <c r="A519" i="2"/>
  <c r="A518" i="2"/>
  <c r="K517" i="2"/>
  <c r="L517" i="2" s="1"/>
  <c r="J517" i="2"/>
  <c r="H517" i="2"/>
  <c r="E517" i="2"/>
  <c r="F517" i="2" s="1"/>
  <c r="C517" i="2"/>
  <c r="B517" i="2"/>
  <c r="A517" i="2"/>
  <c r="D517" i="2" s="1"/>
  <c r="N516" i="2"/>
  <c r="K516" i="2"/>
  <c r="L516" i="2" s="1"/>
  <c r="J516" i="2"/>
  <c r="H516" i="2"/>
  <c r="C516" i="2"/>
  <c r="E516" i="2" s="1"/>
  <c r="F516" i="2" s="1"/>
  <c r="G516" i="2" s="1"/>
  <c r="I516" i="2" s="1"/>
  <c r="M516" i="2" s="1"/>
  <c r="B516" i="2"/>
  <c r="A516" i="2"/>
  <c r="D516" i="2" s="1"/>
  <c r="L515" i="2"/>
  <c r="K515" i="2"/>
  <c r="J515" i="2"/>
  <c r="N515" i="2" s="1"/>
  <c r="H515" i="2"/>
  <c r="D515" i="2"/>
  <c r="A515" i="2"/>
  <c r="K514" i="2"/>
  <c r="L514" i="2" s="1"/>
  <c r="C514" i="2"/>
  <c r="E514" i="2" s="1"/>
  <c r="B514" i="2"/>
  <c r="A514" i="2"/>
  <c r="A513" i="2"/>
  <c r="A512" i="2"/>
  <c r="O511" i="2"/>
  <c r="L511" i="2"/>
  <c r="K511" i="2"/>
  <c r="H511" i="2"/>
  <c r="E511" i="2"/>
  <c r="D511" i="2"/>
  <c r="F511" i="2" s="1"/>
  <c r="C511" i="2"/>
  <c r="B511" i="2"/>
  <c r="A511" i="2"/>
  <c r="J511" i="2" s="1"/>
  <c r="D510" i="2"/>
  <c r="A510" i="2"/>
  <c r="O509" i="2"/>
  <c r="J509" i="2"/>
  <c r="D509" i="2"/>
  <c r="C509" i="2"/>
  <c r="E509" i="2" s="1"/>
  <c r="B509" i="2"/>
  <c r="A509" i="2"/>
  <c r="L508" i="2"/>
  <c r="K508" i="2"/>
  <c r="J508" i="2"/>
  <c r="N508" i="2" s="1"/>
  <c r="H508" i="2"/>
  <c r="D508" i="2"/>
  <c r="C508" i="2"/>
  <c r="E508" i="2" s="1"/>
  <c r="B508" i="2"/>
  <c r="A508" i="2"/>
  <c r="C507" i="2"/>
  <c r="E507" i="2" s="1"/>
  <c r="A507" i="2"/>
  <c r="O506" i="2"/>
  <c r="J506" i="2"/>
  <c r="H506" i="2"/>
  <c r="D506" i="2"/>
  <c r="F506" i="2" s="1"/>
  <c r="C506" i="2"/>
  <c r="E506" i="2" s="1"/>
  <c r="A506" i="2"/>
  <c r="K505" i="2"/>
  <c r="L505" i="2" s="1"/>
  <c r="J505" i="2"/>
  <c r="N505" i="2" s="1"/>
  <c r="A505" i="2"/>
  <c r="K504" i="2"/>
  <c r="H504" i="2"/>
  <c r="D504" i="2"/>
  <c r="F504" i="2" s="1"/>
  <c r="C504" i="2"/>
  <c r="E504" i="2" s="1"/>
  <c r="O504" i="2" s="1"/>
  <c r="A504" i="2"/>
  <c r="J504" i="2" s="1"/>
  <c r="A503" i="2"/>
  <c r="N502" i="2"/>
  <c r="K502" i="2"/>
  <c r="L502" i="2" s="1"/>
  <c r="H502" i="2"/>
  <c r="F502" i="2"/>
  <c r="D502" i="2"/>
  <c r="C502" i="2"/>
  <c r="E502" i="2" s="1"/>
  <c r="B502" i="2"/>
  <c r="A502" i="2"/>
  <c r="J502" i="2" s="1"/>
  <c r="B501" i="2"/>
  <c r="A501" i="2"/>
  <c r="O500" i="2"/>
  <c r="C500" i="2"/>
  <c r="E500" i="2" s="1"/>
  <c r="A500" i="2"/>
  <c r="O499" i="2"/>
  <c r="N499" i="2"/>
  <c r="K499" i="2"/>
  <c r="L499" i="2" s="1"/>
  <c r="H499" i="2"/>
  <c r="D499" i="2"/>
  <c r="F499" i="2" s="1"/>
  <c r="C499" i="2"/>
  <c r="E499" i="2" s="1"/>
  <c r="B499" i="2"/>
  <c r="A499" i="2"/>
  <c r="J499" i="2" s="1"/>
  <c r="K498" i="2"/>
  <c r="L498" i="2" s="1"/>
  <c r="J498" i="2"/>
  <c r="N498" i="2" s="1"/>
  <c r="D498" i="2"/>
  <c r="B498" i="2"/>
  <c r="A498" i="2"/>
  <c r="J497" i="2"/>
  <c r="E497" i="2"/>
  <c r="D497" i="2"/>
  <c r="F497" i="2" s="1"/>
  <c r="C497" i="2"/>
  <c r="B497" i="2"/>
  <c r="A497" i="2"/>
  <c r="K496" i="2"/>
  <c r="L496" i="2" s="1"/>
  <c r="J496" i="2"/>
  <c r="H496" i="2"/>
  <c r="E496" i="2"/>
  <c r="O496" i="2" s="1"/>
  <c r="C496" i="2"/>
  <c r="B496" i="2"/>
  <c r="A496" i="2"/>
  <c r="D496" i="2" s="1"/>
  <c r="K495" i="2"/>
  <c r="L495" i="2" s="1"/>
  <c r="J495" i="2"/>
  <c r="H495" i="2"/>
  <c r="D495" i="2"/>
  <c r="B495" i="2"/>
  <c r="A495" i="2"/>
  <c r="A494" i="2"/>
  <c r="C493" i="2"/>
  <c r="E493" i="2" s="1"/>
  <c r="O493" i="2" s="1"/>
  <c r="B493" i="2"/>
  <c r="A493" i="2"/>
  <c r="N492" i="2"/>
  <c r="K492" i="2"/>
  <c r="L492" i="2" s="1"/>
  <c r="J492" i="2"/>
  <c r="H492" i="2"/>
  <c r="E492" i="2"/>
  <c r="D492" i="2"/>
  <c r="F492" i="2" s="1"/>
  <c r="C492" i="2"/>
  <c r="B492" i="2"/>
  <c r="A492" i="2"/>
  <c r="K491" i="2"/>
  <c r="L491" i="2" s="1"/>
  <c r="J491" i="2"/>
  <c r="H491" i="2"/>
  <c r="D491" i="2"/>
  <c r="A491" i="2"/>
  <c r="L490" i="2"/>
  <c r="K490" i="2"/>
  <c r="H490" i="2"/>
  <c r="D490" i="2"/>
  <c r="C490" i="2"/>
  <c r="E490" i="2" s="1"/>
  <c r="A490" i="2"/>
  <c r="N489" i="2"/>
  <c r="K489" i="2"/>
  <c r="L489" i="2" s="1"/>
  <c r="J489" i="2"/>
  <c r="D489" i="2"/>
  <c r="B489" i="2"/>
  <c r="A489" i="2"/>
  <c r="O488" i="2"/>
  <c r="J488" i="2"/>
  <c r="F488" i="2"/>
  <c r="P488" i="2" s="1"/>
  <c r="Q488" i="2" s="1"/>
  <c r="D488" i="2"/>
  <c r="C488" i="2"/>
  <c r="E488" i="2" s="1"/>
  <c r="B488" i="2"/>
  <c r="A488" i="2"/>
  <c r="K487" i="2"/>
  <c r="L487" i="2" s="1"/>
  <c r="H487" i="2"/>
  <c r="E487" i="2"/>
  <c r="F487" i="2" s="1"/>
  <c r="G487" i="2" s="1"/>
  <c r="I487" i="2" s="1"/>
  <c r="D487" i="2"/>
  <c r="C487" i="2"/>
  <c r="B487" i="2"/>
  <c r="A487" i="2"/>
  <c r="J487" i="2" s="1"/>
  <c r="N486" i="2"/>
  <c r="K486" i="2"/>
  <c r="L486" i="2" s="1"/>
  <c r="J486" i="2"/>
  <c r="H486" i="2"/>
  <c r="D486" i="2"/>
  <c r="A486" i="2"/>
  <c r="J485" i="2"/>
  <c r="D485" i="2"/>
  <c r="C485" i="2"/>
  <c r="E485" i="2" s="1"/>
  <c r="O485" i="2" s="1"/>
  <c r="A485" i="2"/>
  <c r="O484" i="2"/>
  <c r="K484" i="2"/>
  <c r="L484" i="2" s="1"/>
  <c r="J484" i="2"/>
  <c r="N484" i="2" s="1"/>
  <c r="H484" i="2"/>
  <c r="F484" i="2"/>
  <c r="G484" i="2" s="1"/>
  <c r="I484" i="2" s="1"/>
  <c r="D484" i="2"/>
  <c r="C484" i="2"/>
  <c r="E484" i="2" s="1"/>
  <c r="B484" i="2"/>
  <c r="A484" i="2"/>
  <c r="K483" i="2"/>
  <c r="L483" i="2" s="1"/>
  <c r="H483" i="2"/>
  <c r="C483" i="2"/>
  <c r="E483" i="2" s="1"/>
  <c r="B483" i="2"/>
  <c r="A483" i="2"/>
  <c r="J482" i="2"/>
  <c r="H482" i="2"/>
  <c r="F482" i="2"/>
  <c r="D482" i="2"/>
  <c r="C482" i="2"/>
  <c r="E482" i="2" s="1"/>
  <c r="O482" i="2" s="1"/>
  <c r="A482" i="2"/>
  <c r="B481" i="2"/>
  <c r="A481" i="2"/>
  <c r="B480" i="2"/>
  <c r="A480" i="2"/>
  <c r="O479" i="2"/>
  <c r="K479" i="2"/>
  <c r="L479" i="2" s="1"/>
  <c r="J479" i="2"/>
  <c r="H479" i="2"/>
  <c r="C479" i="2"/>
  <c r="E479" i="2" s="1"/>
  <c r="A479" i="2"/>
  <c r="A478" i="2"/>
  <c r="K477" i="2"/>
  <c r="L477" i="2" s="1"/>
  <c r="H477" i="2"/>
  <c r="D477" i="2"/>
  <c r="B477" i="2"/>
  <c r="A477" i="2"/>
  <c r="J476" i="2"/>
  <c r="C476" i="2"/>
  <c r="E476" i="2" s="1"/>
  <c r="A476" i="2"/>
  <c r="N475" i="2"/>
  <c r="K475" i="2"/>
  <c r="L475" i="2" s="1"/>
  <c r="M475" i="2" s="1"/>
  <c r="H475" i="2"/>
  <c r="F475" i="2"/>
  <c r="G475" i="2" s="1"/>
  <c r="I475" i="2" s="1"/>
  <c r="D475" i="2"/>
  <c r="C475" i="2"/>
  <c r="E475" i="2" s="1"/>
  <c r="O475" i="2" s="1"/>
  <c r="B475" i="2"/>
  <c r="A475" i="2"/>
  <c r="J475" i="2" s="1"/>
  <c r="A474" i="2"/>
  <c r="B474" i="2" s="1"/>
  <c r="P473" i="2"/>
  <c r="Q473" i="2" s="1"/>
  <c r="O473" i="2"/>
  <c r="J473" i="2"/>
  <c r="D473" i="2"/>
  <c r="C473" i="2"/>
  <c r="E473" i="2" s="1"/>
  <c r="F473" i="2" s="1"/>
  <c r="B473" i="2"/>
  <c r="A473" i="2"/>
  <c r="O472" i="2"/>
  <c r="K472" i="2"/>
  <c r="L472" i="2" s="1"/>
  <c r="M472" i="2" s="1"/>
  <c r="J472" i="2"/>
  <c r="H472" i="2"/>
  <c r="C472" i="2"/>
  <c r="E472" i="2" s="1"/>
  <c r="B472" i="2"/>
  <c r="A472" i="2"/>
  <c r="D472" i="2" s="1"/>
  <c r="F472" i="2" s="1"/>
  <c r="G472" i="2" s="1"/>
  <c r="I472" i="2" s="1"/>
  <c r="L471" i="2"/>
  <c r="K471" i="2"/>
  <c r="A471" i="2"/>
  <c r="J470" i="2"/>
  <c r="H470" i="2"/>
  <c r="D470" i="2"/>
  <c r="A470" i="2"/>
  <c r="O469" i="2"/>
  <c r="L469" i="2"/>
  <c r="K469" i="2"/>
  <c r="J469" i="2"/>
  <c r="N469" i="2" s="1"/>
  <c r="H469" i="2"/>
  <c r="C469" i="2"/>
  <c r="E469" i="2" s="1"/>
  <c r="F469" i="2" s="1"/>
  <c r="B469" i="2"/>
  <c r="A469" i="2"/>
  <c r="D469" i="2" s="1"/>
  <c r="A468" i="2"/>
  <c r="O467" i="2"/>
  <c r="K467" i="2"/>
  <c r="L467" i="2" s="1"/>
  <c r="H467" i="2"/>
  <c r="F467" i="2"/>
  <c r="D467" i="2"/>
  <c r="C467" i="2"/>
  <c r="E467" i="2" s="1"/>
  <c r="A467" i="2"/>
  <c r="K466" i="2"/>
  <c r="L466" i="2" s="1"/>
  <c r="H466" i="2"/>
  <c r="E466" i="2"/>
  <c r="O466" i="2" s="1"/>
  <c r="D466" i="2"/>
  <c r="C466" i="2"/>
  <c r="A466" i="2"/>
  <c r="K465" i="2"/>
  <c r="L465" i="2" s="1"/>
  <c r="J465" i="2"/>
  <c r="N465" i="2" s="1"/>
  <c r="H465" i="2"/>
  <c r="D465" i="2"/>
  <c r="B465" i="2"/>
  <c r="A465" i="2"/>
  <c r="K464" i="2"/>
  <c r="L464" i="2" s="1"/>
  <c r="J464" i="2"/>
  <c r="D464" i="2"/>
  <c r="B464" i="2"/>
  <c r="A464" i="2"/>
  <c r="N463" i="2"/>
  <c r="L463" i="2"/>
  <c r="K463" i="2"/>
  <c r="J463" i="2"/>
  <c r="H463" i="2"/>
  <c r="E463" i="2"/>
  <c r="O463" i="2" s="1"/>
  <c r="D463" i="2"/>
  <c r="C463" i="2"/>
  <c r="B463" i="2"/>
  <c r="A463" i="2"/>
  <c r="H462" i="2"/>
  <c r="D462" i="2"/>
  <c r="B462" i="2"/>
  <c r="A462" i="2"/>
  <c r="D461" i="2"/>
  <c r="B461" i="2"/>
  <c r="A461" i="2"/>
  <c r="O460" i="2"/>
  <c r="L460" i="2"/>
  <c r="K460" i="2"/>
  <c r="N460" i="2" s="1"/>
  <c r="J460" i="2"/>
  <c r="H460" i="2"/>
  <c r="E460" i="2"/>
  <c r="F460" i="2" s="1"/>
  <c r="D460" i="2"/>
  <c r="C460" i="2"/>
  <c r="B460" i="2"/>
  <c r="A460" i="2"/>
  <c r="J459" i="2"/>
  <c r="D459" i="2"/>
  <c r="B459" i="2"/>
  <c r="A459" i="2"/>
  <c r="J458" i="2"/>
  <c r="C458" i="2"/>
  <c r="E458" i="2" s="1"/>
  <c r="A458" i="2"/>
  <c r="N457" i="2"/>
  <c r="K457" i="2"/>
  <c r="L457" i="2" s="1"/>
  <c r="J457" i="2"/>
  <c r="H457" i="2"/>
  <c r="C457" i="2"/>
  <c r="E457" i="2" s="1"/>
  <c r="F457" i="2" s="1"/>
  <c r="B457" i="2"/>
  <c r="A457" i="2"/>
  <c r="D457" i="2" s="1"/>
  <c r="K456" i="2"/>
  <c r="L456" i="2" s="1"/>
  <c r="M456" i="2" s="1"/>
  <c r="J456" i="2"/>
  <c r="H456" i="2"/>
  <c r="G456" i="2"/>
  <c r="I456" i="2" s="1"/>
  <c r="C456" i="2"/>
  <c r="E456" i="2" s="1"/>
  <c r="B456" i="2"/>
  <c r="A456" i="2"/>
  <c r="D456" i="2" s="1"/>
  <c r="F456" i="2" s="1"/>
  <c r="K455" i="2"/>
  <c r="L455" i="2" s="1"/>
  <c r="H455" i="2"/>
  <c r="A455" i="2"/>
  <c r="H454" i="2"/>
  <c r="D454" i="2"/>
  <c r="C454" i="2"/>
  <c r="E454" i="2" s="1"/>
  <c r="F454" i="2" s="1"/>
  <c r="B454" i="2"/>
  <c r="A454" i="2"/>
  <c r="A453" i="2"/>
  <c r="J452" i="2"/>
  <c r="F452" i="2"/>
  <c r="D452" i="2"/>
  <c r="C452" i="2"/>
  <c r="E452" i="2" s="1"/>
  <c r="A452" i="2"/>
  <c r="K451" i="2"/>
  <c r="N451" i="2" s="1"/>
  <c r="J451" i="2"/>
  <c r="H451" i="2"/>
  <c r="D451" i="2"/>
  <c r="C451" i="2"/>
  <c r="E451" i="2" s="1"/>
  <c r="B451" i="2"/>
  <c r="A451" i="2"/>
  <c r="K450" i="2"/>
  <c r="L450" i="2" s="1"/>
  <c r="J450" i="2"/>
  <c r="N450" i="2" s="1"/>
  <c r="B450" i="2"/>
  <c r="A450" i="2"/>
  <c r="A449" i="2"/>
  <c r="K448" i="2"/>
  <c r="L448" i="2" s="1"/>
  <c r="J448" i="2"/>
  <c r="H448" i="2"/>
  <c r="E448" i="2"/>
  <c r="O448" i="2" s="1"/>
  <c r="C448" i="2"/>
  <c r="B448" i="2"/>
  <c r="A448" i="2"/>
  <c r="D448" i="2" s="1"/>
  <c r="K447" i="2"/>
  <c r="L447" i="2" s="1"/>
  <c r="J447" i="2"/>
  <c r="H447" i="2"/>
  <c r="D447" i="2"/>
  <c r="A447" i="2"/>
  <c r="O446" i="2"/>
  <c r="J446" i="2"/>
  <c r="H446" i="2"/>
  <c r="F446" i="2"/>
  <c r="D446" i="2"/>
  <c r="C446" i="2"/>
  <c r="E446" i="2" s="1"/>
  <c r="A446" i="2"/>
  <c r="K445" i="2"/>
  <c r="L445" i="2" s="1"/>
  <c r="J445" i="2"/>
  <c r="A445" i="2"/>
  <c r="K444" i="2"/>
  <c r="L444" i="2" s="1"/>
  <c r="H444" i="2"/>
  <c r="D444" i="2"/>
  <c r="B444" i="2"/>
  <c r="A444" i="2"/>
  <c r="A443" i="2"/>
  <c r="D443" i="2" s="1"/>
  <c r="K442" i="2"/>
  <c r="H442" i="2"/>
  <c r="E442" i="2"/>
  <c r="D442" i="2"/>
  <c r="F442" i="2" s="1"/>
  <c r="C442" i="2"/>
  <c r="B442" i="2"/>
  <c r="A442" i="2"/>
  <c r="J442" i="2" s="1"/>
  <c r="K441" i="2"/>
  <c r="L441" i="2" s="1"/>
  <c r="H441" i="2"/>
  <c r="B441" i="2"/>
  <c r="A441" i="2"/>
  <c r="L440" i="2"/>
  <c r="K440" i="2"/>
  <c r="J440" i="2"/>
  <c r="D440" i="2"/>
  <c r="A440" i="2"/>
  <c r="L439" i="2"/>
  <c r="K439" i="2"/>
  <c r="N439" i="2" s="1"/>
  <c r="J439" i="2"/>
  <c r="H439" i="2"/>
  <c r="D439" i="2"/>
  <c r="C439" i="2"/>
  <c r="E439" i="2" s="1"/>
  <c r="O439" i="2" s="1"/>
  <c r="B439" i="2"/>
  <c r="A439" i="2"/>
  <c r="A438" i="2"/>
  <c r="J437" i="2"/>
  <c r="F437" i="2"/>
  <c r="D437" i="2"/>
  <c r="C437" i="2"/>
  <c r="E437" i="2" s="1"/>
  <c r="A437" i="2"/>
  <c r="L436" i="2"/>
  <c r="K436" i="2"/>
  <c r="J436" i="2"/>
  <c r="N436" i="2" s="1"/>
  <c r="H436" i="2"/>
  <c r="D436" i="2"/>
  <c r="C436" i="2"/>
  <c r="E436" i="2" s="1"/>
  <c r="B436" i="2"/>
  <c r="A436" i="2"/>
  <c r="D435" i="2"/>
  <c r="A435" i="2"/>
  <c r="D434" i="2"/>
  <c r="A434" i="2"/>
  <c r="O433" i="2"/>
  <c r="E433" i="2"/>
  <c r="C433" i="2"/>
  <c r="A433" i="2"/>
  <c r="A432" i="2"/>
  <c r="O431" i="2"/>
  <c r="K431" i="2"/>
  <c r="L431" i="2" s="1"/>
  <c r="J431" i="2"/>
  <c r="H431" i="2"/>
  <c r="D431" i="2"/>
  <c r="C431" i="2"/>
  <c r="E431" i="2" s="1"/>
  <c r="A431" i="2"/>
  <c r="B431" i="2" s="1"/>
  <c r="L430" i="2"/>
  <c r="K430" i="2"/>
  <c r="A430" i="2"/>
  <c r="K429" i="2"/>
  <c r="L429" i="2" s="1"/>
  <c r="D429" i="2"/>
  <c r="A429" i="2"/>
  <c r="A428" i="2"/>
  <c r="K427" i="2"/>
  <c r="L427" i="2" s="1"/>
  <c r="H427" i="2"/>
  <c r="E427" i="2"/>
  <c r="O427" i="2" s="1"/>
  <c r="D427" i="2"/>
  <c r="F427" i="2" s="1"/>
  <c r="G427" i="2" s="1"/>
  <c r="I427" i="2" s="1"/>
  <c r="C427" i="2"/>
  <c r="B427" i="2"/>
  <c r="A427" i="2"/>
  <c r="J427" i="2" s="1"/>
  <c r="N426" i="2"/>
  <c r="L426" i="2"/>
  <c r="K426" i="2"/>
  <c r="J426" i="2"/>
  <c r="H426" i="2"/>
  <c r="D426" i="2"/>
  <c r="B426" i="2"/>
  <c r="A426" i="2"/>
  <c r="A425" i="2"/>
  <c r="N424" i="2"/>
  <c r="L424" i="2"/>
  <c r="K424" i="2"/>
  <c r="J424" i="2"/>
  <c r="H424" i="2"/>
  <c r="D424" i="2"/>
  <c r="C424" i="2"/>
  <c r="E424" i="2" s="1"/>
  <c r="F424" i="2" s="1"/>
  <c r="B424" i="2"/>
  <c r="A424" i="2"/>
  <c r="K423" i="2"/>
  <c r="L423" i="2" s="1"/>
  <c r="J423" i="2"/>
  <c r="H423" i="2"/>
  <c r="D423" i="2"/>
  <c r="C423" i="2"/>
  <c r="E423" i="2" s="1"/>
  <c r="B423" i="2"/>
  <c r="A423" i="2"/>
  <c r="J422" i="2"/>
  <c r="E422" i="2"/>
  <c r="C422" i="2"/>
  <c r="A422" i="2"/>
  <c r="A421" i="2"/>
  <c r="A420" i="2"/>
  <c r="J419" i="2"/>
  <c r="D419" i="2"/>
  <c r="A419" i="2"/>
  <c r="D418" i="2"/>
  <c r="F418" i="2" s="1"/>
  <c r="C418" i="2"/>
  <c r="E418" i="2" s="1"/>
  <c r="B418" i="2"/>
  <c r="A418" i="2"/>
  <c r="A417" i="2"/>
  <c r="K416" i="2"/>
  <c r="L416" i="2" s="1"/>
  <c r="J416" i="2"/>
  <c r="N416" i="2" s="1"/>
  <c r="C416" i="2"/>
  <c r="E416" i="2" s="1"/>
  <c r="B416" i="2"/>
  <c r="A416" i="2"/>
  <c r="H416" i="2" s="1"/>
  <c r="N415" i="2"/>
  <c r="L415" i="2"/>
  <c r="K415" i="2"/>
  <c r="J415" i="2"/>
  <c r="I415" i="2"/>
  <c r="H415" i="2"/>
  <c r="G415" i="2"/>
  <c r="D415" i="2"/>
  <c r="F415" i="2" s="1"/>
  <c r="P415" i="2" s="1"/>
  <c r="Q415" i="2" s="1"/>
  <c r="C415" i="2"/>
  <c r="E415" i="2" s="1"/>
  <c r="O415" i="2" s="1"/>
  <c r="B415" i="2"/>
  <c r="A415" i="2"/>
  <c r="K414" i="2"/>
  <c r="L414" i="2" s="1"/>
  <c r="J414" i="2"/>
  <c r="N414" i="2" s="1"/>
  <c r="H414" i="2"/>
  <c r="D414" i="2"/>
  <c r="B414" i="2"/>
  <c r="A414" i="2"/>
  <c r="J413" i="2"/>
  <c r="E413" i="2"/>
  <c r="D413" i="2"/>
  <c r="C413" i="2"/>
  <c r="B413" i="2"/>
  <c r="A413" i="2"/>
  <c r="K412" i="2"/>
  <c r="L412" i="2" s="1"/>
  <c r="J412" i="2"/>
  <c r="H412" i="2"/>
  <c r="E412" i="2"/>
  <c r="O412" i="2" s="1"/>
  <c r="C412" i="2"/>
  <c r="B412" i="2"/>
  <c r="A412" i="2"/>
  <c r="D412" i="2" s="1"/>
  <c r="F412" i="2" s="1"/>
  <c r="A411" i="2"/>
  <c r="J410" i="2"/>
  <c r="A410" i="2"/>
  <c r="A409" i="2"/>
  <c r="J409" i="2" s="1"/>
  <c r="N408" i="2"/>
  <c r="K408" i="2"/>
  <c r="L408" i="2" s="1"/>
  <c r="J408" i="2"/>
  <c r="H408" i="2"/>
  <c r="D408" i="2"/>
  <c r="F408" i="2" s="1"/>
  <c r="G408" i="2" s="1"/>
  <c r="I408" i="2" s="1"/>
  <c r="M408" i="2" s="1"/>
  <c r="C408" i="2"/>
  <c r="E408" i="2" s="1"/>
  <c r="B408" i="2"/>
  <c r="A408" i="2"/>
  <c r="K407" i="2"/>
  <c r="L407" i="2" s="1"/>
  <c r="J407" i="2"/>
  <c r="N407" i="2" s="1"/>
  <c r="H407" i="2"/>
  <c r="D407" i="2"/>
  <c r="A407" i="2"/>
  <c r="L406" i="2"/>
  <c r="K406" i="2"/>
  <c r="H406" i="2"/>
  <c r="D406" i="2"/>
  <c r="C406" i="2"/>
  <c r="E406" i="2" s="1"/>
  <c r="A406" i="2"/>
  <c r="D405" i="2"/>
  <c r="B405" i="2"/>
  <c r="A405" i="2"/>
  <c r="B404" i="2"/>
  <c r="A404" i="2"/>
  <c r="O403" i="2"/>
  <c r="K403" i="2"/>
  <c r="L403" i="2" s="1"/>
  <c r="H403" i="2"/>
  <c r="D403" i="2"/>
  <c r="F403" i="2" s="1"/>
  <c r="C403" i="2"/>
  <c r="E403" i="2" s="1"/>
  <c r="B403" i="2"/>
  <c r="A403" i="2"/>
  <c r="J403" i="2" s="1"/>
  <c r="N402" i="2"/>
  <c r="L402" i="2"/>
  <c r="K402" i="2"/>
  <c r="J402" i="2"/>
  <c r="H402" i="2"/>
  <c r="D402" i="2"/>
  <c r="A402" i="2"/>
  <c r="J401" i="2"/>
  <c r="D401" i="2"/>
  <c r="A401" i="2"/>
  <c r="O400" i="2"/>
  <c r="K400" i="2"/>
  <c r="L400" i="2" s="1"/>
  <c r="J400" i="2"/>
  <c r="N400" i="2" s="1"/>
  <c r="I400" i="2"/>
  <c r="H400" i="2"/>
  <c r="F400" i="2"/>
  <c r="G400" i="2" s="1"/>
  <c r="C400" i="2"/>
  <c r="E400" i="2" s="1"/>
  <c r="B400" i="2"/>
  <c r="A400" i="2"/>
  <c r="D400" i="2" s="1"/>
  <c r="K399" i="2"/>
  <c r="L399" i="2" s="1"/>
  <c r="J399" i="2"/>
  <c r="D399" i="2"/>
  <c r="A399" i="2"/>
  <c r="H398" i="2"/>
  <c r="D398" i="2"/>
  <c r="A398" i="2"/>
  <c r="N397" i="2"/>
  <c r="K397" i="2"/>
  <c r="L397" i="2" s="1"/>
  <c r="J397" i="2"/>
  <c r="H397" i="2"/>
  <c r="E397" i="2"/>
  <c r="C397" i="2"/>
  <c r="B397" i="2"/>
  <c r="A397" i="2"/>
  <c r="D397" i="2" s="1"/>
  <c r="K396" i="2"/>
  <c r="L396" i="2" s="1"/>
  <c r="J396" i="2"/>
  <c r="H396" i="2"/>
  <c r="E396" i="2"/>
  <c r="O396" i="2" s="1"/>
  <c r="D396" i="2"/>
  <c r="C396" i="2"/>
  <c r="B396" i="2"/>
  <c r="A396" i="2"/>
  <c r="A395" i="2"/>
  <c r="A394" i="2"/>
  <c r="N393" i="2"/>
  <c r="K393" i="2"/>
  <c r="L393" i="2" s="1"/>
  <c r="J393" i="2"/>
  <c r="H393" i="2"/>
  <c r="D393" i="2"/>
  <c r="C393" i="2"/>
  <c r="E393" i="2" s="1"/>
  <c r="B393" i="2"/>
  <c r="A393" i="2"/>
  <c r="A392" i="2"/>
  <c r="N391" i="2"/>
  <c r="K391" i="2"/>
  <c r="L391" i="2" s="1"/>
  <c r="H391" i="2"/>
  <c r="D391" i="2"/>
  <c r="A391" i="2"/>
  <c r="J391" i="2" s="1"/>
  <c r="K390" i="2"/>
  <c r="L390" i="2" s="1"/>
  <c r="B390" i="2"/>
  <c r="A390" i="2"/>
  <c r="J389" i="2"/>
  <c r="D389" i="2"/>
  <c r="F389" i="2" s="1"/>
  <c r="C389" i="2"/>
  <c r="E389" i="2" s="1"/>
  <c r="B389" i="2"/>
  <c r="A389" i="2"/>
  <c r="K388" i="2"/>
  <c r="J388" i="2"/>
  <c r="H388" i="2"/>
  <c r="E388" i="2"/>
  <c r="O388" i="2" s="1"/>
  <c r="D388" i="2"/>
  <c r="F388" i="2" s="1"/>
  <c r="C388" i="2"/>
  <c r="B388" i="2"/>
  <c r="P388" i="2" s="1"/>
  <c r="Q388" i="2" s="1"/>
  <c r="A388" i="2"/>
  <c r="K387" i="2"/>
  <c r="L387" i="2" s="1"/>
  <c r="J387" i="2"/>
  <c r="N387" i="2" s="1"/>
  <c r="H387" i="2"/>
  <c r="B387" i="2"/>
  <c r="A387" i="2"/>
  <c r="A386" i="2"/>
  <c r="K385" i="2"/>
  <c r="L385" i="2" s="1"/>
  <c r="J385" i="2"/>
  <c r="N385" i="2" s="1"/>
  <c r="H385" i="2"/>
  <c r="F385" i="2"/>
  <c r="C385" i="2"/>
  <c r="E385" i="2" s="1"/>
  <c r="O385" i="2" s="1"/>
  <c r="B385" i="2"/>
  <c r="A385" i="2"/>
  <c r="D385" i="2" s="1"/>
  <c r="K384" i="2"/>
  <c r="L384" i="2" s="1"/>
  <c r="J384" i="2"/>
  <c r="H384" i="2"/>
  <c r="D384" i="2"/>
  <c r="C384" i="2"/>
  <c r="E384" i="2" s="1"/>
  <c r="O384" i="2" s="1"/>
  <c r="B384" i="2"/>
  <c r="A384" i="2"/>
  <c r="J383" i="2"/>
  <c r="H383" i="2"/>
  <c r="E383" i="2"/>
  <c r="O383" i="2" s="1"/>
  <c r="D383" i="2"/>
  <c r="F383" i="2" s="1"/>
  <c r="C383" i="2"/>
  <c r="A383" i="2"/>
  <c r="J382" i="2"/>
  <c r="H382" i="2"/>
  <c r="A382" i="2"/>
  <c r="K381" i="2"/>
  <c r="J381" i="2"/>
  <c r="H381" i="2"/>
  <c r="D381" i="2"/>
  <c r="B381" i="2"/>
  <c r="A381" i="2"/>
  <c r="C381" i="2" s="1"/>
  <c r="E381" i="2" s="1"/>
  <c r="K380" i="2"/>
  <c r="L380" i="2" s="1"/>
  <c r="J380" i="2"/>
  <c r="H380" i="2"/>
  <c r="D380" i="2"/>
  <c r="A380" i="2"/>
  <c r="B380" i="2" s="1"/>
  <c r="K379" i="2"/>
  <c r="L379" i="2" s="1"/>
  <c r="H379" i="2"/>
  <c r="D379" i="2"/>
  <c r="B379" i="2"/>
  <c r="A379" i="2"/>
  <c r="K378" i="2"/>
  <c r="L378" i="2" s="1"/>
  <c r="J378" i="2"/>
  <c r="H378" i="2"/>
  <c r="D378" i="2"/>
  <c r="B378" i="2"/>
  <c r="A378" i="2"/>
  <c r="L377" i="2"/>
  <c r="K377" i="2"/>
  <c r="J377" i="2"/>
  <c r="N377" i="2" s="1"/>
  <c r="F377" i="2"/>
  <c r="D377" i="2"/>
  <c r="C377" i="2"/>
  <c r="E377" i="2" s="1"/>
  <c r="O377" i="2" s="1"/>
  <c r="A377" i="2"/>
  <c r="O376" i="2"/>
  <c r="K376" i="2"/>
  <c r="L376" i="2" s="1"/>
  <c r="J376" i="2"/>
  <c r="H376" i="2"/>
  <c r="E376" i="2"/>
  <c r="D376" i="2"/>
  <c r="C376" i="2"/>
  <c r="B376" i="2"/>
  <c r="A376" i="2"/>
  <c r="A375" i="2"/>
  <c r="A374" i="2"/>
  <c r="J374" i="2" s="1"/>
  <c r="N373" i="2"/>
  <c r="K373" i="2"/>
  <c r="L373" i="2" s="1"/>
  <c r="J373" i="2"/>
  <c r="H373" i="2"/>
  <c r="C373" i="2"/>
  <c r="E373" i="2" s="1"/>
  <c r="B373" i="2"/>
  <c r="A373" i="2"/>
  <c r="D373" i="2" s="1"/>
  <c r="C372" i="2"/>
  <c r="E372" i="2" s="1"/>
  <c r="O372" i="2" s="1"/>
  <c r="B372" i="2"/>
  <c r="A372" i="2"/>
  <c r="D372" i="2" s="1"/>
  <c r="D371" i="2"/>
  <c r="F371" i="2" s="1"/>
  <c r="C371" i="2"/>
  <c r="E371" i="2" s="1"/>
  <c r="A371" i="2"/>
  <c r="C370" i="2"/>
  <c r="E370" i="2" s="1"/>
  <c r="B370" i="2"/>
  <c r="A370" i="2"/>
  <c r="K369" i="2"/>
  <c r="L369" i="2" s="1"/>
  <c r="D369" i="2"/>
  <c r="C369" i="2"/>
  <c r="E369" i="2" s="1"/>
  <c r="O369" i="2" s="1"/>
  <c r="A369" i="2"/>
  <c r="B369" i="2" s="1"/>
  <c r="A368" i="2"/>
  <c r="A367" i="2"/>
  <c r="A366" i="2"/>
  <c r="A365" i="2"/>
  <c r="N364" i="2"/>
  <c r="L364" i="2"/>
  <c r="K364" i="2"/>
  <c r="J364" i="2"/>
  <c r="H364" i="2"/>
  <c r="E364" i="2"/>
  <c r="O364" i="2" s="1"/>
  <c r="D364" i="2"/>
  <c r="C364" i="2"/>
  <c r="B364" i="2"/>
  <c r="A364" i="2"/>
  <c r="N363" i="2"/>
  <c r="K363" i="2"/>
  <c r="L363" i="2" s="1"/>
  <c r="J363" i="2"/>
  <c r="H363" i="2"/>
  <c r="D363" i="2"/>
  <c r="B363" i="2"/>
  <c r="A363" i="2"/>
  <c r="C362" i="2"/>
  <c r="E362" i="2" s="1"/>
  <c r="B362" i="2"/>
  <c r="A362" i="2"/>
  <c r="L361" i="2"/>
  <c r="K361" i="2"/>
  <c r="J361" i="2"/>
  <c r="N361" i="2" s="1"/>
  <c r="H361" i="2"/>
  <c r="C361" i="2"/>
  <c r="E361" i="2" s="1"/>
  <c r="O361" i="2" s="1"/>
  <c r="B361" i="2"/>
  <c r="A361" i="2"/>
  <c r="D361" i="2" s="1"/>
  <c r="B360" i="2"/>
  <c r="A360" i="2"/>
  <c r="H359" i="2"/>
  <c r="D359" i="2"/>
  <c r="A359" i="2"/>
  <c r="K358" i="2"/>
  <c r="L358" i="2" s="1"/>
  <c r="J358" i="2"/>
  <c r="N358" i="2" s="1"/>
  <c r="H358" i="2"/>
  <c r="E358" i="2"/>
  <c r="F358" i="2" s="1"/>
  <c r="C358" i="2"/>
  <c r="B358" i="2"/>
  <c r="A358" i="2"/>
  <c r="D358" i="2" s="1"/>
  <c r="K357" i="2"/>
  <c r="L357" i="2" s="1"/>
  <c r="J357" i="2"/>
  <c r="E357" i="2"/>
  <c r="O357" i="2" s="1"/>
  <c r="C357" i="2"/>
  <c r="B357" i="2"/>
  <c r="A357" i="2"/>
  <c r="D356" i="2"/>
  <c r="C356" i="2"/>
  <c r="E356" i="2" s="1"/>
  <c r="A356" i="2"/>
  <c r="K355" i="2"/>
  <c r="H355" i="2"/>
  <c r="E355" i="2"/>
  <c r="O355" i="2" s="1"/>
  <c r="D355" i="2"/>
  <c r="C355" i="2"/>
  <c r="B355" i="2"/>
  <c r="A355" i="2"/>
  <c r="J355" i="2" s="1"/>
  <c r="J354" i="2"/>
  <c r="H354" i="2"/>
  <c r="D354" i="2"/>
  <c r="B354" i="2"/>
  <c r="A354" i="2"/>
  <c r="K353" i="2"/>
  <c r="L353" i="2" s="1"/>
  <c r="J353" i="2"/>
  <c r="N353" i="2" s="1"/>
  <c r="D353" i="2"/>
  <c r="F353" i="2" s="1"/>
  <c r="C353" i="2"/>
  <c r="E353" i="2" s="1"/>
  <c r="O353" i="2" s="1"/>
  <c r="B353" i="2"/>
  <c r="A353" i="2"/>
  <c r="H353" i="2" s="1"/>
  <c r="N352" i="2"/>
  <c r="K352" i="2"/>
  <c r="L352" i="2" s="1"/>
  <c r="J352" i="2"/>
  <c r="H352" i="2"/>
  <c r="F352" i="2"/>
  <c r="E352" i="2"/>
  <c r="O352" i="2" s="1"/>
  <c r="D352" i="2"/>
  <c r="C352" i="2"/>
  <c r="B352" i="2"/>
  <c r="A352" i="2"/>
  <c r="N351" i="2"/>
  <c r="K351" i="2"/>
  <c r="L351" i="2" s="1"/>
  <c r="J351" i="2"/>
  <c r="B351" i="2"/>
  <c r="A351" i="2"/>
  <c r="O350" i="2"/>
  <c r="C350" i="2"/>
  <c r="E350" i="2" s="1"/>
  <c r="B350" i="2"/>
  <c r="A350" i="2"/>
  <c r="N349" i="2"/>
  <c r="K349" i="2"/>
  <c r="L349" i="2" s="1"/>
  <c r="J349" i="2"/>
  <c r="H349" i="2"/>
  <c r="C349" i="2"/>
  <c r="E349" i="2" s="1"/>
  <c r="O349" i="2" s="1"/>
  <c r="B349" i="2"/>
  <c r="A349" i="2"/>
  <c r="D349" i="2" s="1"/>
  <c r="K348" i="2"/>
  <c r="L348" i="2" s="1"/>
  <c r="H348" i="2"/>
  <c r="D348" i="2"/>
  <c r="C348" i="2"/>
  <c r="E348" i="2" s="1"/>
  <c r="O348" i="2" s="1"/>
  <c r="A348" i="2"/>
  <c r="O347" i="2"/>
  <c r="H347" i="2"/>
  <c r="D347" i="2"/>
  <c r="F347" i="2" s="1"/>
  <c r="C347" i="2"/>
  <c r="E347" i="2" s="1"/>
  <c r="A347" i="2"/>
  <c r="O346" i="2"/>
  <c r="K346" i="2"/>
  <c r="L346" i="2" s="1"/>
  <c r="J346" i="2"/>
  <c r="C346" i="2"/>
  <c r="E346" i="2" s="1"/>
  <c r="B346" i="2"/>
  <c r="A346" i="2"/>
  <c r="K345" i="2"/>
  <c r="L345" i="2" s="1"/>
  <c r="H345" i="2"/>
  <c r="D345" i="2"/>
  <c r="C345" i="2"/>
  <c r="E345" i="2" s="1"/>
  <c r="O345" i="2" s="1"/>
  <c r="A345" i="2"/>
  <c r="J345" i="2" s="1"/>
  <c r="K344" i="2"/>
  <c r="L344" i="2" s="1"/>
  <c r="J344" i="2"/>
  <c r="N344" i="2" s="1"/>
  <c r="H344" i="2"/>
  <c r="D344" i="2"/>
  <c r="F344" i="2" s="1"/>
  <c r="C344" i="2"/>
  <c r="E344" i="2" s="1"/>
  <c r="A344" i="2"/>
  <c r="N343" i="2"/>
  <c r="K343" i="2"/>
  <c r="L343" i="2" s="1"/>
  <c r="H343" i="2"/>
  <c r="F343" i="2"/>
  <c r="D343" i="2"/>
  <c r="C343" i="2"/>
  <c r="E343" i="2" s="1"/>
  <c r="B343" i="2"/>
  <c r="A343" i="2"/>
  <c r="J343" i="2" s="1"/>
  <c r="K342" i="2"/>
  <c r="L342" i="2" s="1"/>
  <c r="J342" i="2"/>
  <c r="N342" i="2" s="1"/>
  <c r="A342" i="2"/>
  <c r="K341" i="2"/>
  <c r="L341" i="2" s="1"/>
  <c r="J341" i="2"/>
  <c r="D341" i="2"/>
  <c r="A341" i="2"/>
  <c r="O340" i="2"/>
  <c r="L340" i="2"/>
  <c r="K340" i="2"/>
  <c r="N340" i="2" s="1"/>
  <c r="J340" i="2"/>
  <c r="H340" i="2"/>
  <c r="E340" i="2"/>
  <c r="D340" i="2"/>
  <c r="C340" i="2"/>
  <c r="B340" i="2"/>
  <c r="A340" i="2"/>
  <c r="A339" i="2"/>
  <c r="C338" i="2"/>
  <c r="E338" i="2" s="1"/>
  <c r="O338" i="2" s="1"/>
  <c r="A338" i="2"/>
  <c r="N337" i="2"/>
  <c r="L337" i="2"/>
  <c r="K337" i="2"/>
  <c r="J337" i="2"/>
  <c r="H337" i="2"/>
  <c r="C337" i="2"/>
  <c r="E337" i="2" s="1"/>
  <c r="O337" i="2" s="1"/>
  <c r="B337" i="2"/>
  <c r="A337" i="2"/>
  <c r="D337" i="2" s="1"/>
  <c r="F337" i="2" s="1"/>
  <c r="A336" i="2"/>
  <c r="A335" i="2"/>
  <c r="O334" i="2"/>
  <c r="N334" i="2"/>
  <c r="L334" i="2"/>
  <c r="K334" i="2"/>
  <c r="J334" i="2"/>
  <c r="H334" i="2"/>
  <c r="C334" i="2"/>
  <c r="E334" i="2" s="1"/>
  <c r="F334" i="2" s="1"/>
  <c r="B334" i="2"/>
  <c r="A334" i="2"/>
  <c r="D334" i="2" s="1"/>
  <c r="A333" i="2"/>
  <c r="A332" i="2"/>
  <c r="A331" i="2"/>
  <c r="A330" i="2"/>
  <c r="D329" i="2"/>
  <c r="A329" i="2"/>
  <c r="N328" i="2"/>
  <c r="K328" i="2"/>
  <c r="L328" i="2" s="1"/>
  <c r="J328" i="2"/>
  <c r="H328" i="2"/>
  <c r="E328" i="2"/>
  <c r="O328" i="2" s="1"/>
  <c r="D328" i="2"/>
  <c r="C328" i="2"/>
  <c r="B328" i="2"/>
  <c r="A328" i="2"/>
  <c r="A327" i="2"/>
  <c r="B327" i="2" s="1"/>
  <c r="A326" i="2"/>
  <c r="N325" i="2"/>
  <c r="L325" i="2"/>
  <c r="K325" i="2"/>
  <c r="J325" i="2"/>
  <c r="H325" i="2"/>
  <c r="C325" i="2"/>
  <c r="E325" i="2" s="1"/>
  <c r="O325" i="2" s="1"/>
  <c r="B325" i="2"/>
  <c r="A325" i="2"/>
  <c r="D325" i="2" s="1"/>
  <c r="L324" i="2"/>
  <c r="K324" i="2"/>
  <c r="J324" i="2"/>
  <c r="H324" i="2"/>
  <c r="C324" i="2"/>
  <c r="E324" i="2" s="1"/>
  <c r="A324" i="2"/>
  <c r="D324" i="2" s="1"/>
  <c r="J323" i="2"/>
  <c r="H323" i="2"/>
  <c r="D323" i="2"/>
  <c r="A323" i="2"/>
  <c r="K322" i="2"/>
  <c r="L322" i="2" s="1"/>
  <c r="J322" i="2"/>
  <c r="N322" i="2" s="1"/>
  <c r="C322" i="2"/>
  <c r="E322" i="2" s="1"/>
  <c r="O322" i="2" s="1"/>
  <c r="B322" i="2"/>
  <c r="A322" i="2"/>
  <c r="K321" i="2"/>
  <c r="L321" i="2" s="1"/>
  <c r="J321" i="2"/>
  <c r="D321" i="2"/>
  <c r="F321" i="2" s="1"/>
  <c r="C321" i="2"/>
  <c r="E321" i="2" s="1"/>
  <c r="A321" i="2"/>
  <c r="H321" i="2" s="1"/>
  <c r="L320" i="2"/>
  <c r="K320" i="2"/>
  <c r="H320" i="2"/>
  <c r="D320" i="2"/>
  <c r="F320" i="2" s="1"/>
  <c r="C320" i="2"/>
  <c r="E320" i="2" s="1"/>
  <c r="O320" i="2" s="1"/>
  <c r="A320" i="2"/>
  <c r="H319" i="2"/>
  <c r="E319" i="2"/>
  <c r="F319" i="2" s="1"/>
  <c r="D319" i="2"/>
  <c r="C319" i="2"/>
  <c r="A319" i="2"/>
  <c r="K318" i="2"/>
  <c r="L318" i="2" s="1"/>
  <c r="J318" i="2"/>
  <c r="N318" i="2" s="1"/>
  <c r="H318" i="2"/>
  <c r="D318" i="2"/>
  <c r="B318" i="2"/>
  <c r="A318" i="2"/>
  <c r="L317" i="2"/>
  <c r="K317" i="2"/>
  <c r="J317" i="2"/>
  <c r="N317" i="2" s="1"/>
  <c r="B317" i="2"/>
  <c r="A317" i="2"/>
  <c r="N316" i="2"/>
  <c r="L316" i="2"/>
  <c r="K316" i="2"/>
  <c r="J316" i="2"/>
  <c r="H316" i="2"/>
  <c r="D316" i="2"/>
  <c r="C316" i="2"/>
  <c r="E316" i="2" s="1"/>
  <c r="O316" i="2" s="1"/>
  <c r="B316" i="2"/>
  <c r="A316" i="2"/>
  <c r="J315" i="2"/>
  <c r="A315" i="2"/>
  <c r="A314" i="2"/>
  <c r="O313" i="2"/>
  <c r="L313" i="2"/>
  <c r="M313" i="2" s="1"/>
  <c r="K313" i="2"/>
  <c r="J313" i="2"/>
  <c r="N313" i="2" s="1"/>
  <c r="H313" i="2"/>
  <c r="E313" i="2"/>
  <c r="C313" i="2"/>
  <c r="B313" i="2"/>
  <c r="A313" i="2"/>
  <c r="D313" i="2" s="1"/>
  <c r="F313" i="2" s="1"/>
  <c r="G313" i="2" s="1"/>
  <c r="I313" i="2" s="1"/>
  <c r="B312" i="2"/>
  <c r="A312" i="2"/>
  <c r="A311" i="2"/>
  <c r="B310" i="2"/>
  <c r="A310" i="2"/>
  <c r="K309" i="2"/>
  <c r="L309" i="2" s="1"/>
  <c r="J309" i="2"/>
  <c r="N309" i="2" s="1"/>
  <c r="C309" i="2"/>
  <c r="E309" i="2" s="1"/>
  <c r="B309" i="2"/>
  <c r="A309" i="2"/>
  <c r="L308" i="2"/>
  <c r="K308" i="2"/>
  <c r="J308" i="2"/>
  <c r="N308" i="2" s="1"/>
  <c r="H308" i="2"/>
  <c r="D308" i="2"/>
  <c r="C308" i="2"/>
  <c r="E308" i="2" s="1"/>
  <c r="O308" i="2" s="1"/>
  <c r="A308" i="2"/>
  <c r="B308" i="2" s="1"/>
  <c r="A307" i="2"/>
  <c r="B306" i="2"/>
  <c r="A306" i="2"/>
  <c r="A305" i="2"/>
  <c r="K304" i="2"/>
  <c r="L304" i="2" s="1"/>
  <c r="J304" i="2"/>
  <c r="H304" i="2"/>
  <c r="D304" i="2"/>
  <c r="F304" i="2" s="1"/>
  <c r="C304" i="2"/>
  <c r="E304" i="2" s="1"/>
  <c r="O304" i="2" s="1"/>
  <c r="B304" i="2"/>
  <c r="A304" i="2"/>
  <c r="D303" i="2"/>
  <c r="A303" i="2"/>
  <c r="D302" i="2"/>
  <c r="C302" i="2"/>
  <c r="E302" i="2" s="1"/>
  <c r="O302" i="2" s="1"/>
  <c r="A302" i="2"/>
  <c r="N301" i="2"/>
  <c r="K301" i="2"/>
  <c r="L301" i="2" s="1"/>
  <c r="J301" i="2"/>
  <c r="H301" i="2"/>
  <c r="E301" i="2"/>
  <c r="O301" i="2" s="1"/>
  <c r="C301" i="2"/>
  <c r="B301" i="2"/>
  <c r="A301" i="2"/>
  <c r="D301" i="2" s="1"/>
  <c r="F301" i="2" s="1"/>
  <c r="K300" i="2"/>
  <c r="L300" i="2" s="1"/>
  <c r="J300" i="2"/>
  <c r="N300" i="2" s="1"/>
  <c r="H300" i="2"/>
  <c r="D300" i="2"/>
  <c r="C300" i="2"/>
  <c r="E300" i="2" s="1"/>
  <c r="O300" i="2" s="1"/>
  <c r="B300" i="2"/>
  <c r="A300" i="2"/>
  <c r="H299" i="2"/>
  <c r="D299" i="2"/>
  <c r="A299" i="2"/>
  <c r="A298" i="2"/>
  <c r="H297" i="2"/>
  <c r="B297" i="2"/>
  <c r="A297" i="2"/>
  <c r="C296" i="2"/>
  <c r="E296" i="2" s="1"/>
  <c r="A296" i="2"/>
  <c r="H295" i="2"/>
  <c r="B295" i="2"/>
  <c r="A295" i="2"/>
  <c r="A294" i="2"/>
  <c r="D294" i="2" s="1"/>
  <c r="L293" i="2"/>
  <c r="K293" i="2"/>
  <c r="N293" i="2" s="1"/>
  <c r="J293" i="2"/>
  <c r="D293" i="2"/>
  <c r="C293" i="2"/>
  <c r="E293" i="2" s="1"/>
  <c r="B293" i="2"/>
  <c r="A293" i="2"/>
  <c r="H293" i="2" s="1"/>
  <c r="K292" i="2"/>
  <c r="L292" i="2" s="1"/>
  <c r="J292" i="2"/>
  <c r="H292" i="2"/>
  <c r="D292" i="2"/>
  <c r="F292" i="2" s="1"/>
  <c r="P292" i="2" s="1"/>
  <c r="Q292" i="2" s="1"/>
  <c r="C292" i="2"/>
  <c r="E292" i="2" s="1"/>
  <c r="O292" i="2" s="1"/>
  <c r="B292" i="2"/>
  <c r="A292" i="2"/>
  <c r="K291" i="2"/>
  <c r="L291" i="2" s="1"/>
  <c r="J291" i="2"/>
  <c r="H291" i="2"/>
  <c r="D291" i="2"/>
  <c r="A291" i="2"/>
  <c r="J290" i="2"/>
  <c r="D290" i="2"/>
  <c r="A290" i="2"/>
  <c r="K289" i="2"/>
  <c r="L289" i="2" s="1"/>
  <c r="J289" i="2"/>
  <c r="H289" i="2"/>
  <c r="E289" i="2"/>
  <c r="O289" i="2" s="1"/>
  <c r="C289" i="2"/>
  <c r="B289" i="2"/>
  <c r="A289" i="2"/>
  <c r="D289" i="2" s="1"/>
  <c r="K288" i="2"/>
  <c r="L288" i="2" s="1"/>
  <c r="J288" i="2"/>
  <c r="N288" i="2" s="1"/>
  <c r="H288" i="2"/>
  <c r="B288" i="2"/>
  <c r="A288" i="2"/>
  <c r="C288" i="2" s="1"/>
  <c r="E288" i="2" s="1"/>
  <c r="J287" i="2"/>
  <c r="H287" i="2"/>
  <c r="E287" i="2"/>
  <c r="O287" i="2" s="1"/>
  <c r="C287" i="2"/>
  <c r="A287" i="2"/>
  <c r="N286" i="2"/>
  <c r="K286" i="2"/>
  <c r="L286" i="2" s="1"/>
  <c r="J286" i="2"/>
  <c r="B286" i="2"/>
  <c r="A286" i="2"/>
  <c r="J285" i="2"/>
  <c r="E285" i="2"/>
  <c r="O285" i="2" s="1"/>
  <c r="C285" i="2"/>
  <c r="B285" i="2"/>
  <c r="A285" i="2"/>
  <c r="O284" i="2"/>
  <c r="L284" i="2"/>
  <c r="K284" i="2"/>
  <c r="H284" i="2"/>
  <c r="C284" i="2"/>
  <c r="E284" i="2" s="1"/>
  <c r="A284" i="2"/>
  <c r="K283" i="2"/>
  <c r="L283" i="2" s="1"/>
  <c r="H283" i="2"/>
  <c r="E283" i="2"/>
  <c r="C283" i="2"/>
  <c r="A283" i="2"/>
  <c r="O283" i="2" s="1"/>
  <c r="K282" i="2"/>
  <c r="L282" i="2" s="1"/>
  <c r="J282" i="2"/>
  <c r="H282" i="2"/>
  <c r="B282" i="2"/>
  <c r="A282" i="2"/>
  <c r="L281" i="2"/>
  <c r="K281" i="2"/>
  <c r="J281" i="2"/>
  <c r="N281" i="2" s="1"/>
  <c r="D281" i="2"/>
  <c r="B281" i="2"/>
  <c r="A281" i="2"/>
  <c r="H281" i="2" s="1"/>
  <c r="N280" i="2"/>
  <c r="L280" i="2"/>
  <c r="K280" i="2"/>
  <c r="J280" i="2"/>
  <c r="H280" i="2"/>
  <c r="E280" i="2"/>
  <c r="O280" i="2" s="1"/>
  <c r="D280" i="2"/>
  <c r="F280" i="2" s="1"/>
  <c r="G280" i="2" s="1"/>
  <c r="I280" i="2" s="1"/>
  <c r="C280" i="2"/>
  <c r="B280" i="2"/>
  <c r="A280" i="2"/>
  <c r="J279" i="2"/>
  <c r="A279" i="2"/>
  <c r="A278" i="2"/>
  <c r="L277" i="2"/>
  <c r="K277" i="2"/>
  <c r="J277" i="2"/>
  <c r="N277" i="2" s="1"/>
  <c r="H277" i="2"/>
  <c r="C277" i="2"/>
  <c r="E277" i="2" s="1"/>
  <c r="O277" i="2" s="1"/>
  <c r="B277" i="2"/>
  <c r="A277" i="2"/>
  <c r="D277" i="2" s="1"/>
  <c r="C276" i="2"/>
  <c r="E276" i="2" s="1"/>
  <c r="O276" i="2" s="1"/>
  <c r="B276" i="2"/>
  <c r="A276" i="2"/>
  <c r="D275" i="2"/>
  <c r="C275" i="2"/>
  <c r="E275" i="2" s="1"/>
  <c r="O275" i="2" s="1"/>
  <c r="A275" i="2"/>
  <c r="K274" i="2"/>
  <c r="L274" i="2" s="1"/>
  <c r="C274" i="2"/>
  <c r="E274" i="2" s="1"/>
  <c r="O274" i="2" s="1"/>
  <c r="B274" i="2"/>
  <c r="A274" i="2"/>
  <c r="D274" i="2" s="1"/>
  <c r="F274" i="2" s="1"/>
  <c r="O273" i="2"/>
  <c r="K273" i="2"/>
  <c r="L273" i="2" s="1"/>
  <c r="D273" i="2"/>
  <c r="B273" i="2"/>
  <c r="A273" i="2"/>
  <c r="C273" i="2" s="1"/>
  <c r="E273" i="2" s="1"/>
  <c r="A272" i="2"/>
  <c r="O271" i="2"/>
  <c r="L271" i="2"/>
  <c r="K271" i="2"/>
  <c r="D271" i="2"/>
  <c r="F271" i="2" s="1"/>
  <c r="C271" i="2"/>
  <c r="E271" i="2" s="1"/>
  <c r="B271" i="2"/>
  <c r="A271" i="2"/>
  <c r="D270" i="2"/>
  <c r="A270" i="2"/>
  <c r="D269" i="2"/>
  <c r="B269" i="2"/>
  <c r="A269" i="2"/>
  <c r="O268" i="2"/>
  <c r="N268" i="2"/>
  <c r="L268" i="2"/>
  <c r="K268" i="2"/>
  <c r="J268" i="2"/>
  <c r="H268" i="2"/>
  <c r="E268" i="2"/>
  <c r="D268" i="2"/>
  <c r="F268" i="2" s="1"/>
  <c r="C268" i="2"/>
  <c r="B268" i="2"/>
  <c r="A268" i="2"/>
  <c r="H267" i="2"/>
  <c r="A267" i="2"/>
  <c r="A266" i="2"/>
  <c r="N265" i="2"/>
  <c r="L265" i="2"/>
  <c r="K265" i="2"/>
  <c r="J265" i="2"/>
  <c r="H265" i="2"/>
  <c r="F265" i="2"/>
  <c r="C265" i="2"/>
  <c r="E265" i="2" s="1"/>
  <c r="O265" i="2" s="1"/>
  <c r="B265" i="2"/>
  <c r="A265" i="2"/>
  <c r="D265" i="2" s="1"/>
  <c r="K264" i="2"/>
  <c r="L264" i="2" s="1"/>
  <c r="J264" i="2"/>
  <c r="N264" i="2" s="1"/>
  <c r="H264" i="2"/>
  <c r="E264" i="2"/>
  <c r="D264" i="2"/>
  <c r="C264" i="2"/>
  <c r="B264" i="2"/>
  <c r="A264" i="2"/>
  <c r="J263" i="2"/>
  <c r="H263" i="2"/>
  <c r="A263" i="2"/>
  <c r="L262" i="2"/>
  <c r="K262" i="2"/>
  <c r="J262" i="2"/>
  <c r="N262" i="2" s="1"/>
  <c r="H262" i="2"/>
  <c r="A262" i="2"/>
  <c r="N261" i="2"/>
  <c r="K261" i="2"/>
  <c r="L261" i="2" s="1"/>
  <c r="J261" i="2"/>
  <c r="D261" i="2"/>
  <c r="B261" i="2"/>
  <c r="A261" i="2"/>
  <c r="H261" i="2" s="1"/>
  <c r="J260" i="2"/>
  <c r="H260" i="2"/>
  <c r="D260" i="2"/>
  <c r="A260" i="2"/>
  <c r="L259" i="2"/>
  <c r="K259" i="2"/>
  <c r="D259" i="2"/>
  <c r="B259" i="2"/>
  <c r="A259" i="2"/>
  <c r="K258" i="2"/>
  <c r="L258" i="2" s="1"/>
  <c r="J258" i="2"/>
  <c r="H258" i="2"/>
  <c r="A258" i="2"/>
  <c r="J257" i="2"/>
  <c r="C257" i="2"/>
  <c r="E257" i="2" s="1"/>
  <c r="A257" i="2"/>
  <c r="N256" i="2"/>
  <c r="K256" i="2"/>
  <c r="L256" i="2" s="1"/>
  <c r="J256" i="2"/>
  <c r="H256" i="2"/>
  <c r="F256" i="2"/>
  <c r="G256" i="2" s="1"/>
  <c r="I256" i="2" s="1"/>
  <c r="D256" i="2"/>
  <c r="C256" i="2"/>
  <c r="E256" i="2" s="1"/>
  <c r="O256" i="2" s="1"/>
  <c r="B256" i="2"/>
  <c r="A256" i="2"/>
  <c r="N255" i="2"/>
  <c r="K255" i="2"/>
  <c r="L255" i="2" s="1"/>
  <c r="J255" i="2"/>
  <c r="H255" i="2"/>
  <c r="D255" i="2"/>
  <c r="B255" i="2"/>
  <c r="A255" i="2"/>
  <c r="J254" i="2"/>
  <c r="F254" i="2"/>
  <c r="E254" i="2"/>
  <c r="D254" i="2"/>
  <c r="C254" i="2"/>
  <c r="B254" i="2"/>
  <c r="A254" i="2"/>
  <c r="O253" i="2"/>
  <c r="N253" i="2"/>
  <c r="K253" i="2"/>
  <c r="L253" i="2" s="1"/>
  <c r="J253" i="2"/>
  <c r="H253" i="2"/>
  <c r="E253" i="2"/>
  <c r="C253" i="2"/>
  <c r="B253" i="2"/>
  <c r="A253" i="2"/>
  <c r="D253" i="2" s="1"/>
  <c r="F253" i="2" s="1"/>
  <c r="A252" i="2"/>
  <c r="A251" i="2"/>
  <c r="D251" i="2" s="1"/>
  <c r="A250" i="2"/>
  <c r="N249" i="2"/>
  <c r="K249" i="2"/>
  <c r="L249" i="2" s="1"/>
  <c r="J249" i="2"/>
  <c r="H249" i="2"/>
  <c r="E249" i="2"/>
  <c r="D249" i="2"/>
  <c r="C249" i="2"/>
  <c r="B249" i="2"/>
  <c r="A249" i="2"/>
  <c r="A248" i="2"/>
  <c r="O247" i="2"/>
  <c r="N247" i="2"/>
  <c r="L247" i="2"/>
  <c r="K247" i="2"/>
  <c r="H247" i="2"/>
  <c r="D247" i="2"/>
  <c r="F247" i="2" s="1"/>
  <c r="C247" i="2"/>
  <c r="E247" i="2" s="1"/>
  <c r="B247" i="2"/>
  <c r="A247" i="2"/>
  <c r="J247" i="2" s="1"/>
  <c r="A246" i="2"/>
  <c r="B245" i="2"/>
  <c r="A245" i="2"/>
  <c r="L244" i="2"/>
  <c r="K244" i="2"/>
  <c r="N244" i="2" s="1"/>
  <c r="J244" i="2"/>
  <c r="H244" i="2"/>
  <c r="D244" i="2"/>
  <c r="C244" i="2"/>
  <c r="E244" i="2" s="1"/>
  <c r="O244" i="2" s="1"/>
  <c r="B244" i="2"/>
  <c r="A244" i="2"/>
  <c r="K243" i="2"/>
  <c r="L243" i="2" s="1"/>
  <c r="B243" i="2"/>
  <c r="A243" i="2"/>
  <c r="J242" i="2"/>
  <c r="D242" i="2"/>
  <c r="C242" i="2"/>
  <c r="E242" i="2" s="1"/>
  <c r="O242" i="2" s="1"/>
  <c r="B242" i="2"/>
  <c r="A242" i="2"/>
  <c r="K241" i="2"/>
  <c r="L241" i="2" s="1"/>
  <c r="J241" i="2"/>
  <c r="N241" i="2" s="1"/>
  <c r="H241" i="2"/>
  <c r="C241" i="2"/>
  <c r="E241" i="2" s="1"/>
  <c r="O241" i="2" s="1"/>
  <c r="B241" i="2"/>
  <c r="A241" i="2"/>
  <c r="D241" i="2" s="1"/>
  <c r="K240" i="2"/>
  <c r="L240" i="2" s="1"/>
  <c r="J240" i="2"/>
  <c r="H240" i="2"/>
  <c r="E240" i="2"/>
  <c r="D240" i="2"/>
  <c r="C240" i="2"/>
  <c r="A240" i="2"/>
  <c r="J239" i="2"/>
  <c r="H239" i="2"/>
  <c r="F239" i="2"/>
  <c r="E239" i="2"/>
  <c r="O239" i="2" s="1"/>
  <c r="D239" i="2"/>
  <c r="C239" i="2"/>
  <c r="A239" i="2"/>
  <c r="L238" i="2"/>
  <c r="K238" i="2"/>
  <c r="J238" i="2"/>
  <c r="N238" i="2" s="1"/>
  <c r="H238" i="2"/>
  <c r="A238" i="2"/>
  <c r="K237" i="2"/>
  <c r="L237" i="2" s="1"/>
  <c r="J237" i="2"/>
  <c r="N237" i="2" s="1"/>
  <c r="H237" i="2"/>
  <c r="B237" i="2"/>
  <c r="A237" i="2"/>
  <c r="D237" i="2" s="1"/>
  <c r="L236" i="2"/>
  <c r="K236" i="2"/>
  <c r="J236" i="2"/>
  <c r="N236" i="2" s="1"/>
  <c r="H236" i="2"/>
  <c r="D236" i="2"/>
  <c r="A236" i="2"/>
  <c r="B236" i="2" s="1"/>
  <c r="N235" i="2"/>
  <c r="K235" i="2"/>
  <c r="L235" i="2" s="1"/>
  <c r="H235" i="2"/>
  <c r="D235" i="2"/>
  <c r="A235" i="2"/>
  <c r="J235" i="2" s="1"/>
  <c r="K234" i="2"/>
  <c r="L234" i="2" s="1"/>
  <c r="J234" i="2"/>
  <c r="A234" i="2"/>
  <c r="L233" i="2"/>
  <c r="K233" i="2"/>
  <c r="D233" i="2"/>
  <c r="A233" i="2"/>
  <c r="N232" i="2"/>
  <c r="L232" i="2"/>
  <c r="K232" i="2"/>
  <c r="J232" i="2"/>
  <c r="H232" i="2"/>
  <c r="D232" i="2"/>
  <c r="C232" i="2"/>
  <c r="E232" i="2" s="1"/>
  <c r="O232" i="2" s="1"/>
  <c r="B232" i="2"/>
  <c r="A232" i="2"/>
  <c r="L231" i="2"/>
  <c r="K231" i="2"/>
  <c r="H231" i="2"/>
  <c r="A231" i="2"/>
  <c r="O230" i="2"/>
  <c r="J230" i="2"/>
  <c r="E230" i="2"/>
  <c r="D230" i="2"/>
  <c r="F230" i="2" s="1"/>
  <c r="G230" i="2" s="1"/>
  <c r="C230" i="2"/>
  <c r="B230" i="2"/>
  <c r="A230" i="2"/>
  <c r="L229" i="2"/>
  <c r="K229" i="2"/>
  <c r="J229" i="2"/>
  <c r="N229" i="2" s="1"/>
  <c r="H229" i="2"/>
  <c r="C229" i="2"/>
  <c r="E229" i="2" s="1"/>
  <c r="B229" i="2"/>
  <c r="A229" i="2"/>
  <c r="D229" i="2" s="1"/>
  <c r="C228" i="2"/>
  <c r="E228" i="2" s="1"/>
  <c r="O228" i="2" s="1"/>
  <c r="B228" i="2"/>
  <c r="A228" i="2"/>
  <c r="D228" i="2" s="1"/>
  <c r="O227" i="2"/>
  <c r="D227" i="2"/>
  <c r="F227" i="2" s="1"/>
  <c r="C227" i="2"/>
  <c r="E227" i="2" s="1"/>
  <c r="A227" i="2"/>
  <c r="C226" i="2"/>
  <c r="E226" i="2" s="1"/>
  <c r="O226" i="2" s="1"/>
  <c r="B226" i="2"/>
  <c r="A226" i="2"/>
  <c r="D225" i="2"/>
  <c r="A225" i="2"/>
  <c r="C224" i="2"/>
  <c r="E224" i="2" s="1"/>
  <c r="A224" i="2"/>
  <c r="A223" i="2"/>
  <c r="D222" i="2"/>
  <c r="B222" i="2"/>
  <c r="A222" i="2"/>
  <c r="A221" i="2"/>
  <c r="C221" i="2" s="1"/>
  <c r="E221" i="2" s="1"/>
  <c r="O220" i="2"/>
  <c r="N220" i="2"/>
  <c r="L220" i="2"/>
  <c r="K220" i="2"/>
  <c r="J220" i="2"/>
  <c r="H220" i="2"/>
  <c r="E220" i="2"/>
  <c r="D220" i="2"/>
  <c r="F220" i="2" s="1"/>
  <c r="C220" i="2"/>
  <c r="B220" i="2"/>
  <c r="A220" i="2"/>
  <c r="L219" i="2"/>
  <c r="K219" i="2"/>
  <c r="J219" i="2"/>
  <c r="N219" i="2" s="1"/>
  <c r="H219" i="2"/>
  <c r="D219" i="2"/>
  <c r="B219" i="2"/>
  <c r="A219" i="2"/>
  <c r="J218" i="2"/>
  <c r="C218" i="2"/>
  <c r="E218" i="2" s="1"/>
  <c r="A218" i="2"/>
  <c r="K217" i="2"/>
  <c r="L217" i="2" s="1"/>
  <c r="J217" i="2"/>
  <c r="N217" i="2" s="1"/>
  <c r="H217" i="2"/>
  <c r="E217" i="2"/>
  <c r="O217" i="2" s="1"/>
  <c r="C217" i="2"/>
  <c r="B217" i="2"/>
  <c r="A217" i="2"/>
  <c r="D217" i="2" s="1"/>
  <c r="J216" i="2"/>
  <c r="N216" i="2" s="1"/>
  <c r="H216" i="2"/>
  <c r="E216" i="2"/>
  <c r="O216" i="2" s="1"/>
  <c r="D216" i="2"/>
  <c r="C216" i="2"/>
  <c r="B216" i="2"/>
  <c r="A216" i="2"/>
  <c r="K216" i="2" s="1"/>
  <c r="L216" i="2" s="1"/>
  <c r="J215" i="2"/>
  <c r="H215" i="2"/>
  <c r="E215" i="2"/>
  <c r="O215" i="2" s="1"/>
  <c r="D215" i="2"/>
  <c r="C215" i="2"/>
  <c r="A215" i="2"/>
  <c r="K214" i="2"/>
  <c r="L214" i="2" s="1"/>
  <c r="J214" i="2"/>
  <c r="N214" i="2" s="1"/>
  <c r="H214" i="2"/>
  <c r="C214" i="2"/>
  <c r="E214" i="2" s="1"/>
  <c r="F214" i="2" s="1"/>
  <c r="B214" i="2"/>
  <c r="A214" i="2"/>
  <c r="D214" i="2" s="1"/>
  <c r="K213" i="2"/>
  <c r="L213" i="2" s="1"/>
  <c r="J213" i="2"/>
  <c r="N213" i="2" s="1"/>
  <c r="H213" i="2"/>
  <c r="C213" i="2"/>
  <c r="E213" i="2" s="1"/>
  <c r="O213" i="2" s="1"/>
  <c r="B213" i="2"/>
  <c r="A213" i="2"/>
  <c r="D213" i="2" s="1"/>
  <c r="O212" i="2"/>
  <c r="K212" i="2"/>
  <c r="L212" i="2" s="1"/>
  <c r="J212" i="2"/>
  <c r="H212" i="2"/>
  <c r="D212" i="2"/>
  <c r="F212" i="2" s="1"/>
  <c r="P212" i="2" s="1"/>
  <c r="Q212" i="2" s="1"/>
  <c r="C212" i="2"/>
  <c r="E212" i="2" s="1"/>
  <c r="A212" i="2"/>
  <c r="B212" i="2" s="1"/>
  <c r="K211" i="2"/>
  <c r="L211" i="2" s="1"/>
  <c r="H211" i="2"/>
  <c r="A211" i="2"/>
  <c r="J210" i="2"/>
  <c r="H210" i="2"/>
  <c r="A210" i="2"/>
  <c r="K209" i="2"/>
  <c r="L209" i="2" s="1"/>
  <c r="J209" i="2"/>
  <c r="D209" i="2"/>
  <c r="A209" i="2"/>
  <c r="H209" i="2" s="1"/>
  <c r="O208" i="2"/>
  <c r="N208" i="2"/>
  <c r="K208" i="2"/>
  <c r="L208" i="2" s="1"/>
  <c r="M208" i="2" s="1"/>
  <c r="J208" i="2"/>
  <c r="H208" i="2"/>
  <c r="E208" i="2"/>
  <c r="F208" i="2" s="1"/>
  <c r="G208" i="2" s="1"/>
  <c r="I208" i="2" s="1"/>
  <c r="D208" i="2"/>
  <c r="C208" i="2"/>
  <c r="B208" i="2"/>
  <c r="P208" i="2" s="1"/>
  <c r="Q208" i="2" s="1"/>
  <c r="A208" i="2"/>
  <c r="J207" i="2"/>
  <c r="A207" i="2"/>
  <c r="A206" i="2"/>
  <c r="K205" i="2"/>
  <c r="L205" i="2" s="1"/>
  <c r="J205" i="2"/>
  <c r="N205" i="2" s="1"/>
  <c r="H205" i="2"/>
  <c r="C205" i="2"/>
  <c r="E205" i="2" s="1"/>
  <c r="O205" i="2" s="1"/>
  <c r="B205" i="2"/>
  <c r="A205" i="2"/>
  <c r="D205" i="2" s="1"/>
  <c r="F205" i="2" s="1"/>
  <c r="O204" i="2"/>
  <c r="N204" i="2"/>
  <c r="L204" i="2"/>
  <c r="K204" i="2"/>
  <c r="J204" i="2"/>
  <c r="H204" i="2"/>
  <c r="D204" i="2"/>
  <c r="C204" i="2"/>
  <c r="E204" i="2" s="1"/>
  <c r="A204" i="2"/>
  <c r="B204" i="2" s="1"/>
  <c r="D203" i="2"/>
  <c r="A203" i="2"/>
  <c r="A202" i="2"/>
  <c r="O201" i="2"/>
  <c r="C201" i="2"/>
  <c r="E201" i="2" s="1"/>
  <c r="B201" i="2"/>
  <c r="A201" i="2"/>
  <c r="A200" i="2"/>
  <c r="C200" i="2" s="1"/>
  <c r="E200" i="2" s="1"/>
  <c r="N199" i="2"/>
  <c r="L199" i="2"/>
  <c r="K199" i="2"/>
  <c r="H199" i="2"/>
  <c r="D199" i="2"/>
  <c r="C199" i="2"/>
  <c r="E199" i="2" s="1"/>
  <c r="B199" i="2"/>
  <c r="A199" i="2"/>
  <c r="J199" i="2" s="1"/>
  <c r="B198" i="2"/>
  <c r="A198" i="2"/>
  <c r="C197" i="2"/>
  <c r="E197" i="2" s="1"/>
  <c r="A197" i="2"/>
  <c r="K196" i="2"/>
  <c r="N196" i="2" s="1"/>
  <c r="J196" i="2"/>
  <c r="H196" i="2"/>
  <c r="E196" i="2"/>
  <c r="O196" i="2" s="1"/>
  <c r="D196" i="2"/>
  <c r="F196" i="2" s="1"/>
  <c r="C196" i="2"/>
  <c r="B196" i="2"/>
  <c r="A196" i="2"/>
  <c r="K195" i="2"/>
  <c r="L195" i="2" s="1"/>
  <c r="J195" i="2"/>
  <c r="N195" i="2" s="1"/>
  <c r="H195" i="2"/>
  <c r="D195" i="2"/>
  <c r="B195" i="2"/>
  <c r="A195" i="2"/>
  <c r="D194" i="2"/>
  <c r="A194" i="2"/>
  <c r="O193" i="2"/>
  <c r="L193" i="2"/>
  <c r="K193" i="2"/>
  <c r="J193" i="2"/>
  <c r="N193" i="2" s="1"/>
  <c r="H193" i="2"/>
  <c r="G193" i="2"/>
  <c r="I193" i="2" s="1"/>
  <c r="F193" i="2"/>
  <c r="C193" i="2"/>
  <c r="E193" i="2" s="1"/>
  <c r="B193" i="2"/>
  <c r="A193" i="2"/>
  <c r="D193" i="2" s="1"/>
  <c r="K192" i="2"/>
  <c r="L192" i="2" s="1"/>
  <c r="J192" i="2"/>
  <c r="D192" i="2"/>
  <c r="C192" i="2"/>
  <c r="E192" i="2" s="1"/>
  <c r="O192" i="2" s="1"/>
  <c r="B192" i="2"/>
  <c r="A192" i="2"/>
  <c r="H192" i="2" s="1"/>
  <c r="H191" i="2"/>
  <c r="D191" i="2"/>
  <c r="C191" i="2"/>
  <c r="E191" i="2" s="1"/>
  <c r="O191" i="2" s="1"/>
  <c r="A191" i="2"/>
  <c r="K190" i="2"/>
  <c r="L190" i="2" s="1"/>
  <c r="J190" i="2"/>
  <c r="N190" i="2" s="1"/>
  <c r="H190" i="2"/>
  <c r="E190" i="2"/>
  <c r="O190" i="2" s="1"/>
  <c r="C190" i="2"/>
  <c r="B190" i="2"/>
  <c r="A190" i="2"/>
  <c r="D190" i="2" s="1"/>
  <c r="K189" i="2"/>
  <c r="L189" i="2" s="1"/>
  <c r="H189" i="2"/>
  <c r="E189" i="2"/>
  <c r="O189" i="2" s="1"/>
  <c r="D189" i="2"/>
  <c r="C189" i="2"/>
  <c r="A189" i="2"/>
  <c r="J188" i="2"/>
  <c r="C188" i="2"/>
  <c r="E188" i="2" s="1"/>
  <c r="A188" i="2"/>
  <c r="K187" i="2"/>
  <c r="H187" i="2"/>
  <c r="D187" i="2"/>
  <c r="C187" i="2"/>
  <c r="E187" i="2" s="1"/>
  <c r="O187" i="2" s="1"/>
  <c r="B187" i="2"/>
  <c r="A187" i="2"/>
  <c r="J187" i="2" s="1"/>
  <c r="K186" i="2"/>
  <c r="L186" i="2" s="1"/>
  <c r="J186" i="2"/>
  <c r="N186" i="2" s="1"/>
  <c r="H186" i="2"/>
  <c r="D186" i="2"/>
  <c r="B186" i="2"/>
  <c r="A186" i="2"/>
  <c r="K185" i="2"/>
  <c r="L185" i="2" s="1"/>
  <c r="J185" i="2"/>
  <c r="N185" i="2" s="1"/>
  <c r="D185" i="2"/>
  <c r="F185" i="2" s="1"/>
  <c r="C185" i="2"/>
  <c r="E185" i="2" s="1"/>
  <c r="B185" i="2"/>
  <c r="A185" i="2"/>
  <c r="K184" i="2"/>
  <c r="N184" i="2" s="1"/>
  <c r="J184" i="2"/>
  <c r="H184" i="2"/>
  <c r="F184" i="2"/>
  <c r="P184" i="2" s="1"/>
  <c r="Q184" i="2" s="1"/>
  <c r="E184" i="2"/>
  <c r="O184" i="2" s="1"/>
  <c r="D184" i="2"/>
  <c r="C184" i="2"/>
  <c r="B184" i="2"/>
  <c r="A184" i="2"/>
  <c r="N183" i="2"/>
  <c r="L183" i="2"/>
  <c r="K183" i="2"/>
  <c r="J183" i="2"/>
  <c r="H183" i="2"/>
  <c r="A183" i="2"/>
  <c r="J182" i="2"/>
  <c r="E182" i="2"/>
  <c r="O182" i="2" s="1"/>
  <c r="C182" i="2"/>
  <c r="B182" i="2"/>
  <c r="A182" i="2"/>
  <c r="K181" i="2"/>
  <c r="J181" i="2"/>
  <c r="H181" i="2"/>
  <c r="C181" i="2"/>
  <c r="E181" i="2" s="1"/>
  <c r="O181" i="2" s="1"/>
  <c r="B181" i="2"/>
  <c r="A181" i="2"/>
  <c r="D181" i="2" s="1"/>
  <c r="F181" i="2" s="1"/>
  <c r="G181" i="2" s="1"/>
  <c r="I181" i="2" s="1"/>
  <c r="A180" i="2"/>
  <c r="J180" i="2" s="1"/>
  <c r="J179" i="2"/>
  <c r="H179" i="2"/>
  <c r="A179" i="2"/>
  <c r="K178" i="2"/>
  <c r="L178" i="2" s="1"/>
  <c r="J178" i="2"/>
  <c r="A178" i="2"/>
  <c r="D178" i="2" s="1"/>
  <c r="O177" i="2"/>
  <c r="K177" i="2"/>
  <c r="L177" i="2" s="1"/>
  <c r="J177" i="2"/>
  <c r="N177" i="2" s="1"/>
  <c r="H177" i="2"/>
  <c r="E177" i="2"/>
  <c r="D177" i="2"/>
  <c r="F177" i="2" s="1"/>
  <c r="C177" i="2"/>
  <c r="B177" i="2"/>
  <c r="A177" i="2"/>
  <c r="O176" i="2"/>
  <c r="L176" i="2"/>
  <c r="K176" i="2"/>
  <c r="H176" i="2"/>
  <c r="D176" i="2"/>
  <c r="C176" i="2"/>
  <c r="E176" i="2" s="1"/>
  <c r="F176" i="2" s="1"/>
  <c r="A176" i="2"/>
  <c r="K175" i="2"/>
  <c r="L175" i="2" s="1"/>
  <c r="B175" i="2"/>
  <c r="A175" i="2"/>
  <c r="K174" i="2"/>
  <c r="L174" i="2" s="1"/>
  <c r="J174" i="2"/>
  <c r="N174" i="2" s="1"/>
  <c r="H174" i="2"/>
  <c r="D174" i="2"/>
  <c r="B174" i="2"/>
  <c r="A174" i="2"/>
  <c r="A173" i="2"/>
  <c r="B173" i="2" s="1"/>
  <c r="P172" i="2"/>
  <c r="Q172" i="2" s="1"/>
  <c r="O172" i="2"/>
  <c r="N172" i="2"/>
  <c r="L172" i="2"/>
  <c r="K172" i="2"/>
  <c r="J172" i="2"/>
  <c r="H172" i="2"/>
  <c r="D172" i="2"/>
  <c r="F172" i="2" s="1"/>
  <c r="C172" i="2"/>
  <c r="E172" i="2" s="1"/>
  <c r="B172" i="2"/>
  <c r="A172" i="2"/>
  <c r="B171" i="2"/>
  <c r="A171" i="2"/>
  <c r="A170" i="2"/>
  <c r="D170" i="2" s="1"/>
  <c r="O169" i="2"/>
  <c r="L169" i="2"/>
  <c r="K169" i="2"/>
  <c r="J169" i="2"/>
  <c r="N169" i="2" s="1"/>
  <c r="H169" i="2"/>
  <c r="C169" i="2"/>
  <c r="E169" i="2" s="1"/>
  <c r="B169" i="2"/>
  <c r="A169" i="2"/>
  <c r="D169" i="2" s="1"/>
  <c r="F169" i="2" s="1"/>
  <c r="G169" i="2" s="1"/>
  <c r="I169" i="2" s="1"/>
  <c r="O168" i="2"/>
  <c r="H168" i="2"/>
  <c r="D168" i="2"/>
  <c r="F168" i="2" s="1"/>
  <c r="C168" i="2"/>
  <c r="E168" i="2" s="1"/>
  <c r="A168" i="2"/>
  <c r="A167" i="2"/>
  <c r="C167" i="2" s="1"/>
  <c r="E167" i="2" s="1"/>
  <c r="B166" i="2"/>
  <c r="A166" i="2"/>
  <c r="E165" i="2"/>
  <c r="D165" i="2"/>
  <c r="F165" i="2" s="1"/>
  <c r="C165" i="2"/>
  <c r="A165" i="2"/>
  <c r="K164" i="2"/>
  <c r="L164" i="2" s="1"/>
  <c r="J164" i="2"/>
  <c r="H164" i="2"/>
  <c r="D164" i="2"/>
  <c r="F164" i="2" s="1"/>
  <c r="G164" i="2" s="1"/>
  <c r="I164" i="2" s="1"/>
  <c r="C164" i="2"/>
  <c r="E164" i="2" s="1"/>
  <c r="O164" i="2" s="1"/>
  <c r="A164" i="2"/>
  <c r="B164" i="2" s="1"/>
  <c r="C163" i="2"/>
  <c r="E163" i="2" s="1"/>
  <c r="A163" i="2"/>
  <c r="H162" i="2"/>
  <c r="D162" i="2"/>
  <c r="A162" i="2"/>
  <c r="C161" i="2"/>
  <c r="E161" i="2" s="1"/>
  <c r="A161" i="2"/>
  <c r="N160" i="2"/>
  <c r="K160" i="2"/>
  <c r="L160" i="2" s="1"/>
  <c r="J160" i="2"/>
  <c r="H160" i="2"/>
  <c r="E160" i="2"/>
  <c r="O160" i="2" s="1"/>
  <c r="D160" i="2"/>
  <c r="C160" i="2"/>
  <c r="B160" i="2"/>
  <c r="A160" i="2"/>
  <c r="L159" i="2"/>
  <c r="K159" i="2"/>
  <c r="J159" i="2"/>
  <c r="N159" i="2" s="1"/>
  <c r="H159" i="2"/>
  <c r="D159" i="2"/>
  <c r="A159" i="2"/>
  <c r="J158" i="2"/>
  <c r="A158" i="2"/>
  <c r="K157" i="2"/>
  <c r="L157" i="2" s="1"/>
  <c r="J157" i="2"/>
  <c r="N157" i="2" s="1"/>
  <c r="H157" i="2"/>
  <c r="D157" i="2"/>
  <c r="C157" i="2"/>
  <c r="E157" i="2" s="1"/>
  <c r="B157" i="2"/>
  <c r="A157" i="2"/>
  <c r="K156" i="2"/>
  <c r="L156" i="2" s="1"/>
  <c r="H156" i="2"/>
  <c r="A156" i="2"/>
  <c r="J155" i="2"/>
  <c r="H155" i="2"/>
  <c r="F155" i="2"/>
  <c r="D155" i="2"/>
  <c r="C155" i="2"/>
  <c r="E155" i="2" s="1"/>
  <c r="O155" i="2" s="1"/>
  <c r="A155" i="2"/>
  <c r="H154" i="2"/>
  <c r="B154" i="2"/>
  <c r="A154" i="2"/>
  <c r="K153" i="2"/>
  <c r="L153" i="2" s="1"/>
  <c r="C153" i="2"/>
  <c r="E153" i="2" s="1"/>
  <c r="B153" i="2"/>
  <c r="A153" i="2"/>
  <c r="D152" i="2"/>
  <c r="A152" i="2"/>
  <c r="O151" i="2"/>
  <c r="C151" i="2"/>
  <c r="E151" i="2" s="1"/>
  <c r="A151" i="2"/>
  <c r="K150" i="2"/>
  <c r="L150" i="2" s="1"/>
  <c r="J150" i="2"/>
  <c r="N150" i="2" s="1"/>
  <c r="B150" i="2"/>
  <c r="A150" i="2"/>
  <c r="A149" i="2"/>
  <c r="K149" i="2" s="1"/>
  <c r="L149" i="2" s="1"/>
  <c r="K148" i="2"/>
  <c r="L148" i="2" s="1"/>
  <c r="H148" i="2"/>
  <c r="D148" i="2"/>
  <c r="C148" i="2"/>
  <c r="E148" i="2" s="1"/>
  <c r="O148" i="2" s="1"/>
  <c r="B148" i="2"/>
  <c r="A148" i="2"/>
  <c r="J148" i="2" s="1"/>
  <c r="N148" i="2" s="1"/>
  <c r="A147" i="2"/>
  <c r="B146" i="2"/>
  <c r="A146" i="2"/>
  <c r="O145" i="2"/>
  <c r="K145" i="2"/>
  <c r="L145" i="2" s="1"/>
  <c r="J145" i="2"/>
  <c r="H145" i="2"/>
  <c r="E145" i="2"/>
  <c r="F145" i="2" s="1"/>
  <c r="D145" i="2"/>
  <c r="C145" i="2"/>
  <c r="B145" i="2"/>
  <c r="A145" i="2"/>
  <c r="J144" i="2"/>
  <c r="H144" i="2"/>
  <c r="C144" i="2"/>
  <c r="E144" i="2" s="1"/>
  <c r="A144" i="2"/>
  <c r="J143" i="2"/>
  <c r="H143" i="2"/>
  <c r="E143" i="2"/>
  <c r="O143" i="2" s="1"/>
  <c r="D143" i="2"/>
  <c r="C143" i="2"/>
  <c r="A143" i="2"/>
  <c r="K142" i="2"/>
  <c r="L142" i="2" s="1"/>
  <c r="H142" i="2"/>
  <c r="C142" i="2"/>
  <c r="E142" i="2" s="1"/>
  <c r="A142" i="2"/>
  <c r="C141" i="2"/>
  <c r="E141" i="2" s="1"/>
  <c r="A141" i="2"/>
  <c r="J140" i="2"/>
  <c r="A140" i="2"/>
  <c r="K139" i="2"/>
  <c r="L139" i="2" s="1"/>
  <c r="H139" i="2"/>
  <c r="D139" i="2"/>
  <c r="A139" i="2"/>
  <c r="J138" i="2"/>
  <c r="A138" i="2"/>
  <c r="C137" i="2"/>
  <c r="E137" i="2" s="1"/>
  <c r="B137" i="2"/>
  <c r="A137" i="2"/>
  <c r="N136" i="2"/>
  <c r="L136" i="2"/>
  <c r="K136" i="2"/>
  <c r="J136" i="2"/>
  <c r="H136" i="2"/>
  <c r="F136" i="2"/>
  <c r="G136" i="2" s="1"/>
  <c r="I136" i="2" s="1"/>
  <c r="E136" i="2"/>
  <c r="O136" i="2" s="1"/>
  <c r="D136" i="2"/>
  <c r="C136" i="2"/>
  <c r="B136" i="2"/>
  <c r="P136" i="2" s="1"/>
  <c r="Q136" i="2" s="1"/>
  <c r="A136" i="2"/>
  <c r="L135" i="2"/>
  <c r="K135" i="2"/>
  <c r="J135" i="2"/>
  <c r="N135" i="2" s="1"/>
  <c r="H135" i="2"/>
  <c r="D135" i="2"/>
  <c r="B135" i="2"/>
  <c r="A135" i="2"/>
  <c r="A134" i="2"/>
  <c r="O133" i="2"/>
  <c r="K133" i="2"/>
  <c r="L133" i="2" s="1"/>
  <c r="J133" i="2"/>
  <c r="N133" i="2" s="1"/>
  <c r="H133" i="2"/>
  <c r="F133" i="2"/>
  <c r="E133" i="2"/>
  <c r="C133" i="2"/>
  <c r="B133" i="2"/>
  <c r="A133" i="2"/>
  <c r="D133" i="2" s="1"/>
  <c r="H132" i="2"/>
  <c r="A132" i="2"/>
  <c r="J131" i="2"/>
  <c r="H131" i="2"/>
  <c r="D131" i="2"/>
  <c r="A131" i="2"/>
  <c r="K130" i="2"/>
  <c r="L130" i="2" s="1"/>
  <c r="J130" i="2"/>
  <c r="N130" i="2" s="1"/>
  <c r="H130" i="2"/>
  <c r="C130" i="2"/>
  <c r="E130" i="2" s="1"/>
  <c r="F130" i="2" s="1"/>
  <c r="B130" i="2"/>
  <c r="A130" i="2"/>
  <c r="D130" i="2" s="1"/>
  <c r="A129" i="2"/>
  <c r="A128" i="2"/>
  <c r="K127" i="2"/>
  <c r="L127" i="2" s="1"/>
  <c r="H127" i="2"/>
  <c r="B127" i="2"/>
  <c r="A127" i="2"/>
  <c r="J126" i="2"/>
  <c r="H126" i="2"/>
  <c r="A126" i="2"/>
  <c r="O125" i="2"/>
  <c r="K125" i="2"/>
  <c r="L125" i="2" s="1"/>
  <c r="J125" i="2"/>
  <c r="N125" i="2" s="1"/>
  <c r="D125" i="2"/>
  <c r="F125" i="2" s="1"/>
  <c r="C125" i="2"/>
  <c r="E125" i="2" s="1"/>
  <c r="B125" i="2"/>
  <c r="A125" i="2"/>
  <c r="H125" i="2" s="1"/>
  <c r="O124" i="2"/>
  <c r="P124" i="2" s="1"/>
  <c r="Q124" i="2" s="1"/>
  <c r="L124" i="2"/>
  <c r="K124" i="2"/>
  <c r="N124" i="2" s="1"/>
  <c r="J124" i="2"/>
  <c r="H124" i="2"/>
  <c r="E124" i="2"/>
  <c r="F124" i="2" s="1"/>
  <c r="D124" i="2"/>
  <c r="C124" i="2"/>
  <c r="B124" i="2"/>
  <c r="G124" i="2" s="1"/>
  <c r="I124" i="2" s="1"/>
  <c r="A124" i="2"/>
  <c r="A123" i="2"/>
  <c r="A122" i="2"/>
  <c r="O121" i="2"/>
  <c r="K121" i="2"/>
  <c r="L121" i="2" s="1"/>
  <c r="J121" i="2"/>
  <c r="N121" i="2" s="1"/>
  <c r="H121" i="2"/>
  <c r="E121" i="2"/>
  <c r="C121" i="2"/>
  <c r="B121" i="2"/>
  <c r="A121" i="2"/>
  <c r="D121" i="2" s="1"/>
  <c r="F121" i="2" s="1"/>
  <c r="G121" i="2" s="1"/>
  <c r="I121" i="2" s="1"/>
  <c r="K120" i="2"/>
  <c r="L120" i="2" s="1"/>
  <c r="H120" i="2"/>
  <c r="D120" i="2"/>
  <c r="A120" i="2"/>
  <c r="A119" i="2"/>
  <c r="J119" i="2" s="1"/>
  <c r="A118" i="2"/>
  <c r="K117" i="2"/>
  <c r="H117" i="2"/>
  <c r="D117" i="2"/>
  <c r="C117" i="2"/>
  <c r="E117" i="2" s="1"/>
  <c r="F117" i="2" s="1"/>
  <c r="B117" i="2"/>
  <c r="A117" i="2"/>
  <c r="J117" i="2" s="1"/>
  <c r="P116" i="2"/>
  <c r="Q116" i="2" s="1"/>
  <c r="K116" i="2"/>
  <c r="L116" i="2" s="1"/>
  <c r="J116" i="2"/>
  <c r="I116" i="2"/>
  <c r="H116" i="2"/>
  <c r="F116" i="2"/>
  <c r="G116" i="2" s="1"/>
  <c r="D116" i="2"/>
  <c r="C116" i="2"/>
  <c r="E116" i="2" s="1"/>
  <c r="O116" i="2" s="1"/>
  <c r="A116" i="2"/>
  <c r="B116" i="2" s="1"/>
  <c r="K115" i="2"/>
  <c r="H115" i="2"/>
  <c r="E115" i="2"/>
  <c r="F115" i="2" s="1"/>
  <c r="D115" i="2"/>
  <c r="C115" i="2"/>
  <c r="B115" i="2"/>
  <c r="A115" i="2"/>
  <c r="J115" i="2" s="1"/>
  <c r="K114" i="2"/>
  <c r="L114" i="2" s="1"/>
  <c r="J114" i="2"/>
  <c r="N114" i="2" s="1"/>
  <c r="H114" i="2"/>
  <c r="B114" i="2"/>
  <c r="A114" i="2"/>
  <c r="K113" i="2"/>
  <c r="L113" i="2" s="1"/>
  <c r="J113" i="2"/>
  <c r="D113" i="2"/>
  <c r="C113" i="2"/>
  <c r="E113" i="2" s="1"/>
  <c r="O113" i="2" s="1"/>
  <c r="B113" i="2"/>
  <c r="A113" i="2"/>
  <c r="H113" i="2" s="1"/>
  <c r="N112" i="2"/>
  <c r="K112" i="2"/>
  <c r="L112" i="2" s="1"/>
  <c r="J112" i="2"/>
  <c r="H112" i="2"/>
  <c r="F112" i="2"/>
  <c r="E112" i="2"/>
  <c r="O112" i="2" s="1"/>
  <c r="D112" i="2"/>
  <c r="C112" i="2"/>
  <c r="B112" i="2"/>
  <c r="P112" i="2" s="1"/>
  <c r="Q112" i="2" s="1"/>
  <c r="A112" i="2"/>
  <c r="J111" i="2"/>
  <c r="H111" i="2"/>
  <c r="D111" i="2"/>
  <c r="B111" i="2"/>
  <c r="A111" i="2"/>
  <c r="J110" i="2"/>
  <c r="F110" i="2"/>
  <c r="D110" i="2"/>
  <c r="C110" i="2"/>
  <c r="E110" i="2" s="1"/>
  <c r="O110" i="2" s="1"/>
  <c r="A110" i="2"/>
  <c r="O109" i="2"/>
  <c r="L109" i="2"/>
  <c r="K109" i="2"/>
  <c r="J109" i="2"/>
  <c r="N109" i="2" s="1"/>
  <c r="H109" i="2"/>
  <c r="G109" i="2"/>
  <c r="I109" i="2" s="1"/>
  <c r="C109" i="2"/>
  <c r="E109" i="2" s="1"/>
  <c r="B109" i="2"/>
  <c r="A109" i="2"/>
  <c r="D109" i="2" s="1"/>
  <c r="F109" i="2" s="1"/>
  <c r="K108" i="2"/>
  <c r="L108" i="2" s="1"/>
  <c r="J108" i="2"/>
  <c r="N108" i="2" s="1"/>
  <c r="D108" i="2"/>
  <c r="C108" i="2"/>
  <c r="E108" i="2" s="1"/>
  <c r="O108" i="2" s="1"/>
  <c r="B108" i="2"/>
  <c r="A108" i="2"/>
  <c r="H108" i="2" s="1"/>
  <c r="H107" i="2"/>
  <c r="A107" i="2"/>
  <c r="K106" i="2"/>
  <c r="L106" i="2" s="1"/>
  <c r="A106" i="2"/>
  <c r="K105" i="2"/>
  <c r="L105" i="2" s="1"/>
  <c r="J105" i="2"/>
  <c r="N105" i="2" s="1"/>
  <c r="H105" i="2"/>
  <c r="D105" i="2"/>
  <c r="A105" i="2"/>
  <c r="K104" i="2"/>
  <c r="L104" i="2" s="1"/>
  <c r="J104" i="2"/>
  <c r="N104" i="2" s="1"/>
  <c r="C104" i="2"/>
  <c r="E104" i="2" s="1"/>
  <c r="O104" i="2" s="1"/>
  <c r="A104" i="2"/>
  <c r="A103" i="2"/>
  <c r="C103" i="2" s="1"/>
  <c r="E103" i="2" s="1"/>
  <c r="A102" i="2"/>
  <c r="K101" i="2"/>
  <c r="L101" i="2" s="1"/>
  <c r="A101" i="2"/>
  <c r="N100" i="2"/>
  <c r="L100" i="2"/>
  <c r="K100" i="2"/>
  <c r="J100" i="2"/>
  <c r="H100" i="2"/>
  <c r="G100" i="2"/>
  <c r="I100" i="2" s="1"/>
  <c r="F100" i="2"/>
  <c r="P100" i="2" s="1"/>
  <c r="Q100" i="2" s="1"/>
  <c r="D100" i="2"/>
  <c r="C100" i="2"/>
  <c r="E100" i="2" s="1"/>
  <c r="O100" i="2" s="1"/>
  <c r="B100" i="2"/>
  <c r="A100" i="2"/>
  <c r="J99" i="2"/>
  <c r="D99" i="2"/>
  <c r="A99" i="2"/>
  <c r="J98" i="2"/>
  <c r="D98" i="2"/>
  <c r="C98" i="2"/>
  <c r="E98" i="2" s="1"/>
  <c r="A98" i="2"/>
  <c r="N97" i="2"/>
  <c r="L97" i="2"/>
  <c r="K97" i="2"/>
  <c r="J97" i="2"/>
  <c r="H97" i="2"/>
  <c r="C97" i="2"/>
  <c r="E97" i="2" s="1"/>
  <c r="O97" i="2" s="1"/>
  <c r="B97" i="2"/>
  <c r="A97" i="2"/>
  <c r="D97" i="2" s="1"/>
  <c r="C96" i="2"/>
  <c r="E96" i="2" s="1"/>
  <c r="A96" i="2"/>
  <c r="J96" i="2" s="1"/>
  <c r="J95" i="2"/>
  <c r="A95" i="2"/>
  <c r="A94" i="2"/>
  <c r="K94" i="2" s="1"/>
  <c r="L94" i="2" s="1"/>
  <c r="C93" i="2"/>
  <c r="E93" i="2" s="1"/>
  <c r="B93" i="2"/>
  <c r="A93" i="2"/>
  <c r="O92" i="2"/>
  <c r="K92" i="2"/>
  <c r="L92" i="2" s="1"/>
  <c r="C92" i="2"/>
  <c r="E92" i="2" s="1"/>
  <c r="A92" i="2"/>
  <c r="K91" i="2"/>
  <c r="L91" i="2" s="1"/>
  <c r="D91" i="2"/>
  <c r="A91" i="2"/>
  <c r="K90" i="2"/>
  <c r="L90" i="2" s="1"/>
  <c r="J90" i="2"/>
  <c r="N90" i="2" s="1"/>
  <c r="H90" i="2"/>
  <c r="D90" i="2"/>
  <c r="B90" i="2"/>
  <c r="A90" i="2"/>
  <c r="K89" i="2"/>
  <c r="N89" i="2" s="1"/>
  <c r="J89" i="2"/>
  <c r="D89" i="2"/>
  <c r="B89" i="2"/>
  <c r="A89" i="2"/>
  <c r="N88" i="2"/>
  <c r="L88" i="2"/>
  <c r="K88" i="2"/>
  <c r="J88" i="2"/>
  <c r="H88" i="2"/>
  <c r="E88" i="2"/>
  <c r="O88" i="2" s="1"/>
  <c r="D88" i="2"/>
  <c r="C88" i="2"/>
  <c r="B88" i="2"/>
  <c r="A88" i="2"/>
  <c r="J87" i="2"/>
  <c r="H87" i="2"/>
  <c r="D87" i="2"/>
  <c r="B87" i="2"/>
  <c r="A87" i="2"/>
  <c r="J86" i="2"/>
  <c r="D86" i="2"/>
  <c r="F86" i="2" s="1"/>
  <c r="C86" i="2"/>
  <c r="E86" i="2" s="1"/>
  <c r="A86" i="2"/>
  <c r="L85" i="2"/>
  <c r="K85" i="2"/>
  <c r="J85" i="2"/>
  <c r="N85" i="2" s="1"/>
  <c r="H85" i="2"/>
  <c r="C85" i="2"/>
  <c r="E85" i="2" s="1"/>
  <c r="O85" i="2" s="1"/>
  <c r="B85" i="2"/>
  <c r="A85" i="2"/>
  <c r="D85" i="2" s="1"/>
  <c r="A84" i="2"/>
  <c r="C84" i="2" s="1"/>
  <c r="E84" i="2" s="1"/>
  <c r="A83" i="2"/>
  <c r="C83" i="2" s="1"/>
  <c r="E83" i="2" s="1"/>
  <c r="H82" i="2"/>
  <c r="B82" i="2"/>
  <c r="A82" i="2"/>
  <c r="K81" i="2"/>
  <c r="L81" i="2" s="1"/>
  <c r="J81" i="2"/>
  <c r="H81" i="2"/>
  <c r="C81" i="2"/>
  <c r="E81" i="2" s="1"/>
  <c r="O81" i="2" s="1"/>
  <c r="A81" i="2"/>
  <c r="O80" i="2"/>
  <c r="K80" i="2"/>
  <c r="L80" i="2" s="1"/>
  <c r="M80" i="2" s="1"/>
  <c r="J80" i="2"/>
  <c r="N80" i="2" s="1"/>
  <c r="I80" i="2"/>
  <c r="H80" i="2"/>
  <c r="F80" i="2"/>
  <c r="G80" i="2" s="1"/>
  <c r="D80" i="2"/>
  <c r="C80" i="2"/>
  <c r="E80" i="2" s="1"/>
  <c r="A80" i="2"/>
  <c r="B80" i="2" s="1"/>
  <c r="P80" i="2" s="1"/>
  <c r="Q80" i="2" s="1"/>
  <c r="K79" i="2"/>
  <c r="L79" i="2" s="1"/>
  <c r="H79" i="2"/>
  <c r="C79" i="2"/>
  <c r="E79" i="2" s="1"/>
  <c r="O79" i="2" s="1"/>
  <c r="B79" i="2"/>
  <c r="A79" i="2"/>
  <c r="K78" i="2"/>
  <c r="L78" i="2" s="1"/>
  <c r="J78" i="2"/>
  <c r="N78" i="2" s="1"/>
  <c r="H78" i="2"/>
  <c r="D78" i="2"/>
  <c r="B78" i="2"/>
  <c r="A78" i="2"/>
  <c r="O77" i="2"/>
  <c r="L77" i="2"/>
  <c r="K77" i="2"/>
  <c r="C77" i="2"/>
  <c r="E77" i="2" s="1"/>
  <c r="B77" i="2"/>
  <c r="A77" i="2"/>
  <c r="O76" i="2"/>
  <c r="P76" i="2" s="1"/>
  <c r="Q76" i="2" s="1"/>
  <c r="K76" i="2"/>
  <c r="L76" i="2" s="1"/>
  <c r="J76" i="2"/>
  <c r="H76" i="2"/>
  <c r="E76" i="2"/>
  <c r="D76" i="2"/>
  <c r="F76" i="2" s="1"/>
  <c r="C76" i="2"/>
  <c r="B76" i="2"/>
  <c r="G76" i="2" s="1"/>
  <c r="I76" i="2" s="1"/>
  <c r="A76" i="2"/>
  <c r="A75" i="2"/>
  <c r="J74" i="2"/>
  <c r="D74" i="2"/>
  <c r="A74" i="2"/>
  <c r="L73" i="2"/>
  <c r="K73" i="2"/>
  <c r="J73" i="2"/>
  <c r="N73" i="2" s="1"/>
  <c r="H73" i="2"/>
  <c r="C73" i="2"/>
  <c r="E73" i="2" s="1"/>
  <c r="O73" i="2" s="1"/>
  <c r="B73" i="2"/>
  <c r="A73" i="2"/>
  <c r="D73" i="2" s="1"/>
  <c r="J72" i="2"/>
  <c r="H72" i="2"/>
  <c r="D72" i="2"/>
  <c r="A72" i="2"/>
  <c r="A71" i="2"/>
  <c r="C71" i="2" s="1"/>
  <c r="E71" i="2" s="1"/>
  <c r="A70" i="2"/>
  <c r="C70" i="2" s="1"/>
  <c r="E70" i="2" s="1"/>
  <c r="O70" i="2" s="1"/>
  <c r="O69" i="2"/>
  <c r="C69" i="2"/>
  <c r="E69" i="2" s="1"/>
  <c r="A69" i="2"/>
  <c r="O68" i="2"/>
  <c r="J68" i="2"/>
  <c r="D68" i="2"/>
  <c r="F68" i="2" s="1"/>
  <c r="C68" i="2"/>
  <c r="E68" i="2" s="1"/>
  <c r="A68" i="2"/>
  <c r="H67" i="2"/>
  <c r="D67" i="2"/>
  <c r="F67" i="2" s="1"/>
  <c r="C67" i="2"/>
  <c r="E67" i="2" s="1"/>
  <c r="O67" i="2" s="1"/>
  <c r="B67" i="2"/>
  <c r="A67" i="2"/>
  <c r="A66" i="2"/>
  <c r="D66" i="2" s="1"/>
  <c r="N65" i="2"/>
  <c r="K65" i="2"/>
  <c r="L65" i="2" s="1"/>
  <c r="J65" i="2"/>
  <c r="D65" i="2"/>
  <c r="C65" i="2"/>
  <c r="E65" i="2" s="1"/>
  <c r="B65" i="2"/>
  <c r="A65" i="2"/>
  <c r="H65" i="2" s="1"/>
  <c r="N64" i="2"/>
  <c r="L64" i="2"/>
  <c r="K64" i="2"/>
  <c r="H64" i="2"/>
  <c r="D64" i="2"/>
  <c r="C64" i="2"/>
  <c r="E64" i="2" s="1"/>
  <c r="B64" i="2"/>
  <c r="A64" i="2"/>
  <c r="J64" i="2" s="1"/>
  <c r="A63" i="2"/>
  <c r="C62" i="2"/>
  <c r="E62" i="2" s="1"/>
  <c r="B62" i="2"/>
  <c r="A62" i="2"/>
  <c r="K61" i="2"/>
  <c r="L61" i="2" s="1"/>
  <c r="J61" i="2"/>
  <c r="H61" i="2"/>
  <c r="E61" i="2"/>
  <c r="D61" i="2"/>
  <c r="C61" i="2"/>
  <c r="B61" i="2"/>
  <c r="A61" i="2"/>
  <c r="L60" i="2"/>
  <c r="K60" i="2"/>
  <c r="H60" i="2"/>
  <c r="D60" i="2"/>
  <c r="B60" i="2"/>
  <c r="A60" i="2"/>
  <c r="A59" i="2"/>
  <c r="H59" i="2" s="1"/>
  <c r="N58" i="2"/>
  <c r="K58" i="2"/>
  <c r="L58" i="2" s="1"/>
  <c r="J58" i="2"/>
  <c r="H58" i="2"/>
  <c r="C58" i="2"/>
  <c r="E58" i="2" s="1"/>
  <c r="B58" i="2"/>
  <c r="A58" i="2"/>
  <c r="D58" i="2" s="1"/>
  <c r="O57" i="2"/>
  <c r="J57" i="2"/>
  <c r="N57" i="2" s="1"/>
  <c r="H57" i="2"/>
  <c r="E57" i="2"/>
  <c r="F57" i="2" s="1"/>
  <c r="P57" i="2" s="1"/>
  <c r="Q57" i="2" s="1"/>
  <c r="D57" i="2"/>
  <c r="C57" i="2"/>
  <c r="B57" i="2"/>
  <c r="G57" i="2" s="1"/>
  <c r="A57" i="2"/>
  <c r="K57" i="2" s="1"/>
  <c r="L57" i="2" s="1"/>
  <c r="J56" i="2"/>
  <c r="H56" i="2"/>
  <c r="D56" i="2"/>
  <c r="F56" i="2" s="1"/>
  <c r="C56" i="2"/>
  <c r="E56" i="2" s="1"/>
  <c r="A56" i="2"/>
  <c r="H55" i="2"/>
  <c r="D55" i="2"/>
  <c r="C55" i="2"/>
  <c r="E55" i="2" s="1"/>
  <c r="A55" i="2"/>
  <c r="K54" i="2"/>
  <c r="L54" i="2" s="1"/>
  <c r="J54" i="2"/>
  <c r="N54" i="2" s="1"/>
  <c r="H54" i="2"/>
  <c r="D54" i="2"/>
  <c r="B54" i="2"/>
  <c r="A54" i="2"/>
  <c r="O53" i="2"/>
  <c r="D53" i="2"/>
  <c r="F53" i="2" s="1"/>
  <c r="C53" i="2"/>
  <c r="E53" i="2" s="1"/>
  <c r="A53" i="2"/>
  <c r="O52" i="2"/>
  <c r="P52" i="2" s="1"/>
  <c r="Q52" i="2" s="1"/>
  <c r="K52" i="2"/>
  <c r="L52" i="2" s="1"/>
  <c r="M52" i="2" s="1"/>
  <c r="H52" i="2"/>
  <c r="F52" i="2"/>
  <c r="G52" i="2" s="1"/>
  <c r="I52" i="2" s="1"/>
  <c r="D52" i="2"/>
  <c r="C52" i="2"/>
  <c r="E52" i="2" s="1"/>
  <c r="B52" i="2"/>
  <c r="A52" i="2"/>
  <c r="J52" i="2" s="1"/>
  <c r="K51" i="2"/>
  <c r="L51" i="2" s="1"/>
  <c r="J51" i="2"/>
  <c r="N51" i="2" s="1"/>
  <c r="H51" i="2"/>
  <c r="D51" i="2"/>
  <c r="A51" i="2"/>
  <c r="J50" i="2"/>
  <c r="D50" i="2"/>
  <c r="A50" i="2"/>
  <c r="O49" i="2"/>
  <c r="K49" i="2"/>
  <c r="L49" i="2" s="1"/>
  <c r="J49" i="2"/>
  <c r="N49" i="2" s="1"/>
  <c r="H49" i="2"/>
  <c r="F49" i="2"/>
  <c r="G49" i="2" s="1"/>
  <c r="I49" i="2" s="1"/>
  <c r="D49" i="2"/>
  <c r="C49" i="2"/>
  <c r="E49" i="2" s="1"/>
  <c r="B49" i="2"/>
  <c r="A49" i="2"/>
  <c r="N48" i="2"/>
  <c r="L48" i="2"/>
  <c r="K48" i="2"/>
  <c r="H48" i="2"/>
  <c r="C48" i="2"/>
  <c r="E48" i="2" s="1"/>
  <c r="O48" i="2" s="1"/>
  <c r="B48" i="2"/>
  <c r="A48" i="2"/>
  <c r="J48" i="2" s="1"/>
  <c r="J47" i="2"/>
  <c r="H47" i="2"/>
  <c r="D47" i="2"/>
  <c r="C47" i="2"/>
  <c r="E47" i="2" s="1"/>
  <c r="A47" i="2"/>
  <c r="L46" i="2"/>
  <c r="K46" i="2"/>
  <c r="J46" i="2"/>
  <c r="N46" i="2" s="1"/>
  <c r="H46" i="2"/>
  <c r="C46" i="2"/>
  <c r="E46" i="2" s="1"/>
  <c r="B46" i="2"/>
  <c r="A46" i="2"/>
  <c r="O45" i="2"/>
  <c r="K45" i="2"/>
  <c r="L45" i="2" s="1"/>
  <c r="J45" i="2"/>
  <c r="N45" i="2" s="1"/>
  <c r="H45" i="2"/>
  <c r="F45" i="2"/>
  <c r="E45" i="2"/>
  <c r="D45" i="2"/>
  <c r="B45" i="2"/>
  <c r="A45" i="2"/>
  <c r="C45" i="2" s="1"/>
  <c r="K44" i="2"/>
  <c r="L44" i="2" s="1"/>
  <c r="J44" i="2"/>
  <c r="N44" i="2" s="1"/>
  <c r="H44" i="2"/>
  <c r="D44" i="2"/>
  <c r="C44" i="2"/>
  <c r="E44" i="2" s="1"/>
  <c r="O44" i="2" s="1"/>
  <c r="A44" i="2"/>
  <c r="B44" i="2" s="1"/>
  <c r="A43" i="2"/>
  <c r="D43" i="2" s="1"/>
  <c r="K42" i="2"/>
  <c r="L42" i="2" s="1"/>
  <c r="H42" i="2"/>
  <c r="A42" i="2"/>
  <c r="A41" i="2"/>
  <c r="O40" i="2"/>
  <c r="K40" i="2"/>
  <c r="L40" i="2" s="1"/>
  <c r="M40" i="2" s="1"/>
  <c r="H40" i="2"/>
  <c r="E40" i="2"/>
  <c r="D40" i="2"/>
  <c r="F40" i="2" s="1"/>
  <c r="G40" i="2" s="1"/>
  <c r="I40" i="2" s="1"/>
  <c r="C40" i="2"/>
  <c r="B40" i="2"/>
  <c r="P40" i="2" s="1"/>
  <c r="Q40" i="2" s="1"/>
  <c r="A40" i="2"/>
  <c r="J40" i="2" s="1"/>
  <c r="N40" i="2" s="1"/>
  <c r="H39" i="2"/>
  <c r="A39" i="2"/>
  <c r="A38" i="2"/>
  <c r="J38" i="2" s="1"/>
  <c r="O37" i="2"/>
  <c r="K37" i="2"/>
  <c r="N37" i="2" s="1"/>
  <c r="J37" i="2"/>
  <c r="H37" i="2"/>
  <c r="E37" i="2"/>
  <c r="F37" i="2" s="1"/>
  <c r="G37" i="2" s="1"/>
  <c r="I37" i="2" s="1"/>
  <c r="D37" i="2"/>
  <c r="C37" i="2"/>
  <c r="B37" i="2"/>
  <c r="A37" i="2"/>
  <c r="K36" i="2"/>
  <c r="J36" i="2"/>
  <c r="H36" i="2"/>
  <c r="E36" i="2"/>
  <c r="D36" i="2"/>
  <c r="F36" i="2" s="1"/>
  <c r="C36" i="2"/>
  <c r="B36" i="2"/>
  <c r="G36" i="2" s="1"/>
  <c r="I36" i="2" s="1"/>
  <c r="A36" i="2"/>
  <c r="O36" i="2" s="1"/>
  <c r="J35" i="2"/>
  <c r="H35" i="2"/>
  <c r="C35" i="2"/>
  <c r="E35" i="2" s="1"/>
  <c r="O35" i="2" s="1"/>
  <c r="A35" i="2"/>
  <c r="K34" i="2"/>
  <c r="L34" i="2" s="1"/>
  <c r="J34" i="2"/>
  <c r="N34" i="2" s="1"/>
  <c r="C34" i="2"/>
  <c r="E34" i="2" s="1"/>
  <c r="B34" i="2"/>
  <c r="A34" i="2"/>
  <c r="K33" i="2"/>
  <c r="L33" i="2" s="1"/>
  <c r="J33" i="2"/>
  <c r="D33" i="2"/>
  <c r="F33" i="2" s="1"/>
  <c r="C33" i="2"/>
  <c r="E33" i="2" s="1"/>
  <c r="A33" i="2"/>
  <c r="A32" i="2"/>
  <c r="D32" i="2" s="1"/>
  <c r="C31" i="2"/>
  <c r="E31" i="2" s="1"/>
  <c r="O31" i="2" s="1"/>
  <c r="B31" i="2"/>
  <c r="A31" i="2"/>
  <c r="H30" i="2"/>
  <c r="D30" i="2"/>
  <c r="A30" i="2"/>
  <c r="J29" i="2"/>
  <c r="C29" i="2"/>
  <c r="E29" i="2" s="1"/>
  <c r="B29" i="2"/>
  <c r="A29" i="2"/>
  <c r="N28" i="2"/>
  <c r="L28" i="2"/>
  <c r="K28" i="2"/>
  <c r="H28" i="2"/>
  <c r="D28" i="2"/>
  <c r="C28" i="2"/>
  <c r="E28" i="2" s="1"/>
  <c r="O28" i="2" s="1"/>
  <c r="B28" i="2"/>
  <c r="A28" i="2"/>
  <c r="J28" i="2" s="1"/>
  <c r="J27" i="2"/>
  <c r="H27" i="2"/>
  <c r="D27" i="2"/>
  <c r="B27" i="2"/>
  <c r="A27" i="2"/>
  <c r="J26" i="2"/>
  <c r="D26" i="2"/>
  <c r="B26" i="2"/>
  <c r="A26" i="2"/>
  <c r="O25" i="2"/>
  <c r="N25" i="2"/>
  <c r="K25" i="2"/>
  <c r="L25" i="2" s="1"/>
  <c r="J25" i="2"/>
  <c r="H25" i="2"/>
  <c r="F25" i="2"/>
  <c r="E25" i="2"/>
  <c r="D25" i="2"/>
  <c r="C25" i="2"/>
  <c r="B25" i="2"/>
  <c r="A25" i="2"/>
  <c r="L24" i="2"/>
  <c r="K24" i="2"/>
  <c r="N24" i="2" s="1"/>
  <c r="H24" i="2"/>
  <c r="C24" i="2"/>
  <c r="E24" i="2" s="1"/>
  <c r="O24" i="2" s="1"/>
  <c r="B24" i="2"/>
  <c r="A24" i="2"/>
  <c r="J24" i="2" s="1"/>
  <c r="H23" i="2"/>
  <c r="D23" i="2"/>
  <c r="F23" i="2" s="1"/>
  <c r="C23" i="2"/>
  <c r="E23" i="2" s="1"/>
  <c r="O23" i="2" s="1"/>
  <c r="A23" i="2"/>
  <c r="O22" i="2"/>
  <c r="J22" i="2"/>
  <c r="H22" i="2"/>
  <c r="C22" i="2"/>
  <c r="E22" i="2" s="1"/>
  <c r="B22" i="2"/>
  <c r="A22" i="2"/>
  <c r="K21" i="2"/>
  <c r="L21" i="2" s="1"/>
  <c r="J21" i="2"/>
  <c r="H21" i="2"/>
  <c r="G21" i="2"/>
  <c r="I21" i="2" s="1"/>
  <c r="D21" i="2"/>
  <c r="F21" i="2" s="1"/>
  <c r="C21" i="2"/>
  <c r="E21" i="2" s="1"/>
  <c r="B21" i="2"/>
  <c r="A21" i="2"/>
  <c r="K20" i="2"/>
  <c r="L20" i="2" s="1"/>
  <c r="J20" i="2"/>
  <c r="H20" i="2"/>
  <c r="D20" i="2"/>
  <c r="A20" i="2"/>
  <c r="K19" i="2"/>
  <c r="N19" i="2" s="1"/>
  <c r="H19" i="2"/>
  <c r="D19" i="2"/>
  <c r="C19" i="2"/>
  <c r="E19" i="2" s="1"/>
  <c r="O19" i="2" s="1"/>
  <c r="B19" i="2"/>
  <c r="A19" i="2"/>
  <c r="J19" i="2" s="1"/>
  <c r="A18" i="2"/>
  <c r="K18" i="2" s="1"/>
  <c r="L18" i="2" s="1"/>
  <c r="A17" i="2"/>
  <c r="O16" i="2"/>
  <c r="L16" i="2"/>
  <c r="K16" i="2"/>
  <c r="H16" i="2"/>
  <c r="D16" i="2"/>
  <c r="F16" i="2" s="1"/>
  <c r="P16" i="2" s="1"/>
  <c r="Q16" i="2" s="1"/>
  <c r="C16" i="2"/>
  <c r="E16" i="2" s="1"/>
  <c r="B16" i="2"/>
  <c r="A16" i="2"/>
  <c r="J16" i="2" s="1"/>
  <c r="N16" i="2" s="1"/>
  <c r="A15" i="2"/>
  <c r="J14" i="2"/>
  <c r="A14" i="2"/>
  <c r="K13" i="2"/>
  <c r="N13" i="2" s="1"/>
  <c r="J13" i="2"/>
  <c r="H13" i="2"/>
  <c r="E13" i="2"/>
  <c r="F13" i="2" s="1"/>
  <c r="G13" i="2" s="1"/>
  <c r="I13" i="2" s="1"/>
  <c r="D13" i="2"/>
  <c r="C13" i="2"/>
  <c r="B13" i="2"/>
  <c r="A13" i="2"/>
  <c r="K12" i="2"/>
  <c r="L12" i="2" s="1"/>
  <c r="J12" i="2"/>
  <c r="N12" i="2" s="1"/>
  <c r="D12" i="2"/>
  <c r="C12" i="2"/>
  <c r="E12" i="2" s="1"/>
  <c r="B12" i="2"/>
  <c r="A12" i="2"/>
  <c r="J11" i="2"/>
  <c r="H11" i="2"/>
  <c r="D11" i="2"/>
  <c r="F11" i="2" s="1"/>
  <c r="C11" i="2"/>
  <c r="E11" i="2" s="1"/>
  <c r="O11" i="2" s="1"/>
  <c r="A11" i="2"/>
  <c r="A10" i="2"/>
  <c r="A9" i="2"/>
  <c r="J8" i="2"/>
  <c r="H8" i="2"/>
  <c r="A8" i="2"/>
  <c r="H7" i="2"/>
  <c r="D7" i="2"/>
  <c r="C7" i="2"/>
  <c r="E7" i="2" s="1"/>
  <c r="A7" i="2"/>
  <c r="A6" i="2"/>
  <c r="K6" i="2" s="1"/>
  <c r="L6" i="2" s="1"/>
  <c r="A5" i="2"/>
  <c r="C5" i="2" s="1"/>
  <c r="E5" i="2" s="1"/>
  <c r="N4" i="2"/>
  <c r="L4" i="2"/>
  <c r="K4" i="2"/>
  <c r="J4" i="2"/>
  <c r="H4" i="2"/>
  <c r="D4" i="2"/>
  <c r="C4" i="2"/>
  <c r="E4" i="2" s="1"/>
  <c r="O4" i="2" s="1"/>
  <c r="B4" i="2"/>
  <c r="A4" i="2"/>
  <c r="K3" i="2"/>
  <c r="L3" i="2" s="1"/>
  <c r="H3" i="2"/>
  <c r="D3" i="2"/>
  <c r="B3" i="2"/>
  <c r="A3" i="2"/>
  <c r="O2" i="2"/>
  <c r="J2" i="2"/>
  <c r="G2" i="2"/>
  <c r="E2" i="2"/>
  <c r="D2" i="2"/>
  <c r="F2" i="2" s="1"/>
  <c r="C2" i="2"/>
  <c r="B2" i="2"/>
  <c r="A2" i="2"/>
  <c r="C56" i="1"/>
  <c r="C55" i="1"/>
  <c r="C54" i="1"/>
  <c r="C53" i="1"/>
  <c r="C52" i="1"/>
  <c r="C51" i="1"/>
  <c r="C40" i="1"/>
  <c r="C28" i="1"/>
  <c r="C27" i="1"/>
  <c r="C27" i="5" s="1"/>
  <c r="I15" i="1"/>
  <c r="C17" i="10" s="1"/>
  <c r="F17" i="10" s="1"/>
  <c r="I10" i="1"/>
  <c r="I9" i="1"/>
  <c r="I11" i="1" s="1"/>
  <c r="C43" i="1" s="1"/>
  <c r="I12" i="1" l="1"/>
  <c r="I13" i="1" s="1"/>
  <c r="I14" i="1" s="1"/>
  <c r="C44" i="1" s="1"/>
  <c r="C42" i="1"/>
  <c r="C6" i="10" s="1"/>
  <c r="F6" i="10" s="1"/>
  <c r="N509" i="2"/>
  <c r="F699" i="2"/>
  <c r="F28" i="2"/>
  <c r="G97" i="2"/>
  <c r="I97" i="2" s="1"/>
  <c r="N38" i="2"/>
  <c r="H41" i="2"/>
  <c r="B41" i="2"/>
  <c r="J41" i="2"/>
  <c r="N41" i="2" s="1"/>
  <c r="C41" i="2"/>
  <c r="E41" i="2" s="1"/>
  <c r="O41" i="2"/>
  <c r="D41" i="2"/>
  <c r="F41" i="2" s="1"/>
  <c r="K41" i="2"/>
  <c r="L41" i="2" s="1"/>
  <c r="M49" i="2"/>
  <c r="N409" i="2"/>
  <c r="N644" i="2"/>
  <c r="G67" i="2"/>
  <c r="I67" i="2" s="1"/>
  <c r="P67" i="2"/>
  <c r="Q67" i="2" s="1"/>
  <c r="I684" i="2"/>
  <c r="M684" i="2" s="1"/>
  <c r="F58" i="2"/>
  <c r="G58" i="2" s="1"/>
  <c r="I58" i="2" s="1"/>
  <c r="M58" i="2" s="1"/>
  <c r="O58" i="2"/>
  <c r="F72" i="2"/>
  <c r="L36" i="2"/>
  <c r="M36" i="2" s="1"/>
  <c r="N36" i="2"/>
  <c r="G111" i="2"/>
  <c r="I111" i="2" s="1"/>
  <c r="M133" i="2"/>
  <c r="G474" i="2"/>
  <c r="I474" i="2" s="1"/>
  <c r="I57" i="2"/>
  <c r="M57" i="2" s="1"/>
  <c r="F85" i="2"/>
  <c r="F186" i="2"/>
  <c r="F61" i="2"/>
  <c r="O61" i="2"/>
  <c r="O64" i="2"/>
  <c r="F64" i="2"/>
  <c r="P64" i="2" s="1"/>
  <c r="Q64" i="2" s="1"/>
  <c r="F91" i="2"/>
  <c r="N158" i="2"/>
  <c r="I230" i="2"/>
  <c r="O451" i="2"/>
  <c r="F451" i="2"/>
  <c r="F47" i="2"/>
  <c r="F55" i="2"/>
  <c r="C102" i="2"/>
  <c r="E102" i="2" s="1"/>
  <c r="O102" i="2" s="1"/>
  <c r="H102" i="2"/>
  <c r="B102" i="2"/>
  <c r="K102" i="2"/>
  <c r="L102" i="2" s="1"/>
  <c r="J102" i="2"/>
  <c r="N102" i="2" s="1"/>
  <c r="D102" i="2"/>
  <c r="F102" i="2" s="1"/>
  <c r="O147" i="2"/>
  <c r="C147" i="2"/>
  <c r="E147" i="2" s="1"/>
  <c r="H147" i="2"/>
  <c r="K147" i="2"/>
  <c r="L147" i="2" s="1"/>
  <c r="J147" i="2"/>
  <c r="D147" i="2"/>
  <c r="F147" i="2" s="1"/>
  <c r="O233" i="2"/>
  <c r="P353" i="2"/>
  <c r="Q353" i="2" s="1"/>
  <c r="G353" i="2"/>
  <c r="I353" i="2" s="1"/>
  <c r="M353" i="2" s="1"/>
  <c r="F12" i="2"/>
  <c r="P12" i="2" s="1"/>
  <c r="Q12" i="2" s="1"/>
  <c r="G46" i="2"/>
  <c r="I46" i="2" s="1"/>
  <c r="M46" i="2" s="1"/>
  <c r="P46" i="2"/>
  <c r="Q46" i="2" s="1"/>
  <c r="P133" i="2"/>
  <c r="Q133" i="2" s="1"/>
  <c r="G133" i="2"/>
  <c r="I133" i="2" s="1"/>
  <c r="D335" i="2"/>
  <c r="D6" i="2"/>
  <c r="D10" i="2"/>
  <c r="C10" i="2"/>
  <c r="E10" i="2" s="1"/>
  <c r="O10" i="2" s="1"/>
  <c r="B10" i="2"/>
  <c r="K10" i="2"/>
  <c r="L10" i="2" s="1"/>
  <c r="M21" i="2"/>
  <c r="C32" i="2"/>
  <c r="E32" i="2" s="1"/>
  <c r="F32" i="2" s="1"/>
  <c r="P36" i="2"/>
  <c r="Q36" i="2" s="1"/>
  <c r="C39" i="2"/>
  <c r="E39" i="2" s="1"/>
  <c r="O39" i="2" s="1"/>
  <c r="K39" i="2"/>
  <c r="L39" i="2" s="1"/>
  <c r="D39" i="2"/>
  <c r="P45" i="2"/>
  <c r="Q45" i="2" s="1"/>
  <c r="N56" i="2"/>
  <c r="C59" i="2"/>
  <c r="E59" i="2" s="1"/>
  <c r="O59" i="2" s="1"/>
  <c r="B66" i="2"/>
  <c r="D71" i="2"/>
  <c r="F71" i="2" s="1"/>
  <c r="B84" i="2"/>
  <c r="C94" i="2"/>
  <c r="E94" i="2" s="1"/>
  <c r="O94" i="2" s="1"/>
  <c r="F97" i="2"/>
  <c r="C119" i="2"/>
  <c r="E119" i="2" s="1"/>
  <c r="K122" i="2"/>
  <c r="L122" i="2" s="1"/>
  <c r="H122" i="2"/>
  <c r="J122" i="2"/>
  <c r="N122" i="2" s="1"/>
  <c r="D122" i="2"/>
  <c r="C122" i="2"/>
  <c r="E122" i="2" s="1"/>
  <c r="P125" i="2"/>
  <c r="Q125" i="2" s="1"/>
  <c r="G125" i="2"/>
  <c r="I125" i="2" s="1"/>
  <c r="M125" i="2" s="1"/>
  <c r="B128" i="2"/>
  <c r="H128" i="2"/>
  <c r="C128" i="2"/>
  <c r="E128" i="2" s="1"/>
  <c r="O128" i="2" s="1"/>
  <c r="K128" i="2"/>
  <c r="L128" i="2" s="1"/>
  <c r="J128" i="2"/>
  <c r="D128" i="2"/>
  <c r="N138" i="2"/>
  <c r="D141" i="2"/>
  <c r="F141" i="2" s="1"/>
  <c r="O141" i="2"/>
  <c r="K141" i="2"/>
  <c r="L141" i="2" s="1"/>
  <c r="J141" i="2"/>
  <c r="N141" i="2" s="1"/>
  <c r="H141" i="2"/>
  <c r="N144" i="2"/>
  <c r="B170" i="2"/>
  <c r="G172" i="2"/>
  <c r="I172" i="2" s="1"/>
  <c r="H197" i="2"/>
  <c r="K197" i="2"/>
  <c r="L197" i="2" s="1"/>
  <c r="J197" i="2"/>
  <c r="O197" i="2"/>
  <c r="G199" i="2"/>
  <c r="I199" i="2" s="1"/>
  <c r="M199" i="2" s="1"/>
  <c r="K206" i="2"/>
  <c r="L206" i="2" s="1"/>
  <c r="H206" i="2"/>
  <c r="J206" i="2"/>
  <c r="D206" i="2"/>
  <c r="F206" i="2" s="1"/>
  <c r="C206" i="2"/>
  <c r="E206" i="2" s="1"/>
  <c r="O206" i="2" s="1"/>
  <c r="G216" i="2"/>
  <c r="I216" i="2" s="1"/>
  <c r="M216" i="2" s="1"/>
  <c r="M220" i="2"/>
  <c r="D250" i="2"/>
  <c r="F250" i="2" s="1"/>
  <c r="K250" i="2"/>
  <c r="L250" i="2" s="1"/>
  <c r="J250" i="2"/>
  <c r="N250" i="2" s="1"/>
  <c r="H250" i="2"/>
  <c r="B250" i="2"/>
  <c r="O250" i="2"/>
  <c r="C250" i="2"/>
  <c r="E250" i="2" s="1"/>
  <c r="B272" i="2"/>
  <c r="J272" i="2"/>
  <c r="H272" i="2"/>
  <c r="D272" i="2"/>
  <c r="C272" i="2"/>
  <c r="E272" i="2" s="1"/>
  <c r="O272" i="2" s="1"/>
  <c r="F277" i="2"/>
  <c r="P301" i="2"/>
  <c r="Q301" i="2" s="1"/>
  <c r="G301" i="2"/>
  <c r="I301" i="2" s="1"/>
  <c r="H305" i="2"/>
  <c r="J305" i="2"/>
  <c r="D305" i="2"/>
  <c r="F305" i="2" s="1"/>
  <c r="K305" i="2"/>
  <c r="L305" i="2" s="1"/>
  <c r="C305" i="2"/>
  <c r="E305" i="2" s="1"/>
  <c r="K326" i="2"/>
  <c r="L326" i="2" s="1"/>
  <c r="H326" i="2"/>
  <c r="O326" i="2"/>
  <c r="J326" i="2"/>
  <c r="D326" i="2"/>
  <c r="F326" i="2" s="1"/>
  <c r="C326" i="2"/>
  <c r="E326" i="2" s="1"/>
  <c r="B326" i="2"/>
  <c r="F328" i="2"/>
  <c r="J367" i="2"/>
  <c r="N367" i="2" s="1"/>
  <c r="C367" i="2"/>
  <c r="E367" i="2" s="1"/>
  <c r="D367" i="2"/>
  <c r="F367" i="2" s="1"/>
  <c r="K367" i="2"/>
  <c r="L367" i="2" s="1"/>
  <c r="H367" i="2"/>
  <c r="O367" i="2"/>
  <c r="B374" i="2"/>
  <c r="K474" i="2"/>
  <c r="L474" i="2" s="1"/>
  <c r="B494" i="2"/>
  <c r="K494" i="2"/>
  <c r="L494" i="2" s="1"/>
  <c r="J494" i="2"/>
  <c r="H494" i="2"/>
  <c r="D494" i="2"/>
  <c r="F508" i="2"/>
  <c r="O508" i="2"/>
  <c r="D644" i="2"/>
  <c r="H644" i="2"/>
  <c r="C644" i="2"/>
  <c r="E644" i="2" s="1"/>
  <c r="O644" i="2" s="1"/>
  <c r="K644" i="2"/>
  <c r="L644" i="2" s="1"/>
  <c r="H994" i="2"/>
  <c r="D994" i="2"/>
  <c r="F994" i="2" s="1"/>
  <c r="J994" i="2"/>
  <c r="N994" i="2" s="1"/>
  <c r="K994" i="2"/>
  <c r="L994" i="2" s="1"/>
  <c r="C994" i="2"/>
  <c r="E994" i="2" s="1"/>
  <c r="O994" i="2" s="1"/>
  <c r="B994" i="2"/>
  <c r="J58" i="4"/>
  <c r="I58" i="4"/>
  <c r="K58" i="4"/>
  <c r="F58" i="4"/>
  <c r="E58" i="4"/>
  <c r="C58" i="4"/>
  <c r="B58" i="4"/>
  <c r="M58" i="4"/>
  <c r="L58" i="4"/>
  <c r="H58" i="4"/>
  <c r="G58" i="4"/>
  <c r="D58" i="4"/>
  <c r="L116" i="4"/>
  <c r="K116" i="4"/>
  <c r="F116" i="4"/>
  <c r="C116" i="4"/>
  <c r="I116" i="4"/>
  <c r="H116" i="4"/>
  <c r="M116" i="4"/>
  <c r="J116" i="4"/>
  <c r="G116" i="4"/>
  <c r="E116" i="4"/>
  <c r="D116" i="4"/>
  <c r="B116" i="4"/>
  <c r="F278" i="4"/>
  <c r="E278" i="4"/>
  <c r="L278" i="4"/>
  <c r="K278" i="4"/>
  <c r="M278" i="4"/>
  <c r="I278" i="4"/>
  <c r="C278" i="4"/>
  <c r="J278" i="4"/>
  <c r="H278" i="4"/>
  <c r="B278" i="4"/>
  <c r="G278" i="4"/>
  <c r="D278" i="4"/>
  <c r="H456" i="8"/>
  <c r="G456" i="8"/>
  <c r="D456" i="8"/>
  <c r="C456" i="8"/>
  <c r="H17" i="2"/>
  <c r="K17" i="2"/>
  <c r="L17" i="2" s="1"/>
  <c r="C17" i="2"/>
  <c r="E17" i="2" s="1"/>
  <c r="B17" i="2"/>
  <c r="D17" i="2"/>
  <c r="F17" i="2" s="1"/>
  <c r="J18" i="2"/>
  <c r="N18" i="2" s="1"/>
  <c r="L19" i="2"/>
  <c r="N21" i="2"/>
  <c r="J31" i="2"/>
  <c r="N31" i="2" s="1"/>
  <c r="K31" i="2"/>
  <c r="L31" i="2" s="1"/>
  <c r="B39" i="2"/>
  <c r="H53" i="2"/>
  <c r="B53" i="2"/>
  <c r="N81" i="2"/>
  <c r="D84" i="2"/>
  <c r="F84" i="2" s="1"/>
  <c r="N87" i="2"/>
  <c r="K93" i="2"/>
  <c r="L93" i="2" s="1"/>
  <c r="H93" i="2"/>
  <c r="D93" i="2"/>
  <c r="F93" i="2" s="1"/>
  <c r="B96" i="2"/>
  <c r="N113" i="2"/>
  <c r="D119" i="2"/>
  <c r="F119" i="2" s="1"/>
  <c r="B122" i="2"/>
  <c r="H137" i="2"/>
  <c r="J137" i="2"/>
  <c r="O137" i="2"/>
  <c r="K137" i="2"/>
  <c r="L137" i="2" s="1"/>
  <c r="M137" i="2" s="1"/>
  <c r="B141" i="2"/>
  <c r="F160" i="2"/>
  <c r="C170" i="2"/>
  <c r="E170" i="2" s="1"/>
  <c r="F170" i="2" s="1"/>
  <c r="N178" i="2"/>
  <c r="B197" i="2"/>
  <c r="B206" i="2"/>
  <c r="B224" i="2"/>
  <c r="O224" i="2"/>
  <c r="J224" i="2"/>
  <c r="K224" i="2"/>
  <c r="L224" i="2" s="1"/>
  <c r="H224" i="2"/>
  <c r="D224" i="2"/>
  <c r="F224" i="2" s="1"/>
  <c r="O229" i="2"/>
  <c r="F229" i="2"/>
  <c r="G229" i="2" s="1"/>
  <c r="I229" i="2" s="1"/>
  <c r="M268" i="2"/>
  <c r="K272" i="2"/>
  <c r="L272" i="2" s="1"/>
  <c r="N279" i="2"/>
  <c r="B305" i="2"/>
  <c r="K314" i="2"/>
  <c r="L314" i="2" s="1"/>
  <c r="H314" i="2"/>
  <c r="D314" i="2"/>
  <c r="F314" i="2" s="1"/>
  <c r="C314" i="2"/>
  <c r="E314" i="2" s="1"/>
  <c r="B314" i="2"/>
  <c r="O314" i="2"/>
  <c r="J314" i="2"/>
  <c r="N314" i="2" s="1"/>
  <c r="N357" i="2"/>
  <c r="B367" i="2"/>
  <c r="P378" i="2"/>
  <c r="Q378" i="2" s="1"/>
  <c r="F406" i="2"/>
  <c r="F485" i="2"/>
  <c r="C494" i="2"/>
  <c r="E494" i="2" s="1"/>
  <c r="O494" i="2" s="1"/>
  <c r="B644" i="2"/>
  <c r="G681" i="2"/>
  <c r="I681" i="2" s="1"/>
  <c r="M681" i="2" s="1"/>
  <c r="O858" i="2"/>
  <c r="F858" i="2"/>
  <c r="H149" i="2"/>
  <c r="B149" i="2"/>
  <c r="D149" i="2"/>
  <c r="J149" i="2"/>
  <c r="N149" i="2" s="1"/>
  <c r="G276" i="2"/>
  <c r="P25" i="2"/>
  <c r="Q25" i="2" s="1"/>
  <c r="B32" i="2"/>
  <c r="K32" i="2"/>
  <c r="L32" i="2" s="1"/>
  <c r="J32" i="2"/>
  <c r="C66" i="2"/>
  <c r="E66" i="2" s="1"/>
  <c r="J66" i="2"/>
  <c r="B94" i="2"/>
  <c r="F113" i="2"/>
  <c r="H10" i="2"/>
  <c r="N33" i="2"/>
  <c r="O63" i="2"/>
  <c r="C63" i="2"/>
  <c r="E63" i="2" s="1"/>
  <c r="H63" i="2"/>
  <c r="B63" i="2"/>
  <c r="K63" i="2"/>
  <c r="L63" i="2" s="1"/>
  <c r="H84" i="2"/>
  <c r="D96" i="2"/>
  <c r="F96" i="2" s="1"/>
  <c r="F189" i="2"/>
  <c r="O13" i="2"/>
  <c r="P13" i="2" s="1"/>
  <c r="Q13" i="2" s="1"/>
  <c r="J17" i="2"/>
  <c r="G45" i="2"/>
  <c r="I45" i="2" s="1"/>
  <c r="M45" i="2" s="1"/>
  <c r="F241" i="2"/>
  <c r="G271" i="2"/>
  <c r="P271" i="2"/>
  <c r="Q271" i="2" s="1"/>
  <c r="F275" i="2"/>
  <c r="O286" i="2"/>
  <c r="O305" i="2"/>
  <c r="L355" i="2"/>
  <c r="N355" i="2"/>
  <c r="G358" i="2"/>
  <c r="I358" i="2" s="1"/>
  <c r="B368" i="2"/>
  <c r="C368" i="2"/>
  <c r="E368" i="2" s="1"/>
  <c r="O368" i="2" s="1"/>
  <c r="J368" i="2"/>
  <c r="N368" i="2" s="1"/>
  <c r="H368" i="2"/>
  <c r="K368" i="2"/>
  <c r="L368" i="2" s="1"/>
  <c r="D368" i="2"/>
  <c r="F368" i="2" s="1"/>
  <c r="O438" i="2"/>
  <c r="C438" i="2"/>
  <c r="E438" i="2" s="1"/>
  <c r="J438" i="2"/>
  <c r="N438" i="2" s="1"/>
  <c r="D438" i="2"/>
  <c r="F438" i="2" s="1"/>
  <c r="B438" i="2"/>
  <c r="K438" i="2"/>
  <c r="L438" i="2" s="1"/>
  <c r="H438" i="2"/>
  <c r="H524" i="2"/>
  <c r="D524" i="2"/>
  <c r="F524" i="2" s="1"/>
  <c r="K524" i="2"/>
  <c r="L524" i="2" s="1"/>
  <c r="O524" i="2"/>
  <c r="J524" i="2"/>
  <c r="C524" i="2"/>
  <c r="E524" i="2" s="1"/>
  <c r="B524" i="2"/>
  <c r="F562" i="2"/>
  <c r="P562" i="2" s="1"/>
  <c r="Q562" i="2" s="1"/>
  <c r="P626" i="2"/>
  <c r="Q626" i="2" s="1"/>
  <c r="G626" i="2"/>
  <c r="I626" i="2" s="1"/>
  <c r="O664" i="2"/>
  <c r="F664" i="2"/>
  <c r="P664" i="2" s="1"/>
  <c r="Q664" i="2" s="1"/>
  <c r="M692" i="2"/>
  <c r="D202" i="2"/>
  <c r="F202" i="2" s="1"/>
  <c r="H202" i="2"/>
  <c r="C202" i="2"/>
  <c r="E202" i="2" s="1"/>
  <c r="K202" i="2"/>
  <c r="L202" i="2" s="1"/>
  <c r="J202" i="2"/>
  <c r="O202" i="2"/>
  <c r="F261" i="2"/>
  <c r="G261" i="2" s="1"/>
  <c r="I261" i="2" s="1"/>
  <c r="M261" i="2" s="1"/>
  <c r="M373" i="2"/>
  <c r="D421" i="2"/>
  <c r="B421" i="2"/>
  <c r="J421" i="2"/>
  <c r="K421" i="2"/>
  <c r="L421" i="2" s="1"/>
  <c r="O421" i="2"/>
  <c r="H421" i="2"/>
  <c r="K425" i="2"/>
  <c r="L425" i="2" s="1"/>
  <c r="H425" i="2"/>
  <c r="D425" i="2"/>
  <c r="F425" i="2" s="1"/>
  <c r="O425" i="2"/>
  <c r="J425" i="2"/>
  <c r="C425" i="2"/>
  <c r="E425" i="2" s="1"/>
  <c r="B425" i="2"/>
  <c r="F829" i="2"/>
  <c r="F926" i="2"/>
  <c r="F7" i="2"/>
  <c r="N8" i="2"/>
  <c r="F19" i="2"/>
  <c r="D94" i="2"/>
  <c r="J94" i="2"/>
  <c r="N94" i="2" s="1"/>
  <c r="H94" i="2"/>
  <c r="P97" i="2"/>
  <c r="Q97" i="2" s="1"/>
  <c r="B147" i="2"/>
  <c r="N188" i="2"/>
  <c r="F192" i="2"/>
  <c r="G192" i="2" s="1"/>
  <c r="I192" i="2" s="1"/>
  <c r="M192" i="2" s="1"/>
  <c r="J223" i="2"/>
  <c r="N223" i="2" s="1"/>
  <c r="C223" i="2"/>
  <c r="E223" i="2" s="1"/>
  <c r="K223" i="2"/>
  <c r="L223" i="2" s="1"/>
  <c r="H223" i="2"/>
  <c r="D223" i="2"/>
  <c r="F223" i="2" s="1"/>
  <c r="B223" i="2"/>
  <c r="M264" i="2"/>
  <c r="F270" i="2"/>
  <c r="G292" i="2"/>
  <c r="I292" i="2" s="1"/>
  <c r="M292" i="2" s="1"/>
  <c r="C330" i="2"/>
  <c r="E330" i="2" s="1"/>
  <c r="O330" i="2" s="1"/>
  <c r="K330" i="2"/>
  <c r="L330" i="2" s="1"/>
  <c r="J330" i="2"/>
  <c r="H330" i="2"/>
  <c r="B330" i="2"/>
  <c r="B335" i="2"/>
  <c r="K335" i="2"/>
  <c r="L335" i="2" s="1"/>
  <c r="J335" i="2"/>
  <c r="N335" i="2" s="1"/>
  <c r="H335" i="2"/>
  <c r="C335" i="2"/>
  <c r="E335" i="2" s="1"/>
  <c r="O335" i="2" s="1"/>
  <c r="F361" i="2"/>
  <c r="B443" i="2"/>
  <c r="C443" i="2"/>
  <c r="E443" i="2" s="1"/>
  <c r="F443" i="2" s="1"/>
  <c r="J443" i="2"/>
  <c r="K443" i="2"/>
  <c r="L443" i="2" s="1"/>
  <c r="H443" i="2"/>
  <c r="N593" i="2"/>
  <c r="F609" i="2"/>
  <c r="G705" i="2"/>
  <c r="B6" i="2"/>
  <c r="B59" i="2"/>
  <c r="K59" i="2"/>
  <c r="L59" i="2" s="1"/>
  <c r="J59" i="2"/>
  <c r="D59" i="2"/>
  <c r="G185" i="2"/>
  <c r="C294" i="2"/>
  <c r="E294" i="2" s="1"/>
  <c r="H294" i="2"/>
  <c r="K294" i="2"/>
  <c r="L294" i="2" s="1"/>
  <c r="J294" i="2"/>
  <c r="N294" i="2" s="1"/>
  <c r="B294" i="2"/>
  <c r="D330" i="2"/>
  <c r="P389" i="2"/>
  <c r="Q389" i="2" s="1"/>
  <c r="G389" i="2"/>
  <c r="I389" i="2" s="1"/>
  <c r="F567" i="2"/>
  <c r="J571" i="2"/>
  <c r="N571" i="2" s="1"/>
  <c r="K571" i="2"/>
  <c r="L571" i="2" s="1"/>
  <c r="C571" i="2"/>
  <c r="E571" i="2" s="1"/>
  <c r="B571" i="2"/>
  <c r="O571" i="2"/>
  <c r="H571" i="2"/>
  <c r="D571" i="2"/>
  <c r="F571" i="2" s="1"/>
  <c r="P647" i="2"/>
  <c r="Q647" i="2" s="1"/>
  <c r="G647" i="2"/>
  <c r="I647" i="2" s="1"/>
  <c r="M647" i="2" s="1"/>
  <c r="P657" i="2"/>
  <c r="Q657" i="2" s="1"/>
  <c r="G657" i="2"/>
  <c r="I657" i="2" s="1"/>
  <c r="N921" i="2"/>
  <c r="G37" i="4"/>
  <c r="F37" i="4"/>
  <c r="E37" i="4"/>
  <c r="B37" i="4"/>
  <c r="M37" i="4"/>
  <c r="K37" i="4"/>
  <c r="J37" i="4"/>
  <c r="L37" i="4"/>
  <c r="I37" i="4"/>
  <c r="C37" i="4"/>
  <c r="H37" i="4"/>
  <c r="D37" i="4"/>
  <c r="E425" i="4"/>
  <c r="G425" i="4"/>
  <c r="F425" i="4"/>
  <c r="D425" i="4"/>
  <c r="B425" i="4"/>
  <c r="K425" i="4"/>
  <c r="M425" i="4"/>
  <c r="H425" i="4"/>
  <c r="C425" i="4"/>
  <c r="J425" i="4"/>
  <c r="L425" i="4"/>
  <c r="I425" i="4"/>
  <c r="G735" i="8"/>
  <c r="H735" i="8"/>
  <c r="D735" i="8"/>
  <c r="C735" i="8"/>
  <c r="E735" i="8" s="1"/>
  <c r="F735" i="8" s="1"/>
  <c r="G969" i="8"/>
  <c r="C969" i="8"/>
  <c r="E969" i="8" s="1"/>
  <c r="F969" i="8" s="1"/>
  <c r="H969" i="8"/>
  <c r="D969" i="8"/>
  <c r="H5" i="2"/>
  <c r="B5" i="2"/>
  <c r="J5" i="2"/>
  <c r="K5" i="2"/>
  <c r="L5" i="2" s="1"/>
  <c r="O5" i="2"/>
  <c r="D9" i="2"/>
  <c r="F9" i="2" s="1"/>
  <c r="O9" i="2"/>
  <c r="K9" i="2"/>
  <c r="L9" i="2" s="1"/>
  <c r="H9" i="2"/>
  <c r="N52" i="2"/>
  <c r="D70" i="2"/>
  <c r="F70" i="2" s="1"/>
  <c r="B70" i="2"/>
  <c r="K70" i="2"/>
  <c r="L70" i="2" s="1"/>
  <c r="H70" i="2"/>
  <c r="J70" i="2"/>
  <c r="H71" i="2"/>
  <c r="C75" i="2"/>
  <c r="E75" i="2" s="1"/>
  <c r="O75" i="2" s="1"/>
  <c r="B75" i="2"/>
  <c r="H75" i="2"/>
  <c r="D75" i="2"/>
  <c r="G93" i="2"/>
  <c r="I93" i="2" s="1"/>
  <c r="J103" i="2"/>
  <c r="H103" i="2"/>
  <c r="D103" i="2"/>
  <c r="F103" i="2" s="1"/>
  <c r="B103" i="2"/>
  <c r="O103" i="2"/>
  <c r="O262" i="2"/>
  <c r="C453" i="2"/>
  <c r="E453" i="2" s="1"/>
  <c r="O453" i="2" s="1"/>
  <c r="K453" i="2"/>
  <c r="L453" i="2" s="1"/>
  <c r="H453" i="2"/>
  <c r="J453" i="2"/>
  <c r="D453" i="2"/>
  <c r="F453" i="2" s="1"/>
  <c r="G492" i="2"/>
  <c r="I492" i="2" s="1"/>
  <c r="M492" i="2" s="1"/>
  <c r="P492" i="2"/>
  <c r="Q492" i="2" s="1"/>
  <c r="H512" i="2"/>
  <c r="K512" i="2"/>
  <c r="L512" i="2" s="1"/>
  <c r="D512" i="2"/>
  <c r="J512" i="2"/>
  <c r="N512" i="2" s="1"/>
  <c r="B512" i="2"/>
  <c r="F520" i="2"/>
  <c r="G520" i="2" s="1"/>
  <c r="I520" i="2" s="1"/>
  <c r="M520" i="2" s="1"/>
  <c r="O520" i="2"/>
  <c r="D541" i="2"/>
  <c r="C541" i="2"/>
  <c r="E541" i="2" s="1"/>
  <c r="O541" i="2" s="1"/>
  <c r="B541" i="2"/>
  <c r="K541" i="2"/>
  <c r="L541" i="2" s="1"/>
  <c r="J541" i="2"/>
  <c r="H541" i="2"/>
  <c r="G871" i="8"/>
  <c r="H871" i="8"/>
  <c r="D871" i="8"/>
  <c r="C871" i="8"/>
  <c r="F4" i="2"/>
  <c r="P4" i="2" s="1"/>
  <c r="Q4" i="2" s="1"/>
  <c r="B9" i="2"/>
  <c r="L13" i="2"/>
  <c r="M13" i="2" s="1"/>
  <c r="C38" i="2"/>
  <c r="E38" i="2" s="1"/>
  <c r="O38" i="2" s="1"/>
  <c r="J39" i="2"/>
  <c r="N39" i="2" s="1"/>
  <c r="F44" i="2"/>
  <c r="N47" i="2"/>
  <c r="N61" i="2"/>
  <c r="G112" i="2"/>
  <c r="I112" i="2" s="1"/>
  <c r="M112" i="2" s="1"/>
  <c r="L117" i="2"/>
  <c r="M117" i="2" s="1"/>
  <c r="N117" i="2"/>
  <c r="F143" i="2"/>
  <c r="F187" i="2"/>
  <c r="D197" i="2"/>
  <c r="F197" i="2" s="1"/>
  <c r="H221" i="2"/>
  <c r="K221" i="2"/>
  <c r="L221" i="2" s="1"/>
  <c r="J221" i="2"/>
  <c r="N221" i="2" s="1"/>
  <c r="D221" i="2"/>
  <c r="F221" i="2" s="1"/>
  <c r="O221" i="2"/>
  <c r="B221" i="2"/>
  <c r="O327" i="2"/>
  <c r="C327" i="2"/>
  <c r="E327" i="2" s="1"/>
  <c r="K327" i="2"/>
  <c r="L327" i="2" s="1"/>
  <c r="J327" i="2"/>
  <c r="N327" i="2" s="1"/>
  <c r="D327" i="2"/>
  <c r="F327" i="2" s="1"/>
  <c r="P327" i="2" s="1"/>
  <c r="Q327" i="2" s="1"/>
  <c r="F349" i="2"/>
  <c r="P352" i="2"/>
  <c r="Q352" i="2" s="1"/>
  <c r="G352" i="2"/>
  <c r="I352" i="2" s="1"/>
  <c r="L381" i="2"/>
  <c r="M381" i="2" s="1"/>
  <c r="N381" i="2"/>
  <c r="G442" i="2"/>
  <c r="I442" i="2" s="1"/>
  <c r="B453" i="2"/>
  <c r="C512" i="2"/>
  <c r="E512" i="2" s="1"/>
  <c r="O512" i="2" s="1"/>
  <c r="K699" i="2"/>
  <c r="L699" i="2" s="1"/>
  <c r="H699" i="2"/>
  <c r="B699" i="2"/>
  <c r="J699" i="2"/>
  <c r="N699" i="2" s="1"/>
  <c r="C699" i="2"/>
  <c r="E699" i="2" s="1"/>
  <c r="O699" i="2" s="1"/>
  <c r="G903" i="2"/>
  <c r="I903" i="2" s="1"/>
  <c r="P903" i="2"/>
  <c r="Q903" i="2" s="1"/>
  <c r="K249" i="4"/>
  <c r="J249" i="4"/>
  <c r="I249" i="4"/>
  <c r="F249" i="4"/>
  <c r="M249" i="4"/>
  <c r="L249" i="4"/>
  <c r="G249" i="4"/>
  <c r="B249" i="4"/>
  <c r="H249" i="4"/>
  <c r="E249" i="4"/>
  <c r="D249" i="4"/>
  <c r="C249" i="4"/>
  <c r="C29" i="1"/>
  <c r="D5" i="2"/>
  <c r="F5" i="2" s="1"/>
  <c r="C9" i="2"/>
  <c r="E9" i="2" s="1"/>
  <c r="C15" i="2"/>
  <c r="E15" i="2" s="1"/>
  <c r="O15" i="2" s="1"/>
  <c r="B15" i="2"/>
  <c r="H15" i="2"/>
  <c r="D15" i="2"/>
  <c r="O21" i="2"/>
  <c r="P21" i="2" s="1"/>
  <c r="Q21" i="2" s="1"/>
  <c r="G25" i="2"/>
  <c r="I25" i="2" s="1"/>
  <c r="M25" i="2" s="1"/>
  <c r="D31" i="2"/>
  <c r="F31" i="2" s="1"/>
  <c r="G31" i="2" s="1"/>
  <c r="I31" i="2" s="1"/>
  <c r="H32" i="2"/>
  <c r="D63" i="2"/>
  <c r="F63" i="2" s="1"/>
  <c r="F65" i="2"/>
  <c r="H66" i="2"/>
  <c r="K69" i="2"/>
  <c r="L69" i="2" s="1"/>
  <c r="D69" i="2"/>
  <c r="F69" i="2" s="1"/>
  <c r="K74" i="2"/>
  <c r="L74" i="2" s="1"/>
  <c r="H74" i="2"/>
  <c r="C74" i="2"/>
  <c r="E74" i="2" s="1"/>
  <c r="O74" i="2" s="1"/>
  <c r="J84" i="2"/>
  <c r="L89" i="2"/>
  <c r="O117" i="2"/>
  <c r="P117" i="2" s="1"/>
  <c r="Q117" i="2" s="1"/>
  <c r="H119" i="2"/>
  <c r="D129" i="2"/>
  <c r="K129" i="2"/>
  <c r="L129" i="2" s="1"/>
  <c r="C129" i="2"/>
  <c r="E129" i="2" s="1"/>
  <c r="O129" i="2"/>
  <c r="D137" i="2"/>
  <c r="F137" i="2" s="1"/>
  <c r="G137" i="2" s="1"/>
  <c r="I137" i="2" s="1"/>
  <c r="B152" i="2"/>
  <c r="J152" i="2"/>
  <c r="H152" i="2"/>
  <c r="F174" i="2"/>
  <c r="F191" i="2"/>
  <c r="G196" i="2"/>
  <c r="I196" i="2" s="1"/>
  <c r="P196" i="2"/>
  <c r="Q196" i="2" s="1"/>
  <c r="F213" i="2"/>
  <c r="G213" i="2" s="1"/>
  <c r="I213" i="2" s="1"/>
  <c r="M213" i="2" s="1"/>
  <c r="C30" i="1"/>
  <c r="C31" i="1" s="1"/>
  <c r="C8" i="10" s="1"/>
  <c r="F8" i="10" s="1"/>
  <c r="J10" i="2"/>
  <c r="N10" i="2" s="1"/>
  <c r="O30" i="2"/>
  <c r="C30" i="2"/>
  <c r="E30" i="2" s="1"/>
  <c r="F30" i="2" s="1"/>
  <c r="B30" i="2"/>
  <c r="K30" i="2"/>
  <c r="L30" i="2" s="1"/>
  <c r="J30" i="2"/>
  <c r="D34" i="2"/>
  <c r="F34" i="2" s="1"/>
  <c r="H34" i="2"/>
  <c r="O34" i="2"/>
  <c r="O51" i="2"/>
  <c r="C51" i="2"/>
  <c r="E51" i="2" s="1"/>
  <c r="B51" i="2"/>
  <c r="J53" i="2"/>
  <c r="B56" i="2"/>
  <c r="O56" i="2"/>
  <c r="K56" i="2"/>
  <c r="L56" i="2" s="1"/>
  <c r="K62" i="2"/>
  <c r="L62" i="2" s="1"/>
  <c r="H62" i="2"/>
  <c r="J62" i="2"/>
  <c r="D62" i="2"/>
  <c r="F62" i="2" s="1"/>
  <c r="O62" i="2"/>
  <c r="K66" i="2"/>
  <c r="L66" i="2" s="1"/>
  <c r="B69" i="2"/>
  <c r="B74" i="2"/>
  <c r="D82" i="2"/>
  <c r="F82" i="2" s="1"/>
  <c r="K82" i="2"/>
  <c r="L82" i="2" s="1"/>
  <c r="C82" i="2"/>
  <c r="E82" i="2" s="1"/>
  <c r="O82" i="2" s="1"/>
  <c r="J82" i="2"/>
  <c r="N82" i="2" s="1"/>
  <c r="K84" i="2"/>
  <c r="L84" i="2" s="1"/>
  <c r="B92" i="2"/>
  <c r="J92" i="2"/>
  <c r="N92" i="2" s="1"/>
  <c r="H92" i="2"/>
  <c r="D92" i="2"/>
  <c r="F92" i="2" s="1"/>
  <c r="J93" i="2"/>
  <c r="N93" i="2" s="1"/>
  <c r="H96" i="2"/>
  <c r="K103" i="2"/>
  <c r="L103" i="2" s="1"/>
  <c r="B107" i="2"/>
  <c r="K107" i="2"/>
  <c r="L107" i="2" s="1"/>
  <c r="J107" i="2"/>
  <c r="N107" i="2" s="1"/>
  <c r="C107" i="2"/>
  <c r="E107" i="2" s="1"/>
  <c r="O107" i="2" s="1"/>
  <c r="D107" i="2"/>
  <c r="B129" i="2"/>
  <c r="D142" i="2"/>
  <c r="F142" i="2" s="1"/>
  <c r="J142" i="2"/>
  <c r="N142" i="2" s="1"/>
  <c r="B142" i="2"/>
  <c r="O142" i="2"/>
  <c r="P145" i="2"/>
  <c r="Q145" i="2" s="1"/>
  <c r="G145" i="2"/>
  <c r="I145" i="2" s="1"/>
  <c r="M145" i="2" s="1"/>
  <c r="C152" i="2"/>
  <c r="E152" i="2" s="1"/>
  <c r="O152" i="2" s="1"/>
  <c r="J163" i="2"/>
  <c r="D163" i="2"/>
  <c r="F163" i="2" s="1"/>
  <c r="K163" i="2"/>
  <c r="L163" i="2" s="1"/>
  <c r="O163" i="2"/>
  <c r="H163" i="2"/>
  <c r="B163" i="2"/>
  <c r="P220" i="2"/>
  <c r="Q220" i="2" s="1"/>
  <c r="G220" i="2"/>
  <c r="I220" i="2" s="1"/>
  <c r="C222" i="2"/>
  <c r="E222" i="2" s="1"/>
  <c r="F222" i="2" s="1"/>
  <c r="J222" i="2"/>
  <c r="H222" i="2"/>
  <c r="M229" i="2"/>
  <c r="N282" i="2"/>
  <c r="N289" i="2"/>
  <c r="F325" i="2"/>
  <c r="G325" i="2" s="1"/>
  <c r="I325" i="2" s="1"/>
  <c r="M325" i="2" s="1"/>
  <c r="H327" i="2"/>
  <c r="B356" i="2"/>
  <c r="J356" i="2"/>
  <c r="N356" i="2" s="1"/>
  <c r="O356" i="2"/>
  <c r="H356" i="2"/>
  <c r="K356" i="2"/>
  <c r="L356" i="2" s="1"/>
  <c r="B392" i="2"/>
  <c r="C392" i="2"/>
  <c r="E392" i="2" s="1"/>
  <c r="O392" i="2" s="1"/>
  <c r="K392" i="2"/>
  <c r="L392" i="2" s="1"/>
  <c r="J392" i="2"/>
  <c r="N392" i="2" s="1"/>
  <c r="H392" i="2"/>
  <c r="D392" i="2"/>
  <c r="N448" i="2"/>
  <c r="O487" i="2"/>
  <c r="M517" i="2"/>
  <c r="O525" i="2"/>
  <c r="C525" i="2"/>
  <c r="E525" i="2" s="1"/>
  <c r="F525" i="2" s="1"/>
  <c r="B525" i="2"/>
  <c r="J525" i="2"/>
  <c r="H525" i="2"/>
  <c r="K525" i="2"/>
  <c r="L525" i="2" s="1"/>
  <c r="H576" i="2"/>
  <c r="K576" i="2"/>
  <c r="L576" i="2" s="1"/>
  <c r="O576" i="2"/>
  <c r="J576" i="2"/>
  <c r="N576" i="2" s="1"/>
  <c r="B576" i="2"/>
  <c r="L640" i="2"/>
  <c r="N640" i="2"/>
  <c r="P711" i="2"/>
  <c r="Q711" i="2" s="1"/>
  <c r="F731" i="2"/>
  <c r="L870" i="2"/>
  <c r="N870" i="2"/>
  <c r="K266" i="2"/>
  <c r="L266" i="2" s="1"/>
  <c r="H266" i="2"/>
  <c r="O266" i="2"/>
  <c r="J266" i="2"/>
  <c r="N266" i="2" s="1"/>
  <c r="D266" i="2"/>
  <c r="B266" i="2"/>
  <c r="F88" i="2"/>
  <c r="P88" i="2" s="1"/>
  <c r="Q88" i="2" s="1"/>
  <c r="M100" i="2"/>
  <c r="G117" i="2"/>
  <c r="I117" i="2" s="1"/>
  <c r="F242" i="2"/>
  <c r="G242" i="2" s="1"/>
  <c r="G355" i="2"/>
  <c r="I355" i="2" s="1"/>
  <c r="K374" i="2"/>
  <c r="L374" i="2" s="1"/>
  <c r="H374" i="2"/>
  <c r="D374" i="2"/>
  <c r="F374" i="2" s="1"/>
  <c r="C374" i="2"/>
  <c r="E374" i="2" s="1"/>
  <c r="O374" i="2" s="1"/>
  <c r="B167" i="2"/>
  <c r="K167" i="2"/>
  <c r="L167" i="2" s="1"/>
  <c r="H167" i="2"/>
  <c r="D167" i="2"/>
  <c r="F167" i="2" s="1"/>
  <c r="O167" i="2"/>
  <c r="J167" i="2"/>
  <c r="N167" i="2" s="1"/>
  <c r="H336" i="2"/>
  <c r="K336" i="2"/>
  <c r="L336" i="2" s="1"/>
  <c r="J336" i="2"/>
  <c r="N336" i="2" s="1"/>
  <c r="B336" i="2"/>
  <c r="O336" i="2"/>
  <c r="D336" i="2"/>
  <c r="F336" i="2" s="1"/>
  <c r="C336" i="2"/>
  <c r="E336" i="2" s="1"/>
  <c r="J43" i="2"/>
  <c r="H43" i="2"/>
  <c r="C43" i="2"/>
  <c r="E43" i="2" s="1"/>
  <c r="B43" i="2"/>
  <c r="O122" i="2"/>
  <c r="J75" i="2"/>
  <c r="N75" i="2" s="1"/>
  <c r="B95" i="2"/>
  <c r="K95" i="2"/>
  <c r="L95" i="2" s="1"/>
  <c r="C95" i="2"/>
  <c r="E95" i="2" s="1"/>
  <c r="H95" i="2"/>
  <c r="O95" i="2"/>
  <c r="D118" i="2"/>
  <c r="F118" i="2" s="1"/>
  <c r="H118" i="2"/>
  <c r="J118" i="2"/>
  <c r="N118" i="2" s="1"/>
  <c r="O118" i="2"/>
  <c r="K118" i="2"/>
  <c r="L118" i="2" s="1"/>
  <c r="O138" i="2"/>
  <c r="C138" i="2"/>
  <c r="E138" i="2" s="1"/>
  <c r="H138" i="2"/>
  <c r="K138" i="2"/>
  <c r="L138" i="2" s="1"/>
  <c r="F152" i="2"/>
  <c r="P205" i="2"/>
  <c r="Q205" i="2" s="1"/>
  <c r="G205" i="2"/>
  <c r="I205" i="2" s="1"/>
  <c r="F217" i="2"/>
  <c r="P217" i="2" s="1"/>
  <c r="Q217" i="2" s="1"/>
  <c r="J252" i="2"/>
  <c r="N252" i="2" s="1"/>
  <c r="K252" i="2"/>
  <c r="L252" i="2" s="1"/>
  <c r="H252" i="2"/>
  <c r="B252" i="2"/>
  <c r="D252" i="2"/>
  <c r="C252" i="2"/>
  <c r="E252" i="2" s="1"/>
  <c r="O252" i="2" s="1"/>
  <c r="P268" i="2"/>
  <c r="Q268" i="2" s="1"/>
  <c r="G268" i="2"/>
  <c r="I268" i="2" s="1"/>
  <c r="M289" i="2"/>
  <c r="P337" i="2"/>
  <c r="Q337" i="2" s="1"/>
  <c r="G337" i="2"/>
  <c r="I337" i="2" s="1"/>
  <c r="C339" i="2"/>
  <c r="E339" i="2" s="1"/>
  <c r="O339" i="2" s="1"/>
  <c r="J339" i="2"/>
  <c r="H339" i="2"/>
  <c r="D339" i="2"/>
  <c r="B339" i="2"/>
  <c r="M352" i="2"/>
  <c r="H365" i="2"/>
  <c r="K365" i="2"/>
  <c r="L365" i="2" s="1"/>
  <c r="J365" i="2"/>
  <c r="D365" i="2"/>
  <c r="C365" i="2"/>
  <c r="E365" i="2" s="1"/>
  <c r="O365" i="2"/>
  <c r="G369" i="2"/>
  <c r="I369" i="2" s="1"/>
  <c r="M369" i="2" s="1"/>
  <c r="O373" i="2"/>
  <c r="F373" i="2"/>
  <c r="G373" i="2" s="1"/>
  <c r="I373" i="2" s="1"/>
  <c r="K386" i="2"/>
  <c r="L386" i="2" s="1"/>
  <c r="H386" i="2"/>
  <c r="C386" i="2"/>
  <c r="E386" i="2" s="1"/>
  <c r="O386" i="2" s="1"/>
  <c r="J386" i="2"/>
  <c r="B386" i="2"/>
  <c r="D394" i="2"/>
  <c r="H394" i="2"/>
  <c r="C394" i="2"/>
  <c r="E394" i="2" s="1"/>
  <c r="O394" i="2"/>
  <c r="K394" i="2"/>
  <c r="L394" i="2" s="1"/>
  <c r="J394" i="2"/>
  <c r="N394" i="2" s="1"/>
  <c r="B394" i="2"/>
  <c r="P412" i="2"/>
  <c r="Q412" i="2" s="1"/>
  <c r="G412" i="2"/>
  <c r="I412" i="2" s="1"/>
  <c r="M412" i="2" s="1"/>
  <c r="P487" i="2"/>
  <c r="Q487" i="2" s="1"/>
  <c r="B518" i="2"/>
  <c r="K518" i="2"/>
  <c r="L518" i="2" s="1"/>
  <c r="D518" i="2"/>
  <c r="F518" i="2" s="1"/>
  <c r="H518" i="2"/>
  <c r="O518" i="2"/>
  <c r="C518" i="2"/>
  <c r="E518" i="2" s="1"/>
  <c r="J619" i="2"/>
  <c r="N619" i="2" s="1"/>
  <c r="B619" i="2"/>
  <c r="D619" i="2"/>
  <c r="F619" i="2" s="1"/>
  <c r="O619" i="2"/>
  <c r="K619" i="2"/>
  <c r="L619" i="2" s="1"/>
  <c r="H619" i="2"/>
  <c r="C619" i="2"/>
  <c r="E619" i="2" s="1"/>
  <c r="O683" i="2"/>
  <c r="F683" i="2"/>
  <c r="O837" i="2"/>
  <c r="F837" i="2"/>
  <c r="G113" i="2"/>
  <c r="I113" i="2" s="1"/>
  <c r="M113" i="2" s="1"/>
  <c r="P113" i="2"/>
  <c r="Q113" i="2" s="1"/>
  <c r="O18" i="2"/>
  <c r="C18" i="2"/>
  <c r="E18" i="2" s="1"/>
  <c r="H18" i="2"/>
  <c r="B18" i="2"/>
  <c r="D18" i="2"/>
  <c r="F18" i="2" s="1"/>
  <c r="B119" i="2"/>
  <c r="K119" i="2"/>
  <c r="L119" i="2" s="1"/>
  <c r="O119" i="2"/>
  <c r="P276" i="2"/>
  <c r="Q276" i="2" s="1"/>
  <c r="F381" i="2"/>
  <c r="G381" i="2" s="1"/>
  <c r="I381" i="2" s="1"/>
  <c r="P31" i="2"/>
  <c r="Q31" i="2" s="1"/>
  <c r="N86" i="2"/>
  <c r="B8" i="2"/>
  <c r="K8" i="2"/>
  <c r="L8" i="2" s="1"/>
  <c r="D8" i="2"/>
  <c r="K14" i="2"/>
  <c r="H14" i="2"/>
  <c r="C14" i="2"/>
  <c r="E14" i="2" s="1"/>
  <c r="O14" i="2" s="1"/>
  <c r="H31" i="2"/>
  <c r="G34" i="2"/>
  <c r="P34" i="2"/>
  <c r="Q34" i="2" s="1"/>
  <c r="O42" i="2"/>
  <c r="C42" i="2"/>
  <c r="E42" i="2" s="1"/>
  <c r="J42" i="2"/>
  <c r="N42" i="2" s="1"/>
  <c r="B42" i="2"/>
  <c r="F51" i="2"/>
  <c r="K53" i="2"/>
  <c r="L53" i="2" s="1"/>
  <c r="G82" i="2"/>
  <c r="I82" i="2" s="1"/>
  <c r="K96" i="2"/>
  <c r="M97" i="2"/>
  <c r="C123" i="2"/>
  <c r="E123" i="2" s="1"/>
  <c r="O123" i="2" s="1"/>
  <c r="H123" i="2"/>
  <c r="J123" i="2"/>
  <c r="K123" i="2"/>
  <c r="L123" i="2" s="1"/>
  <c r="D42" i="2"/>
  <c r="K75" i="2"/>
  <c r="L75" i="2" s="1"/>
  <c r="M76" i="2"/>
  <c r="O93" i="2"/>
  <c r="B118" i="2"/>
  <c r="K152" i="2"/>
  <c r="L152" i="2" s="1"/>
  <c r="N187" i="2"/>
  <c r="L187" i="2"/>
  <c r="P199" i="2"/>
  <c r="Q199" i="2" s="1"/>
  <c r="F215" i="2"/>
  <c r="G254" i="2"/>
  <c r="P254" i="2"/>
  <c r="Q254" i="2" s="1"/>
  <c r="P259" i="2"/>
  <c r="Q259" i="2" s="1"/>
  <c r="J307" i="2"/>
  <c r="D307" i="2"/>
  <c r="F307" i="2" s="1"/>
  <c r="B307" i="2"/>
  <c r="K307" i="2"/>
  <c r="L307" i="2" s="1"/>
  <c r="H307" i="2"/>
  <c r="B311" i="2"/>
  <c r="K311" i="2"/>
  <c r="L311" i="2" s="1"/>
  <c r="H311" i="2"/>
  <c r="D311" i="2"/>
  <c r="C311" i="2"/>
  <c r="E311" i="2" s="1"/>
  <c r="O311" i="2" s="1"/>
  <c r="K339" i="2"/>
  <c r="L339" i="2" s="1"/>
  <c r="F356" i="2"/>
  <c r="B365" i="2"/>
  <c r="M378" i="2"/>
  <c r="F384" i="2"/>
  <c r="D386" i="2"/>
  <c r="F423" i="2"/>
  <c r="K449" i="2"/>
  <c r="L449" i="2" s="1"/>
  <c r="H449" i="2"/>
  <c r="J449" i="2"/>
  <c r="N449" i="2" s="1"/>
  <c r="B449" i="2"/>
  <c r="D449" i="2"/>
  <c r="C449" i="2"/>
  <c r="E449" i="2" s="1"/>
  <c r="O449" i="2" s="1"/>
  <c r="F462" i="2"/>
  <c r="J478" i="2"/>
  <c r="H478" i="2"/>
  <c r="D478" i="2"/>
  <c r="F478" i="2" s="1"/>
  <c r="C478" i="2"/>
  <c r="E478" i="2" s="1"/>
  <c r="B478" i="2"/>
  <c r="O478" i="2"/>
  <c r="K478" i="2"/>
  <c r="L478" i="2" s="1"/>
  <c r="J518" i="2"/>
  <c r="F528" i="2"/>
  <c r="O528" i="2"/>
  <c r="F574" i="2"/>
  <c r="F576" i="2"/>
  <c r="O599" i="2"/>
  <c r="F599" i="2"/>
  <c r="H629" i="2"/>
  <c r="B629" i="2"/>
  <c r="D629" i="2"/>
  <c r="C629" i="2"/>
  <c r="E629" i="2" s="1"/>
  <c r="O629" i="2" s="1"/>
  <c r="K629" i="2"/>
  <c r="L629" i="2" s="1"/>
  <c r="J629" i="2"/>
  <c r="M658" i="2"/>
  <c r="P954" i="2"/>
  <c r="Q954" i="2" s="1"/>
  <c r="B200" i="2"/>
  <c r="J200" i="2"/>
  <c r="N200" i="2" s="1"/>
  <c r="H200" i="2"/>
  <c r="D200" i="2"/>
  <c r="F200" i="2" s="1"/>
  <c r="O200" i="2"/>
  <c r="G214" i="2"/>
  <c r="I214" i="2" s="1"/>
  <c r="D409" i="2"/>
  <c r="C409" i="2"/>
  <c r="E409" i="2" s="1"/>
  <c r="O409" i="2" s="1"/>
  <c r="B409" i="2"/>
  <c r="K409" i="2"/>
  <c r="L409" i="2" s="1"/>
  <c r="M431" i="2"/>
  <c r="O534" i="2"/>
  <c r="C534" i="2"/>
  <c r="E534" i="2" s="1"/>
  <c r="B534" i="2"/>
  <c r="K534" i="2"/>
  <c r="L534" i="2" s="1"/>
  <c r="J534" i="2"/>
  <c r="H534" i="2"/>
  <c r="O611" i="2"/>
  <c r="F611" i="2"/>
  <c r="G611" i="2" s="1"/>
  <c r="I611" i="2" s="1"/>
  <c r="M611" i="2" s="1"/>
  <c r="O6" i="2"/>
  <c r="C6" i="2"/>
  <c r="E6" i="2" s="1"/>
  <c r="H6" i="2"/>
  <c r="J6" i="2"/>
  <c r="N6" i="2" s="1"/>
  <c r="F60" i="2"/>
  <c r="B71" i="2"/>
  <c r="K71" i="2"/>
  <c r="L71" i="2" s="1"/>
  <c r="O71" i="2"/>
  <c r="J71" i="2"/>
  <c r="N71" i="2" s="1"/>
  <c r="F98" i="2"/>
  <c r="N115" i="2"/>
  <c r="L115" i="2"/>
  <c r="K134" i="2"/>
  <c r="L134" i="2" s="1"/>
  <c r="H134" i="2"/>
  <c r="D134" i="2"/>
  <c r="F134" i="2" s="1"/>
  <c r="B134" i="2"/>
  <c r="C134" i="2"/>
  <c r="E134" i="2" s="1"/>
  <c r="O134" i="2" s="1"/>
  <c r="J134" i="2"/>
  <c r="N134" i="2" s="1"/>
  <c r="C149" i="2"/>
  <c r="E149" i="2" s="1"/>
  <c r="O149" i="2" s="1"/>
  <c r="F190" i="2"/>
  <c r="B202" i="2"/>
  <c r="P253" i="2"/>
  <c r="Q253" i="2" s="1"/>
  <c r="G253" i="2"/>
  <c r="I253" i="2" s="1"/>
  <c r="M253" i="2" s="1"/>
  <c r="C266" i="2"/>
  <c r="E266" i="2" s="1"/>
  <c r="F302" i="2"/>
  <c r="N346" i="2"/>
  <c r="C366" i="2"/>
  <c r="E366" i="2" s="1"/>
  <c r="O366" i="2" s="1"/>
  <c r="J366" i="2"/>
  <c r="N366" i="2" s="1"/>
  <c r="H366" i="2"/>
  <c r="D366" i="2"/>
  <c r="K366" i="2"/>
  <c r="L366" i="2" s="1"/>
  <c r="B366" i="2"/>
  <c r="P396" i="2"/>
  <c r="Q396" i="2" s="1"/>
  <c r="F405" i="2"/>
  <c r="H409" i="2"/>
  <c r="C421" i="2"/>
  <c r="E421" i="2" s="1"/>
  <c r="O474" i="2"/>
  <c r="P474" i="2" s="1"/>
  <c r="Q474" i="2" s="1"/>
  <c r="C474" i="2"/>
  <c r="E474" i="2" s="1"/>
  <c r="J474" i="2"/>
  <c r="N474" i="2" s="1"/>
  <c r="D474" i="2"/>
  <c r="F474" i="2" s="1"/>
  <c r="H474" i="2"/>
  <c r="F521" i="2"/>
  <c r="D534" i="2"/>
  <c r="F534" i="2" s="1"/>
  <c r="M921" i="2"/>
  <c r="D932" i="8"/>
  <c r="H932" i="8"/>
  <c r="C932" i="8"/>
  <c r="G932" i="8"/>
  <c r="N2" i="2"/>
  <c r="F27" i="2"/>
  <c r="L37" i="2"/>
  <c r="M37" i="2" s="1"/>
  <c r="K170" i="2"/>
  <c r="L170" i="2" s="1"/>
  <c r="H170" i="2"/>
  <c r="J170" i="2"/>
  <c r="N170" i="2" s="1"/>
  <c r="O170" i="2"/>
  <c r="H173" i="2"/>
  <c r="C173" i="2"/>
  <c r="E173" i="2" s="1"/>
  <c r="K173" i="2"/>
  <c r="L173" i="2" s="1"/>
  <c r="J173" i="2"/>
  <c r="D173" i="2"/>
  <c r="O173" i="2"/>
  <c r="D180" i="2"/>
  <c r="F180" i="2" s="1"/>
  <c r="C180" i="2"/>
  <c r="E180" i="2" s="1"/>
  <c r="B180" i="2"/>
  <c r="O180" i="2"/>
  <c r="K180" i="2"/>
  <c r="L180" i="2" s="1"/>
  <c r="H180" i="2"/>
  <c r="K200" i="2"/>
  <c r="L200" i="2" s="1"/>
  <c r="O223" i="2"/>
  <c r="B248" i="2"/>
  <c r="C248" i="2"/>
  <c r="E248" i="2" s="1"/>
  <c r="O248" i="2"/>
  <c r="K248" i="2"/>
  <c r="L248" i="2" s="1"/>
  <c r="J248" i="2"/>
  <c r="H248" i="2"/>
  <c r="D248" i="2"/>
  <c r="F248" i="2" s="1"/>
  <c r="G274" i="2"/>
  <c r="P274" i="2"/>
  <c r="Q274" i="2" s="1"/>
  <c r="F345" i="2"/>
  <c r="K38" i="2"/>
  <c r="L38" i="2" s="1"/>
  <c r="H38" i="2"/>
  <c r="D38" i="2"/>
  <c r="F38" i="2" s="1"/>
  <c r="B38" i="2"/>
  <c r="M73" i="2"/>
  <c r="B83" i="2"/>
  <c r="K83" i="2"/>
  <c r="L83" i="2" s="1"/>
  <c r="H83" i="2"/>
  <c r="O83" i="2"/>
  <c r="D83" i="2"/>
  <c r="F83" i="2" s="1"/>
  <c r="F139" i="2"/>
  <c r="F157" i="2"/>
  <c r="G157" i="2" s="1"/>
  <c r="I157" i="2" s="1"/>
  <c r="O157" i="2"/>
  <c r="G247" i="2"/>
  <c r="I247" i="2" s="1"/>
  <c r="M247" i="2" s="1"/>
  <c r="P247" i="2"/>
  <c r="Q247" i="2" s="1"/>
  <c r="B251" i="2"/>
  <c r="K251" i="2"/>
  <c r="L251" i="2" s="1"/>
  <c r="J251" i="2"/>
  <c r="N251" i="2" s="1"/>
  <c r="H251" i="2"/>
  <c r="C251" i="2"/>
  <c r="E251" i="2" s="1"/>
  <c r="F251" i="2" s="1"/>
  <c r="O251" i="2"/>
  <c r="H742" i="2"/>
  <c r="C742" i="2"/>
  <c r="E742" i="2" s="1"/>
  <c r="D742" i="2"/>
  <c r="B742" i="2"/>
  <c r="O742" i="2"/>
  <c r="K742" i="2"/>
  <c r="L742" i="2" s="1"/>
  <c r="J742" i="2"/>
  <c r="N742" i="2" s="1"/>
  <c r="C746" i="2"/>
  <c r="E746" i="2" s="1"/>
  <c r="B746" i="2"/>
  <c r="H746" i="2"/>
  <c r="K746" i="2"/>
  <c r="L746" i="2" s="1"/>
  <c r="O746" i="2"/>
  <c r="J746" i="2"/>
  <c r="D746" i="2"/>
  <c r="F746" i="2" s="1"/>
  <c r="C8" i="2"/>
  <c r="E8" i="2" s="1"/>
  <c r="O8" i="2" s="1"/>
  <c r="J9" i="2"/>
  <c r="N9" i="2" s="1"/>
  <c r="B14" i="2"/>
  <c r="J15" i="2"/>
  <c r="N15" i="2" s="1"/>
  <c r="H33" i="2"/>
  <c r="O33" i="2"/>
  <c r="K43" i="2"/>
  <c r="L43" i="2" s="1"/>
  <c r="H69" i="2"/>
  <c r="C72" i="2"/>
  <c r="E72" i="2" s="1"/>
  <c r="O72" i="2" s="1"/>
  <c r="K72" i="2"/>
  <c r="G88" i="2"/>
  <c r="I88" i="2" s="1"/>
  <c r="M88" i="2" s="1"/>
  <c r="J91" i="2"/>
  <c r="N91" i="2" s="1"/>
  <c r="H91" i="2"/>
  <c r="B91" i="2"/>
  <c r="D95" i="2"/>
  <c r="F95" i="2" s="1"/>
  <c r="B123" i="2"/>
  <c r="C126" i="2"/>
  <c r="E126" i="2" s="1"/>
  <c r="O126" i="2" s="1"/>
  <c r="K126" i="2"/>
  <c r="D126" i="2"/>
  <c r="H129" i="2"/>
  <c r="B138" i="2"/>
  <c r="H161" i="2"/>
  <c r="J161" i="2"/>
  <c r="O161" i="2"/>
  <c r="K161" i="2"/>
  <c r="L161" i="2" s="1"/>
  <c r="D161" i="2"/>
  <c r="F161" i="2" s="1"/>
  <c r="J7" i="2"/>
  <c r="O7" i="2"/>
  <c r="K7" i="2"/>
  <c r="L7" i="2" s="1"/>
  <c r="B7" i="2"/>
  <c r="O12" i="2"/>
  <c r="H12" i="2"/>
  <c r="D14" i="2"/>
  <c r="F14" i="2" s="1"/>
  <c r="K15" i="2"/>
  <c r="L15" i="2" s="1"/>
  <c r="O17" i="2"/>
  <c r="G28" i="2"/>
  <c r="I28" i="2" s="1"/>
  <c r="M28" i="2" s="1"/>
  <c r="P28" i="2"/>
  <c r="Q28" i="2" s="1"/>
  <c r="B33" i="2"/>
  <c r="J55" i="2"/>
  <c r="N55" i="2" s="1"/>
  <c r="B55" i="2"/>
  <c r="O55" i="2"/>
  <c r="K55" i="2"/>
  <c r="L55" i="2" s="1"/>
  <c r="C60" i="2"/>
  <c r="E60" i="2" s="1"/>
  <c r="O60" i="2" s="1"/>
  <c r="J60" i="2"/>
  <c r="N60" i="2" s="1"/>
  <c r="J63" i="2"/>
  <c r="J67" i="2"/>
  <c r="K67" i="2"/>
  <c r="L67" i="2" s="1"/>
  <c r="M67" i="2" s="1"/>
  <c r="J69" i="2"/>
  <c r="N69" i="2" s="1"/>
  <c r="B72" i="2"/>
  <c r="F73" i="2"/>
  <c r="G73" i="2" s="1"/>
  <c r="I73" i="2" s="1"/>
  <c r="N76" i="2"/>
  <c r="B81" i="2"/>
  <c r="D81" i="2"/>
  <c r="F81" i="2" s="1"/>
  <c r="J83" i="2"/>
  <c r="O84" i="2"/>
  <c r="C91" i="2"/>
  <c r="E91" i="2" s="1"/>
  <c r="O91" i="2" s="1"/>
  <c r="P93" i="2"/>
  <c r="Q93" i="2" s="1"/>
  <c r="O96" i="2"/>
  <c r="K98" i="2"/>
  <c r="H98" i="2"/>
  <c r="B98" i="2"/>
  <c r="O98" i="2"/>
  <c r="P109" i="2"/>
  <c r="Q109" i="2" s="1"/>
  <c r="M116" i="2"/>
  <c r="C118" i="2"/>
  <c r="E118" i="2" s="1"/>
  <c r="D123" i="2"/>
  <c r="B126" i="2"/>
  <c r="J129" i="2"/>
  <c r="N129" i="2" s="1"/>
  <c r="D138" i="2"/>
  <c r="F138" i="2" s="1"/>
  <c r="B140" i="2"/>
  <c r="O140" i="2"/>
  <c r="K140" i="2"/>
  <c r="L140" i="2" s="1"/>
  <c r="H140" i="2"/>
  <c r="D140" i="2"/>
  <c r="F140" i="2" s="1"/>
  <c r="C140" i="2"/>
  <c r="E140" i="2" s="1"/>
  <c r="J156" i="2"/>
  <c r="N156" i="2" s="1"/>
  <c r="D156" i="2"/>
  <c r="F156" i="2" s="1"/>
  <c r="C156" i="2"/>
  <c r="E156" i="2" s="1"/>
  <c r="B156" i="2"/>
  <c r="O156" i="2"/>
  <c r="M157" i="2"/>
  <c r="B161" i="2"/>
  <c r="P164" i="2"/>
  <c r="Q164" i="2" s="1"/>
  <c r="N181" i="2"/>
  <c r="L181" i="2"/>
  <c r="M181" i="2" s="1"/>
  <c r="P192" i="2"/>
  <c r="Q192" i="2" s="1"/>
  <c r="K222" i="2"/>
  <c r="L222" i="2" s="1"/>
  <c r="F240" i="2"/>
  <c r="G244" i="2"/>
  <c r="I244" i="2" s="1"/>
  <c r="M244" i="2" s="1"/>
  <c r="F259" i="2"/>
  <c r="K302" i="2"/>
  <c r="L302" i="2" s="1"/>
  <c r="H302" i="2"/>
  <c r="J302" i="2"/>
  <c r="N302" i="2" s="1"/>
  <c r="B302" i="2"/>
  <c r="P304" i="2"/>
  <c r="Q304" i="2" s="1"/>
  <c r="C307" i="2"/>
  <c r="E307" i="2" s="1"/>
  <c r="O307" i="2" s="1"/>
  <c r="J311" i="2"/>
  <c r="N311" i="2" s="1"/>
  <c r="N341" i="2"/>
  <c r="P361" i="2"/>
  <c r="Q361" i="2" s="1"/>
  <c r="G361" i="2"/>
  <c r="I361" i="2" s="1"/>
  <c r="M361" i="2" s="1"/>
  <c r="F369" i="2"/>
  <c r="P369" i="2" s="1"/>
  <c r="Q369" i="2" s="1"/>
  <c r="O393" i="2"/>
  <c r="B395" i="2"/>
  <c r="K395" i="2"/>
  <c r="L395" i="2" s="1"/>
  <c r="C395" i="2"/>
  <c r="E395" i="2" s="1"/>
  <c r="O395" i="2" s="1"/>
  <c r="H395" i="2"/>
  <c r="J395" i="2"/>
  <c r="N395" i="2" s="1"/>
  <c r="D395" i="2"/>
  <c r="F395" i="2" s="1"/>
  <c r="C417" i="2"/>
  <c r="E417" i="2" s="1"/>
  <c r="O417" i="2" s="1"/>
  <c r="B417" i="2"/>
  <c r="H417" i="2"/>
  <c r="J417" i="2"/>
  <c r="N417" i="2" s="1"/>
  <c r="K417" i="2"/>
  <c r="L417" i="2" s="1"/>
  <c r="D417" i="2"/>
  <c r="O424" i="2"/>
  <c r="N431" i="2"/>
  <c r="G480" i="2"/>
  <c r="I480" i="2" s="1"/>
  <c r="O568" i="2"/>
  <c r="F568" i="2"/>
  <c r="D589" i="2"/>
  <c r="F589" i="2" s="1"/>
  <c r="O589" i="2"/>
  <c r="C589" i="2"/>
  <c r="E589" i="2" s="1"/>
  <c r="B589" i="2"/>
  <c r="K589" i="2"/>
  <c r="L589" i="2" s="1"/>
  <c r="H589" i="2"/>
  <c r="J589" i="2"/>
  <c r="N589" i="2" s="1"/>
  <c r="K609" i="2"/>
  <c r="L609" i="2" s="1"/>
  <c r="B609" i="2"/>
  <c r="H609" i="2"/>
  <c r="O609" i="2"/>
  <c r="J609" i="2"/>
  <c r="D704" i="2"/>
  <c r="F704" i="2" s="1"/>
  <c r="K704" i="2"/>
  <c r="L704" i="2" s="1"/>
  <c r="H704" i="2"/>
  <c r="J704" i="2"/>
  <c r="C704" i="2"/>
  <c r="E704" i="2" s="1"/>
  <c r="O704" i="2" s="1"/>
  <c r="B704" i="2"/>
  <c r="M817" i="2"/>
  <c r="O820" i="2"/>
  <c r="B829" i="2"/>
  <c r="J829" i="2"/>
  <c r="N829" i="2" s="1"/>
  <c r="H829" i="2"/>
  <c r="K829" i="2"/>
  <c r="L829" i="2" s="1"/>
  <c r="C829" i="2"/>
  <c r="E829" i="2" s="1"/>
  <c r="O829" i="2" s="1"/>
  <c r="D843" i="2"/>
  <c r="H843" i="2"/>
  <c r="C843" i="2"/>
  <c r="E843" i="2" s="1"/>
  <c r="O843" i="2" s="1"/>
  <c r="J843" i="2"/>
  <c r="N843" i="2" s="1"/>
  <c r="B843" i="2"/>
  <c r="K843" i="2"/>
  <c r="L843" i="2" s="1"/>
  <c r="O944" i="2"/>
  <c r="C944" i="2"/>
  <c r="E944" i="2" s="1"/>
  <c r="H944" i="2"/>
  <c r="K944" i="2"/>
  <c r="L944" i="2" s="1"/>
  <c r="J944" i="2"/>
  <c r="D944" i="2"/>
  <c r="B944" i="2"/>
  <c r="G226" i="2"/>
  <c r="P232" i="2"/>
  <c r="Q232" i="2" s="1"/>
  <c r="H245" i="2"/>
  <c r="K245" i="2"/>
  <c r="L245" i="2" s="1"/>
  <c r="C245" i="2"/>
  <c r="E245" i="2" s="1"/>
  <c r="J245" i="2"/>
  <c r="N245" i="2" s="1"/>
  <c r="D245" i="2"/>
  <c r="P265" i="2"/>
  <c r="Q265" i="2" s="1"/>
  <c r="G265" i="2"/>
  <c r="I265" i="2" s="1"/>
  <c r="M265" i="2" s="1"/>
  <c r="O279" i="2"/>
  <c r="C279" i="2"/>
  <c r="E279" i="2" s="1"/>
  <c r="H279" i="2"/>
  <c r="D279" i="2"/>
  <c r="F279" i="2" s="1"/>
  <c r="B279" i="2"/>
  <c r="N291" i="2"/>
  <c r="B296" i="2"/>
  <c r="H296" i="2"/>
  <c r="O296" i="2"/>
  <c r="K296" i="2"/>
  <c r="L296" i="2" s="1"/>
  <c r="J296" i="2"/>
  <c r="N296" i="2" s="1"/>
  <c r="D296" i="2"/>
  <c r="F296" i="2" s="1"/>
  <c r="D298" i="2"/>
  <c r="B298" i="2"/>
  <c r="C298" i="2"/>
  <c r="E298" i="2" s="1"/>
  <c r="O298" i="2" s="1"/>
  <c r="K298" i="2"/>
  <c r="L298" i="2" s="1"/>
  <c r="J298" i="2"/>
  <c r="N298" i="2" s="1"/>
  <c r="K360" i="2"/>
  <c r="L360" i="2" s="1"/>
  <c r="C360" i="2"/>
  <c r="E360" i="2" s="1"/>
  <c r="O360" i="2"/>
  <c r="F364" i="2"/>
  <c r="P364" i="2" s="1"/>
  <c r="Q364" i="2" s="1"/>
  <c r="M385" i="2"/>
  <c r="N399" i="2"/>
  <c r="M400" i="2"/>
  <c r="C480" i="2"/>
  <c r="E480" i="2" s="1"/>
  <c r="K480" i="2"/>
  <c r="L480" i="2" s="1"/>
  <c r="J480" i="2"/>
  <c r="N480" i="2" s="1"/>
  <c r="O480" i="2"/>
  <c r="H480" i="2"/>
  <c r="D480" i="2"/>
  <c r="F480" i="2" s="1"/>
  <c r="P480" i="2" s="1"/>
  <c r="Q480" i="2" s="1"/>
  <c r="L504" i="2"/>
  <c r="N504" i="2"/>
  <c r="F595" i="2"/>
  <c r="D680" i="2"/>
  <c r="B680" i="2"/>
  <c r="C680" i="2"/>
  <c r="E680" i="2" s="1"/>
  <c r="O680" i="2"/>
  <c r="K680" i="2"/>
  <c r="L680" i="2" s="1"/>
  <c r="J680" i="2"/>
  <c r="N680" i="2" s="1"/>
  <c r="M750" i="2"/>
  <c r="C791" i="2"/>
  <c r="E791" i="2" s="1"/>
  <c r="O791" i="2" s="1"/>
  <c r="D791" i="2"/>
  <c r="K791" i="2"/>
  <c r="L791" i="2" s="1"/>
  <c r="J791" i="2"/>
  <c r="N791" i="2" s="1"/>
  <c r="H791" i="2"/>
  <c r="F796" i="2"/>
  <c r="F818" i="2"/>
  <c r="G922" i="2"/>
  <c r="I922" i="2" s="1"/>
  <c r="P922" i="2"/>
  <c r="Q922" i="2" s="1"/>
  <c r="F954" i="2"/>
  <c r="G954" i="2" s="1"/>
  <c r="I954" i="2" s="1"/>
  <c r="M954" i="2" s="1"/>
  <c r="O954" i="2"/>
  <c r="M957" i="2"/>
  <c r="K146" i="2"/>
  <c r="L146" i="2" s="1"/>
  <c r="H146" i="2"/>
  <c r="J146" i="2"/>
  <c r="J151" i="2"/>
  <c r="B151" i="2"/>
  <c r="H151" i="2"/>
  <c r="D166" i="2"/>
  <c r="K166" i="2"/>
  <c r="L166" i="2" s="1"/>
  <c r="J166" i="2"/>
  <c r="B188" i="2"/>
  <c r="D188" i="2"/>
  <c r="F188" i="2" s="1"/>
  <c r="K188" i="2"/>
  <c r="L188" i="2" s="1"/>
  <c r="O188" i="2"/>
  <c r="N192" i="2"/>
  <c r="F199" i="2"/>
  <c r="G228" i="2"/>
  <c r="I228" i="2" s="1"/>
  <c r="N240" i="2"/>
  <c r="M256" i="2"/>
  <c r="P261" i="2"/>
  <c r="Q261" i="2" s="1"/>
  <c r="F269" i="2"/>
  <c r="K279" i="2"/>
  <c r="L279" i="2" s="1"/>
  <c r="H298" i="2"/>
  <c r="O306" i="2"/>
  <c r="C306" i="2"/>
  <c r="E306" i="2" s="1"/>
  <c r="D306" i="2"/>
  <c r="F306" i="2" s="1"/>
  <c r="G306" i="2" s="1"/>
  <c r="J306" i="2"/>
  <c r="N306" i="2" s="1"/>
  <c r="H306" i="2"/>
  <c r="N321" i="2"/>
  <c r="D360" i="2"/>
  <c r="F360" i="2" s="1"/>
  <c r="P373" i="2"/>
  <c r="Q373" i="2" s="1"/>
  <c r="N378" i="2"/>
  <c r="N396" i="2"/>
  <c r="H428" i="2"/>
  <c r="J428" i="2"/>
  <c r="N428" i="2" s="1"/>
  <c r="B428" i="2"/>
  <c r="K428" i="2"/>
  <c r="L428" i="2" s="1"/>
  <c r="D428" i="2"/>
  <c r="F428" i="2" s="1"/>
  <c r="C428" i="2"/>
  <c r="E428" i="2" s="1"/>
  <c r="C432" i="2"/>
  <c r="E432" i="2" s="1"/>
  <c r="O432" i="2" s="1"/>
  <c r="B432" i="2"/>
  <c r="H432" i="2"/>
  <c r="D432" i="2"/>
  <c r="K432" i="2"/>
  <c r="L432" i="2" s="1"/>
  <c r="J432" i="2"/>
  <c r="N432" i="2" s="1"/>
  <c r="J435" i="2"/>
  <c r="N435" i="2" s="1"/>
  <c r="B435" i="2"/>
  <c r="H435" i="2"/>
  <c r="O435" i="2"/>
  <c r="K435" i="2"/>
  <c r="L435" i="2" s="1"/>
  <c r="C435" i="2"/>
  <c r="E435" i="2" s="1"/>
  <c r="F435" i="2" s="1"/>
  <c r="F440" i="2"/>
  <c r="G454" i="2"/>
  <c r="I454" i="2" s="1"/>
  <c r="D481" i="2"/>
  <c r="C481" i="2"/>
  <c r="E481" i="2" s="1"/>
  <c r="O481" i="2" s="1"/>
  <c r="J481" i="2"/>
  <c r="N481" i="2" s="1"/>
  <c r="G528" i="2"/>
  <c r="I528" i="2" s="1"/>
  <c r="C555" i="2"/>
  <c r="E555" i="2" s="1"/>
  <c r="O555" i="2" s="1"/>
  <c r="H555" i="2"/>
  <c r="K555" i="2"/>
  <c r="L555" i="2" s="1"/>
  <c r="J555" i="2"/>
  <c r="D555" i="2"/>
  <c r="H581" i="2"/>
  <c r="K581" i="2"/>
  <c r="L581" i="2" s="1"/>
  <c r="D581" i="2"/>
  <c r="B581" i="2"/>
  <c r="J581" i="2"/>
  <c r="N581" i="2" s="1"/>
  <c r="C581" i="2"/>
  <c r="E581" i="2" s="1"/>
  <c r="O581" i="2" s="1"/>
  <c r="G605" i="2"/>
  <c r="I605" i="2" s="1"/>
  <c r="M605" i="2" s="1"/>
  <c r="H639" i="2"/>
  <c r="C639" i="2"/>
  <c r="E639" i="2" s="1"/>
  <c r="J639" i="2"/>
  <c r="N639" i="2" s="1"/>
  <c r="D639" i="2"/>
  <c r="F639" i="2" s="1"/>
  <c r="B639" i="2"/>
  <c r="O639" i="2"/>
  <c r="N678" i="2"/>
  <c r="H708" i="2"/>
  <c r="J708" i="2"/>
  <c r="N708" i="2" s="1"/>
  <c r="K708" i="2"/>
  <c r="L708" i="2" s="1"/>
  <c r="C708" i="2"/>
  <c r="E708" i="2" s="1"/>
  <c r="B708" i="2"/>
  <c r="D708" i="2"/>
  <c r="F708" i="2" s="1"/>
  <c r="O708" i="2"/>
  <c r="M834" i="2"/>
  <c r="G241" i="4"/>
  <c r="F241" i="4"/>
  <c r="B241" i="4"/>
  <c r="M241" i="4"/>
  <c r="I241" i="4"/>
  <c r="H241" i="4"/>
  <c r="E241" i="4"/>
  <c r="C241" i="4"/>
  <c r="K241" i="4"/>
  <c r="L241" i="4"/>
  <c r="J241" i="4"/>
  <c r="H252" i="4"/>
  <c r="G252" i="4"/>
  <c r="K252" i="4"/>
  <c r="I252" i="4"/>
  <c r="F252" i="4"/>
  <c r="E252" i="4"/>
  <c r="C252" i="4"/>
  <c r="L252" i="4"/>
  <c r="M252" i="4"/>
  <c r="B252" i="4"/>
  <c r="J252" i="4"/>
  <c r="D252" i="4"/>
  <c r="C481" i="4"/>
  <c r="L481" i="4"/>
  <c r="J481" i="4"/>
  <c r="G481" i="4"/>
  <c r="M481" i="4"/>
  <c r="K481" i="4"/>
  <c r="H481" i="4"/>
  <c r="B481" i="4"/>
  <c r="F481" i="4"/>
  <c r="E481" i="4"/>
  <c r="I481" i="4"/>
  <c r="D481" i="4"/>
  <c r="D106" i="2"/>
  <c r="C106" i="2"/>
  <c r="E106" i="2" s="1"/>
  <c r="O106" i="2" s="1"/>
  <c r="H106" i="2"/>
  <c r="B106" i="2"/>
  <c r="P121" i="2"/>
  <c r="Q121" i="2" s="1"/>
  <c r="K132" i="2"/>
  <c r="L132" i="2" s="1"/>
  <c r="D132" i="2"/>
  <c r="F132" i="2" s="1"/>
  <c r="B132" i="2"/>
  <c r="D144" i="2"/>
  <c r="F144" i="2" s="1"/>
  <c r="O144" i="2"/>
  <c r="K144" i="2"/>
  <c r="L144" i="2" s="1"/>
  <c r="C146" i="2"/>
  <c r="E146" i="2" s="1"/>
  <c r="O146" i="2" s="1"/>
  <c r="D151" i="2"/>
  <c r="F151" i="2" s="1"/>
  <c r="D154" i="2"/>
  <c r="C154" i="2"/>
  <c r="E154" i="2" s="1"/>
  <c r="O154" i="2" s="1"/>
  <c r="J154" i="2"/>
  <c r="M164" i="2"/>
  <c r="C166" i="2"/>
  <c r="E166" i="2" s="1"/>
  <c r="O166" i="2" s="1"/>
  <c r="B168" i="2"/>
  <c r="K168" i="2"/>
  <c r="L168" i="2" s="1"/>
  <c r="J168" i="2"/>
  <c r="N168" i="2" s="1"/>
  <c r="J175" i="2"/>
  <c r="N175" i="2" s="1"/>
  <c r="C175" i="2"/>
  <c r="E175" i="2" s="1"/>
  <c r="O175" i="2" s="1"/>
  <c r="H175" i="2"/>
  <c r="D175" i="2"/>
  <c r="F175" i="2" s="1"/>
  <c r="P175" i="2" s="1"/>
  <c r="Q175" i="2" s="1"/>
  <c r="O198" i="2"/>
  <c r="C198" i="2"/>
  <c r="E198" i="2" s="1"/>
  <c r="D198" i="2"/>
  <c r="F198" i="2" s="1"/>
  <c r="J198" i="2"/>
  <c r="N198" i="2" s="1"/>
  <c r="K198" i="2"/>
  <c r="L198" i="2" s="1"/>
  <c r="H198" i="2"/>
  <c r="J201" i="2"/>
  <c r="K201" i="2"/>
  <c r="L201" i="2" s="1"/>
  <c r="M201" i="2" s="1"/>
  <c r="H201" i="2"/>
  <c r="D201" i="2"/>
  <c r="F201" i="2" s="1"/>
  <c r="P201" i="2" s="1"/>
  <c r="Q201" i="2" s="1"/>
  <c r="M214" i="2"/>
  <c r="F219" i="2"/>
  <c r="H225" i="2"/>
  <c r="K225" i="2"/>
  <c r="L225" i="2" s="1"/>
  <c r="J225" i="2"/>
  <c r="N225" i="2" s="1"/>
  <c r="B225" i="2"/>
  <c r="F244" i="2"/>
  <c r="P244" i="2" s="1"/>
  <c r="Q244" i="2" s="1"/>
  <c r="O245" i="2"/>
  <c r="O249" i="2"/>
  <c r="O257" i="2"/>
  <c r="M280" i="2"/>
  <c r="N287" i="2"/>
  <c r="F293" i="2"/>
  <c r="G300" i="2"/>
  <c r="I300" i="2" s="1"/>
  <c r="M300" i="2" s="1"/>
  <c r="K306" i="2"/>
  <c r="L306" i="2" s="1"/>
  <c r="F308" i="2"/>
  <c r="G308" i="2" s="1"/>
  <c r="I308" i="2" s="1"/>
  <c r="M308" i="2" s="1"/>
  <c r="F316" i="2"/>
  <c r="G316" i="2" s="1"/>
  <c r="I316" i="2" s="1"/>
  <c r="M316" i="2" s="1"/>
  <c r="H329" i="2"/>
  <c r="K329" i="2"/>
  <c r="L329" i="2" s="1"/>
  <c r="J329" i="2"/>
  <c r="N329" i="2" s="1"/>
  <c r="B329" i="2"/>
  <c r="J331" i="2"/>
  <c r="N331" i="2" s="1"/>
  <c r="D331" i="2"/>
  <c r="F331" i="2" s="1"/>
  <c r="K331" i="2"/>
  <c r="L331" i="2" s="1"/>
  <c r="H331" i="2"/>
  <c r="B331" i="2"/>
  <c r="M337" i="2"/>
  <c r="G357" i="2"/>
  <c r="I357" i="2" s="1"/>
  <c r="M357" i="2" s="1"/>
  <c r="H360" i="2"/>
  <c r="K362" i="2"/>
  <c r="L362" i="2" s="1"/>
  <c r="H362" i="2"/>
  <c r="D362" i="2"/>
  <c r="F362" i="2" s="1"/>
  <c r="O362" i="2"/>
  <c r="J362" i="2"/>
  <c r="N362" i="2" s="1"/>
  <c r="C375" i="2"/>
  <c r="E375" i="2" s="1"/>
  <c r="O375" i="2" s="1"/>
  <c r="J375" i="2"/>
  <c r="H375" i="2"/>
  <c r="D375" i="2"/>
  <c r="B375" i="2"/>
  <c r="N384" i="2"/>
  <c r="F393" i="2"/>
  <c r="P424" i="2"/>
  <c r="Q424" i="2" s="1"/>
  <c r="G424" i="2"/>
  <c r="I424" i="2" s="1"/>
  <c r="O428" i="2"/>
  <c r="D433" i="2"/>
  <c r="F433" i="2" s="1"/>
  <c r="K433" i="2"/>
  <c r="L433" i="2" s="1"/>
  <c r="B433" i="2"/>
  <c r="H433" i="2"/>
  <c r="J433" i="2"/>
  <c r="G473" i="2"/>
  <c r="I473" i="2" s="1"/>
  <c r="N495" i="2"/>
  <c r="C501" i="2"/>
  <c r="E501" i="2" s="1"/>
  <c r="O501" i="2" s="1"/>
  <c r="D501" i="2"/>
  <c r="K501" i="2"/>
  <c r="L501" i="2" s="1"/>
  <c r="J501" i="2"/>
  <c r="D553" i="2"/>
  <c r="F553" i="2" s="1"/>
  <c r="O553" i="2"/>
  <c r="P553" i="2" s="1"/>
  <c r="Q553" i="2" s="1"/>
  <c r="H553" i="2"/>
  <c r="K557" i="2"/>
  <c r="L557" i="2" s="1"/>
  <c r="H557" i="2"/>
  <c r="J557" i="2"/>
  <c r="N557" i="2" s="1"/>
  <c r="O557" i="2"/>
  <c r="D557" i="2"/>
  <c r="C557" i="2"/>
  <c r="E557" i="2" s="1"/>
  <c r="F569" i="2"/>
  <c r="C582" i="2"/>
  <c r="E582" i="2" s="1"/>
  <c r="O582" i="2" s="1"/>
  <c r="B582" i="2"/>
  <c r="H582" i="2"/>
  <c r="K582" i="2"/>
  <c r="L582" i="2" s="1"/>
  <c r="J582" i="2"/>
  <c r="N582" i="2" s="1"/>
  <c r="D582" i="2"/>
  <c r="F582" i="2" s="1"/>
  <c r="F585" i="2"/>
  <c r="P585" i="2" s="1"/>
  <c r="Q585" i="2" s="1"/>
  <c r="B808" i="2"/>
  <c r="K808" i="2"/>
  <c r="L808" i="2" s="1"/>
  <c r="O808" i="2"/>
  <c r="C808" i="2"/>
  <c r="E808" i="2" s="1"/>
  <c r="J808" i="2"/>
  <c r="N808" i="2" s="1"/>
  <c r="H808" i="2"/>
  <c r="D808" i="2"/>
  <c r="F808" i="2" s="1"/>
  <c r="N833" i="2"/>
  <c r="B952" i="2"/>
  <c r="K952" i="2"/>
  <c r="L952" i="2" s="1"/>
  <c r="C952" i="2"/>
  <c r="E952" i="2" s="1"/>
  <c r="O952" i="2" s="1"/>
  <c r="J952" i="2"/>
  <c r="N952" i="2" s="1"/>
  <c r="H952" i="2"/>
  <c r="G115" i="2"/>
  <c r="I115" i="2" s="1"/>
  <c r="P115" i="2"/>
  <c r="Q115" i="2" s="1"/>
  <c r="J127" i="2"/>
  <c r="N127" i="2" s="1"/>
  <c r="C127" i="2"/>
  <c r="E127" i="2" s="1"/>
  <c r="O127" i="2" s="1"/>
  <c r="C132" i="2"/>
  <c r="E132" i="2" s="1"/>
  <c r="O132" i="2" s="1"/>
  <c r="B144" i="2"/>
  <c r="D146" i="2"/>
  <c r="C150" i="2"/>
  <c r="E150" i="2" s="1"/>
  <c r="O150" i="2" s="1"/>
  <c r="D150" i="2"/>
  <c r="F150" i="2" s="1"/>
  <c r="H150" i="2"/>
  <c r="C171" i="2"/>
  <c r="E171" i="2" s="1"/>
  <c r="O171" i="2" s="1"/>
  <c r="K171" i="2"/>
  <c r="L171" i="2" s="1"/>
  <c r="J171" i="2"/>
  <c r="H171" i="2"/>
  <c r="K194" i="2"/>
  <c r="L194" i="2" s="1"/>
  <c r="H194" i="2"/>
  <c r="B194" i="2"/>
  <c r="C194" i="2"/>
  <c r="E194" i="2" s="1"/>
  <c r="F194" i="2" s="1"/>
  <c r="O194" i="2"/>
  <c r="J194" i="2"/>
  <c r="N194" i="2" s="1"/>
  <c r="G198" i="2"/>
  <c r="I198" i="2" s="1"/>
  <c r="G201" i="2"/>
  <c r="I201" i="2" s="1"/>
  <c r="C207" i="2"/>
  <c r="E207" i="2" s="1"/>
  <c r="O207" i="2" s="1"/>
  <c r="H207" i="2"/>
  <c r="D207" i="2"/>
  <c r="B207" i="2"/>
  <c r="N209" i="2"/>
  <c r="O211" i="2"/>
  <c r="F216" i="2"/>
  <c r="P216" i="2" s="1"/>
  <c r="Q216" i="2" s="1"/>
  <c r="C225" i="2"/>
  <c r="E225" i="2" s="1"/>
  <c r="O225" i="2" s="1"/>
  <c r="P241" i="2"/>
  <c r="Q241" i="2" s="1"/>
  <c r="G241" i="2"/>
  <c r="I241" i="2" s="1"/>
  <c r="M241" i="2" s="1"/>
  <c r="N258" i="2"/>
  <c r="F264" i="2"/>
  <c r="G264" i="2" s="1"/>
  <c r="I264" i="2" s="1"/>
  <c r="J295" i="2"/>
  <c r="K295" i="2"/>
  <c r="L295" i="2" s="1"/>
  <c r="D295" i="2"/>
  <c r="F295" i="2" s="1"/>
  <c r="D297" i="2"/>
  <c r="K297" i="2"/>
  <c r="L297" i="2" s="1"/>
  <c r="J297" i="2"/>
  <c r="B299" i="2"/>
  <c r="K299" i="2"/>
  <c r="L299" i="2" s="1"/>
  <c r="C299" i="2"/>
  <c r="E299" i="2" s="1"/>
  <c r="O299" i="2" s="1"/>
  <c r="J299" i="2"/>
  <c r="N299" i="2" s="1"/>
  <c r="F303" i="2"/>
  <c r="N304" i="2"/>
  <c r="D310" i="2"/>
  <c r="F310" i="2" s="1"/>
  <c r="K310" i="2"/>
  <c r="L310" i="2" s="1"/>
  <c r="H310" i="2"/>
  <c r="C310" i="2"/>
  <c r="E310" i="2" s="1"/>
  <c r="O310" i="2" s="1"/>
  <c r="K312" i="2"/>
  <c r="L312" i="2" s="1"/>
  <c r="J312" i="2"/>
  <c r="N312" i="2" s="1"/>
  <c r="H312" i="2"/>
  <c r="D312" i="2"/>
  <c r="C312" i="2"/>
  <c r="E312" i="2" s="1"/>
  <c r="O312" i="2" s="1"/>
  <c r="O319" i="2"/>
  <c r="C329" i="2"/>
  <c r="E329" i="2" s="1"/>
  <c r="C331" i="2"/>
  <c r="E331" i="2" s="1"/>
  <c r="O331" i="2" s="1"/>
  <c r="B333" i="2"/>
  <c r="C333" i="2"/>
  <c r="E333" i="2" s="1"/>
  <c r="O333" i="2" s="1"/>
  <c r="K333" i="2"/>
  <c r="L333" i="2" s="1"/>
  <c r="J333" i="2"/>
  <c r="H333" i="2"/>
  <c r="D333" i="2"/>
  <c r="F355" i="2"/>
  <c r="P355" i="2" s="1"/>
  <c r="Q355" i="2" s="1"/>
  <c r="M358" i="2"/>
  <c r="J360" i="2"/>
  <c r="N360" i="2" s="1"/>
  <c r="G370" i="2"/>
  <c r="K375" i="2"/>
  <c r="L375" i="2" s="1"/>
  <c r="O382" i="2"/>
  <c r="G403" i="2"/>
  <c r="I403" i="2" s="1"/>
  <c r="M403" i="2" s="1"/>
  <c r="P403" i="2"/>
  <c r="Q403" i="2" s="1"/>
  <c r="G461" i="2"/>
  <c r="P461" i="2"/>
  <c r="Q461" i="2" s="1"/>
  <c r="F466" i="2"/>
  <c r="H481" i="2"/>
  <c r="P483" i="2"/>
  <c r="Q483" i="2" s="1"/>
  <c r="F490" i="2"/>
  <c r="O490" i="2"/>
  <c r="P511" i="2"/>
  <c r="Q511" i="2" s="1"/>
  <c r="G511" i="2"/>
  <c r="I511" i="2" s="1"/>
  <c r="M511" i="2" s="1"/>
  <c r="J543" i="2"/>
  <c r="D543" i="2"/>
  <c r="F543" i="2" s="1"/>
  <c r="B543" i="2"/>
  <c r="K543" i="2"/>
  <c r="L543" i="2" s="1"/>
  <c r="O543" i="2"/>
  <c r="N544" i="2"/>
  <c r="G553" i="2"/>
  <c r="P596" i="2"/>
  <c r="Q596" i="2" s="1"/>
  <c r="G633" i="2"/>
  <c r="I633" i="2" s="1"/>
  <c r="P633" i="2"/>
  <c r="Q633" i="2" s="1"/>
  <c r="D637" i="2"/>
  <c r="F637" i="2" s="1"/>
  <c r="O637" i="2"/>
  <c r="C637" i="2"/>
  <c r="E637" i="2" s="1"/>
  <c r="H637" i="2"/>
  <c r="B637" i="2"/>
  <c r="K639" i="2"/>
  <c r="L639" i="2" s="1"/>
  <c r="P686" i="2"/>
  <c r="Q686" i="2" s="1"/>
  <c r="G686" i="2"/>
  <c r="I686" i="2" s="1"/>
  <c r="H754" i="2"/>
  <c r="B754" i="2"/>
  <c r="K754" i="2"/>
  <c r="D754" i="2"/>
  <c r="F754" i="2" s="1"/>
  <c r="C754" i="2"/>
  <c r="E754" i="2" s="1"/>
  <c r="N777" i="2"/>
  <c r="D952" i="2"/>
  <c r="M978" i="2"/>
  <c r="M109" i="2"/>
  <c r="B120" i="2"/>
  <c r="J120" i="2"/>
  <c r="N120" i="2" s="1"/>
  <c r="M124" i="2"/>
  <c r="J139" i="2"/>
  <c r="N139" i="2" s="1"/>
  <c r="C139" i="2"/>
  <c r="E139" i="2" s="1"/>
  <c r="O139" i="2"/>
  <c r="K151" i="2"/>
  <c r="L151" i="2" s="1"/>
  <c r="C162" i="2"/>
  <c r="E162" i="2" s="1"/>
  <c r="K162" i="2"/>
  <c r="L162" i="2" s="1"/>
  <c r="J162" i="2"/>
  <c r="N162" i="2" s="1"/>
  <c r="O165" i="2"/>
  <c r="K165" i="2"/>
  <c r="L165" i="2" s="1"/>
  <c r="J165" i="2"/>
  <c r="N165" i="2" s="1"/>
  <c r="H165" i="2"/>
  <c r="H166" i="2"/>
  <c r="H188" i="2"/>
  <c r="G190" i="2"/>
  <c r="I190" i="2" s="1"/>
  <c r="M190" i="2" s="1"/>
  <c r="P190" i="2"/>
  <c r="Q190" i="2" s="1"/>
  <c r="P193" i="2"/>
  <c r="Q193" i="2" s="1"/>
  <c r="M205" i="2"/>
  <c r="K218" i="2"/>
  <c r="L218" i="2" s="1"/>
  <c r="H218" i="2"/>
  <c r="D218" i="2"/>
  <c r="F218" i="2" s="1"/>
  <c r="O218" i="2"/>
  <c r="C246" i="2"/>
  <c r="E246" i="2" s="1"/>
  <c r="O246" i="2" s="1"/>
  <c r="H246" i="2"/>
  <c r="B246" i="2"/>
  <c r="K246" i="2"/>
  <c r="L246" i="2" s="1"/>
  <c r="J246" i="2"/>
  <c r="P256" i="2"/>
  <c r="Q256" i="2" s="1"/>
  <c r="C267" i="2"/>
  <c r="E267" i="2" s="1"/>
  <c r="O267" i="2" s="1"/>
  <c r="J267" i="2"/>
  <c r="N267" i="2" s="1"/>
  <c r="K267" i="2"/>
  <c r="L267" i="2" s="1"/>
  <c r="D267" i="2"/>
  <c r="G273" i="2"/>
  <c r="I273" i="2" s="1"/>
  <c r="M273" i="2" s="1"/>
  <c r="K278" i="2"/>
  <c r="L278" i="2" s="1"/>
  <c r="H278" i="2"/>
  <c r="C278" i="2"/>
  <c r="E278" i="2" s="1"/>
  <c r="O278" i="2" s="1"/>
  <c r="D278" i="2"/>
  <c r="B278" i="2"/>
  <c r="F299" i="2"/>
  <c r="G322" i="2"/>
  <c r="N323" i="2"/>
  <c r="B359" i="2"/>
  <c r="K359" i="2"/>
  <c r="L359" i="2" s="1"/>
  <c r="J359" i="2"/>
  <c r="M376" i="2"/>
  <c r="G388" i="2"/>
  <c r="I388" i="2" s="1"/>
  <c r="C411" i="2"/>
  <c r="E411" i="2" s="1"/>
  <c r="O411" i="2"/>
  <c r="D411" i="2"/>
  <c r="F411" i="2" s="1"/>
  <c r="K411" i="2"/>
  <c r="L411" i="2" s="1"/>
  <c r="H411" i="2"/>
  <c r="J411" i="2"/>
  <c r="B411" i="2"/>
  <c r="M415" i="2"/>
  <c r="G418" i="2"/>
  <c r="H420" i="2"/>
  <c r="J420" i="2"/>
  <c r="N420" i="2" s="1"/>
  <c r="D420" i="2"/>
  <c r="F420" i="2" s="1"/>
  <c r="B420" i="2"/>
  <c r="K420" i="2"/>
  <c r="L420" i="2" s="1"/>
  <c r="C420" i="2"/>
  <c r="E420" i="2" s="1"/>
  <c r="O420" i="2" s="1"/>
  <c r="P460" i="2"/>
  <c r="Q460" i="2" s="1"/>
  <c r="G460" i="2"/>
  <c r="I460" i="2" s="1"/>
  <c r="M460" i="2" s="1"/>
  <c r="F461" i="2"/>
  <c r="K468" i="2"/>
  <c r="L468" i="2" s="1"/>
  <c r="B468" i="2"/>
  <c r="D468" i="2"/>
  <c r="C468" i="2"/>
  <c r="E468" i="2" s="1"/>
  <c r="O468" i="2" s="1"/>
  <c r="J468" i="2"/>
  <c r="N468" i="2" s="1"/>
  <c r="H468" i="2"/>
  <c r="K481" i="2"/>
  <c r="L481" i="2" s="1"/>
  <c r="P497" i="2"/>
  <c r="Q497" i="2" s="1"/>
  <c r="P499" i="2"/>
  <c r="Q499" i="2" s="1"/>
  <c r="B503" i="2"/>
  <c r="K503" i="2"/>
  <c r="L503" i="2" s="1"/>
  <c r="J503" i="2"/>
  <c r="H503" i="2"/>
  <c r="D503" i="2"/>
  <c r="C503" i="2"/>
  <c r="E503" i="2" s="1"/>
  <c r="O503" i="2" s="1"/>
  <c r="C513" i="2"/>
  <c r="E513" i="2" s="1"/>
  <c r="O513" i="2" s="1"/>
  <c r="K513" i="2"/>
  <c r="L513" i="2" s="1"/>
  <c r="H513" i="2"/>
  <c r="J513" i="2"/>
  <c r="N513" i="2" s="1"/>
  <c r="D513" i="2"/>
  <c r="B513" i="2"/>
  <c r="G568" i="2"/>
  <c r="I568" i="2" s="1"/>
  <c r="N572" i="2"/>
  <c r="G617" i="2"/>
  <c r="I617" i="2" s="1"/>
  <c r="G658" i="2"/>
  <c r="I658" i="2" s="1"/>
  <c r="P658" i="2"/>
  <c r="Q658" i="2" s="1"/>
  <c r="B670" i="2"/>
  <c r="K670" i="2"/>
  <c r="L670" i="2" s="1"/>
  <c r="H670" i="2"/>
  <c r="D670" i="2"/>
  <c r="F670" i="2" s="1"/>
  <c r="J670" i="2"/>
  <c r="N670" i="2" s="1"/>
  <c r="C670" i="2"/>
  <c r="E670" i="2" s="1"/>
  <c r="O670" i="2" s="1"/>
  <c r="M676" i="2"/>
  <c r="D733" i="2"/>
  <c r="F733" i="2" s="1"/>
  <c r="O733" i="2"/>
  <c r="C733" i="2"/>
  <c r="E733" i="2" s="1"/>
  <c r="K733" i="2"/>
  <c r="L733" i="2" s="1"/>
  <c r="J733" i="2"/>
  <c r="B733" i="2"/>
  <c r="H733" i="2"/>
  <c r="O99" i="2"/>
  <c r="C99" i="2"/>
  <c r="E99" i="2" s="1"/>
  <c r="F99" i="2" s="1"/>
  <c r="K99" i="2"/>
  <c r="H99" i="2"/>
  <c r="H101" i="2"/>
  <c r="J101" i="2"/>
  <c r="N101" i="2" s="1"/>
  <c r="D101" i="2"/>
  <c r="B101" i="2"/>
  <c r="N11" i="2"/>
  <c r="G16" i="2"/>
  <c r="I16" i="2" s="1"/>
  <c r="M16" i="2" s="1"/>
  <c r="N20" i="2"/>
  <c r="H29" i="2"/>
  <c r="D29" i="2"/>
  <c r="F29" i="2" s="1"/>
  <c r="O29" i="2"/>
  <c r="K29" i="2"/>
  <c r="B35" i="2"/>
  <c r="K35" i="2"/>
  <c r="D35" i="2"/>
  <c r="F35" i="2" s="1"/>
  <c r="P37" i="2"/>
  <c r="Q37" i="2" s="1"/>
  <c r="P49" i="2"/>
  <c r="Q49" i="2" s="1"/>
  <c r="K50" i="2"/>
  <c r="L50" i="2" s="1"/>
  <c r="H50" i="2"/>
  <c r="B50" i="2"/>
  <c r="C50" i="2"/>
  <c r="E50" i="2" s="1"/>
  <c r="F50" i="2" s="1"/>
  <c r="O50" i="2"/>
  <c r="B68" i="2"/>
  <c r="H68" i="2"/>
  <c r="K68" i="2"/>
  <c r="K86" i="2"/>
  <c r="L86" i="2" s="1"/>
  <c r="H86" i="2"/>
  <c r="B86" i="2"/>
  <c r="O86" i="2"/>
  <c r="B99" i="2"/>
  <c r="C101" i="2"/>
  <c r="E101" i="2" s="1"/>
  <c r="O101" i="2" s="1"/>
  <c r="B105" i="2"/>
  <c r="C105" i="2"/>
  <c r="E105" i="2" s="1"/>
  <c r="J106" i="2"/>
  <c r="N106" i="2" s="1"/>
  <c r="C120" i="2"/>
  <c r="E120" i="2" s="1"/>
  <c r="D127" i="2"/>
  <c r="F127" i="2" s="1"/>
  <c r="B131" i="2"/>
  <c r="K131" i="2"/>
  <c r="L131" i="2" s="1"/>
  <c r="C131" i="2"/>
  <c r="E131" i="2" s="1"/>
  <c r="O131" i="2" s="1"/>
  <c r="J132" i="2"/>
  <c r="B139" i="2"/>
  <c r="O153" i="2"/>
  <c r="J153" i="2"/>
  <c r="N153" i="2" s="1"/>
  <c r="H153" i="2"/>
  <c r="D153" i="2"/>
  <c r="F153" i="2" s="1"/>
  <c r="K154" i="2"/>
  <c r="L154" i="2" s="1"/>
  <c r="B162" i="2"/>
  <c r="B165" i="2"/>
  <c r="M169" i="2"/>
  <c r="D171" i="2"/>
  <c r="M172" i="2"/>
  <c r="G184" i="2"/>
  <c r="I184" i="2" s="1"/>
  <c r="G187" i="2"/>
  <c r="I187" i="2" s="1"/>
  <c r="P187" i="2"/>
  <c r="Q187" i="2" s="1"/>
  <c r="B203" i="2"/>
  <c r="K203" i="2"/>
  <c r="L203" i="2" s="1"/>
  <c r="C203" i="2"/>
  <c r="E203" i="2" s="1"/>
  <c r="O203" i="2" s="1"/>
  <c r="J203" i="2"/>
  <c r="N203" i="2" s="1"/>
  <c r="H203" i="2"/>
  <c r="K207" i="2"/>
  <c r="N212" i="2"/>
  <c r="B218" i="2"/>
  <c r="P228" i="2"/>
  <c r="Q228" i="2" s="1"/>
  <c r="O243" i="2"/>
  <c r="C243" i="2"/>
  <c r="E243" i="2" s="1"/>
  <c r="D243" i="2"/>
  <c r="F243" i="2" s="1"/>
  <c r="J243" i="2"/>
  <c r="N243" i="2" s="1"/>
  <c r="H243" i="2"/>
  <c r="D246" i="2"/>
  <c r="F249" i="2"/>
  <c r="B267" i="2"/>
  <c r="F273" i="2"/>
  <c r="P273" i="2" s="1"/>
  <c r="Q273" i="2" s="1"/>
  <c r="J278" i="2"/>
  <c r="N278" i="2" s="1"/>
  <c r="P285" i="2"/>
  <c r="Q285" i="2" s="1"/>
  <c r="F289" i="2"/>
  <c r="G289" i="2" s="1"/>
  <c r="I289" i="2" s="1"/>
  <c r="C295" i="2"/>
  <c r="E295" i="2" s="1"/>
  <c r="O295" i="2" s="1"/>
  <c r="C297" i="2"/>
  <c r="E297" i="2" s="1"/>
  <c r="O297" i="2" s="1"/>
  <c r="J310" i="2"/>
  <c r="K338" i="2"/>
  <c r="L338" i="2" s="1"/>
  <c r="H338" i="2"/>
  <c r="B338" i="2"/>
  <c r="J338" i="2"/>
  <c r="N338" i="2" s="1"/>
  <c r="D338" i="2"/>
  <c r="F338" i="2" s="1"/>
  <c r="G354" i="2"/>
  <c r="I354" i="2" s="1"/>
  <c r="C359" i="2"/>
  <c r="E359" i="2" s="1"/>
  <c r="F359" i="2" s="1"/>
  <c r="N376" i="2"/>
  <c r="P385" i="2"/>
  <c r="Q385" i="2" s="1"/>
  <c r="G385" i="2"/>
  <c r="I385" i="2" s="1"/>
  <c r="O397" i="2"/>
  <c r="F397" i="2"/>
  <c r="G397" i="2" s="1"/>
  <c r="I397" i="2" s="1"/>
  <c r="P405" i="2"/>
  <c r="Q405" i="2" s="1"/>
  <c r="G405" i="2"/>
  <c r="I405" i="2" s="1"/>
  <c r="F413" i="2"/>
  <c r="O423" i="2"/>
  <c r="P423" i="2" s="1"/>
  <c r="Q423" i="2" s="1"/>
  <c r="O436" i="2"/>
  <c r="F436" i="2"/>
  <c r="N456" i="2"/>
  <c r="B458" i="2"/>
  <c r="K458" i="2"/>
  <c r="L458" i="2" s="1"/>
  <c r="O458" i="2"/>
  <c r="H458" i="2"/>
  <c r="D458" i="2"/>
  <c r="F458" i="2" s="1"/>
  <c r="N479" i="2"/>
  <c r="H501" i="2"/>
  <c r="J514" i="2"/>
  <c r="N514" i="2" s="1"/>
  <c r="D514" i="2"/>
  <c r="F514" i="2" s="1"/>
  <c r="O514" i="2"/>
  <c r="H514" i="2"/>
  <c r="J553" i="2"/>
  <c r="N553" i="2" s="1"/>
  <c r="N559" i="2"/>
  <c r="N612" i="2"/>
  <c r="N620" i="2"/>
  <c r="J637" i="2"/>
  <c r="N637" i="2" s="1"/>
  <c r="O754" i="2"/>
  <c r="P834" i="2"/>
  <c r="Q834" i="2" s="1"/>
  <c r="G834" i="2"/>
  <c r="I834" i="2" s="1"/>
  <c r="J929" i="2"/>
  <c r="H929" i="2"/>
  <c r="B929" i="2"/>
  <c r="O929" i="2"/>
  <c r="K929" i="2"/>
  <c r="L929" i="2" s="1"/>
  <c r="D929" i="2"/>
  <c r="F929" i="2" s="1"/>
  <c r="K943" i="2"/>
  <c r="L943" i="2" s="1"/>
  <c r="H943" i="2"/>
  <c r="J943" i="2"/>
  <c r="O943" i="2"/>
  <c r="D943" i="2"/>
  <c r="F943" i="2" s="1"/>
  <c r="P943" i="2" s="1"/>
  <c r="Q943" i="2" s="1"/>
  <c r="C943" i="2"/>
  <c r="E943" i="2" s="1"/>
  <c r="D226" i="2"/>
  <c r="F226" i="2" s="1"/>
  <c r="P226" i="2" s="1"/>
  <c r="Q226" i="2" s="1"/>
  <c r="J226" i="2"/>
  <c r="N226" i="2" s="1"/>
  <c r="H226" i="2"/>
  <c r="B227" i="2"/>
  <c r="K227" i="2"/>
  <c r="L227" i="2" s="1"/>
  <c r="F228" i="2"/>
  <c r="N234" i="2"/>
  <c r="H269" i="2"/>
  <c r="C269" i="2"/>
  <c r="E269" i="2" s="1"/>
  <c r="O269" i="2" s="1"/>
  <c r="C270" i="2"/>
  <c r="E270" i="2" s="1"/>
  <c r="O270" i="2" s="1"/>
  <c r="J270" i="2"/>
  <c r="N270" i="2" s="1"/>
  <c r="B270" i="2"/>
  <c r="B275" i="2"/>
  <c r="K275" i="2"/>
  <c r="L275" i="2" s="1"/>
  <c r="J275" i="2"/>
  <c r="J276" i="2"/>
  <c r="K276" i="2"/>
  <c r="L276" i="2" s="1"/>
  <c r="F300" i="2"/>
  <c r="P300" i="2" s="1"/>
  <c r="Q300" i="2" s="1"/>
  <c r="O303" i="2"/>
  <c r="C303" i="2"/>
  <c r="E303" i="2" s="1"/>
  <c r="B303" i="2"/>
  <c r="J303" i="2"/>
  <c r="G304" i="2"/>
  <c r="I304" i="2" s="1"/>
  <c r="M304" i="2" s="1"/>
  <c r="O309" i="2"/>
  <c r="N324" i="2"/>
  <c r="B332" i="2"/>
  <c r="D332" i="2"/>
  <c r="C332" i="2"/>
  <c r="E332" i="2" s="1"/>
  <c r="O332" i="2" s="1"/>
  <c r="G334" i="2"/>
  <c r="I334" i="2" s="1"/>
  <c r="M334" i="2" s="1"/>
  <c r="P334" i="2"/>
  <c r="Q334" i="2" s="1"/>
  <c r="D370" i="2"/>
  <c r="F370" i="2" s="1"/>
  <c r="J370" i="2"/>
  <c r="O370" i="2"/>
  <c r="P370" i="2" s="1"/>
  <c r="Q370" i="2" s="1"/>
  <c r="B371" i="2"/>
  <c r="K371" i="2"/>
  <c r="L371" i="2" s="1"/>
  <c r="O371" i="2"/>
  <c r="F372" i="2"/>
  <c r="P372" i="2" s="1"/>
  <c r="Q372" i="2" s="1"/>
  <c r="N380" i="2"/>
  <c r="O405" i="2"/>
  <c r="C405" i="2"/>
  <c r="E405" i="2" s="1"/>
  <c r="H405" i="2"/>
  <c r="J405" i="2"/>
  <c r="N405" i="2" s="1"/>
  <c r="M427" i="2"/>
  <c r="N440" i="2"/>
  <c r="N447" i="2"/>
  <c r="K461" i="2"/>
  <c r="L461" i="2" s="1"/>
  <c r="H461" i="2"/>
  <c r="C461" i="2"/>
  <c r="E461" i="2" s="1"/>
  <c r="J461" i="2"/>
  <c r="G469" i="2"/>
  <c r="I469" i="2" s="1"/>
  <c r="M469" i="2" s="1"/>
  <c r="P469" i="2"/>
  <c r="Q469" i="2" s="1"/>
  <c r="O483" i="2"/>
  <c r="M487" i="2"/>
  <c r="M499" i="2"/>
  <c r="B507" i="2"/>
  <c r="K507" i="2"/>
  <c r="L507" i="2" s="1"/>
  <c r="J507" i="2"/>
  <c r="H507" i="2"/>
  <c r="D507" i="2"/>
  <c r="F507" i="2" s="1"/>
  <c r="F547" i="2"/>
  <c r="O552" i="2"/>
  <c r="K578" i="2"/>
  <c r="L578" i="2" s="1"/>
  <c r="J578" i="2"/>
  <c r="N578" i="2" s="1"/>
  <c r="B578" i="2"/>
  <c r="O578" i="2"/>
  <c r="D578" i="2"/>
  <c r="F578" i="2" s="1"/>
  <c r="F600" i="2"/>
  <c r="P600" i="2" s="1"/>
  <c r="Q600" i="2" s="1"/>
  <c r="H617" i="2"/>
  <c r="K617" i="2"/>
  <c r="L617" i="2" s="1"/>
  <c r="J617" i="2"/>
  <c r="N617" i="2" s="1"/>
  <c r="O617" i="2"/>
  <c r="P617" i="2" s="1"/>
  <c r="Q617" i="2" s="1"/>
  <c r="D622" i="2"/>
  <c r="F622" i="2" s="1"/>
  <c r="B622" i="2"/>
  <c r="K622" i="2"/>
  <c r="L622" i="2" s="1"/>
  <c r="O622" i="2"/>
  <c r="J622" i="2"/>
  <c r="H622" i="2"/>
  <c r="H624" i="2"/>
  <c r="B624" i="2"/>
  <c r="K624" i="2"/>
  <c r="L624" i="2" s="1"/>
  <c r="D624" i="2"/>
  <c r="F624" i="2" s="1"/>
  <c r="O624" i="2"/>
  <c r="G628" i="2"/>
  <c r="I628" i="2" s="1"/>
  <c r="O630" i="2"/>
  <c r="C630" i="2"/>
  <c r="E630" i="2" s="1"/>
  <c r="B630" i="2"/>
  <c r="D630" i="2"/>
  <c r="F630" i="2" s="1"/>
  <c r="K630" i="2"/>
  <c r="L630" i="2" s="1"/>
  <c r="H630" i="2"/>
  <c r="K633" i="2"/>
  <c r="L633" i="2" s="1"/>
  <c r="H633" i="2"/>
  <c r="D633" i="2"/>
  <c r="F633" i="2" s="1"/>
  <c r="O722" i="2"/>
  <c r="H725" i="2"/>
  <c r="D725" i="2"/>
  <c r="F725" i="2" s="1"/>
  <c r="G725" i="2" s="1"/>
  <c r="I725" i="2" s="1"/>
  <c r="O725" i="2"/>
  <c r="K725" i="2"/>
  <c r="L725" i="2" s="1"/>
  <c r="P736" i="2"/>
  <c r="Q736" i="2" s="1"/>
  <c r="B757" i="2"/>
  <c r="O757" i="2"/>
  <c r="H757" i="2"/>
  <c r="D757" i="2"/>
  <c r="C757" i="2"/>
  <c r="E757" i="2" s="1"/>
  <c r="K757" i="2"/>
  <c r="L757" i="2" s="1"/>
  <c r="J757" i="2"/>
  <c r="D761" i="2"/>
  <c r="C761" i="2"/>
  <c r="E761" i="2" s="1"/>
  <c r="J761" i="2"/>
  <c r="N761" i="2" s="1"/>
  <c r="K761" i="2"/>
  <c r="L761" i="2" s="1"/>
  <c r="H216" i="4"/>
  <c r="G216" i="4"/>
  <c r="C216" i="4"/>
  <c r="M216" i="4"/>
  <c r="L216" i="4"/>
  <c r="J216" i="4"/>
  <c r="K216" i="4"/>
  <c r="I216" i="4"/>
  <c r="F216" i="4"/>
  <c r="B216" i="4"/>
  <c r="E216" i="4"/>
  <c r="K225" i="4"/>
  <c r="J225" i="4"/>
  <c r="M225" i="4"/>
  <c r="H225" i="4"/>
  <c r="F225" i="4"/>
  <c r="E225" i="4"/>
  <c r="D225" i="4"/>
  <c r="B225" i="4"/>
  <c r="L225" i="4"/>
  <c r="I225" i="4"/>
  <c r="G225" i="4"/>
  <c r="C225" i="4"/>
  <c r="K261" i="4"/>
  <c r="J261" i="4"/>
  <c r="H261" i="4"/>
  <c r="E261" i="4"/>
  <c r="L261" i="4"/>
  <c r="D261" i="4"/>
  <c r="M261" i="4"/>
  <c r="I261" i="4"/>
  <c r="G261" i="4"/>
  <c r="F261" i="4"/>
  <c r="C261" i="4"/>
  <c r="B261" i="4"/>
  <c r="G339" i="4"/>
  <c r="F339" i="4"/>
  <c r="E339" i="4"/>
  <c r="D339" i="4"/>
  <c r="I339" i="4"/>
  <c r="H339" i="4"/>
  <c r="C339" i="4"/>
  <c r="B339" i="4"/>
  <c r="M339" i="4"/>
  <c r="L339" i="4"/>
  <c r="J339" i="4"/>
  <c r="K339" i="4"/>
  <c r="G177" i="2"/>
  <c r="I177" i="2" s="1"/>
  <c r="M177" i="2" s="1"/>
  <c r="P177" i="2"/>
  <c r="Q177" i="2" s="1"/>
  <c r="B179" i="2"/>
  <c r="K179" i="2"/>
  <c r="L179" i="2" s="1"/>
  <c r="C179" i="2"/>
  <c r="E179" i="2" s="1"/>
  <c r="O179" i="2" s="1"/>
  <c r="F204" i="2"/>
  <c r="G204" i="2" s="1"/>
  <c r="I204" i="2" s="1"/>
  <c r="M204" i="2" s="1"/>
  <c r="P230" i="2"/>
  <c r="Q230" i="2" s="1"/>
  <c r="O231" i="2"/>
  <c r="C231" i="2"/>
  <c r="E231" i="2" s="1"/>
  <c r="J231" i="2"/>
  <c r="N231" i="2" s="1"/>
  <c r="O235" i="2"/>
  <c r="O236" i="2"/>
  <c r="O237" i="2"/>
  <c r="D276" i="2"/>
  <c r="F276" i="2" s="1"/>
  <c r="P280" i="2"/>
  <c r="Q280" i="2" s="1"/>
  <c r="O288" i="2"/>
  <c r="D309" i="2"/>
  <c r="F309" i="2" s="1"/>
  <c r="G309" i="2" s="1"/>
  <c r="O315" i="2"/>
  <c r="C315" i="2"/>
  <c r="E315" i="2" s="1"/>
  <c r="K315" i="2"/>
  <c r="D315" i="2"/>
  <c r="F315" i="2" s="1"/>
  <c r="H332" i="2"/>
  <c r="H341" i="2"/>
  <c r="C341" i="2"/>
  <c r="E341" i="2" s="1"/>
  <c r="O341" i="2" s="1"/>
  <c r="O342" i="2"/>
  <c r="C342" i="2"/>
  <c r="E342" i="2" s="1"/>
  <c r="D342" i="2"/>
  <c r="B342" i="2"/>
  <c r="N345" i="2"/>
  <c r="O381" i="2"/>
  <c r="P381" i="2" s="1"/>
  <c r="Q381" i="2" s="1"/>
  <c r="G463" i="2"/>
  <c r="I463" i="2" s="1"/>
  <c r="M463" i="2" s="1"/>
  <c r="K519" i="2"/>
  <c r="L519" i="2" s="1"/>
  <c r="O519" i="2"/>
  <c r="C519" i="2"/>
  <c r="E519" i="2" s="1"/>
  <c r="J519" i="2"/>
  <c r="H519" i="2"/>
  <c r="G523" i="2"/>
  <c r="I523" i="2" s="1"/>
  <c r="P523" i="2"/>
  <c r="Q523" i="2" s="1"/>
  <c r="N530" i="2"/>
  <c r="F552" i="2"/>
  <c r="P556" i="2"/>
  <c r="Q556" i="2" s="1"/>
  <c r="M564" i="2"/>
  <c r="D584" i="2"/>
  <c r="B584" i="2"/>
  <c r="K584" i="2"/>
  <c r="L584" i="2" s="1"/>
  <c r="H584" i="2"/>
  <c r="C584" i="2"/>
  <c r="E584" i="2" s="1"/>
  <c r="O584" i="2"/>
  <c r="K586" i="2"/>
  <c r="L586" i="2" s="1"/>
  <c r="B586" i="2"/>
  <c r="J586" i="2"/>
  <c r="N586" i="2" s="1"/>
  <c r="O586" i="2"/>
  <c r="H586" i="2"/>
  <c r="D586" i="2"/>
  <c r="F586" i="2" s="1"/>
  <c r="D617" i="2"/>
  <c r="F617" i="2" s="1"/>
  <c r="G623" i="2"/>
  <c r="I623" i="2" s="1"/>
  <c r="P623" i="2"/>
  <c r="Q623" i="2" s="1"/>
  <c r="J624" i="2"/>
  <c r="J630" i="2"/>
  <c r="O654" i="2"/>
  <c r="C654" i="2"/>
  <c r="E654" i="2" s="1"/>
  <c r="B654" i="2"/>
  <c r="H654" i="2"/>
  <c r="K654" i="2"/>
  <c r="L654" i="2" s="1"/>
  <c r="J654" i="2"/>
  <c r="D668" i="2"/>
  <c r="F668" i="2" s="1"/>
  <c r="K668" i="2"/>
  <c r="L668" i="2" s="1"/>
  <c r="H668" i="2"/>
  <c r="J668" i="2"/>
  <c r="N668" i="2" s="1"/>
  <c r="K674" i="2"/>
  <c r="L674" i="2" s="1"/>
  <c r="J674" i="2"/>
  <c r="N674" i="2" s="1"/>
  <c r="H674" i="2"/>
  <c r="D674" i="2"/>
  <c r="C674" i="2"/>
  <c r="E674" i="2" s="1"/>
  <c r="O674" i="2"/>
  <c r="F677" i="2"/>
  <c r="O690" i="2"/>
  <c r="C690" i="2"/>
  <c r="E690" i="2" s="1"/>
  <c r="B690" i="2"/>
  <c r="D690" i="2"/>
  <c r="F690" i="2" s="1"/>
  <c r="K690" i="2"/>
  <c r="L690" i="2" s="1"/>
  <c r="H690" i="2"/>
  <c r="J690" i="2"/>
  <c r="J725" i="2"/>
  <c r="O741" i="2"/>
  <c r="F741" i="2"/>
  <c r="G741" i="2" s="1"/>
  <c r="I741" i="2" s="1"/>
  <c r="J744" i="2"/>
  <c r="H744" i="2"/>
  <c r="C744" i="2"/>
  <c r="E744" i="2" s="1"/>
  <c r="D744" i="2"/>
  <c r="B744" i="2"/>
  <c r="K744" i="2"/>
  <c r="L744" i="2" s="1"/>
  <c r="O744" i="2"/>
  <c r="H761" i="2"/>
  <c r="B865" i="2"/>
  <c r="J865" i="2"/>
  <c r="N865" i="2" s="1"/>
  <c r="D865" i="2"/>
  <c r="K865" i="2"/>
  <c r="L865" i="2" s="1"/>
  <c r="O865" i="2"/>
  <c r="P874" i="2"/>
  <c r="Q874" i="2" s="1"/>
  <c r="G905" i="2"/>
  <c r="P905" i="2"/>
  <c r="Q905" i="2" s="1"/>
  <c r="C920" i="2"/>
  <c r="E920" i="2" s="1"/>
  <c r="O920" i="2" s="1"/>
  <c r="D920" i="2"/>
  <c r="B920" i="2"/>
  <c r="J920" i="2"/>
  <c r="N920" i="2" s="1"/>
  <c r="H920" i="2"/>
  <c r="D1002" i="2"/>
  <c r="F1002" i="2" s="1"/>
  <c r="K1002" i="2"/>
  <c r="L1002" i="2" s="1"/>
  <c r="C1002" i="2"/>
  <c r="E1002" i="2" s="1"/>
  <c r="O1002" i="2"/>
  <c r="H1002" i="2"/>
  <c r="J1002" i="2"/>
  <c r="E22" i="3"/>
  <c r="E23" i="3"/>
  <c r="E24" i="3"/>
  <c r="J22" i="4"/>
  <c r="I22" i="4"/>
  <c r="C22" i="4"/>
  <c r="E22" i="4"/>
  <c r="D22" i="4"/>
  <c r="M22" i="4"/>
  <c r="L22" i="4"/>
  <c r="G22" i="4"/>
  <c r="K22" i="4"/>
  <c r="H22" i="4"/>
  <c r="F22" i="4"/>
  <c r="B22" i="4"/>
  <c r="G477" i="4"/>
  <c r="D477" i="4"/>
  <c r="F477" i="4"/>
  <c r="B477" i="4"/>
  <c r="L477" i="4"/>
  <c r="H477" i="4"/>
  <c r="J477" i="4"/>
  <c r="I477" i="4"/>
  <c r="E477" i="4"/>
  <c r="C477" i="4"/>
  <c r="M477" i="4"/>
  <c r="K477" i="4"/>
  <c r="B20" i="2"/>
  <c r="C20" i="2"/>
  <c r="E20" i="2" s="1"/>
  <c r="F20" i="2" s="1"/>
  <c r="D22" i="2"/>
  <c r="F22" i="2" s="1"/>
  <c r="G22" i="2" s="1"/>
  <c r="I22" i="2" s="1"/>
  <c r="K22" i="2"/>
  <c r="B23" i="2"/>
  <c r="K23" i="2"/>
  <c r="L23" i="2" s="1"/>
  <c r="J23" i="2"/>
  <c r="D46" i="2"/>
  <c r="F46" i="2" s="1"/>
  <c r="O46" i="2"/>
  <c r="B47" i="2"/>
  <c r="K47" i="2"/>
  <c r="L47" i="2" s="1"/>
  <c r="O47" i="2"/>
  <c r="H77" i="2"/>
  <c r="J77" i="2"/>
  <c r="N77" i="2" s="1"/>
  <c r="C78" i="2"/>
  <c r="E78" i="2" s="1"/>
  <c r="O78" i="2" s="1"/>
  <c r="J79" i="2"/>
  <c r="N79" i="2" s="1"/>
  <c r="D79" i="2"/>
  <c r="F79" i="2" s="1"/>
  <c r="P79" i="2" s="1"/>
  <c r="Q79" i="2" s="1"/>
  <c r="B104" i="2"/>
  <c r="D104" i="2"/>
  <c r="F104" i="2" s="1"/>
  <c r="P108" i="2"/>
  <c r="Q108" i="2" s="1"/>
  <c r="K110" i="2"/>
  <c r="L110" i="2" s="1"/>
  <c r="H110" i="2"/>
  <c r="B110" i="2"/>
  <c r="C111" i="2"/>
  <c r="E111" i="2" s="1"/>
  <c r="F111" i="2" s="1"/>
  <c r="K111" i="2"/>
  <c r="L111" i="2" s="1"/>
  <c r="N116" i="2"/>
  <c r="G130" i="2"/>
  <c r="I130" i="2" s="1"/>
  <c r="M130" i="2" s="1"/>
  <c r="P130" i="2"/>
  <c r="Q130" i="2" s="1"/>
  <c r="M136" i="2"/>
  <c r="F148" i="2"/>
  <c r="G148" i="2" s="1"/>
  <c r="I148" i="2" s="1"/>
  <c r="M148" i="2" s="1"/>
  <c r="P157" i="2"/>
  <c r="Q157" i="2" s="1"/>
  <c r="N164" i="2"/>
  <c r="B178" i="2"/>
  <c r="D179" i="2"/>
  <c r="F179" i="2" s="1"/>
  <c r="P181" i="2"/>
  <c r="Q181" i="2" s="1"/>
  <c r="K182" i="2"/>
  <c r="H182" i="2"/>
  <c r="L184" i="2"/>
  <c r="M184" i="2" s="1"/>
  <c r="H227" i="2"/>
  <c r="H228" i="2"/>
  <c r="B231" i="2"/>
  <c r="K285" i="2"/>
  <c r="H285" i="2"/>
  <c r="N292" i="2"/>
  <c r="H303" i="2"/>
  <c r="B315" i="2"/>
  <c r="O321" i="2"/>
  <c r="O324" i="2"/>
  <c r="F340" i="2"/>
  <c r="G340" i="2" s="1"/>
  <c r="I340" i="2" s="1"/>
  <c r="M340" i="2" s="1"/>
  <c r="B341" i="2"/>
  <c r="G343" i="2"/>
  <c r="I343" i="2" s="1"/>
  <c r="M343" i="2" s="1"/>
  <c r="B344" i="2"/>
  <c r="O344" i="2"/>
  <c r="B345" i="2"/>
  <c r="D346" i="2"/>
  <c r="F346" i="2" s="1"/>
  <c r="H346" i="2"/>
  <c r="B347" i="2"/>
  <c r="K347" i="2"/>
  <c r="L347" i="2" s="1"/>
  <c r="J347" i="2"/>
  <c r="N347" i="2" s="1"/>
  <c r="B348" i="2"/>
  <c r="J348" i="2"/>
  <c r="N348" i="2" s="1"/>
  <c r="K350" i="2"/>
  <c r="L350" i="2" s="1"/>
  <c r="H350" i="2"/>
  <c r="J350" i="2"/>
  <c r="B391" i="2"/>
  <c r="B422" i="2"/>
  <c r="K422" i="2"/>
  <c r="D422" i="2"/>
  <c r="F422" i="2" s="1"/>
  <c r="O422" i="2"/>
  <c r="H422" i="2"/>
  <c r="G423" i="2"/>
  <c r="I423" i="2" s="1"/>
  <c r="M423" i="2" s="1"/>
  <c r="B434" i="2"/>
  <c r="K434" i="2"/>
  <c r="L434" i="2" s="1"/>
  <c r="H434" i="2"/>
  <c r="C434" i="2"/>
  <c r="E434" i="2" s="1"/>
  <c r="F434" i="2" s="1"/>
  <c r="J434" i="2"/>
  <c r="J444" i="2"/>
  <c r="N444" i="2" s="1"/>
  <c r="O444" i="2"/>
  <c r="C444" i="2"/>
  <c r="E444" i="2" s="1"/>
  <c r="L451" i="2"/>
  <c r="H476" i="2"/>
  <c r="B476" i="2"/>
  <c r="O476" i="2"/>
  <c r="D476" i="2"/>
  <c r="F476" i="2" s="1"/>
  <c r="K476" i="2"/>
  <c r="L476" i="2" s="1"/>
  <c r="D493" i="2"/>
  <c r="F493" i="2" s="1"/>
  <c r="K493" i="2"/>
  <c r="L493" i="2" s="1"/>
  <c r="J493" i="2"/>
  <c r="N493" i="2" s="1"/>
  <c r="H493" i="2"/>
  <c r="C495" i="2"/>
  <c r="E495" i="2" s="1"/>
  <c r="O495" i="2"/>
  <c r="F496" i="2"/>
  <c r="O507" i="2"/>
  <c r="O510" i="2"/>
  <c r="C510" i="2"/>
  <c r="E510" i="2" s="1"/>
  <c r="B510" i="2"/>
  <c r="H510" i="2"/>
  <c r="K510" i="2"/>
  <c r="L510" i="2" s="1"/>
  <c r="J510" i="2"/>
  <c r="N510" i="2" s="1"/>
  <c r="B519" i="2"/>
  <c r="J538" i="2"/>
  <c r="N538" i="2" s="1"/>
  <c r="H538" i="2"/>
  <c r="D538" i="2"/>
  <c r="F538" i="2" s="1"/>
  <c r="B538" i="2"/>
  <c r="K538" i="2"/>
  <c r="L538" i="2" s="1"/>
  <c r="O538" i="2"/>
  <c r="N564" i="2"/>
  <c r="P575" i="2"/>
  <c r="Q575" i="2" s="1"/>
  <c r="G575" i="2"/>
  <c r="I575" i="2" s="1"/>
  <c r="C586" i="2"/>
  <c r="E586" i="2" s="1"/>
  <c r="H588" i="2"/>
  <c r="B588" i="2"/>
  <c r="J588" i="2"/>
  <c r="N588" i="2" s="1"/>
  <c r="D588" i="2"/>
  <c r="C588" i="2"/>
  <c r="E588" i="2" s="1"/>
  <c r="O588" i="2"/>
  <c r="H603" i="2"/>
  <c r="C603" i="2"/>
  <c r="E603" i="2" s="1"/>
  <c r="O603" i="2" s="1"/>
  <c r="B603" i="2"/>
  <c r="D603" i="2"/>
  <c r="J633" i="2"/>
  <c r="N633" i="2" s="1"/>
  <c r="D654" i="2"/>
  <c r="F654" i="2" s="1"/>
  <c r="K663" i="2"/>
  <c r="L663" i="2" s="1"/>
  <c r="H663" i="2"/>
  <c r="O663" i="2"/>
  <c r="B663" i="2"/>
  <c r="J663" i="2"/>
  <c r="D663" i="2"/>
  <c r="F663" i="2" s="1"/>
  <c r="B668" i="2"/>
  <c r="B674" i="2"/>
  <c r="O761" i="2"/>
  <c r="P814" i="2"/>
  <c r="Q814" i="2" s="1"/>
  <c r="C865" i="2"/>
  <c r="E865" i="2" s="1"/>
  <c r="F894" i="2"/>
  <c r="P894" i="2" s="1"/>
  <c r="Q894" i="2" s="1"/>
  <c r="K920" i="2"/>
  <c r="L920" i="2" s="1"/>
  <c r="B1002" i="2"/>
  <c r="F24" i="3"/>
  <c r="F134" i="4"/>
  <c r="E134" i="4"/>
  <c r="M134" i="4"/>
  <c r="J134" i="4"/>
  <c r="G134" i="4"/>
  <c r="D134" i="4"/>
  <c r="L134" i="4"/>
  <c r="H134" i="4"/>
  <c r="K134" i="4"/>
  <c r="I134" i="4"/>
  <c r="C134" i="4"/>
  <c r="H156" i="4"/>
  <c r="G156" i="4"/>
  <c r="J156" i="4"/>
  <c r="E156" i="4"/>
  <c r="L156" i="4"/>
  <c r="K156" i="4"/>
  <c r="I156" i="4"/>
  <c r="D156" i="4"/>
  <c r="M156" i="4"/>
  <c r="F156" i="4"/>
  <c r="D220" i="4"/>
  <c r="C220" i="4"/>
  <c r="I220" i="4"/>
  <c r="F220" i="4"/>
  <c r="L220" i="4"/>
  <c r="K220" i="4"/>
  <c r="J220" i="4"/>
  <c r="G220" i="4"/>
  <c r="M220" i="4"/>
  <c r="H220" i="4"/>
  <c r="E220" i="4"/>
  <c r="B220" i="4"/>
  <c r="K158" i="2"/>
  <c r="L158" i="2" s="1"/>
  <c r="H158" i="2"/>
  <c r="C158" i="2"/>
  <c r="E158" i="2" s="1"/>
  <c r="O158" i="2" s="1"/>
  <c r="C178" i="2"/>
  <c r="E178" i="2" s="1"/>
  <c r="G182" i="2"/>
  <c r="I182" i="2" s="1"/>
  <c r="C183" i="2"/>
  <c r="E183" i="2" s="1"/>
  <c r="O183" i="2" s="1"/>
  <c r="M193" i="2"/>
  <c r="C210" i="2"/>
  <c r="E210" i="2" s="1"/>
  <c r="O210" i="2" s="1"/>
  <c r="K210" i="2"/>
  <c r="L210" i="2" s="1"/>
  <c r="J211" i="2"/>
  <c r="N211" i="2" s="1"/>
  <c r="C211" i="2"/>
  <c r="E211" i="2" s="1"/>
  <c r="J228" i="2"/>
  <c r="N228" i="2" s="1"/>
  <c r="D231" i="2"/>
  <c r="F231" i="2" s="1"/>
  <c r="C234" i="2"/>
  <c r="E234" i="2" s="1"/>
  <c r="O234" i="2" s="1"/>
  <c r="H234" i="2"/>
  <c r="J259" i="2"/>
  <c r="N259" i="2" s="1"/>
  <c r="H259" i="2"/>
  <c r="H270" i="2"/>
  <c r="H274" i="2"/>
  <c r="C282" i="2"/>
  <c r="E282" i="2" s="1"/>
  <c r="O282" i="2" s="1"/>
  <c r="J283" i="2"/>
  <c r="N283" i="2" s="1"/>
  <c r="B283" i="2"/>
  <c r="B284" i="2"/>
  <c r="J284" i="2"/>
  <c r="N284" i="2" s="1"/>
  <c r="D286" i="2"/>
  <c r="F286" i="2" s="1"/>
  <c r="P286" i="2" s="1"/>
  <c r="Q286" i="2" s="1"/>
  <c r="H286" i="2"/>
  <c r="B287" i="2"/>
  <c r="K287" i="2"/>
  <c r="L287" i="2" s="1"/>
  <c r="H317" i="2"/>
  <c r="C317" i="2"/>
  <c r="E317" i="2" s="1"/>
  <c r="O317" i="2" s="1"/>
  <c r="J332" i="2"/>
  <c r="N332" i="2" s="1"/>
  <c r="F341" i="2"/>
  <c r="G346" i="2"/>
  <c r="I346" i="2" s="1"/>
  <c r="M346" i="2" s="1"/>
  <c r="P346" i="2"/>
  <c r="Q346" i="2" s="1"/>
  <c r="P349" i="2"/>
  <c r="Q349" i="2" s="1"/>
  <c r="G349" i="2"/>
  <c r="I349" i="2" s="1"/>
  <c r="M349" i="2" s="1"/>
  <c r="O351" i="2"/>
  <c r="C351" i="2"/>
  <c r="E351" i="2" s="1"/>
  <c r="H351" i="2"/>
  <c r="D351" i="2"/>
  <c r="F351" i="2" s="1"/>
  <c r="H370" i="2"/>
  <c r="H371" i="2"/>
  <c r="H372" i="2"/>
  <c r="J379" i="2"/>
  <c r="N379" i="2" s="1"/>
  <c r="O379" i="2"/>
  <c r="P379" i="2" s="1"/>
  <c r="Q379" i="2" s="1"/>
  <c r="N388" i="2"/>
  <c r="L388" i="2"/>
  <c r="O390" i="2"/>
  <c r="C390" i="2"/>
  <c r="E390" i="2" s="1"/>
  <c r="H390" i="2"/>
  <c r="J390" i="2"/>
  <c r="N390" i="2" s="1"/>
  <c r="C391" i="2"/>
  <c r="E391" i="2" s="1"/>
  <c r="M397" i="2"/>
  <c r="H404" i="2"/>
  <c r="K404" i="2"/>
  <c r="L404" i="2" s="1"/>
  <c r="D404" i="2"/>
  <c r="F404" i="2" s="1"/>
  <c r="G404" i="2" s="1"/>
  <c r="I404" i="2" s="1"/>
  <c r="J404" i="2"/>
  <c r="N404" i="2" s="1"/>
  <c r="K405" i="2"/>
  <c r="L405" i="2" s="1"/>
  <c r="N427" i="2"/>
  <c r="O437" i="2"/>
  <c r="C441" i="2"/>
  <c r="E441" i="2" s="1"/>
  <c r="O441" i="2" s="1"/>
  <c r="D441" i="2"/>
  <c r="F441" i="2" s="1"/>
  <c r="J441" i="2"/>
  <c r="N441" i="2" s="1"/>
  <c r="N445" i="2"/>
  <c r="N446" i="2"/>
  <c r="F448" i="2"/>
  <c r="K459" i="2"/>
  <c r="H459" i="2"/>
  <c r="O461" i="2"/>
  <c r="O492" i="2"/>
  <c r="G493" i="2"/>
  <c r="P493" i="2"/>
  <c r="Q493" i="2" s="1"/>
  <c r="H500" i="2"/>
  <c r="B500" i="2"/>
  <c r="K500" i="2"/>
  <c r="L500" i="2" s="1"/>
  <c r="J500" i="2"/>
  <c r="D500" i="2"/>
  <c r="F500" i="2" s="1"/>
  <c r="G502" i="2"/>
  <c r="I502" i="2" s="1"/>
  <c r="M502" i="2" s="1"/>
  <c r="F510" i="2"/>
  <c r="F515" i="2"/>
  <c r="N517" i="2"/>
  <c r="D519" i="2"/>
  <c r="F519" i="2" s="1"/>
  <c r="G529" i="2"/>
  <c r="I529" i="2" s="1"/>
  <c r="M529" i="2" s="1"/>
  <c r="P529" i="2"/>
  <c r="Q529" i="2" s="1"/>
  <c r="F542" i="2"/>
  <c r="P592" i="2"/>
  <c r="Q592" i="2" s="1"/>
  <c r="J627" i="2"/>
  <c r="N627" i="2" s="1"/>
  <c r="C627" i="2"/>
  <c r="E627" i="2" s="1"/>
  <c r="O627" i="2" s="1"/>
  <c r="B627" i="2"/>
  <c r="O635" i="2"/>
  <c r="F635" i="2"/>
  <c r="O640" i="2"/>
  <c r="F640" i="2"/>
  <c r="P660" i="2"/>
  <c r="Q660" i="2" s="1"/>
  <c r="G660" i="2"/>
  <c r="I660" i="2" s="1"/>
  <c r="M660" i="2" s="1"/>
  <c r="C668" i="2"/>
  <c r="E668" i="2" s="1"/>
  <c r="O668" i="2" s="1"/>
  <c r="N685" i="2"/>
  <c r="F695" i="2"/>
  <c r="O695" i="2"/>
  <c r="J703" i="2"/>
  <c r="K703" i="2"/>
  <c r="L703" i="2" s="1"/>
  <c r="O703" i="2"/>
  <c r="H703" i="2"/>
  <c r="D703" i="2"/>
  <c r="F703" i="2" s="1"/>
  <c r="B703" i="2"/>
  <c r="D709" i="2"/>
  <c r="F709" i="2" s="1"/>
  <c r="P709" i="2" s="1"/>
  <c r="Q709" i="2" s="1"/>
  <c r="C709" i="2"/>
  <c r="E709" i="2" s="1"/>
  <c r="O709" i="2" s="1"/>
  <c r="J709" i="2"/>
  <c r="N709" i="2" s="1"/>
  <c r="K709" i="2"/>
  <c r="L709" i="2" s="1"/>
  <c r="H709" i="2"/>
  <c r="P712" i="2"/>
  <c r="Q712" i="2" s="1"/>
  <c r="D728" i="2"/>
  <c r="F728" i="2" s="1"/>
  <c r="K728" i="2"/>
  <c r="L728" i="2" s="1"/>
  <c r="O728" i="2"/>
  <c r="B728" i="2"/>
  <c r="H728" i="2"/>
  <c r="J730" i="2"/>
  <c r="N730" i="2" s="1"/>
  <c r="O730" i="2"/>
  <c r="K730" i="2"/>
  <c r="L730" i="2" s="1"/>
  <c r="H730" i="2"/>
  <c r="D730" i="2"/>
  <c r="F730" i="2" s="1"/>
  <c r="B730" i="2"/>
  <c r="J785" i="2"/>
  <c r="H785" i="2"/>
  <c r="B785" i="2"/>
  <c r="O785" i="2"/>
  <c r="K785" i="2"/>
  <c r="L785" i="2" s="1"/>
  <c r="D785" i="2"/>
  <c r="F785" i="2" s="1"/>
  <c r="H865" i="2"/>
  <c r="G873" i="2"/>
  <c r="I873" i="2" s="1"/>
  <c r="M873" i="2" s="1"/>
  <c r="F892" i="2"/>
  <c r="N999" i="2"/>
  <c r="G181" i="4"/>
  <c r="F181" i="4"/>
  <c r="I181" i="4"/>
  <c r="D181" i="4"/>
  <c r="E181" i="4"/>
  <c r="C181" i="4"/>
  <c r="B181" i="4"/>
  <c r="M181" i="4"/>
  <c r="J181" i="4"/>
  <c r="L181" i="4"/>
  <c r="K181" i="4"/>
  <c r="H181" i="4"/>
  <c r="K226" i="2"/>
  <c r="L226" i="2" s="1"/>
  <c r="J227" i="2"/>
  <c r="K228" i="2"/>
  <c r="L228" i="2" s="1"/>
  <c r="F232" i="2"/>
  <c r="G232" i="2" s="1"/>
  <c r="I232" i="2" s="1"/>
  <c r="M232" i="2" s="1"/>
  <c r="H233" i="2"/>
  <c r="B233" i="2"/>
  <c r="J233" i="2"/>
  <c r="N233" i="2" s="1"/>
  <c r="B234" i="2"/>
  <c r="B235" i="2"/>
  <c r="D238" i="2"/>
  <c r="C238" i="2"/>
  <c r="E238" i="2" s="1"/>
  <c r="O238" i="2" s="1"/>
  <c r="B238" i="2"/>
  <c r="O240" i="2"/>
  <c r="H257" i="2"/>
  <c r="D257" i="2"/>
  <c r="F257" i="2" s="1"/>
  <c r="K257" i="2"/>
  <c r="L257" i="2" s="1"/>
  <c r="O258" i="2"/>
  <c r="C258" i="2"/>
  <c r="E258" i="2" s="1"/>
  <c r="B258" i="2"/>
  <c r="G259" i="2"/>
  <c r="I259" i="2" s="1"/>
  <c r="M259" i="2" s="1"/>
  <c r="B260" i="2"/>
  <c r="K260" i="2"/>
  <c r="L260" i="2" s="1"/>
  <c r="D262" i="2"/>
  <c r="C262" i="2"/>
  <c r="E262" i="2" s="1"/>
  <c r="B263" i="2"/>
  <c r="K263" i="2"/>
  <c r="L263" i="2" s="1"/>
  <c r="D263" i="2"/>
  <c r="C263" i="2"/>
  <c r="E263" i="2" s="1"/>
  <c r="O263" i="2" s="1"/>
  <c r="J269" i="2"/>
  <c r="H273" i="2"/>
  <c r="H275" i="2"/>
  <c r="H276" i="2"/>
  <c r="G286" i="2"/>
  <c r="I286" i="2" s="1"/>
  <c r="M286" i="2" s="1"/>
  <c r="K290" i="2"/>
  <c r="L290" i="2" s="1"/>
  <c r="H290" i="2"/>
  <c r="B290" i="2"/>
  <c r="O291" i="2"/>
  <c r="C291" i="2"/>
  <c r="E291" i="2" s="1"/>
  <c r="F291" i="2" s="1"/>
  <c r="K303" i="2"/>
  <c r="L303" i="2" s="1"/>
  <c r="J319" i="2"/>
  <c r="K319" i="2"/>
  <c r="L319" i="2" s="1"/>
  <c r="F324" i="2"/>
  <c r="K332" i="2"/>
  <c r="L332" i="2" s="1"/>
  <c r="F348" i="2"/>
  <c r="H369" i="2"/>
  <c r="J372" i="2"/>
  <c r="D382" i="2"/>
  <c r="F382" i="2" s="1"/>
  <c r="C382" i="2"/>
  <c r="E382" i="2" s="1"/>
  <c r="K382" i="2"/>
  <c r="F399" i="2"/>
  <c r="P404" i="2"/>
  <c r="Q404" i="2" s="1"/>
  <c r="P427" i="2"/>
  <c r="Q427" i="2" s="1"/>
  <c r="F444" i="2"/>
  <c r="H452" i="2"/>
  <c r="K452" i="2"/>
  <c r="L452" i="2" s="1"/>
  <c r="O452" i="2"/>
  <c r="P475" i="2"/>
  <c r="Q475" i="2" s="1"/>
  <c r="F495" i="2"/>
  <c r="G495" i="2" s="1"/>
  <c r="I495" i="2" s="1"/>
  <c r="M495" i="2" s="1"/>
  <c r="G548" i="2"/>
  <c r="P548" i="2"/>
  <c r="Q548" i="2" s="1"/>
  <c r="N554" i="2"/>
  <c r="K573" i="2"/>
  <c r="L573" i="2" s="1"/>
  <c r="B573" i="2"/>
  <c r="J573" i="2"/>
  <c r="C573" i="2"/>
  <c r="E573" i="2" s="1"/>
  <c r="O573" i="2"/>
  <c r="N584" i="2"/>
  <c r="C606" i="2"/>
  <c r="E606" i="2" s="1"/>
  <c r="O606" i="2" s="1"/>
  <c r="B606" i="2"/>
  <c r="K606" i="2"/>
  <c r="L606" i="2" s="1"/>
  <c r="J606" i="2"/>
  <c r="N606" i="2" s="1"/>
  <c r="H606" i="2"/>
  <c r="G616" i="2"/>
  <c r="I616" i="2" s="1"/>
  <c r="D625" i="2"/>
  <c r="F625" i="2" s="1"/>
  <c r="O625" i="2"/>
  <c r="C625" i="2"/>
  <c r="E625" i="2" s="1"/>
  <c r="B625" i="2"/>
  <c r="J625" i="2"/>
  <c r="K625" i="2"/>
  <c r="L625" i="2" s="1"/>
  <c r="H625" i="2"/>
  <c r="F627" i="2"/>
  <c r="O633" i="2"/>
  <c r="G709" i="2"/>
  <c r="I709" i="2" s="1"/>
  <c r="G711" i="2"/>
  <c r="I711" i="2" s="1"/>
  <c r="M711" i="2" s="1"/>
  <c r="G735" i="2"/>
  <c r="I735" i="2" s="1"/>
  <c r="M735" i="2" s="1"/>
  <c r="P735" i="2"/>
  <c r="Q735" i="2" s="1"/>
  <c r="N741" i="2"/>
  <c r="L741" i="2"/>
  <c r="C800" i="2"/>
  <c r="E800" i="2" s="1"/>
  <c r="O800" i="2" s="1"/>
  <c r="H800" i="2"/>
  <c r="K800" i="2"/>
  <c r="L800" i="2" s="1"/>
  <c r="J800" i="2"/>
  <c r="D800" i="2"/>
  <c r="F800" i="2" s="1"/>
  <c r="F108" i="2"/>
  <c r="G108" i="2" s="1"/>
  <c r="I108" i="2" s="1"/>
  <c r="M108" i="2" s="1"/>
  <c r="M121" i="2"/>
  <c r="B158" i="2"/>
  <c r="B183" i="2"/>
  <c r="B209" i="2"/>
  <c r="B210" i="2"/>
  <c r="B211" i="2"/>
  <c r="P2" i="2"/>
  <c r="Q2" i="2" s="1"/>
  <c r="C3" i="2"/>
  <c r="E3" i="2" s="1"/>
  <c r="O3" i="2" s="1"/>
  <c r="J3" i="2"/>
  <c r="N3" i="2" s="1"/>
  <c r="D24" i="2"/>
  <c r="F24" i="2" s="1"/>
  <c r="P24" i="2" s="1"/>
  <c r="Q24" i="2" s="1"/>
  <c r="K26" i="2"/>
  <c r="L26" i="2" s="1"/>
  <c r="H26" i="2"/>
  <c r="C26" i="2"/>
  <c r="E26" i="2" s="1"/>
  <c r="D48" i="2"/>
  <c r="F48" i="2" s="1"/>
  <c r="D77" i="2"/>
  <c r="F77" i="2" s="1"/>
  <c r="O87" i="2"/>
  <c r="C87" i="2"/>
  <c r="E87" i="2" s="1"/>
  <c r="F87" i="2" s="1"/>
  <c r="K87" i="2"/>
  <c r="L87" i="2" s="1"/>
  <c r="H104" i="2"/>
  <c r="O114" i="2"/>
  <c r="C114" i="2"/>
  <c r="E114" i="2" s="1"/>
  <c r="D114" i="2"/>
  <c r="D158" i="2"/>
  <c r="F158" i="2" s="1"/>
  <c r="F159" i="2"/>
  <c r="H178" i="2"/>
  <c r="D182" i="2"/>
  <c r="F182" i="2" s="1"/>
  <c r="P182" i="2" s="1"/>
  <c r="Q182" i="2" s="1"/>
  <c r="D183" i="2"/>
  <c r="F183" i="2" s="1"/>
  <c r="H185" i="2"/>
  <c r="O185" i="2"/>
  <c r="P185" i="2" s="1"/>
  <c r="Q185" i="2" s="1"/>
  <c r="C186" i="2"/>
  <c r="E186" i="2" s="1"/>
  <c r="O186" i="2" s="1"/>
  <c r="B189" i="2"/>
  <c r="J189" i="2"/>
  <c r="N189" i="2" s="1"/>
  <c r="B191" i="2"/>
  <c r="K191" i="2"/>
  <c r="L191" i="2" s="1"/>
  <c r="J191" i="2"/>
  <c r="N191" i="2" s="1"/>
  <c r="L196" i="2"/>
  <c r="M196" i="2" s="1"/>
  <c r="C209" i="2"/>
  <c r="E209" i="2" s="1"/>
  <c r="O209" i="2" s="1"/>
  <c r="D210" i="2"/>
  <c r="F210" i="2" s="1"/>
  <c r="D211" i="2"/>
  <c r="F211" i="2" s="1"/>
  <c r="P213" i="2"/>
  <c r="Q213" i="2" s="1"/>
  <c r="B215" i="2"/>
  <c r="K215" i="2"/>
  <c r="L215" i="2" s="1"/>
  <c r="C233" i="2"/>
  <c r="E233" i="2" s="1"/>
  <c r="F233" i="2" s="1"/>
  <c r="D234" i="2"/>
  <c r="C235" i="2"/>
  <c r="E235" i="2" s="1"/>
  <c r="F235" i="2" s="1"/>
  <c r="C236" i="2"/>
  <c r="E236" i="2" s="1"/>
  <c r="F236" i="2" s="1"/>
  <c r="C237" i="2"/>
  <c r="E237" i="2" s="1"/>
  <c r="F237" i="2" s="1"/>
  <c r="G237" i="2" s="1"/>
  <c r="I237" i="2" s="1"/>
  <c r="M237" i="2" s="1"/>
  <c r="B240" i="2"/>
  <c r="K242" i="2"/>
  <c r="H242" i="2"/>
  <c r="B257" i="2"/>
  <c r="D258" i="2"/>
  <c r="C259" i="2"/>
  <c r="E259" i="2" s="1"/>
  <c r="O259" i="2" s="1"/>
  <c r="C260" i="2"/>
  <c r="E260" i="2" s="1"/>
  <c r="F260" i="2" s="1"/>
  <c r="C261" i="2"/>
  <c r="E261" i="2" s="1"/>
  <c r="O261" i="2" s="1"/>
  <c r="B262" i="2"/>
  <c r="P264" i="2"/>
  <c r="Q264" i="2" s="1"/>
  <c r="K269" i="2"/>
  <c r="L269" i="2" s="1"/>
  <c r="K270" i="2"/>
  <c r="L270" i="2" s="1"/>
  <c r="J273" i="2"/>
  <c r="N273" i="2" s="1"/>
  <c r="J274" i="2"/>
  <c r="N274" i="2" s="1"/>
  <c r="C281" i="2"/>
  <c r="E281" i="2" s="1"/>
  <c r="D282" i="2"/>
  <c r="F282" i="2" s="1"/>
  <c r="G282" i="2" s="1"/>
  <c r="I282" i="2" s="1"/>
  <c r="M282" i="2" s="1"/>
  <c r="D283" i="2"/>
  <c r="F283" i="2" s="1"/>
  <c r="D284" i="2"/>
  <c r="F284" i="2" s="1"/>
  <c r="D285" i="2"/>
  <c r="F285" i="2" s="1"/>
  <c r="G285" i="2" s="1"/>
  <c r="I285" i="2" s="1"/>
  <c r="C286" i="2"/>
  <c r="E286" i="2" s="1"/>
  <c r="D287" i="2"/>
  <c r="F287" i="2" s="1"/>
  <c r="D288" i="2"/>
  <c r="F288" i="2" s="1"/>
  <c r="C290" i="2"/>
  <c r="E290" i="2" s="1"/>
  <c r="F290" i="2" s="1"/>
  <c r="B291" i="2"/>
  <c r="M301" i="2"/>
  <c r="H309" i="2"/>
  <c r="H315" i="2"/>
  <c r="D317" i="2"/>
  <c r="F317" i="2" s="1"/>
  <c r="B319" i="2"/>
  <c r="B320" i="2"/>
  <c r="J320" i="2"/>
  <c r="N320" i="2" s="1"/>
  <c r="B321" i="2"/>
  <c r="D322" i="2"/>
  <c r="F322" i="2" s="1"/>
  <c r="P322" i="2" s="1"/>
  <c r="Q322" i="2" s="1"/>
  <c r="H322" i="2"/>
  <c r="B323" i="2"/>
  <c r="K323" i="2"/>
  <c r="L323" i="2" s="1"/>
  <c r="C323" i="2"/>
  <c r="E323" i="2" s="1"/>
  <c r="B324" i="2"/>
  <c r="H342" i="2"/>
  <c r="D350" i="2"/>
  <c r="F350" i="2" s="1"/>
  <c r="G350" i="2" s="1"/>
  <c r="I350" i="2" s="1"/>
  <c r="C354" i="2"/>
  <c r="E354" i="2" s="1"/>
  <c r="F354" i="2" s="1"/>
  <c r="K354" i="2"/>
  <c r="L354" i="2" s="1"/>
  <c r="D357" i="2"/>
  <c r="F357" i="2" s="1"/>
  <c r="P357" i="2" s="1"/>
  <c r="Q357" i="2" s="1"/>
  <c r="H357" i="2"/>
  <c r="J369" i="2"/>
  <c r="N369" i="2" s="1"/>
  <c r="K370" i="2"/>
  <c r="L370" i="2" s="1"/>
  <c r="J371" i="2"/>
  <c r="N371" i="2" s="1"/>
  <c r="K372" i="2"/>
  <c r="L372" i="2" s="1"/>
  <c r="C379" i="2"/>
  <c r="E379" i="2" s="1"/>
  <c r="F379" i="2" s="1"/>
  <c r="G379" i="2" s="1"/>
  <c r="I379" i="2" s="1"/>
  <c r="M379" i="2" s="1"/>
  <c r="C380" i="2"/>
  <c r="E380" i="2" s="1"/>
  <c r="B382" i="2"/>
  <c r="H389" i="2"/>
  <c r="K389" i="2"/>
  <c r="L389" i="2" s="1"/>
  <c r="O389" i="2"/>
  <c r="D390" i="2"/>
  <c r="C404" i="2"/>
  <c r="E404" i="2" s="1"/>
  <c r="O404" i="2" s="1"/>
  <c r="J406" i="2"/>
  <c r="N406" i="2" s="1"/>
  <c r="B406" i="2"/>
  <c r="O406" i="2"/>
  <c r="B410" i="2"/>
  <c r="K410" i="2"/>
  <c r="D410" i="2"/>
  <c r="F410" i="2" s="1"/>
  <c r="H410" i="2"/>
  <c r="C410" i="2"/>
  <c r="E410" i="2" s="1"/>
  <c r="O410" i="2" s="1"/>
  <c r="J430" i="2"/>
  <c r="N430" i="2" s="1"/>
  <c r="H430" i="2"/>
  <c r="D430" i="2"/>
  <c r="B430" i="2"/>
  <c r="C430" i="2"/>
  <c r="E430" i="2" s="1"/>
  <c r="O430" i="2" s="1"/>
  <c r="B452" i="2"/>
  <c r="M457" i="2"/>
  <c r="C459" i="2"/>
  <c r="E459" i="2" s="1"/>
  <c r="C462" i="2"/>
  <c r="E462" i="2" s="1"/>
  <c r="O462" i="2" s="1"/>
  <c r="K462" i="2"/>
  <c r="L462" i="2" s="1"/>
  <c r="J462" i="2"/>
  <c r="F463" i="2"/>
  <c r="P463" i="2" s="1"/>
  <c r="Q463" i="2" s="1"/>
  <c r="N464" i="2"/>
  <c r="C471" i="2"/>
  <c r="E471" i="2" s="1"/>
  <c r="O471" i="2" s="1"/>
  <c r="B471" i="2"/>
  <c r="H471" i="2"/>
  <c r="J471" i="2"/>
  <c r="N471" i="2" s="1"/>
  <c r="D471" i="2"/>
  <c r="F471" i="2" s="1"/>
  <c r="N472" i="2"/>
  <c r="M484" i="2"/>
  <c r="N496" i="2"/>
  <c r="G499" i="2"/>
  <c r="I499" i="2" s="1"/>
  <c r="F522" i="2"/>
  <c r="F533" i="2"/>
  <c r="P533" i="2" s="1"/>
  <c r="Q533" i="2" s="1"/>
  <c r="G569" i="2"/>
  <c r="I569" i="2" s="1"/>
  <c r="M569" i="2" s="1"/>
  <c r="P569" i="2"/>
  <c r="Q569" i="2" s="1"/>
  <c r="D573" i="2"/>
  <c r="L596" i="2"/>
  <c r="N596" i="2"/>
  <c r="K603" i="2"/>
  <c r="D606" i="2"/>
  <c r="F606" i="2" s="1"/>
  <c r="H612" i="2"/>
  <c r="K612" i="2"/>
  <c r="L612" i="2" s="1"/>
  <c r="D612" i="2"/>
  <c r="C612" i="2"/>
  <c r="E612" i="2" s="1"/>
  <c r="O612" i="2"/>
  <c r="O616" i="2"/>
  <c r="F616" i="2"/>
  <c r="P616" i="2" s="1"/>
  <c r="Q616" i="2" s="1"/>
  <c r="G671" i="2"/>
  <c r="I671" i="2" s="1"/>
  <c r="M671" i="2" s="1"/>
  <c r="P671" i="2"/>
  <c r="Q671" i="2" s="1"/>
  <c r="O678" i="2"/>
  <c r="C678" i="2"/>
  <c r="E678" i="2" s="1"/>
  <c r="B678" i="2"/>
  <c r="K678" i="2"/>
  <c r="L678" i="2" s="1"/>
  <c r="H678" i="2"/>
  <c r="D678" i="2"/>
  <c r="F678" i="2" s="1"/>
  <c r="P684" i="2"/>
  <c r="Q684" i="2" s="1"/>
  <c r="P698" i="2"/>
  <c r="Q698" i="2" s="1"/>
  <c r="P700" i="2"/>
  <c r="Q700" i="2" s="1"/>
  <c r="P707" i="2"/>
  <c r="Q707" i="2" s="1"/>
  <c r="G707" i="2"/>
  <c r="I707" i="2" s="1"/>
  <c r="O777" i="2"/>
  <c r="F777" i="2"/>
  <c r="G777" i="2" s="1"/>
  <c r="I777" i="2" s="1"/>
  <c r="M777" i="2" s="1"/>
  <c r="B800" i="2"/>
  <c r="F810" i="2"/>
  <c r="O810" i="2"/>
  <c r="G847" i="2"/>
  <c r="F873" i="2"/>
  <c r="P873" i="2" s="1"/>
  <c r="Q873" i="2" s="1"/>
  <c r="D915" i="2"/>
  <c r="B915" i="2"/>
  <c r="J915" i="2"/>
  <c r="K915" i="2"/>
  <c r="L915" i="2" s="1"/>
  <c r="H915" i="2"/>
  <c r="C915" i="2"/>
  <c r="E915" i="2" s="1"/>
  <c r="O915" i="2" s="1"/>
  <c r="N925" i="2"/>
  <c r="F933" i="2"/>
  <c r="P958" i="2"/>
  <c r="Q958" i="2" s="1"/>
  <c r="F23" i="3"/>
  <c r="K698" i="2"/>
  <c r="L698" i="2" s="1"/>
  <c r="J698" i="2"/>
  <c r="C698" i="2"/>
  <c r="E698" i="2" s="1"/>
  <c r="O698" i="2" s="1"/>
  <c r="D698" i="2"/>
  <c r="F698" i="2" s="1"/>
  <c r="G698" i="2" s="1"/>
  <c r="I698" i="2" s="1"/>
  <c r="M719" i="2"/>
  <c r="D747" i="2"/>
  <c r="F747" i="2" s="1"/>
  <c r="G747" i="2" s="1"/>
  <c r="I747" i="2" s="1"/>
  <c r="O747" i="2"/>
  <c r="K747" i="2"/>
  <c r="L747" i="2" s="1"/>
  <c r="M747" i="2" s="1"/>
  <c r="H747" i="2"/>
  <c r="P762" i="2"/>
  <c r="Q762" i="2" s="1"/>
  <c r="G762" i="2"/>
  <c r="I762" i="2" s="1"/>
  <c r="F792" i="2"/>
  <c r="N802" i="2"/>
  <c r="K809" i="2"/>
  <c r="L809" i="2" s="1"/>
  <c r="B809" i="2"/>
  <c r="H809" i="2"/>
  <c r="J809" i="2"/>
  <c r="N809" i="2" s="1"/>
  <c r="F898" i="2"/>
  <c r="M918" i="2"/>
  <c r="O961" i="2"/>
  <c r="F961" i="2"/>
  <c r="G961" i="2" s="1"/>
  <c r="I961" i="2" s="1"/>
  <c r="M961" i="2" s="1"/>
  <c r="H96" i="4"/>
  <c r="G96" i="4"/>
  <c r="M96" i="4"/>
  <c r="J96" i="4"/>
  <c r="F96" i="4"/>
  <c r="E96" i="4"/>
  <c r="D96" i="4"/>
  <c r="C96" i="4"/>
  <c r="B96" i="4"/>
  <c r="L96" i="4"/>
  <c r="D196" i="4"/>
  <c r="C196" i="4"/>
  <c r="K196" i="4"/>
  <c r="H196" i="4"/>
  <c r="F196" i="4"/>
  <c r="E196" i="4"/>
  <c r="B196" i="4"/>
  <c r="L196" i="4"/>
  <c r="M196" i="4"/>
  <c r="G196" i="4"/>
  <c r="J238" i="4"/>
  <c r="I238" i="4"/>
  <c r="M238" i="4"/>
  <c r="H238" i="4"/>
  <c r="L238" i="4"/>
  <c r="G238" i="4"/>
  <c r="C238" i="4"/>
  <c r="F238" i="4"/>
  <c r="K238" i="4"/>
  <c r="E238" i="4"/>
  <c r="D238" i="4"/>
  <c r="D701" i="8"/>
  <c r="C701" i="8"/>
  <c r="H701" i="8"/>
  <c r="G701" i="8"/>
  <c r="C905" i="8"/>
  <c r="E905" i="8" s="1"/>
  <c r="F905" i="8" s="1"/>
  <c r="H905" i="8"/>
  <c r="G905" i="8"/>
  <c r="D905" i="8"/>
  <c r="G919" i="8"/>
  <c r="H919" i="8"/>
  <c r="D919" i="8"/>
  <c r="C919" i="8"/>
  <c r="E919" i="8" s="1"/>
  <c r="F919" i="8" s="1"/>
  <c r="F753" i="2"/>
  <c r="O753" i="2"/>
  <c r="C776" i="2"/>
  <c r="E776" i="2" s="1"/>
  <c r="O776" i="2" s="1"/>
  <c r="D776" i="2"/>
  <c r="F776" i="2" s="1"/>
  <c r="B776" i="2"/>
  <c r="J776" i="2"/>
  <c r="H776" i="2"/>
  <c r="C809" i="2"/>
  <c r="E809" i="2" s="1"/>
  <c r="O809" i="2" s="1"/>
  <c r="H845" i="2"/>
  <c r="J845" i="2"/>
  <c r="C845" i="2"/>
  <c r="E845" i="2" s="1"/>
  <c r="O845" i="2"/>
  <c r="D845" i="2"/>
  <c r="F845" i="2" s="1"/>
  <c r="K845" i="2"/>
  <c r="L845" i="2" s="1"/>
  <c r="N851" i="2"/>
  <c r="B853" i="2"/>
  <c r="K853" i="2"/>
  <c r="L853" i="2" s="1"/>
  <c r="D853" i="2"/>
  <c r="C853" i="2"/>
  <c r="E853" i="2" s="1"/>
  <c r="O853" i="2" s="1"/>
  <c r="J853" i="2"/>
  <c r="H853" i="2"/>
  <c r="G902" i="2"/>
  <c r="I902" i="2" s="1"/>
  <c r="M902" i="2" s="1"/>
  <c r="F913" i="2"/>
  <c r="M922" i="2"/>
  <c r="F953" i="2"/>
  <c r="F974" i="2"/>
  <c r="G974" i="2" s="1"/>
  <c r="I974" i="2" s="1"/>
  <c r="M974" i="2" s="1"/>
  <c r="F22" i="3"/>
  <c r="F14" i="4"/>
  <c r="E14" i="4"/>
  <c r="J14" i="4"/>
  <c r="G14" i="4"/>
  <c r="M14" i="4"/>
  <c r="L14" i="4"/>
  <c r="K14" i="4"/>
  <c r="I14" i="4"/>
  <c r="H14" i="4"/>
  <c r="D14" i="4"/>
  <c r="C14" i="4"/>
  <c r="C17" i="4"/>
  <c r="B17" i="4"/>
  <c r="M17" i="4"/>
  <c r="J17" i="4"/>
  <c r="I17" i="4"/>
  <c r="H17" i="4"/>
  <c r="G17" i="4"/>
  <c r="L17" i="4"/>
  <c r="K17" i="4"/>
  <c r="H84" i="4"/>
  <c r="G84" i="4"/>
  <c r="K84" i="4"/>
  <c r="M84" i="4"/>
  <c r="L84" i="4"/>
  <c r="C84" i="4"/>
  <c r="B84" i="4"/>
  <c r="J84" i="4"/>
  <c r="I84" i="4"/>
  <c r="F84" i="4"/>
  <c r="E84" i="4"/>
  <c r="D84" i="4"/>
  <c r="I96" i="4"/>
  <c r="H120" i="4"/>
  <c r="G120" i="4"/>
  <c r="L120" i="4"/>
  <c r="I120" i="4"/>
  <c r="J120" i="4"/>
  <c r="F120" i="4"/>
  <c r="E120" i="4"/>
  <c r="K120" i="4"/>
  <c r="C120" i="4"/>
  <c r="B120" i="4"/>
  <c r="I196" i="4"/>
  <c r="E231" i="4"/>
  <c r="D231" i="4"/>
  <c r="G231" i="4"/>
  <c r="B231" i="4"/>
  <c r="K231" i="4"/>
  <c r="J231" i="4"/>
  <c r="I231" i="4"/>
  <c r="F231" i="4"/>
  <c r="M231" i="4"/>
  <c r="L231" i="4"/>
  <c r="H231" i="4"/>
  <c r="C231" i="4"/>
  <c r="B238" i="4"/>
  <c r="J486" i="4"/>
  <c r="G486" i="4"/>
  <c r="B486" i="4"/>
  <c r="M486" i="4"/>
  <c r="K486" i="4"/>
  <c r="I486" i="4"/>
  <c r="H486" i="4"/>
  <c r="E486" i="4"/>
  <c r="L486" i="4"/>
  <c r="F486" i="4"/>
  <c r="D486" i="4"/>
  <c r="C486" i="4"/>
  <c r="L556" i="4"/>
  <c r="I556" i="4"/>
  <c r="G556" i="4"/>
  <c r="D556" i="4"/>
  <c r="J556" i="4"/>
  <c r="H556" i="4"/>
  <c r="F556" i="4"/>
  <c r="C556" i="4"/>
  <c r="M556" i="4"/>
  <c r="K556" i="4"/>
  <c r="E556" i="4"/>
  <c r="B556" i="4"/>
  <c r="K2" i="2"/>
  <c r="L2" i="2" s="1"/>
  <c r="H2" i="2"/>
  <c r="I2" i="2" s="1"/>
  <c r="O27" i="2"/>
  <c r="C27" i="2"/>
  <c r="E27" i="2" s="1"/>
  <c r="K27" i="2"/>
  <c r="O54" i="2"/>
  <c r="C54" i="2"/>
  <c r="E54" i="2" s="1"/>
  <c r="F54" i="2" s="1"/>
  <c r="H89" i="2"/>
  <c r="C89" i="2"/>
  <c r="E89" i="2" s="1"/>
  <c r="B143" i="2"/>
  <c r="K143" i="2"/>
  <c r="N145" i="2"/>
  <c r="O159" i="2"/>
  <c r="C159" i="2"/>
  <c r="E159" i="2" s="1"/>
  <c r="B159" i="2"/>
  <c r="B176" i="2"/>
  <c r="J176" i="2"/>
  <c r="N176" i="2" s="1"/>
  <c r="O195" i="2"/>
  <c r="C195" i="2"/>
  <c r="E195" i="2" s="1"/>
  <c r="F195" i="2" s="1"/>
  <c r="P204" i="2"/>
  <c r="Q204" i="2" s="1"/>
  <c r="G212" i="2"/>
  <c r="I212" i="2" s="1"/>
  <c r="M212" i="2" s="1"/>
  <c r="P229" i="2"/>
  <c r="Q229" i="2" s="1"/>
  <c r="K230" i="2"/>
  <c r="L230" i="2" s="1"/>
  <c r="H230" i="2"/>
  <c r="O255" i="2"/>
  <c r="C255" i="2"/>
  <c r="E255" i="2" s="1"/>
  <c r="F255" i="2" s="1"/>
  <c r="P255" i="2" s="1"/>
  <c r="Q255" i="2" s="1"/>
  <c r="O264" i="2"/>
  <c r="J271" i="2"/>
  <c r="N271" i="2" s="1"/>
  <c r="H271" i="2"/>
  <c r="P316" i="2"/>
  <c r="Q316" i="2" s="1"/>
  <c r="P325" i="2"/>
  <c r="Q325" i="2" s="1"/>
  <c r="F376" i="2"/>
  <c r="G376" i="2" s="1"/>
  <c r="I376" i="2" s="1"/>
  <c r="H377" i="2"/>
  <c r="B377" i="2"/>
  <c r="O378" i="2"/>
  <c r="C378" i="2"/>
  <c r="E378" i="2" s="1"/>
  <c r="F378" i="2" s="1"/>
  <c r="G378" i="2" s="1"/>
  <c r="I378" i="2" s="1"/>
  <c r="C387" i="2"/>
  <c r="E387" i="2" s="1"/>
  <c r="O387" i="2" s="1"/>
  <c r="D387" i="2"/>
  <c r="F387" i="2" s="1"/>
  <c r="O402" i="2"/>
  <c r="C402" i="2"/>
  <c r="E402" i="2" s="1"/>
  <c r="F402" i="2" s="1"/>
  <c r="B402" i="2"/>
  <c r="N423" i="2"/>
  <c r="H440" i="2"/>
  <c r="B440" i="2"/>
  <c r="C440" i="2"/>
  <c r="E440" i="2" s="1"/>
  <c r="O440" i="2" s="1"/>
  <c r="B447" i="2"/>
  <c r="C447" i="2"/>
  <c r="E447" i="2" s="1"/>
  <c r="O447" i="2" s="1"/>
  <c r="G457" i="2"/>
  <c r="I457" i="2" s="1"/>
  <c r="B479" i="2"/>
  <c r="D479" i="2"/>
  <c r="F479" i="2" s="1"/>
  <c r="N487" i="2"/>
  <c r="C498" i="2"/>
  <c r="E498" i="2" s="1"/>
  <c r="F498" i="2" s="1"/>
  <c r="H498" i="2"/>
  <c r="G517" i="2"/>
  <c r="I517" i="2" s="1"/>
  <c r="B527" i="2"/>
  <c r="O527" i="2"/>
  <c r="K527" i="2"/>
  <c r="L527" i="2" s="1"/>
  <c r="J527" i="2"/>
  <c r="N527" i="2" s="1"/>
  <c r="H527" i="2"/>
  <c r="K533" i="2"/>
  <c r="L533" i="2" s="1"/>
  <c r="H533" i="2"/>
  <c r="C533" i="2"/>
  <c r="E533" i="2" s="1"/>
  <c r="O533" i="2" s="1"/>
  <c r="F546" i="2"/>
  <c r="O570" i="2"/>
  <c r="C570" i="2"/>
  <c r="E570" i="2" s="1"/>
  <c r="B570" i="2"/>
  <c r="J570" i="2"/>
  <c r="N570" i="2" s="1"/>
  <c r="H570" i="2"/>
  <c r="O628" i="2"/>
  <c r="F628" i="2"/>
  <c r="P632" i="2"/>
  <c r="Q632" i="2" s="1"/>
  <c r="H634" i="2"/>
  <c r="C634" i="2"/>
  <c r="E634" i="2" s="1"/>
  <c r="J634" i="2"/>
  <c r="N634" i="2" s="1"/>
  <c r="G659" i="2"/>
  <c r="I659" i="2" s="1"/>
  <c r="M659" i="2" s="1"/>
  <c r="P659" i="2"/>
  <c r="Q659" i="2" s="1"/>
  <c r="D673" i="2"/>
  <c r="F673" i="2" s="1"/>
  <c r="O673" i="2"/>
  <c r="C673" i="2"/>
  <c r="E673" i="2" s="1"/>
  <c r="K673" i="2"/>
  <c r="H673" i="2"/>
  <c r="B673" i="2"/>
  <c r="K710" i="2"/>
  <c r="L710" i="2" s="1"/>
  <c r="J710" i="2"/>
  <c r="D710" i="2"/>
  <c r="F710" i="2" s="1"/>
  <c r="B710" i="2"/>
  <c r="C747" i="2"/>
  <c r="E747" i="2" s="1"/>
  <c r="K776" i="2"/>
  <c r="L776" i="2" s="1"/>
  <c r="O788" i="2"/>
  <c r="C788" i="2"/>
  <c r="E788" i="2" s="1"/>
  <c r="F788" i="2" s="1"/>
  <c r="J788" i="2"/>
  <c r="N788" i="2" s="1"/>
  <c r="H788" i="2"/>
  <c r="K788" i="2"/>
  <c r="L788" i="2" s="1"/>
  <c r="G790" i="2"/>
  <c r="D809" i="2"/>
  <c r="F830" i="2"/>
  <c r="H838" i="2"/>
  <c r="K838" i="2"/>
  <c r="L838" i="2" s="1"/>
  <c r="C838" i="2"/>
  <c r="E838" i="2" s="1"/>
  <c r="O838" i="2"/>
  <c r="J838" i="2"/>
  <c r="N838" i="2" s="1"/>
  <c r="B838" i="2"/>
  <c r="B845" i="2"/>
  <c r="M861" i="2"/>
  <c r="B893" i="2"/>
  <c r="K893" i="2"/>
  <c r="L893" i="2" s="1"/>
  <c r="J893" i="2"/>
  <c r="N893" i="2" s="1"/>
  <c r="H893" i="2"/>
  <c r="C893" i="2"/>
  <c r="E893" i="2" s="1"/>
  <c r="N959" i="2"/>
  <c r="G993" i="2"/>
  <c r="I993" i="2" s="1"/>
  <c r="P993" i="2"/>
  <c r="Q993" i="2" s="1"/>
  <c r="B14" i="4"/>
  <c r="D17" i="4"/>
  <c r="K96" i="4"/>
  <c r="D120" i="4"/>
  <c r="J196" i="4"/>
  <c r="G363" i="4"/>
  <c r="F363" i="4"/>
  <c r="E363" i="4"/>
  <c r="D363" i="4"/>
  <c r="M363" i="4"/>
  <c r="L363" i="4"/>
  <c r="C363" i="4"/>
  <c r="H363" i="4"/>
  <c r="K363" i="4"/>
  <c r="J363" i="4"/>
  <c r="I363" i="4"/>
  <c r="B363" i="4"/>
  <c r="E551" i="4"/>
  <c r="B551" i="4"/>
  <c r="D551" i="4"/>
  <c r="M551" i="4"/>
  <c r="L551" i="4"/>
  <c r="K551" i="4"/>
  <c r="I551" i="4"/>
  <c r="F551" i="4"/>
  <c r="C551" i="4"/>
  <c r="H551" i="4"/>
  <c r="G551" i="4"/>
  <c r="J551" i="4"/>
  <c r="G488" i="2"/>
  <c r="D505" i="2"/>
  <c r="H505" i="2"/>
  <c r="C505" i="2"/>
  <c r="E505" i="2" s="1"/>
  <c r="O505" i="2" s="1"/>
  <c r="P532" i="2"/>
  <c r="Q532" i="2" s="1"/>
  <c r="G532" i="2"/>
  <c r="I532" i="2" s="1"/>
  <c r="M532" i="2" s="1"/>
  <c r="M535" i="2"/>
  <c r="C537" i="2"/>
  <c r="E537" i="2" s="1"/>
  <c r="O537" i="2" s="1"/>
  <c r="J537" i="2"/>
  <c r="N537" i="2" s="1"/>
  <c r="B537" i="2"/>
  <c r="K537" i="2"/>
  <c r="L537" i="2" s="1"/>
  <c r="B554" i="2"/>
  <c r="K554" i="2"/>
  <c r="L554" i="2" s="1"/>
  <c r="M568" i="2"/>
  <c r="F570" i="2"/>
  <c r="D601" i="2"/>
  <c r="C601" i="2"/>
  <c r="E601" i="2" s="1"/>
  <c r="O601" i="2" s="1"/>
  <c r="B601" i="2"/>
  <c r="J601" i="2"/>
  <c r="N601" i="2" s="1"/>
  <c r="D613" i="2"/>
  <c r="O613" i="2"/>
  <c r="C613" i="2"/>
  <c r="E613" i="2" s="1"/>
  <c r="H613" i="2"/>
  <c r="G621" i="2"/>
  <c r="I621" i="2" s="1"/>
  <c r="D649" i="2"/>
  <c r="C649" i="2"/>
  <c r="E649" i="2" s="1"/>
  <c r="O649" i="2" s="1"/>
  <c r="H649" i="2"/>
  <c r="J649" i="2"/>
  <c r="N649" i="2" s="1"/>
  <c r="J667" i="2"/>
  <c r="K667" i="2"/>
  <c r="L667" i="2" s="1"/>
  <c r="H667" i="2"/>
  <c r="D667" i="2"/>
  <c r="B675" i="2"/>
  <c r="J675" i="2"/>
  <c r="N675" i="2" s="1"/>
  <c r="D675" i="2"/>
  <c r="D685" i="2"/>
  <c r="F685" i="2" s="1"/>
  <c r="C685" i="2"/>
  <c r="E685" i="2" s="1"/>
  <c r="O685" i="2" s="1"/>
  <c r="B685" i="2"/>
  <c r="H685" i="2"/>
  <c r="H689" i="2"/>
  <c r="J689" i="2"/>
  <c r="N689" i="2" s="1"/>
  <c r="D689" i="2"/>
  <c r="B689" i="2"/>
  <c r="P692" i="2"/>
  <c r="Q692" i="2" s="1"/>
  <c r="G692" i="2"/>
  <c r="I692" i="2" s="1"/>
  <c r="N693" i="2"/>
  <c r="J727" i="2"/>
  <c r="N727" i="2" s="1"/>
  <c r="C727" i="2"/>
  <c r="E727" i="2" s="1"/>
  <c r="O727" i="2" s="1"/>
  <c r="D727" i="2"/>
  <c r="K734" i="2"/>
  <c r="L734" i="2" s="1"/>
  <c r="J734" i="2"/>
  <c r="H734" i="2"/>
  <c r="O734" i="2"/>
  <c r="D734" i="2"/>
  <c r="F734" i="2" s="1"/>
  <c r="H737" i="2"/>
  <c r="C737" i="2"/>
  <c r="E737" i="2" s="1"/>
  <c r="O737" i="2" s="1"/>
  <c r="J737" i="2"/>
  <c r="N737" i="2" s="1"/>
  <c r="J739" i="2"/>
  <c r="N739" i="2" s="1"/>
  <c r="H739" i="2"/>
  <c r="K739" i="2"/>
  <c r="L739" i="2" s="1"/>
  <c r="J747" i="2"/>
  <c r="K758" i="2"/>
  <c r="L758" i="2" s="1"/>
  <c r="D758" i="2"/>
  <c r="H758" i="2"/>
  <c r="C758" i="2"/>
  <c r="E758" i="2" s="1"/>
  <c r="J758" i="2"/>
  <c r="L792" i="2"/>
  <c r="N792" i="2"/>
  <c r="F838" i="2"/>
  <c r="H850" i="2"/>
  <c r="D850" i="2"/>
  <c r="F850" i="2" s="1"/>
  <c r="O850" i="2"/>
  <c r="K850" i="2"/>
  <c r="L850" i="2" s="1"/>
  <c r="J850" i="2"/>
  <c r="J864" i="2"/>
  <c r="H864" i="2"/>
  <c r="K864" i="2"/>
  <c r="L864" i="2" s="1"/>
  <c r="D864" i="2"/>
  <c r="C864" i="2"/>
  <c r="E864" i="2" s="1"/>
  <c r="O864" i="2"/>
  <c r="B877" i="2"/>
  <c r="C877" i="2"/>
  <c r="E877" i="2" s="1"/>
  <c r="O877" i="2" s="1"/>
  <c r="H877" i="2"/>
  <c r="J877" i="2"/>
  <c r="N877" i="2" s="1"/>
  <c r="G883" i="2"/>
  <c r="O921" i="2"/>
  <c r="F921" i="2"/>
  <c r="G921" i="2" s="1"/>
  <c r="I921" i="2" s="1"/>
  <c r="O930" i="2"/>
  <c r="F930" i="2"/>
  <c r="P930" i="2" s="1"/>
  <c r="Q930" i="2" s="1"/>
  <c r="H970" i="2"/>
  <c r="C970" i="2"/>
  <c r="E970" i="2" s="1"/>
  <c r="O970" i="2" s="1"/>
  <c r="B970" i="2"/>
  <c r="J970" i="2"/>
  <c r="D970" i="2"/>
  <c r="K970" i="2"/>
  <c r="L970" i="2" s="1"/>
  <c r="H982" i="2"/>
  <c r="J982" i="2"/>
  <c r="N982" i="2" s="1"/>
  <c r="K982" i="2"/>
  <c r="L982" i="2" s="1"/>
  <c r="D982" i="2"/>
  <c r="E17" i="4"/>
  <c r="E51" i="4"/>
  <c r="D51" i="4"/>
  <c r="H51" i="4"/>
  <c r="C51" i="4"/>
  <c r="L51" i="4"/>
  <c r="K51" i="4"/>
  <c r="M51" i="4"/>
  <c r="J51" i="4"/>
  <c r="G51" i="4"/>
  <c r="F51" i="4"/>
  <c r="I51" i="4"/>
  <c r="M120" i="4"/>
  <c r="L308" i="4"/>
  <c r="K308" i="4"/>
  <c r="J308" i="4"/>
  <c r="H308" i="4"/>
  <c r="G308" i="4"/>
  <c r="F308" i="4"/>
  <c r="E308" i="4"/>
  <c r="D308" i="4"/>
  <c r="C308" i="4"/>
  <c r="B308" i="4"/>
  <c r="M308" i="4"/>
  <c r="I308" i="4"/>
  <c r="I397" i="4"/>
  <c r="F397" i="4"/>
  <c r="E397" i="4"/>
  <c r="D397" i="4"/>
  <c r="B397" i="4"/>
  <c r="K397" i="4"/>
  <c r="J397" i="4"/>
  <c r="H397" i="4"/>
  <c r="C397" i="4"/>
  <c r="M397" i="4"/>
  <c r="L397" i="4"/>
  <c r="G397" i="4"/>
  <c r="H399" i="2"/>
  <c r="B399" i="2"/>
  <c r="K401" i="2"/>
  <c r="H401" i="2"/>
  <c r="B401" i="2"/>
  <c r="P408" i="2"/>
  <c r="Q408" i="2" s="1"/>
  <c r="B419" i="2"/>
  <c r="K419" i="2"/>
  <c r="H419" i="2"/>
  <c r="O419" i="2"/>
  <c r="M424" i="2"/>
  <c r="F431" i="2"/>
  <c r="G431" i="2" s="1"/>
  <c r="I431" i="2" s="1"/>
  <c r="B455" i="2"/>
  <c r="C455" i="2"/>
  <c r="E455" i="2" s="1"/>
  <c r="O455" i="2" s="1"/>
  <c r="J455" i="2"/>
  <c r="N455" i="2" s="1"/>
  <c r="G497" i="2"/>
  <c r="I497" i="2" s="1"/>
  <c r="B505" i="2"/>
  <c r="F509" i="2"/>
  <c r="N522" i="2"/>
  <c r="J526" i="2"/>
  <c r="N526" i="2" s="1"/>
  <c r="C526" i="2"/>
  <c r="E526" i="2" s="1"/>
  <c r="K526" i="2"/>
  <c r="L526" i="2" s="1"/>
  <c r="D537" i="2"/>
  <c r="C540" i="2"/>
  <c r="E540" i="2" s="1"/>
  <c r="O540" i="2" s="1"/>
  <c r="B540" i="2"/>
  <c r="K540" i="2"/>
  <c r="P544" i="2"/>
  <c r="Q544" i="2" s="1"/>
  <c r="C554" i="2"/>
  <c r="E554" i="2" s="1"/>
  <c r="O554" i="2" s="1"/>
  <c r="C558" i="2"/>
  <c r="E558" i="2" s="1"/>
  <c r="O558" i="2" s="1"/>
  <c r="K558" i="2"/>
  <c r="L558" i="2" s="1"/>
  <c r="H558" i="2"/>
  <c r="D558" i="2"/>
  <c r="B558" i="2"/>
  <c r="N568" i="2"/>
  <c r="D572" i="2"/>
  <c r="H572" i="2"/>
  <c r="C572" i="2"/>
  <c r="E572" i="2" s="1"/>
  <c r="K572" i="2"/>
  <c r="L572" i="2" s="1"/>
  <c r="O572" i="2"/>
  <c r="G592" i="2"/>
  <c r="I592" i="2" s="1"/>
  <c r="F610" i="2"/>
  <c r="B613" i="2"/>
  <c r="B649" i="2"/>
  <c r="B667" i="2"/>
  <c r="C675" i="2"/>
  <c r="E675" i="2" s="1"/>
  <c r="O675" i="2" s="1"/>
  <c r="G688" i="2"/>
  <c r="I688" i="2" s="1"/>
  <c r="C689" i="2"/>
  <c r="E689" i="2" s="1"/>
  <c r="O689" i="2" s="1"/>
  <c r="G695" i="2"/>
  <c r="I695" i="2" s="1"/>
  <c r="M695" i="2" s="1"/>
  <c r="H698" i="2"/>
  <c r="P701" i="2"/>
  <c r="Q701" i="2" s="1"/>
  <c r="G719" i="2"/>
  <c r="I719" i="2" s="1"/>
  <c r="P719" i="2"/>
  <c r="Q719" i="2" s="1"/>
  <c r="B727" i="2"/>
  <c r="P729" i="2"/>
  <c r="Q729" i="2" s="1"/>
  <c r="H732" i="2"/>
  <c r="C732" i="2"/>
  <c r="E732" i="2" s="1"/>
  <c r="O732" i="2" s="1"/>
  <c r="K732" i="2"/>
  <c r="L732" i="2" s="1"/>
  <c r="D732" i="2"/>
  <c r="F732" i="2" s="1"/>
  <c r="B734" i="2"/>
  <c r="B737" i="2"/>
  <c r="B739" i="2"/>
  <c r="I750" i="2"/>
  <c r="B758" i="2"/>
  <c r="C764" i="2"/>
  <c r="E764" i="2" s="1"/>
  <c r="O764" i="2" s="1"/>
  <c r="J764" i="2"/>
  <c r="B764" i="2"/>
  <c r="D764" i="2"/>
  <c r="K764" i="2"/>
  <c r="L764" i="2" s="1"/>
  <c r="H764" i="2"/>
  <c r="M774" i="2"/>
  <c r="F790" i="2"/>
  <c r="P790" i="2" s="1"/>
  <c r="Q790" i="2" s="1"/>
  <c r="K799" i="2"/>
  <c r="L799" i="2" s="1"/>
  <c r="H799" i="2"/>
  <c r="J799" i="2"/>
  <c r="N799" i="2" s="1"/>
  <c r="D799" i="2"/>
  <c r="C799" i="2"/>
  <c r="E799" i="2" s="1"/>
  <c r="O799" i="2" s="1"/>
  <c r="B850" i="2"/>
  <c r="B864" i="2"/>
  <c r="G867" i="2"/>
  <c r="I867" i="2" s="1"/>
  <c r="M867" i="2" s="1"/>
  <c r="D877" i="2"/>
  <c r="H914" i="2"/>
  <c r="C914" i="2"/>
  <c r="E914" i="2" s="1"/>
  <c r="O914" i="2" s="1"/>
  <c r="D914" i="2"/>
  <c r="F914" i="2" s="1"/>
  <c r="B914" i="2"/>
  <c r="F932" i="2"/>
  <c r="G932" i="2" s="1"/>
  <c r="G934" i="2"/>
  <c r="P934" i="2"/>
  <c r="Q934" i="2" s="1"/>
  <c r="F972" i="2"/>
  <c r="G972" i="2" s="1"/>
  <c r="I972" i="2" s="1"/>
  <c r="B982" i="2"/>
  <c r="F986" i="2"/>
  <c r="G986" i="2" s="1"/>
  <c r="I986" i="2" s="1"/>
  <c r="F17" i="4"/>
  <c r="B51" i="4"/>
  <c r="E183" i="4"/>
  <c r="D183" i="4"/>
  <c r="K183" i="4"/>
  <c r="H183" i="4"/>
  <c r="M183" i="4"/>
  <c r="L183" i="4"/>
  <c r="I183" i="4"/>
  <c r="F183" i="4"/>
  <c r="J183" i="4"/>
  <c r="B183" i="4"/>
  <c r="G183" i="4"/>
  <c r="C183" i="4"/>
  <c r="B368" i="4"/>
  <c r="G368" i="4"/>
  <c r="F368" i="4"/>
  <c r="E368" i="4"/>
  <c r="K368" i="4"/>
  <c r="I368" i="4"/>
  <c r="H368" i="4"/>
  <c r="D368" i="4"/>
  <c r="C368" i="4"/>
  <c r="M368" i="4"/>
  <c r="L368" i="4"/>
  <c r="J368" i="4"/>
  <c r="L382" i="4"/>
  <c r="F382" i="4"/>
  <c r="E382" i="4"/>
  <c r="D382" i="4"/>
  <c r="J382" i="4"/>
  <c r="H382" i="4"/>
  <c r="G382" i="4"/>
  <c r="C382" i="4"/>
  <c r="B382" i="4"/>
  <c r="M382" i="4"/>
  <c r="K382" i="4"/>
  <c r="I382" i="4"/>
  <c r="F396" i="2"/>
  <c r="G396" i="2" s="1"/>
  <c r="I396" i="2" s="1"/>
  <c r="M396" i="2" s="1"/>
  <c r="P397" i="2"/>
  <c r="Q397" i="2" s="1"/>
  <c r="B398" i="2"/>
  <c r="K398" i="2"/>
  <c r="L398" i="2" s="1"/>
  <c r="J398" i="2"/>
  <c r="C398" i="2"/>
  <c r="E398" i="2" s="1"/>
  <c r="O398" i="2" s="1"/>
  <c r="C399" i="2"/>
  <c r="E399" i="2" s="1"/>
  <c r="O399" i="2" s="1"/>
  <c r="P400" i="2"/>
  <c r="Q400" i="2" s="1"/>
  <c r="C401" i="2"/>
  <c r="E401" i="2" s="1"/>
  <c r="O401" i="2" s="1"/>
  <c r="B407" i="2"/>
  <c r="C407" i="2"/>
  <c r="E407" i="2" s="1"/>
  <c r="N412" i="2"/>
  <c r="J418" i="2"/>
  <c r="N418" i="2" s="1"/>
  <c r="K418" i="2"/>
  <c r="L418" i="2" s="1"/>
  <c r="H418" i="2"/>
  <c r="O418" i="2"/>
  <c r="P418" i="2" s="1"/>
  <c r="Q418" i="2" s="1"/>
  <c r="C419" i="2"/>
  <c r="E419" i="2" s="1"/>
  <c r="F419" i="2" s="1"/>
  <c r="O429" i="2"/>
  <c r="C429" i="2"/>
  <c r="E429" i="2" s="1"/>
  <c r="F429" i="2" s="1"/>
  <c r="J429" i="2"/>
  <c r="N429" i="2" s="1"/>
  <c r="B429" i="2"/>
  <c r="H429" i="2"/>
  <c r="K437" i="2"/>
  <c r="L437" i="2" s="1"/>
  <c r="H437" i="2"/>
  <c r="B437" i="2"/>
  <c r="L442" i="2"/>
  <c r="M442" i="2" s="1"/>
  <c r="N442" i="2"/>
  <c r="D445" i="2"/>
  <c r="H445" i="2"/>
  <c r="C445" i="2"/>
  <c r="E445" i="2" s="1"/>
  <c r="O445" i="2" s="1"/>
  <c r="B445" i="2"/>
  <c r="J454" i="2"/>
  <c r="K454" i="2"/>
  <c r="L454" i="2" s="1"/>
  <c r="M454" i="2" s="1"/>
  <c r="O454" i="2"/>
  <c r="P454" i="2" s="1"/>
  <c r="Q454" i="2" s="1"/>
  <c r="D455" i="2"/>
  <c r="F455" i="2" s="1"/>
  <c r="C477" i="2"/>
  <c r="E477" i="2" s="1"/>
  <c r="O477" i="2" s="1"/>
  <c r="J477" i="2"/>
  <c r="N477" i="2" s="1"/>
  <c r="J483" i="2"/>
  <c r="N483" i="2" s="1"/>
  <c r="D483" i="2"/>
  <c r="F483" i="2" s="1"/>
  <c r="G483" i="2" s="1"/>
  <c r="I483" i="2" s="1"/>
  <c r="P484" i="2"/>
  <c r="Q484" i="2" s="1"/>
  <c r="N491" i="2"/>
  <c r="B504" i="2"/>
  <c r="B515" i="2"/>
  <c r="C515" i="2"/>
  <c r="E515" i="2" s="1"/>
  <c r="O515" i="2" s="1"/>
  <c r="N521" i="2"/>
  <c r="M523" i="2"/>
  <c r="B526" i="2"/>
  <c r="D540" i="2"/>
  <c r="F540" i="2" s="1"/>
  <c r="N551" i="2"/>
  <c r="D554" i="2"/>
  <c r="F554" i="2" s="1"/>
  <c r="M556" i="2"/>
  <c r="B572" i="2"/>
  <c r="B574" i="2"/>
  <c r="K574" i="2"/>
  <c r="H574" i="2"/>
  <c r="C574" i="2"/>
  <c r="E574" i="2" s="1"/>
  <c r="O574" i="2"/>
  <c r="M575" i="2"/>
  <c r="G585" i="2"/>
  <c r="I585" i="2" s="1"/>
  <c r="M585" i="2" s="1"/>
  <c r="N594" i="2"/>
  <c r="F604" i="2"/>
  <c r="J607" i="2"/>
  <c r="N607" i="2" s="1"/>
  <c r="K607" i="2"/>
  <c r="L607" i="2" s="1"/>
  <c r="B607" i="2"/>
  <c r="H607" i="2"/>
  <c r="B615" i="2"/>
  <c r="H615" i="2"/>
  <c r="D615" i="2"/>
  <c r="F615" i="2" s="1"/>
  <c r="O615" i="2"/>
  <c r="G641" i="2"/>
  <c r="I641" i="2" s="1"/>
  <c r="M641" i="2" s="1"/>
  <c r="N658" i="2"/>
  <c r="P662" i="2"/>
  <c r="Q662" i="2" s="1"/>
  <c r="C667" i="2"/>
  <c r="E667" i="2" s="1"/>
  <c r="O667" i="2" s="1"/>
  <c r="K669" i="2"/>
  <c r="L669" i="2" s="1"/>
  <c r="H669" i="2"/>
  <c r="J669" i="2"/>
  <c r="C669" i="2"/>
  <c r="E669" i="2" s="1"/>
  <c r="B669" i="2"/>
  <c r="H675" i="2"/>
  <c r="G691" i="2"/>
  <c r="I691" i="2" s="1"/>
  <c r="M691" i="2" s="1"/>
  <c r="L716" i="2"/>
  <c r="M716" i="2" s="1"/>
  <c r="B732" i="2"/>
  <c r="C734" i="2"/>
  <c r="E734" i="2" s="1"/>
  <c r="D737" i="2"/>
  <c r="C739" i="2"/>
  <c r="E739" i="2" s="1"/>
  <c r="O739" i="2" s="1"/>
  <c r="P741" i="2"/>
  <c r="Q741" i="2" s="1"/>
  <c r="B748" i="2"/>
  <c r="K748" i="2"/>
  <c r="L748" i="2" s="1"/>
  <c r="J748" i="2"/>
  <c r="H748" i="2"/>
  <c r="D748" i="2"/>
  <c r="F748" i="2" s="1"/>
  <c r="C752" i="2"/>
  <c r="E752" i="2" s="1"/>
  <c r="O752" i="2" s="1"/>
  <c r="K752" i="2"/>
  <c r="L752" i="2" s="1"/>
  <c r="J752" i="2"/>
  <c r="H752" i="2"/>
  <c r="D752" i="2"/>
  <c r="F752" i="2" s="1"/>
  <c r="G752" i="2" s="1"/>
  <c r="I752" i="2" s="1"/>
  <c r="O758" i="2"/>
  <c r="N760" i="2"/>
  <c r="N782" i="2"/>
  <c r="B799" i="2"/>
  <c r="F801" i="2"/>
  <c r="P801" i="2" s="1"/>
  <c r="Q801" i="2" s="1"/>
  <c r="P810" i="2"/>
  <c r="Q810" i="2" s="1"/>
  <c r="G810" i="2"/>
  <c r="I810" i="2" s="1"/>
  <c r="G828" i="2"/>
  <c r="P828" i="2"/>
  <c r="Q828" i="2" s="1"/>
  <c r="O839" i="2"/>
  <c r="C839" i="2"/>
  <c r="E839" i="2" s="1"/>
  <c r="H839" i="2"/>
  <c r="D839" i="2"/>
  <c r="F839" i="2" s="1"/>
  <c r="G839" i="2" s="1"/>
  <c r="I839" i="2" s="1"/>
  <c r="K839" i="2"/>
  <c r="L839" i="2" s="1"/>
  <c r="M839" i="2" s="1"/>
  <c r="J839" i="2"/>
  <c r="C850" i="2"/>
  <c r="E850" i="2" s="1"/>
  <c r="G874" i="2"/>
  <c r="I874" i="2" s="1"/>
  <c r="M874" i="2" s="1"/>
  <c r="K877" i="2"/>
  <c r="L877" i="2" s="1"/>
  <c r="B880" i="2"/>
  <c r="K880" i="2"/>
  <c r="L880" i="2" s="1"/>
  <c r="H880" i="2"/>
  <c r="C880" i="2"/>
  <c r="E880" i="2" s="1"/>
  <c r="O880" i="2" s="1"/>
  <c r="J880" i="2"/>
  <c r="N880" i="2" s="1"/>
  <c r="D880" i="2"/>
  <c r="O883" i="2"/>
  <c r="P883" i="2" s="1"/>
  <c r="Q883" i="2" s="1"/>
  <c r="K895" i="2"/>
  <c r="L895" i="2" s="1"/>
  <c r="H895" i="2"/>
  <c r="D895" i="2"/>
  <c r="F895" i="2" s="1"/>
  <c r="O895" i="2"/>
  <c r="J895" i="2"/>
  <c r="B895" i="2"/>
  <c r="J914" i="2"/>
  <c r="N914" i="2" s="1"/>
  <c r="B925" i="2"/>
  <c r="D925" i="2"/>
  <c r="K925" i="2"/>
  <c r="L925" i="2" s="1"/>
  <c r="H925" i="2"/>
  <c r="C925" i="2"/>
  <c r="E925" i="2" s="1"/>
  <c r="O925" i="2" s="1"/>
  <c r="F946" i="2"/>
  <c r="N965" i="2"/>
  <c r="G967" i="2"/>
  <c r="C982" i="2"/>
  <c r="E982" i="2" s="1"/>
  <c r="O982" i="2" s="1"/>
  <c r="J1001" i="2"/>
  <c r="N1001" i="2" s="1"/>
  <c r="C1001" i="2"/>
  <c r="E1001" i="2" s="1"/>
  <c r="D1001" i="2"/>
  <c r="F1001" i="2" s="1"/>
  <c r="O1001" i="2"/>
  <c r="K1001" i="2"/>
  <c r="L1001" i="2" s="1"/>
  <c r="H1001" i="2"/>
  <c r="B1001" i="2"/>
  <c r="D52" i="4"/>
  <c r="C52" i="4"/>
  <c r="I52" i="4"/>
  <c r="F52" i="4"/>
  <c r="M52" i="4"/>
  <c r="L52" i="4"/>
  <c r="K52" i="4"/>
  <c r="J52" i="4"/>
  <c r="H52" i="4"/>
  <c r="G52" i="4"/>
  <c r="E52" i="4"/>
  <c r="B52" i="4"/>
  <c r="L92" i="4"/>
  <c r="K92" i="4"/>
  <c r="G92" i="4"/>
  <c r="D92" i="4"/>
  <c r="M92" i="4"/>
  <c r="J92" i="4"/>
  <c r="F92" i="4"/>
  <c r="I92" i="4"/>
  <c r="C92" i="4"/>
  <c r="I287" i="4"/>
  <c r="H287" i="4"/>
  <c r="J287" i="4"/>
  <c r="F287" i="4"/>
  <c r="E287" i="4"/>
  <c r="M287" i="4"/>
  <c r="K287" i="4"/>
  <c r="B287" i="4"/>
  <c r="G287" i="4"/>
  <c r="L287" i="4"/>
  <c r="D287" i="4"/>
  <c r="O414" i="2"/>
  <c r="C414" i="2"/>
  <c r="E414" i="2" s="1"/>
  <c r="F414" i="2" s="1"/>
  <c r="F439" i="2"/>
  <c r="O450" i="2"/>
  <c r="C450" i="2"/>
  <c r="E450" i="2" s="1"/>
  <c r="H450" i="2"/>
  <c r="D450" i="2"/>
  <c r="K485" i="2"/>
  <c r="H485" i="2"/>
  <c r="B485" i="2"/>
  <c r="O486" i="2"/>
  <c r="C486" i="2"/>
  <c r="E486" i="2" s="1"/>
  <c r="F486" i="2" s="1"/>
  <c r="B486" i="2"/>
  <c r="H488" i="2"/>
  <c r="K488" i="2"/>
  <c r="L488" i="2" s="1"/>
  <c r="O489" i="2"/>
  <c r="C489" i="2"/>
  <c r="E489" i="2" s="1"/>
  <c r="F489" i="2" s="1"/>
  <c r="H489" i="2"/>
  <c r="J490" i="2"/>
  <c r="N490" i="2" s="1"/>
  <c r="B490" i="2"/>
  <c r="B491" i="2"/>
  <c r="C491" i="2"/>
  <c r="E491" i="2" s="1"/>
  <c r="N506" i="2"/>
  <c r="P520" i="2"/>
  <c r="Q520" i="2" s="1"/>
  <c r="K521" i="2"/>
  <c r="L521" i="2" s="1"/>
  <c r="H521" i="2"/>
  <c r="C521" i="2"/>
  <c r="E521" i="2" s="1"/>
  <c r="O521" i="2" s="1"/>
  <c r="O522" i="2"/>
  <c r="C522" i="2"/>
  <c r="E522" i="2" s="1"/>
  <c r="K522" i="2"/>
  <c r="L522" i="2" s="1"/>
  <c r="J536" i="2"/>
  <c r="N536" i="2" s="1"/>
  <c r="K539" i="2"/>
  <c r="L539" i="2" s="1"/>
  <c r="G559" i="2"/>
  <c r="I559" i="2" s="1"/>
  <c r="M559" i="2" s="1"/>
  <c r="J562" i="2"/>
  <c r="K562" i="2"/>
  <c r="L562" i="2" s="1"/>
  <c r="M562" i="2" s="1"/>
  <c r="B566" i="2"/>
  <c r="K566" i="2"/>
  <c r="D566" i="2"/>
  <c r="F566" i="2" s="1"/>
  <c r="O566" i="2"/>
  <c r="O567" i="2"/>
  <c r="H591" i="2"/>
  <c r="C591" i="2"/>
  <c r="E591" i="2" s="1"/>
  <c r="F591" i="2" s="1"/>
  <c r="K602" i="2"/>
  <c r="L602" i="2" s="1"/>
  <c r="J602" i="2"/>
  <c r="N602" i="2" s="1"/>
  <c r="C602" i="2"/>
  <c r="E602" i="2" s="1"/>
  <c r="G636" i="2"/>
  <c r="I636" i="2" s="1"/>
  <c r="M636" i="2" s="1"/>
  <c r="M652" i="2"/>
  <c r="N664" i="2"/>
  <c r="H677" i="2"/>
  <c r="K677" i="2"/>
  <c r="C677" i="2"/>
  <c r="E677" i="2" s="1"/>
  <c r="K694" i="2"/>
  <c r="H694" i="2"/>
  <c r="C694" i="2"/>
  <c r="E694" i="2" s="1"/>
  <c r="F694" i="2" s="1"/>
  <c r="B706" i="2"/>
  <c r="K706" i="2"/>
  <c r="L706" i="2" s="1"/>
  <c r="L724" i="2"/>
  <c r="N724" i="2"/>
  <c r="N729" i="2"/>
  <c r="O740" i="2"/>
  <c r="D740" i="2"/>
  <c r="F740" i="2" s="1"/>
  <c r="G740" i="2" s="1"/>
  <c r="I740" i="2" s="1"/>
  <c r="K740" i="2"/>
  <c r="L740" i="2" s="1"/>
  <c r="H740" i="2"/>
  <c r="D759" i="2"/>
  <c r="J759" i="2"/>
  <c r="N759" i="2" s="1"/>
  <c r="H759" i="2"/>
  <c r="C759" i="2"/>
  <c r="E759" i="2" s="1"/>
  <c r="O759" i="2" s="1"/>
  <c r="G778" i="2"/>
  <c r="I778" i="2" s="1"/>
  <c r="M778" i="2" s="1"/>
  <c r="B781" i="2"/>
  <c r="D781" i="2"/>
  <c r="F781" i="2" s="1"/>
  <c r="O781" i="2"/>
  <c r="K781" i="2"/>
  <c r="L781" i="2" s="1"/>
  <c r="O786" i="2"/>
  <c r="F786" i="2"/>
  <c r="P786" i="2" s="1"/>
  <c r="Q786" i="2" s="1"/>
  <c r="F789" i="2"/>
  <c r="P798" i="2"/>
  <c r="Q798" i="2" s="1"/>
  <c r="G798" i="2"/>
  <c r="I798" i="2" s="1"/>
  <c r="M798" i="2" s="1"/>
  <c r="F802" i="2"/>
  <c r="P842" i="2"/>
  <c r="Q842" i="2" s="1"/>
  <c r="G842" i="2"/>
  <c r="I842" i="2" s="1"/>
  <c r="M842" i="2" s="1"/>
  <c r="C848" i="2"/>
  <c r="E848" i="2" s="1"/>
  <c r="O848" i="2" s="1"/>
  <c r="K848" i="2"/>
  <c r="L848" i="2" s="1"/>
  <c r="B848" i="2"/>
  <c r="J848" i="2"/>
  <c r="N848" i="2" s="1"/>
  <c r="K859" i="2"/>
  <c r="L859" i="2" s="1"/>
  <c r="H859" i="2"/>
  <c r="O859" i="2"/>
  <c r="P859" i="2" s="1"/>
  <c r="Q859" i="2" s="1"/>
  <c r="P897" i="2"/>
  <c r="Q897" i="2" s="1"/>
  <c r="N901" i="2"/>
  <c r="J912" i="2"/>
  <c r="N912" i="2" s="1"/>
  <c r="C912" i="2"/>
  <c r="E912" i="2" s="1"/>
  <c r="O912" i="2" s="1"/>
  <c r="H912" i="2"/>
  <c r="D912" i="2"/>
  <c r="F912" i="2" s="1"/>
  <c r="P912" i="2" s="1"/>
  <c r="Q912" i="2" s="1"/>
  <c r="F924" i="2"/>
  <c r="C941" i="2"/>
  <c r="E941" i="2" s="1"/>
  <c r="O941" i="2" s="1"/>
  <c r="B941" i="2"/>
  <c r="J941" i="2"/>
  <c r="N941" i="2" s="1"/>
  <c r="K941" i="2"/>
  <c r="L941" i="2" s="1"/>
  <c r="D941" i="2"/>
  <c r="D950" i="2"/>
  <c r="F950" i="2" s="1"/>
  <c r="B950" i="2"/>
  <c r="K950" i="2"/>
  <c r="L950" i="2" s="1"/>
  <c r="J950" i="2"/>
  <c r="N950" i="2" s="1"/>
  <c r="H950" i="2"/>
  <c r="J974" i="2"/>
  <c r="N974" i="2" s="1"/>
  <c r="O974" i="2"/>
  <c r="P974" i="2" s="1"/>
  <c r="Q974" i="2" s="1"/>
  <c r="O980" i="2"/>
  <c r="C980" i="2"/>
  <c r="E980" i="2" s="1"/>
  <c r="D980" i="2"/>
  <c r="F980" i="2" s="1"/>
  <c r="B980" i="2"/>
  <c r="J980" i="2"/>
  <c r="N980" i="2" s="1"/>
  <c r="K980" i="2"/>
  <c r="L980" i="2" s="1"/>
  <c r="H980" i="2"/>
  <c r="M990" i="2"/>
  <c r="H24" i="3"/>
  <c r="G13" i="4"/>
  <c r="F13" i="4"/>
  <c r="I13" i="4"/>
  <c r="D13" i="4"/>
  <c r="K13" i="4"/>
  <c r="J13" i="4"/>
  <c r="M13" i="4"/>
  <c r="L13" i="4"/>
  <c r="E13" i="4"/>
  <c r="C13" i="4"/>
  <c r="H13" i="4"/>
  <c r="L68" i="4"/>
  <c r="K68" i="4"/>
  <c r="I68" i="4"/>
  <c r="F68" i="4"/>
  <c r="J68" i="4"/>
  <c r="H68" i="4"/>
  <c r="G68" i="4"/>
  <c r="E68" i="4"/>
  <c r="B68" i="4"/>
  <c r="M68" i="4"/>
  <c r="C89" i="4"/>
  <c r="B89" i="4"/>
  <c r="G89" i="4"/>
  <c r="D89" i="4"/>
  <c r="L89" i="4"/>
  <c r="K89" i="4"/>
  <c r="J89" i="4"/>
  <c r="I89" i="4"/>
  <c r="F89" i="4"/>
  <c r="E89" i="4"/>
  <c r="C125" i="4"/>
  <c r="B125" i="4"/>
  <c r="E125" i="4"/>
  <c r="K125" i="4"/>
  <c r="J125" i="4"/>
  <c r="I125" i="4"/>
  <c r="H125" i="4"/>
  <c r="G125" i="4"/>
  <c r="F125" i="4"/>
  <c r="D125" i="4"/>
  <c r="M125" i="4"/>
  <c r="H314" i="4"/>
  <c r="F314" i="4"/>
  <c r="E314" i="4"/>
  <c r="D314" i="4"/>
  <c r="L314" i="4"/>
  <c r="K314" i="4"/>
  <c r="J314" i="4"/>
  <c r="I314" i="4"/>
  <c r="M314" i="4"/>
  <c r="C314" i="4"/>
  <c r="G314" i="4"/>
  <c r="D529" i="2"/>
  <c r="F529" i="2" s="1"/>
  <c r="J529" i="2"/>
  <c r="N529" i="2" s="1"/>
  <c r="B530" i="2"/>
  <c r="K530" i="2"/>
  <c r="L530" i="2" s="1"/>
  <c r="D530" i="2"/>
  <c r="F530" i="2" s="1"/>
  <c r="F531" i="2"/>
  <c r="C561" i="2"/>
  <c r="E561" i="2" s="1"/>
  <c r="O561" i="2" s="1"/>
  <c r="B561" i="2"/>
  <c r="G562" i="2"/>
  <c r="I562" i="2" s="1"/>
  <c r="B563" i="2"/>
  <c r="K563" i="2"/>
  <c r="L563" i="2" s="1"/>
  <c r="H563" i="2"/>
  <c r="D565" i="2"/>
  <c r="F565" i="2" s="1"/>
  <c r="B565" i="2"/>
  <c r="D577" i="2"/>
  <c r="F577" i="2" s="1"/>
  <c r="P577" i="2" s="1"/>
  <c r="Q577" i="2" s="1"/>
  <c r="O577" i="2"/>
  <c r="C577" i="2"/>
  <c r="E577" i="2" s="1"/>
  <c r="H577" i="2"/>
  <c r="K577" i="2"/>
  <c r="J583" i="2"/>
  <c r="N583" i="2" s="1"/>
  <c r="B583" i="2"/>
  <c r="G590" i="2"/>
  <c r="I590" i="2" s="1"/>
  <c r="G610" i="2"/>
  <c r="I610" i="2" s="1"/>
  <c r="P610" i="2"/>
  <c r="Q610" i="2" s="1"/>
  <c r="C618" i="2"/>
  <c r="E618" i="2" s="1"/>
  <c r="O618" i="2" s="1"/>
  <c r="B618" i="2"/>
  <c r="H618" i="2"/>
  <c r="M623" i="2"/>
  <c r="G676" i="2"/>
  <c r="I676" i="2" s="1"/>
  <c r="K693" i="2"/>
  <c r="L693" i="2" s="1"/>
  <c r="D693" i="2"/>
  <c r="F693" i="2" s="1"/>
  <c r="G693" i="2" s="1"/>
  <c r="K705" i="2"/>
  <c r="L705" i="2" s="1"/>
  <c r="H705" i="2"/>
  <c r="O705" i="2"/>
  <c r="P705" i="2" s="1"/>
  <c r="Q705" i="2" s="1"/>
  <c r="J705" i="2"/>
  <c r="J735" i="2"/>
  <c r="N735" i="2" s="1"/>
  <c r="O735" i="2"/>
  <c r="F736" i="2"/>
  <c r="G736" i="2" s="1"/>
  <c r="I736" i="2" s="1"/>
  <c r="M736" i="2" s="1"/>
  <c r="J756" i="2"/>
  <c r="N756" i="2" s="1"/>
  <c r="C756" i="2"/>
  <c r="E756" i="2" s="1"/>
  <c r="B756" i="2"/>
  <c r="H756" i="2"/>
  <c r="D756" i="2"/>
  <c r="F756" i="2" s="1"/>
  <c r="O756" i="2"/>
  <c r="N767" i="2"/>
  <c r="B796" i="2"/>
  <c r="K796" i="2"/>
  <c r="L796" i="2" s="1"/>
  <c r="J796" i="2"/>
  <c r="N796" i="2" s="1"/>
  <c r="H796" i="2"/>
  <c r="K835" i="2"/>
  <c r="L835" i="2" s="1"/>
  <c r="H835" i="2"/>
  <c r="J835" i="2"/>
  <c r="D835" i="2"/>
  <c r="F835" i="2" s="1"/>
  <c r="C835" i="2"/>
  <c r="E835" i="2" s="1"/>
  <c r="O835" i="2" s="1"/>
  <c r="B835" i="2"/>
  <c r="M846" i="2"/>
  <c r="F848" i="2"/>
  <c r="B856" i="2"/>
  <c r="K856" i="2"/>
  <c r="L856" i="2" s="1"/>
  <c r="D856" i="2"/>
  <c r="F856" i="2" s="1"/>
  <c r="O856" i="2"/>
  <c r="J856" i="2"/>
  <c r="N856" i="2" s="1"/>
  <c r="G859" i="2"/>
  <c r="I859" i="2" s="1"/>
  <c r="J905" i="2"/>
  <c r="N905" i="2" s="1"/>
  <c r="O905" i="2"/>
  <c r="H905" i="2"/>
  <c r="F909" i="2"/>
  <c r="P909" i="2" s="1"/>
  <c r="Q909" i="2" s="1"/>
  <c r="G912" i="2"/>
  <c r="I912" i="2" s="1"/>
  <c r="M912" i="2" s="1"/>
  <c r="N917" i="2"/>
  <c r="N937" i="2"/>
  <c r="D939" i="2"/>
  <c r="H939" i="2"/>
  <c r="J939" i="2"/>
  <c r="N939" i="2" s="1"/>
  <c r="C939" i="2"/>
  <c r="E939" i="2" s="1"/>
  <c r="O939" i="2" s="1"/>
  <c r="B939" i="2"/>
  <c r="H977" i="2"/>
  <c r="D977" i="2"/>
  <c r="F977" i="2" s="1"/>
  <c r="C977" i="2"/>
  <c r="E977" i="2" s="1"/>
  <c r="O977" i="2" s="1"/>
  <c r="B977" i="2"/>
  <c r="M981" i="2"/>
  <c r="K984" i="2"/>
  <c r="L984" i="2" s="1"/>
  <c r="J984" i="2"/>
  <c r="N984" i="2" s="1"/>
  <c r="D984" i="2"/>
  <c r="F984" i="2" s="1"/>
  <c r="O984" i="2"/>
  <c r="H984" i="2"/>
  <c r="G987" i="2"/>
  <c r="P987" i="2"/>
  <c r="Q987" i="2" s="1"/>
  <c r="J989" i="2"/>
  <c r="N989" i="2" s="1"/>
  <c r="D989" i="2"/>
  <c r="F989" i="2" s="1"/>
  <c r="K989" i="2"/>
  <c r="L989" i="2" s="1"/>
  <c r="B989" i="2"/>
  <c r="O989" i="2"/>
  <c r="H989" i="2"/>
  <c r="K991" i="2"/>
  <c r="L991" i="2" s="1"/>
  <c r="C991" i="2"/>
  <c r="E991" i="2" s="1"/>
  <c r="H991" i="2"/>
  <c r="J991" i="2"/>
  <c r="N991" i="2" s="1"/>
  <c r="G998" i="2"/>
  <c r="I998" i="2" s="1"/>
  <c r="P998" i="2"/>
  <c r="Q998" i="2" s="1"/>
  <c r="G25" i="4"/>
  <c r="F25" i="4"/>
  <c r="H25" i="4"/>
  <c r="C25" i="4"/>
  <c r="M25" i="4"/>
  <c r="L25" i="4"/>
  <c r="J25" i="4"/>
  <c r="I25" i="4"/>
  <c r="E25" i="4"/>
  <c r="J130" i="4"/>
  <c r="I130" i="4"/>
  <c r="G130" i="4"/>
  <c r="D130" i="4"/>
  <c r="F130" i="4"/>
  <c r="E130" i="4"/>
  <c r="L130" i="4"/>
  <c r="K130" i="4"/>
  <c r="H130" i="4"/>
  <c r="C130" i="4"/>
  <c r="B130" i="4"/>
  <c r="D268" i="4"/>
  <c r="C268" i="4"/>
  <c r="E268" i="4"/>
  <c r="J268" i="4"/>
  <c r="I268" i="4"/>
  <c r="H268" i="4"/>
  <c r="F268" i="4"/>
  <c r="M268" i="4"/>
  <c r="L268" i="4"/>
  <c r="B268" i="4"/>
  <c r="P535" i="2"/>
  <c r="Q535" i="2" s="1"/>
  <c r="H536" i="2"/>
  <c r="B536" i="2"/>
  <c r="H561" i="2"/>
  <c r="J565" i="2"/>
  <c r="N565" i="2" s="1"/>
  <c r="K583" i="2"/>
  <c r="L583" i="2" s="1"/>
  <c r="M592" i="2"/>
  <c r="K597" i="2"/>
  <c r="B597" i="2"/>
  <c r="D608" i="2"/>
  <c r="H608" i="2"/>
  <c r="C608" i="2"/>
  <c r="E608" i="2" s="1"/>
  <c r="O608" i="2"/>
  <c r="K614" i="2"/>
  <c r="L614" i="2" s="1"/>
  <c r="J614" i="2"/>
  <c r="B614" i="2"/>
  <c r="J618" i="2"/>
  <c r="N618" i="2" s="1"/>
  <c r="D632" i="2"/>
  <c r="F632" i="2" s="1"/>
  <c r="G632" i="2" s="1"/>
  <c r="I632" i="2" s="1"/>
  <c r="K632" i="2"/>
  <c r="L632" i="2" s="1"/>
  <c r="N635" i="2"/>
  <c r="O642" i="2"/>
  <c r="C642" i="2"/>
  <c r="E642" i="2" s="1"/>
  <c r="F642" i="2" s="1"/>
  <c r="B642" i="2"/>
  <c r="G664" i="2"/>
  <c r="I664" i="2" s="1"/>
  <c r="M664" i="2" s="1"/>
  <c r="G665" i="2"/>
  <c r="I665" i="2" s="1"/>
  <c r="M665" i="2" s="1"/>
  <c r="F687" i="2"/>
  <c r="H693" i="2"/>
  <c r="C714" i="2"/>
  <c r="E714" i="2" s="1"/>
  <c r="O714" i="2" s="1"/>
  <c r="B714" i="2"/>
  <c r="J714" i="2"/>
  <c r="N714" i="2" s="1"/>
  <c r="D714" i="2"/>
  <c r="C738" i="2"/>
  <c r="E738" i="2" s="1"/>
  <c r="F738" i="2" s="1"/>
  <c r="B738" i="2"/>
  <c r="K738" i="2"/>
  <c r="L738" i="2" s="1"/>
  <c r="C755" i="2"/>
  <c r="E755" i="2" s="1"/>
  <c r="H755" i="2"/>
  <c r="B755" i="2"/>
  <c r="M762" i="2"/>
  <c r="N771" i="2"/>
  <c r="M810" i="2"/>
  <c r="O817" i="2"/>
  <c r="P817" i="2" s="1"/>
  <c r="Q817" i="2" s="1"/>
  <c r="F817" i="2"/>
  <c r="G817" i="2" s="1"/>
  <c r="I817" i="2" s="1"/>
  <c r="F823" i="2"/>
  <c r="H826" i="2"/>
  <c r="C826" i="2"/>
  <c r="E826" i="2" s="1"/>
  <c r="O826" i="2" s="1"/>
  <c r="B826" i="2"/>
  <c r="J826" i="2"/>
  <c r="N826" i="2" s="1"/>
  <c r="D826" i="2"/>
  <c r="N867" i="2"/>
  <c r="C887" i="2"/>
  <c r="E887" i="2" s="1"/>
  <c r="F887" i="2" s="1"/>
  <c r="B887" i="2"/>
  <c r="K887" i="2"/>
  <c r="B890" i="2"/>
  <c r="O890" i="2"/>
  <c r="H890" i="2"/>
  <c r="D890" i="2"/>
  <c r="C890" i="2"/>
  <c r="E890" i="2" s="1"/>
  <c r="M906" i="2"/>
  <c r="B913" i="2"/>
  <c r="K913" i="2"/>
  <c r="L913" i="2" s="1"/>
  <c r="J913" i="2"/>
  <c r="C913" i="2"/>
  <c r="E913" i="2" s="1"/>
  <c r="O913" i="2" s="1"/>
  <c r="H913" i="2"/>
  <c r="B940" i="2"/>
  <c r="K940" i="2"/>
  <c r="L940" i="2" s="1"/>
  <c r="J940" i="2"/>
  <c r="H940" i="2"/>
  <c r="K979" i="2"/>
  <c r="L979" i="2" s="1"/>
  <c r="H979" i="2"/>
  <c r="J979" i="2"/>
  <c r="N979" i="2" s="1"/>
  <c r="D979" i="2"/>
  <c r="C979" i="2"/>
  <c r="E979" i="2" s="1"/>
  <c r="O979" i="2" s="1"/>
  <c r="B979" i="2"/>
  <c r="L998" i="2"/>
  <c r="M998" i="2" s="1"/>
  <c r="N998" i="2"/>
  <c r="B760" i="2"/>
  <c r="K760" i="2"/>
  <c r="L760" i="2" s="1"/>
  <c r="D760" i="2"/>
  <c r="O760" i="2"/>
  <c r="F780" i="2"/>
  <c r="C797" i="2"/>
  <c r="E797" i="2" s="1"/>
  <c r="O797" i="2" s="1"/>
  <c r="B797" i="2"/>
  <c r="J797" i="2"/>
  <c r="N797" i="2" s="1"/>
  <c r="K797" i="2"/>
  <c r="L797" i="2" s="1"/>
  <c r="D797" i="2"/>
  <c r="D806" i="2"/>
  <c r="F806" i="2" s="1"/>
  <c r="B806" i="2"/>
  <c r="K806" i="2"/>
  <c r="L806" i="2" s="1"/>
  <c r="J806" i="2"/>
  <c r="N806" i="2" s="1"/>
  <c r="H806" i="2"/>
  <c r="J830" i="2"/>
  <c r="N830" i="2" s="1"/>
  <c r="O830" i="2"/>
  <c r="C836" i="2"/>
  <c r="E836" i="2" s="1"/>
  <c r="O836" i="2" s="1"/>
  <c r="D836" i="2"/>
  <c r="B836" i="2"/>
  <c r="J836" i="2"/>
  <c r="N836" i="2" s="1"/>
  <c r="K836" i="2"/>
  <c r="L836" i="2" s="1"/>
  <c r="H836" i="2"/>
  <c r="G855" i="2"/>
  <c r="P855" i="2"/>
  <c r="Q855" i="2" s="1"/>
  <c r="C872" i="2"/>
  <c r="E872" i="2" s="1"/>
  <c r="O872" i="2" s="1"/>
  <c r="H872" i="2"/>
  <c r="D872" i="2"/>
  <c r="F872" i="2" s="1"/>
  <c r="K872" i="2"/>
  <c r="L872" i="2" s="1"/>
  <c r="J872" i="2"/>
  <c r="D881" i="2"/>
  <c r="F881" i="2" s="1"/>
  <c r="C881" i="2"/>
  <c r="E881" i="2" s="1"/>
  <c r="O881" i="2" s="1"/>
  <c r="H881" i="2"/>
  <c r="B881" i="2"/>
  <c r="K881" i="2"/>
  <c r="L881" i="2" s="1"/>
  <c r="J881" i="2"/>
  <c r="C884" i="2"/>
  <c r="E884" i="2" s="1"/>
  <c r="O884" i="2" s="1"/>
  <c r="H884" i="2"/>
  <c r="D884" i="2"/>
  <c r="K884" i="2"/>
  <c r="B884" i="2"/>
  <c r="M885" i="2"/>
  <c r="H898" i="2"/>
  <c r="K898" i="2"/>
  <c r="L898" i="2" s="1"/>
  <c r="J898" i="2"/>
  <c r="N898" i="2" s="1"/>
  <c r="O898" i="2"/>
  <c r="K907" i="2"/>
  <c r="L907" i="2" s="1"/>
  <c r="H907" i="2"/>
  <c r="D907" i="2"/>
  <c r="F907" i="2" s="1"/>
  <c r="O907" i="2"/>
  <c r="L936" i="2"/>
  <c r="N936" i="2"/>
  <c r="K992" i="2"/>
  <c r="L992" i="2" s="1"/>
  <c r="J992" i="2"/>
  <c r="N992" i="2" s="1"/>
  <c r="O992" i="2"/>
  <c r="D992" i="2"/>
  <c r="F992" i="2" s="1"/>
  <c r="C992" i="2"/>
  <c r="E992" i="2" s="1"/>
  <c r="B992" i="2"/>
  <c r="G61" i="4"/>
  <c r="F61" i="4"/>
  <c r="C61" i="4"/>
  <c r="J61" i="4"/>
  <c r="I61" i="4"/>
  <c r="D61" i="4"/>
  <c r="B61" i="4"/>
  <c r="M61" i="4"/>
  <c r="L61" i="4"/>
  <c r="E61" i="4"/>
  <c r="I83" i="4"/>
  <c r="H83" i="4"/>
  <c r="M83" i="4"/>
  <c r="J83" i="4"/>
  <c r="G83" i="4"/>
  <c r="F83" i="4"/>
  <c r="L83" i="4"/>
  <c r="K83" i="4"/>
  <c r="C83" i="4"/>
  <c r="D83" i="4"/>
  <c r="J310" i="4"/>
  <c r="I310" i="4"/>
  <c r="H310" i="4"/>
  <c r="M310" i="4"/>
  <c r="L310" i="4"/>
  <c r="D310" i="4"/>
  <c r="C310" i="4"/>
  <c r="B310" i="4"/>
  <c r="K310" i="4"/>
  <c r="D318" i="4"/>
  <c r="G318" i="4"/>
  <c r="F318" i="4"/>
  <c r="E318" i="4"/>
  <c r="L318" i="4"/>
  <c r="K318" i="4"/>
  <c r="J318" i="4"/>
  <c r="I318" i="4"/>
  <c r="M318" i="4"/>
  <c r="H318" i="4"/>
  <c r="B318" i="4"/>
  <c r="B11" i="2"/>
  <c r="K11" i="2"/>
  <c r="L11" i="2" s="1"/>
  <c r="O65" i="2"/>
  <c r="O90" i="2"/>
  <c r="C90" i="2"/>
  <c r="E90" i="2" s="1"/>
  <c r="F90" i="2" s="1"/>
  <c r="O115" i="2"/>
  <c r="O130" i="2"/>
  <c r="C135" i="2"/>
  <c r="E135" i="2" s="1"/>
  <c r="F135" i="2" s="1"/>
  <c r="B155" i="2"/>
  <c r="K155" i="2"/>
  <c r="L155" i="2" s="1"/>
  <c r="P169" i="2"/>
  <c r="Q169" i="2" s="1"/>
  <c r="O174" i="2"/>
  <c r="C174" i="2"/>
  <c r="E174" i="2" s="1"/>
  <c r="O199" i="2"/>
  <c r="O214" i="2"/>
  <c r="P214" i="2" s="1"/>
  <c r="Q214" i="2" s="1"/>
  <c r="O219" i="2"/>
  <c r="C219" i="2"/>
  <c r="E219" i="2" s="1"/>
  <c r="B239" i="2"/>
  <c r="K239" i="2"/>
  <c r="K254" i="2"/>
  <c r="H254" i="2"/>
  <c r="O254" i="2"/>
  <c r="O293" i="2"/>
  <c r="P313" i="2"/>
  <c r="Q313" i="2" s="1"/>
  <c r="C318" i="2"/>
  <c r="E318" i="2" s="1"/>
  <c r="F318" i="2" s="1"/>
  <c r="G318" i="2" s="1"/>
  <c r="I318" i="2" s="1"/>
  <c r="M318" i="2" s="1"/>
  <c r="O343" i="2"/>
  <c r="P343" i="2" s="1"/>
  <c r="Q343" i="2" s="1"/>
  <c r="O358" i="2"/>
  <c r="P358" i="2" s="1"/>
  <c r="Q358" i="2" s="1"/>
  <c r="C363" i="2"/>
  <c r="E363" i="2" s="1"/>
  <c r="B383" i="2"/>
  <c r="K383" i="2"/>
  <c r="N403" i="2"/>
  <c r="O408" i="2"/>
  <c r="F426" i="2"/>
  <c r="G426" i="2" s="1"/>
  <c r="I426" i="2" s="1"/>
  <c r="M426" i="2" s="1"/>
  <c r="P431" i="2"/>
  <c r="Q431" i="2" s="1"/>
  <c r="H464" i="2"/>
  <c r="C464" i="2"/>
  <c r="E464" i="2" s="1"/>
  <c r="J466" i="2"/>
  <c r="N466" i="2" s="1"/>
  <c r="B466" i="2"/>
  <c r="B467" i="2"/>
  <c r="J467" i="2"/>
  <c r="N467" i="2" s="1"/>
  <c r="B470" i="2"/>
  <c r="K470" i="2"/>
  <c r="L470" i="2" s="1"/>
  <c r="C470" i="2"/>
  <c r="E470" i="2" s="1"/>
  <c r="P472" i="2"/>
  <c r="Q472" i="2" s="1"/>
  <c r="K473" i="2"/>
  <c r="H473" i="2"/>
  <c r="K509" i="2"/>
  <c r="L509" i="2" s="1"/>
  <c r="H509" i="2"/>
  <c r="N511" i="2"/>
  <c r="K528" i="2"/>
  <c r="D536" i="2"/>
  <c r="F536" i="2" s="1"/>
  <c r="D539" i="2"/>
  <c r="F539" i="2" s="1"/>
  <c r="K545" i="2"/>
  <c r="H545" i="2"/>
  <c r="B545" i="2"/>
  <c r="C546" i="2"/>
  <c r="E546" i="2" s="1"/>
  <c r="O546" i="2" s="1"/>
  <c r="B546" i="2"/>
  <c r="H548" i="2"/>
  <c r="K548" i="2"/>
  <c r="L548" i="2" s="1"/>
  <c r="C549" i="2"/>
  <c r="E549" i="2" s="1"/>
  <c r="F549" i="2" s="1"/>
  <c r="G549" i="2" s="1"/>
  <c r="I549" i="2" s="1"/>
  <c r="M549" i="2" s="1"/>
  <c r="H549" i="2"/>
  <c r="J550" i="2"/>
  <c r="N550" i="2" s="1"/>
  <c r="B550" i="2"/>
  <c r="B551" i="2"/>
  <c r="C551" i="2"/>
  <c r="E551" i="2" s="1"/>
  <c r="J561" i="2"/>
  <c r="N561" i="2" s="1"/>
  <c r="B579" i="2"/>
  <c r="K579" i="2"/>
  <c r="H579" i="2"/>
  <c r="F580" i="2"/>
  <c r="F587" i="2"/>
  <c r="O591" i="2"/>
  <c r="F596" i="2"/>
  <c r="G596" i="2" s="1"/>
  <c r="I596" i="2" s="1"/>
  <c r="D597" i="2"/>
  <c r="F597" i="2" s="1"/>
  <c r="K610" i="2"/>
  <c r="D614" i="2"/>
  <c r="F614" i="2" s="1"/>
  <c r="D620" i="2"/>
  <c r="F620" i="2" s="1"/>
  <c r="B620" i="2"/>
  <c r="C632" i="2"/>
  <c r="E632" i="2" s="1"/>
  <c r="O632" i="2" s="1"/>
  <c r="K638" i="2"/>
  <c r="L638" i="2" s="1"/>
  <c r="J638" i="2"/>
  <c r="H638" i="2"/>
  <c r="D638" i="2"/>
  <c r="F638" i="2" s="1"/>
  <c r="F651" i="2"/>
  <c r="G651" i="2" s="1"/>
  <c r="I651" i="2" s="1"/>
  <c r="M651" i="2" s="1"/>
  <c r="K662" i="2"/>
  <c r="L662" i="2" s="1"/>
  <c r="J662" i="2"/>
  <c r="N662" i="2" s="1"/>
  <c r="H672" i="2"/>
  <c r="K672" i="2"/>
  <c r="D672" i="2"/>
  <c r="F672" i="2" s="1"/>
  <c r="N676" i="2"/>
  <c r="O677" i="2"/>
  <c r="J679" i="2"/>
  <c r="N679" i="2" s="1"/>
  <c r="H679" i="2"/>
  <c r="C679" i="2"/>
  <c r="E679" i="2" s="1"/>
  <c r="O679" i="2" s="1"/>
  <c r="O694" i="2"/>
  <c r="G701" i="2"/>
  <c r="I701" i="2" s="1"/>
  <c r="M701" i="2" s="1"/>
  <c r="O706" i="2"/>
  <c r="M707" i="2"/>
  <c r="G713" i="2"/>
  <c r="I713" i="2" s="1"/>
  <c r="M713" i="2" s="1"/>
  <c r="H714" i="2"/>
  <c r="C760" i="2"/>
  <c r="E760" i="2" s="1"/>
  <c r="B770" i="2"/>
  <c r="O770" i="2"/>
  <c r="H770" i="2"/>
  <c r="N793" i="2"/>
  <c r="D795" i="2"/>
  <c r="H795" i="2"/>
  <c r="J795" i="2"/>
  <c r="N795" i="2" s="1"/>
  <c r="C795" i="2"/>
  <c r="E795" i="2" s="1"/>
  <c r="O795" i="2" s="1"/>
  <c r="B795" i="2"/>
  <c r="C806" i="2"/>
  <c r="E806" i="2" s="1"/>
  <c r="O806" i="2" s="1"/>
  <c r="F813" i="2"/>
  <c r="B830" i="2"/>
  <c r="H833" i="2"/>
  <c r="D833" i="2"/>
  <c r="F833" i="2" s="1"/>
  <c r="C833" i="2"/>
  <c r="E833" i="2" s="1"/>
  <c r="O833" i="2" s="1"/>
  <c r="B833" i="2"/>
  <c r="F857" i="2"/>
  <c r="D866" i="2"/>
  <c r="F866" i="2" s="1"/>
  <c r="P866" i="2" s="1"/>
  <c r="Q866" i="2" s="1"/>
  <c r="C866" i="2"/>
  <c r="E866" i="2" s="1"/>
  <c r="J866" i="2"/>
  <c r="N866" i="2" s="1"/>
  <c r="O866" i="2"/>
  <c r="B872" i="2"/>
  <c r="M882" i="2"/>
  <c r="K890" i="2"/>
  <c r="B898" i="2"/>
  <c r="B904" i="2"/>
  <c r="K904" i="2"/>
  <c r="H904" i="2"/>
  <c r="O904" i="2"/>
  <c r="D904" i="2"/>
  <c r="F904" i="2" s="1"/>
  <c r="B907" i="2"/>
  <c r="N922" i="2"/>
  <c r="O932" i="2"/>
  <c r="C932" i="2"/>
  <c r="E932" i="2" s="1"/>
  <c r="J932" i="2"/>
  <c r="N932" i="2" s="1"/>
  <c r="H932" i="2"/>
  <c r="O935" i="2"/>
  <c r="C935" i="2"/>
  <c r="E935" i="2" s="1"/>
  <c r="D935" i="2"/>
  <c r="F935" i="2" s="1"/>
  <c r="G935" i="2" s="1"/>
  <c r="I935" i="2" s="1"/>
  <c r="K935" i="2"/>
  <c r="D940" i="2"/>
  <c r="F940" i="2" s="1"/>
  <c r="F942" i="2"/>
  <c r="P942" i="2" s="1"/>
  <c r="Q942" i="2" s="1"/>
  <c r="K953" i="2"/>
  <c r="B953" i="2"/>
  <c r="O953" i="2"/>
  <c r="H953" i="2"/>
  <c r="F962" i="2"/>
  <c r="B973" i="2"/>
  <c r="J973" i="2"/>
  <c r="H973" i="2"/>
  <c r="K973" i="2"/>
  <c r="L973" i="2" s="1"/>
  <c r="C973" i="2"/>
  <c r="E973" i="2" s="1"/>
  <c r="F973" i="2" s="1"/>
  <c r="P978" i="2"/>
  <c r="Q978" i="2" s="1"/>
  <c r="G978" i="2"/>
  <c r="I978" i="2" s="1"/>
  <c r="G990" i="2"/>
  <c r="I990" i="2" s="1"/>
  <c r="H992" i="2"/>
  <c r="M995" i="2"/>
  <c r="H999" i="2"/>
  <c r="D999" i="2"/>
  <c r="C999" i="2"/>
  <c r="E999" i="2" s="1"/>
  <c r="O999" i="2" s="1"/>
  <c r="K999" i="2"/>
  <c r="L999" i="2" s="1"/>
  <c r="H61" i="4"/>
  <c r="B83" i="4"/>
  <c r="D160" i="4"/>
  <c r="C160" i="4"/>
  <c r="K160" i="4"/>
  <c r="J160" i="4"/>
  <c r="I160" i="4"/>
  <c r="H160" i="4"/>
  <c r="M160" i="4"/>
  <c r="L160" i="4"/>
  <c r="G160" i="4"/>
  <c r="F160" i="4"/>
  <c r="E160" i="4"/>
  <c r="H168" i="4"/>
  <c r="G168" i="4"/>
  <c r="I168" i="4"/>
  <c r="D168" i="4"/>
  <c r="M168" i="4"/>
  <c r="L168" i="4"/>
  <c r="J168" i="4"/>
  <c r="F168" i="4"/>
  <c r="E168" i="4"/>
  <c r="C168" i="4"/>
  <c r="B168" i="4"/>
  <c r="K177" i="4"/>
  <c r="J177" i="4"/>
  <c r="C177" i="4"/>
  <c r="H177" i="4"/>
  <c r="G177" i="4"/>
  <c r="F177" i="4"/>
  <c r="D177" i="4"/>
  <c r="M177" i="4"/>
  <c r="L177" i="4"/>
  <c r="I177" i="4"/>
  <c r="E177" i="4"/>
  <c r="B177" i="4"/>
  <c r="I299" i="4"/>
  <c r="H299" i="4"/>
  <c r="G299" i="4"/>
  <c r="F299" i="4"/>
  <c r="E299" i="4"/>
  <c r="D299" i="4"/>
  <c r="L299" i="4"/>
  <c r="B299" i="4"/>
  <c r="M299" i="4"/>
  <c r="K299" i="4"/>
  <c r="J299" i="4"/>
  <c r="C299" i="4"/>
  <c r="E310" i="4"/>
  <c r="C318" i="4"/>
  <c r="L346" i="4"/>
  <c r="F346" i="4"/>
  <c r="E346" i="4"/>
  <c r="D346" i="4"/>
  <c r="M346" i="4"/>
  <c r="K346" i="4"/>
  <c r="C346" i="4"/>
  <c r="J346" i="4"/>
  <c r="I346" i="4"/>
  <c r="G346" i="4"/>
  <c r="H346" i="4"/>
  <c r="L418" i="4"/>
  <c r="F418" i="4"/>
  <c r="E418" i="4"/>
  <c r="D418" i="4"/>
  <c r="B418" i="4"/>
  <c r="J418" i="4"/>
  <c r="H418" i="4"/>
  <c r="G418" i="4"/>
  <c r="K418" i="4"/>
  <c r="I418" i="4"/>
  <c r="C418" i="4"/>
  <c r="F634" i="4"/>
  <c r="C634" i="4"/>
  <c r="B634" i="4"/>
  <c r="L634" i="4"/>
  <c r="M634" i="4"/>
  <c r="K634" i="4"/>
  <c r="I634" i="4"/>
  <c r="E634" i="4"/>
  <c r="D634" i="4"/>
  <c r="J634" i="4"/>
  <c r="H634" i="4"/>
  <c r="G634" i="4"/>
  <c r="J768" i="2"/>
  <c r="N768" i="2" s="1"/>
  <c r="B768" i="2"/>
  <c r="N783" i="2"/>
  <c r="H790" i="2"/>
  <c r="J790" i="2"/>
  <c r="N790" i="2" s="1"/>
  <c r="N812" i="2"/>
  <c r="B818" i="2"/>
  <c r="O818" i="2"/>
  <c r="P819" i="2"/>
  <c r="Q819" i="2" s="1"/>
  <c r="J828" i="2"/>
  <c r="H828" i="2"/>
  <c r="N832" i="2"/>
  <c r="B844" i="2"/>
  <c r="K844" i="2"/>
  <c r="L844" i="2" s="1"/>
  <c r="J844" i="2"/>
  <c r="D844" i="2"/>
  <c r="F844" i="2" s="1"/>
  <c r="N852" i="2"/>
  <c r="L852" i="2"/>
  <c r="D855" i="2"/>
  <c r="F855" i="2" s="1"/>
  <c r="H855" i="2"/>
  <c r="N868" i="2"/>
  <c r="F876" i="2"/>
  <c r="O902" i="2"/>
  <c r="P902" i="2" s="1"/>
  <c r="Q902" i="2" s="1"/>
  <c r="D903" i="2"/>
  <c r="F903" i="2" s="1"/>
  <c r="K903" i="2"/>
  <c r="L903" i="2" s="1"/>
  <c r="H903" i="2"/>
  <c r="N927" i="2"/>
  <c r="H934" i="2"/>
  <c r="J934" i="2"/>
  <c r="N934" i="2" s="1"/>
  <c r="N956" i="2"/>
  <c r="B962" i="2"/>
  <c r="O962" i="2"/>
  <c r="G963" i="2"/>
  <c r="I963" i="2" s="1"/>
  <c r="J972" i="2"/>
  <c r="H972" i="2"/>
  <c r="J34" i="4"/>
  <c r="I34" i="4"/>
  <c r="B34" i="4"/>
  <c r="M34" i="4"/>
  <c r="G34" i="4"/>
  <c r="F34" i="4"/>
  <c r="E39" i="4"/>
  <c r="D39" i="4"/>
  <c r="I39" i="4"/>
  <c r="F39" i="4"/>
  <c r="J39" i="4"/>
  <c r="H39" i="4"/>
  <c r="L39" i="4"/>
  <c r="K39" i="4"/>
  <c r="C39" i="4"/>
  <c r="B39" i="4"/>
  <c r="G97" i="4"/>
  <c r="F97" i="4"/>
  <c r="K97" i="4"/>
  <c r="C97" i="4"/>
  <c r="B97" i="4"/>
  <c r="M97" i="4"/>
  <c r="L97" i="4"/>
  <c r="J97" i="4"/>
  <c r="I97" i="4"/>
  <c r="D97" i="4"/>
  <c r="L128" i="4"/>
  <c r="K128" i="4"/>
  <c r="E128" i="4"/>
  <c r="B128" i="4"/>
  <c r="M128" i="4"/>
  <c r="J128" i="4"/>
  <c r="I128" i="4"/>
  <c r="F128" i="4"/>
  <c r="C137" i="4"/>
  <c r="B137" i="4"/>
  <c r="D137" i="4"/>
  <c r="M137" i="4"/>
  <c r="L137" i="4"/>
  <c r="K137" i="4"/>
  <c r="J137" i="4"/>
  <c r="I137" i="4"/>
  <c r="F137" i="4"/>
  <c r="G289" i="4"/>
  <c r="F289" i="4"/>
  <c r="L289" i="4"/>
  <c r="J289" i="4"/>
  <c r="I289" i="4"/>
  <c r="H289" i="4"/>
  <c r="E289" i="4"/>
  <c r="D289" i="4"/>
  <c r="B289" i="4"/>
  <c r="M289" i="4"/>
  <c r="J372" i="4"/>
  <c r="F372" i="4"/>
  <c r="E372" i="4"/>
  <c r="D372" i="4"/>
  <c r="K372" i="4"/>
  <c r="H372" i="4"/>
  <c r="G372" i="4"/>
  <c r="C372" i="4"/>
  <c r="B372" i="4"/>
  <c r="L372" i="4"/>
  <c r="M372" i="4"/>
  <c r="F424" i="4"/>
  <c r="G424" i="4"/>
  <c r="E424" i="4"/>
  <c r="D424" i="4"/>
  <c r="B424" i="4"/>
  <c r="K424" i="4"/>
  <c r="J424" i="4"/>
  <c r="I424" i="4"/>
  <c r="H424" i="4"/>
  <c r="C424" i="4"/>
  <c r="L424" i="4"/>
  <c r="C247" i="5"/>
  <c r="K9" i="4"/>
  <c r="J9" i="4"/>
  <c r="C9" i="4"/>
  <c r="M9" i="4"/>
  <c r="L9" i="4"/>
  <c r="G9" i="4"/>
  <c r="F9" i="4"/>
  <c r="D9" i="4"/>
  <c r="D40" i="4"/>
  <c r="C40" i="4"/>
  <c r="J40" i="4"/>
  <c r="G40" i="4"/>
  <c r="M40" i="4"/>
  <c r="L40" i="4"/>
  <c r="K40" i="4"/>
  <c r="I47" i="4"/>
  <c r="H47" i="4"/>
  <c r="B47" i="4"/>
  <c r="M47" i="4"/>
  <c r="J47" i="4"/>
  <c r="G47" i="4"/>
  <c r="E47" i="4"/>
  <c r="D47" i="4"/>
  <c r="L56" i="4"/>
  <c r="K56" i="4"/>
  <c r="J56" i="4"/>
  <c r="G56" i="4"/>
  <c r="F56" i="4"/>
  <c r="E56" i="4"/>
  <c r="M56" i="4"/>
  <c r="H56" i="4"/>
  <c r="D56" i="4"/>
  <c r="D112" i="4"/>
  <c r="C112" i="4"/>
  <c r="B112" i="4"/>
  <c r="M112" i="4"/>
  <c r="L112" i="4"/>
  <c r="K112" i="4"/>
  <c r="J112" i="4"/>
  <c r="I112" i="4"/>
  <c r="F112" i="4"/>
  <c r="K117" i="4"/>
  <c r="J117" i="4"/>
  <c r="G117" i="4"/>
  <c r="D117" i="4"/>
  <c r="M117" i="4"/>
  <c r="L117" i="4"/>
  <c r="F117" i="4"/>
  <c r="I131" i="4"/>
  <c r="H131" i="4"/>
  <c r="J131" i="4"/>
  <c r="E131" i="4"/>
  <c r="L131" i="4"/>
  <c r="K131" i="4"/>
  <c r="M131" i="4"/>
  <c r="D131" i="4"/>
  <c r="F146" i="4"/>
  <c r="E146" i="4"/>
  <c r="M146" i="4"/>
  <c r="J146" i="4"/>
  <c r="H146" i="4"/>
  <c r="G146" i="4"/>
  <c r="D146" i="4"/>
  <c r="C146" i="4"/>
  <c r="B146" i="4"/>
  <c r="F290" i="4"/>
  <c r="E290" i="4"/>
  <c r="M290" i="4"/>
  <c r="K290" i="4"/>
  <c r="J290" i="4"/>
  <c r="L290" i="4"/>
  <c r="H290" i="4"/>
  <c r="B290" i="4"/>
  <c r="I290" i="4"/>
  <c r="G290" i="4"/>
  <c r="D290" i="4"/>
  <c r="I361" i="4"/>
  <c r="F361" i="4"/>
  <c r="E361" i="4"/>
  <c r="D361" i="4"/>
  <c r="H361" i="4"/>
  <c r="G361" i="4"/>
  <c r="C361" i="4"/>
  <c r="B361" i="4"/>
  <c r="M361" i="4"/>
  <c r="L361" i="4"/>
  <c r="G375" i="4"/>
  <c r="F375" i="4"/>
  <c r="E375" i="4"/>
  <c r="D375" i="4"/>
  <c r="K375" i="4"/>
  <c r="I375" i="4"/>
  <c r="H375" i="4"/>
  <c r="C375" i="4"/>
  <c r="B375" i="4"/>
  <c r="M375" i="4"/>
  <c r="J375" i="4"/>
  <c r="L375" i="4"/>
  <c r="L640" i="4"/>
  <c r="I640" i="4"/>
  <c r="H640" i="4"/>
  <c r="K640" i="4"/>
  <c r="F640" i="4"/>
  <c r="J640" i="4"/>
  <c r="D640" i="4"/>
  <c r="C640" i="4"/>
  <c r="M640" i="4"/>
  <c r="G640" i="4"/>
  <c r="E640" i="4"/>
  <c r="B640" i="4"/>
  <c r="F658" i="4"/>
  <c r="E658" i="4"/>
  <c r="I658" i="4"/>
  <c r="D658" i="4"/>
  <c r="C658" i="4"/>
  <c r="M658" i="4"/>
  <c r="J658" i="4"/>
  <c r="L658" i="4"/>
  <c r="K658" i="4"/>
  <c r="H658" i="4"/>
  <c r="B658" i="4"/>
  <c r="H930" i="4"/>
  <c r="E930" i="4"/>
  <c r="M930" i="4"/>
  <c r="L930" i="4"/>
  <c r="J930" i="4"/>
  <c r="F930" i="4"/>
  <c r="D930" i="4"/>
  <c r="K930" i="4"/>
  <c r="I930" i="4"/>
  <c r="B930" i="4"/>
  <c r="C930" i="4"/>
  <c r="G930" i="4"/>
  <c r="C36" i="1"/>
  <c r="O416" i="2"/>
  <c r="O426" i="2"/>
  <c r="C426" i="2"/>
  <c r="E426" i="2" s="1"/>
  <c r="B446" i="2"/>
  <c r="K446" i="2"/>
  <c r="L446" i="2" s="1"/>
  <c r="O456" i="2"/>
  <c r="P456" i="2" s="1"/>
  <c r="Q456" i="2" s="1"/>
  <c r="O465" i="2"/>
  <c r="C465" i="2"/>
  <c r="E465" i="2" s="1"/>
  <c r="F465" i="2" s="1"/>
  <c r="B506" i="2"/>
  <c r="K506" i="2"/>
  <c r="L506" i="2" s="1"/>
  <c r="O516" i="2"/>
  <c r="P516" i="2" s="1"/>
  <c r="Q516" i="2" s="1"/>
  <c r="O531" i="2"/>
  <c r="O560" i="2"/>
  <c r="H593" i="2"/>
  <c r="B593" i="2"/>
  <c r="O594" i="2"/>
  <c r="C594" i="2"/>
  <c r="E594" i="2" s="1"/>
  <c r="B594" i="2"/>
  <c r="D594" i="2"/>
  <c r="F594" i="2" s="1"/>
  <c r="H598" i="2"/>
  <c r="C598" i="2"/>
  <c r="E598" i="2" s="1"/>
  <c r="O598" i="2" s="1"/>
  <c r="M616" i="2"/>
  <c r="N623" i="2"/>
  <c r="J643" i="2"/>
  <c r="K643" i="2"/>
  <c r="L643" i="2" s="1"/>
  <c r="K645" i="2"/>
  <c r="B645" i="2"/>
  <c r="G646" i="2"/>
  <c r="I646" i="2" s="1"/>
  <c r="M646" i="2" s="1"/>
  <c r="P646" i="2"/>
  <c r="Q646" i="2" s="1"/>
  <c r="H648" i="2"/>
  <c r="K648" i="2"/>
  <c r="L648" i="2" s="1"/>
  <c r="K650" i="2"/>
  <c r="L650" i="2" s="1"/>
  <c r="J650" i="2"/>
  <c r="N650" i="2" s="1"/>
  <c r="B650" i="2"/>
  <c r="P651" i="2"/>
  <c r="Q651" i="2" s="1"/>
  <c r="H653" i="2"/>
  <c r="K653" i="2"/>
  <c r="L653" i="2" s="1"/>
  <c r="J655" i="2"/>
  <c r="N655" i="2" s="1"/>
  <c r="B655" i="2"/>
  <c r="D656" i="2"/>
  <c r="F656" i="2" s="1"/>
  <c r="B656" i="2"/>
  <c r="O682" i="2"/>
  <c r="H713" i="2"/>
  <c r="J713" i="2"/>
  <c r="N713" i="2" s="1"/>
  <c r="J715" i="2"/>
  <c r="N715" i="2" s="1"/>
  <c r="D715" i="2"/>
  <c r="F715" i="2" s="1"/>
  <c r="G715" i="2" s="1"/>
  <c r="I715" i="2" s="1"/>
  <c r="M715" i="2" s="1"/>
  <c r="K717" i="2"/>
  <c r="L717" i="2" s="1"/>
  <c r="C717" i="2"/>
  <c r="E717" i="2" s="1"/>
  <c r="O723" i="2"/>
  <c r="N731" i="2"/>
  <c r="B745" i="2"/>
  <c r="D745" i="2"/>
  <c r="C745" i="2"/>
  <c r="E745" i="2" s="1"/>
  <c r="O745" i="2" s="1"/>
  <c r="K751" i="2"/>
  <c r="H751" i="2"/>
  <c r="C751" i="2"/>
  <c r="E751" i="2" s="1"/>
  <c r="O751" i="2" s="1"/>
  <c r="B751" i="2"/>
  <c r="H768" i="2"/>
  <c r="K775" i="2"/>
  <c r="L775" i="2" s="1"/>
  <c r="M775" i="2" s="1"/>
  <c r="H775" i="2"/>
  <c r="C775" i="2"/>
  <c r="E775" i="2" s="1"/>
  <c r="O775" i="2" s="1"/>
  <c r="B784" i="2"/>
  <c r="K784" i="2"/>
  <c r="L784" i="2" s="1"/>
  <c r="J784" i="2"/>
  <c r="N784" i="2" s="1"/>
  <c r="C784" i="2"/>
  <c r="E784" i="2" s="1"/>
  <c r="K794" i="2"/>
  <c r="L794" i="2" s="1"/>
  <c r="J794" i="2"/>
  <c r="J804" i="2"/>
  <c r="K804" i="2"/>
  <c r="L804" i="2" s="1"/>
  <c r="B804" i="2"/>
  <c r="N822" i="2"/>
  <c r="N825" i="2"/>
  <c r="H844" i="2"/>
  <c r="C863" i="2"/>
  <c r="E863" i="2" s="1"/>
  <c r="K863" i="2"/>
  <c r="L863" i="2" s="1"/>
  <c r="J863" i="2"/>
  <c r="H863" i="2"/>
  <c r="K869" i="2"/>
  <c r="L869" i="2" s="1"/>
  <c r="J869" i="2"/>
  <c r="H869" i="2"/>
  <c r="D869" i="2"/>
  <c r="F869" i="2" s="1"/>
  <c r="P870" i="2"/>
  <c r="Q870" i="2" s="1"/>
  <c r="K871" i="2"/>
  <c r="L871" i="2" s="1"/>
  <c r="H871" i="2"/>
  <c r="C871" i="2"/>
  <c r="E871" i="2" s="1"/>
  <c r="O871" i="2" s="1"/>
  <c r="B871" i="2"/>
  <c r="D871" i="2"/>
  <c r="F871" i="2" s="1"/>
  <c r="J900" i="2"/>
  <c r="D900" i="2"/>
  <c r="F900" i="2" s="1"/>
  <c r="K900" i="2"/>
  <c r="L900" i="2" s="1"/>
  <c r="O917" i="2"/>
  <c r="K919" i="2"/>
  <c r="L919" i="2" s="1"/>
  <c r="H919" i="2"/>
  <c r="C919" i="2"/>
  <c r="E919" i="2" s="1"/>
  <c r="O919" i="2" s="1"/>
  <c r="B928" i="2"/>
  <c r="K928" i="2"/>
  <c r="L928" i="2" s="1"/>
  <c r="J928" i="2"/>
  <c r="N928" i="2" s="1"/>
  <c r="C928" i="2"/>
  <c r="E928" i="2" s="1"/>
  <c r="K938" i="2"/>
  <c r="L938" i="2" s="1"/>
  <c r="J938" i="2"/>
  <c r="J948" i="2"/>
  <c r="K948" i="2"/>
  <c r="L948" i="2" s="1"/>
  <c r="B948" i="2"/>
  <c r="N966" i="2"/>
  <c r="N969" i="2"/>
  <c r="H23" i="3"/>
  <c r="C5" i="4"/>
  <c r="C26" i="3" s="1"/>
  <c r="E51" i="1" s="1"/>
  <c r="B5" i="4"/>
  <c r="K5" i="4"/>
  <c r="F5" i="4"/>
  <c r="E5" i="4"/>
  <c r="M5" i="4"/>
  <c r="L5" i="4"/>
  <c r="I5" i="4"/>
  <c r="B9" i="4"/>
  <c r="H34" i="4"/>
  <c r="B40" i="4"/>
  <c r="C47" i="4"/>
  <c r="B56" i="4"/>
  <c r="L80" i="4"/>
  <c r="K80" i="4"/>
  <c r="H80" i="4"/>
  <c r="E80" i="4"/>
  <c r="M80" i="4"/>
  <c r="I80" i="4"/>
  <c r="G80" i="4"/>
  <c r="C80" i="4"/>
  <c r="K93" i="4"/>
  <c r="J93" i="4"/>
  <c r="H93" i="4"/>
  <c r="E93" i="4"/>
  <c r="C93" i="4"/>
  <c r="B93" i="4"/>
  <c r="F93" i="4"/>
  <c r="D93" i="4"/>
  <c r="K105" i="4"/>
  <c r="J105" i="4"/>
  <c r="G105" i="4"/>
  <c r="D105" i="4"/>
  <c r="F105" i="4"/>
  <c r="E105" i="4"/>
  <c r="L105" i="4"/>
  <c r="I105" i="4"/>
  <c r="H105" i="4"/>
  <c r="C105" i="4"/>
  <c r="B105" i="4"/>
  <c r="G109" i="4"/>
  <c r="F109" i="4"/>
  <c r="M109" i="4"/>
  <c r="J109" i="4"/>
  <c r="E109" i="4"/>
  <c r="D109" i="4"/>
  <c r="L109" i="4"/>
  <c r="H109" i="4"/>
  <c r="E112" i="4"/>
  <c r="B117" i="4"/>
  <c r="H128" i="4"/>
  <c r="B131" i="4"/>
  <c r="I146" i="4"/>
  <c r="J166" i="4"/>
  <c r="I166" i="4"/>
  <c r="E166" i="4"/>
  <c r="B166" i="4"/>
  <c r="F166" i="4"/>
  <c r="D166" i="4"/>
  <c r="C166" i="4"/>
  <c r="M166" i="4"/>
  <c r="L166" i="4"/>
  <c r="K166" i="4"/>
  <c r="H166" i="4"/>
  <c r="G166" i="4"/>
  <c r="C197" i="4"/>
  <c r="B197" i="4"/>
  <c r="L197" i="4"/>
  <c r="I197" i="4"/>
  <c r="J197" i="4"/>
  <c r="H197" i="4"/>
  <c r="G197" i="4"/>
  <c r="E197" i="4"/>
  <c r="M197" i="4"/>
  <c r="K197" i="4"/>
  <c r="F197" i="4"/>
  <c r="D197" i="4"/>
  <c r="G229" i="4"/>
  <c r="F229" i="4"/>
  <c r="C229" i="4"/>
  <c r="E229" i="4"/>
  <c r="D229" i="4"/>
  <c r="B229" i="4"/>
  <c r="K229" i="4"/>
  <c r="C290" i="4"/>
  <c r="H350" i="4"/>
  <c r="F350" i="4"/>
  <c r="E350" i="4"/>
  <c r="D350" i="4"/>
  <c r="M350" i="4"/>
  <c r="L350" i="4"/>
  <c r="C350" i="4"/>
  <c r="K350" i="4"/>
  <c r="I350" i="4"/>
  <c r="F352" i="4"/>
  <c r="G352" i="4"/>
  <c r="E352" i="4"/>
  <c r="D352" i="4"/>
  <c r="I352" i="4"/>
  <c r="H352" i="4"/>
  <c r="C352" i="4"/>
  <c r="B352" i="4"/>
  <c r="M352" i="4"/>
  <c r="L352" i="4"/>
  <c r="J352" i="4"/>
  <c r="K359" i="4"/>
  <c r="F359" i="4"/>
  <c r="E359" i="4"/>
  <c r="D359" i="4"/>
  <c r="M359" i="4"/>
  <c r="L359" i="4"/>
  <c r="C359" i="4"/>
  <c r="J359" i="4"/>
  <c r="B359" i="4"/>
  <c r="I359" i="4"/>
  <c r="J361" i="4"/>
  <c r="G411" i="4"/>
  <c r="F411" i="4"/>
  <c r="E411" i="4"/>
  <c r="D411" i="4"/>
  <c r="B411" i="4"/>
  <c r="K411" i="4"/>
  <c r="J411" i="4"/>
  <c r="I411" i="4"/>
  <c r="H411" i="4"/>
  <c r="C411" i="4"/>
  <c r="M411" i="4"/>
  <c r="G658" i="4"/>
  <c r="G775" i="2"/>
  <c r="I775" i="2" s="1"/>
  <c r="M822" i="2"/>
  <c r="G852" i="2"/>
  <c r="I852" i="2" s="1"/>
  <c r="D879" i="2"/>
  <c r="F879" i="2" s="1"/>
  <c r="J879" i="2"/>
  <c r="N879" i="2" s="1"/>
  <c r="B879" i="2"/>
  <c r="M897" i="2"/>
  <c r="G917" i="2"/>
  <c r="I917" i="2" s="1"/>
  <c r="M917" i="2" s="1"/>
  <c r="M966" i="2"/>
  <c r="E9" i="4"/>
  <c r="D16" i="4"/>
  <c r="C16" i="4"/>
  <c r="L16" i="4"/>
  <c r="I16" i="4"/>
  <c r="F16" i="4"/>
  <c r="E16" i="4"/>
  <c r="M16" i="4"/>
  <c r="K16" i="4"/>
  <c r="H16" i="4"/>
  <c r="G16" i="4"/>
  <c r="E40" i="4"/>
  <c r="L44" i="4"/>
  <c r="K44" i="4"/>
  <c r="M44" i="4"/>
  <c r="H44" i="4"/>
  <c r="D44" i="4"/>
  <c r="C44" i="4"/>
  <c r="J44" i="4"/>
  <c r="G44" i="4"/>
  <c r="F44" i="4"/>
  <c r="F47" i="4"/>
  <c r="C56" i="4"/>
  <c r="C65" i="4"/>
  <c r="B65" i="4"/>
  <c r="I65" i="4"/>
  <c r="F65" i="4"/>
  <c r="G65" i="4"/>
  <c r="E65" i="4"/>
  <c r="H65" i="4"/>
  <c r="D65" i="4"/>
  <c r="I71" i="4"/>
  <c r="H71" i="4"/>
  <c r="K71" i="4"/>
  <c r="E71" i="4"/>
  <c r="D71" i="4"/>
  <c r="M71" i="4"/>
  <c r="J71" i="4"/>
  <c r="G71" i="4"/>
  <c r="B71" i="4"/>
  <c r="D76" i="4"/>
  <c r="C76" i="4"/>
  <c r="G76" i="4"/>
  <c r="B76" i="4"/>
  <c r="F76" i="4"/>
  <c r="E76" i="4"/>
  <c r="M76" i="4"/>
  <c r="J76" i="4"/>
  <c r="G112" i="4"/>
  <c r="C117" i="4"/>
  <c r="C131" i="4"/>
  <c r="K146" i="4"/>
  <c r="I167" i="4"/>
  <c r="H167" i="4"/>
  <c r="F167" i="4"/>
  <c r="C167" i="4"/>
  <c r="K167" i="4"/>
  <c r="J167" i="4"/>
  <c r="G167" i="4"/>
  <c r="L167" i="4"/>
  <c r="K213" i="4"/>
  <c r="J213" i="4"/>
  <c r="I213" i="4"/>
  <c r="D213" i="4"/>
  <c r="C213" i="4"/>
  <c r="B213" i="4"/>
  <c r="M213" i="4"/>
  <c r="L213" i="4"/>
  <c r="H213" i="4"/>
  <c r="G213" i="4"/>
  <c r="F213" i="4"/>
  <c r="G265" i="4"/>
  <c r="F265" i="4"/>
  <c r="K265" i="4"/>
  <c r="M265" i="4"/>
  <c r="J265" i="4"/>
  <c r="D265" i="4"/>
  <c r="L265" i="4"/>
  <c r="I265" i="4"/>
  <c r="H265" i="4"/>
  <c r="E265" i="4"/>
  <c r="C265" i="4"/>
  <c r="K361" i="4"/>
  <c r="I595" i="4"/>
  <c r="F595" i="4"/>
  <c r="K595" i="4"/>
  <c r="G595" i="4"/>
  <c r="L595" i="4"/>
  <c r="E595" i="4"/>
  <c r="D595" i="4"/>
  <c r="J595" i="4"/>
  <c r="H595" i="4"/>
  <c r="C595" i="4"/>
  <c r="B595" i="4"/>
  <c r="M595" i="4"/>
  <c r="I739" i="4"/>
  <c r="H739" i="4"/>
  <c r="L739" i="4"/>
  <c r="K739" i="4"/>
  <c r="J739" i="4"/>
  <c r="E739" i="4"/>
  <c r="C739" i="4"/>
  <c r="B739" i="4"/>
  <c r="M739" i="4"/>
  <c r="F739" i="4"/>
  <c r="D739" i="4"/>
  <c r="H720" i="2"/>
  <c r="D720" i="2"/>
  <c r="F720" i="2" s="1"/>
  <c r="K722" i="2"/>
  <c r="L722" i="2" s="1"/>
  <c r="J722" i="2"/>
  <c r="C722" i="2"/>
  <c r="E722" i="2" s="1"/>
  <c r="F722" i="2" s="1"/>
  <c r="J749" i="2"/>
  <c r="H749" i="2"/>
  <c r="K749" i="2"/>
  <c r="L749" i="2" s="1"/>
  <c r="D749" i="2"/>
  <c r="F749" i="2" s="1"/>
  <c r="P750" i="2"/>
  <c r="Q750" i="2" s="1"/>
  <c r="K763" i="2"/>
  <c r="H763" i="2"/>
  <c r="C763" i="2"/>
  <c r="E763" i="2" s="1"/>
  <c r="O763" i="2" s="1"/>
  <c r="F765" i="2"/>
  <c r="K768" i="2"/>
  <c r="L768" i="2" s="1"/>
  <c r="P774" i="2"/>
  <c r="Q774" i="2" s="1"/>
  <c r="F775" i="2"/>
  <c r="P775" i="2" s="1"/>
  <c r="Q775" i="2" s="1"/>
  <c r="D783" i="2"/>
  <c r="B783" i="2"/>
  <c r="O783" i="2"/>
  <c r="O803" i="2"/>
  <c r="C803" i="2"/>
  <c r="E803" i="2" s="1"/>
  <c r="K803" i="2"/>
  <c r="B803" i="2"/>
  <c r="H818" i="2"/>
  <c r="O824" i="2"/>
  <c r="C824" i="2"/>
  <c r="E824" i="2" s="1"/>
  <c r="F824" i="2" s="1"/>
  <c r="J824" i="2"/>
  <c r="K824" i="2"/>
  <c r="L824" i="2" s="1"/>
  <c r="B841" i="2"/>
  <c r="D841" i="2"/>
  <c r="F841" i="2" s="1"/>
  <c r="C841" i="2"/>
  <c r="E841" i="2" s="1"/>
  <c r="O841" i="2" s="1"/>
  <c r="C851" i="2"/>
  <c r="E851" i="2" s="1"/>
  <c r="O851" i="2" s="1"/>
  <c r="D851" i="2"/>
  <c r="B851" i="2"/>
  <c r="K855" i="2"/>
  <c r="P861" i="2"/>
  <c r="Q861" i="2" s="1"/>
  <c r="H862" i="2"/>
  <c r="D862" i="2"/>
  <c r="F862" i="2" s="1"/>
  <c r="B868" i="2"/>
  <c r="K868" i="2"/>
  <c r="L868" i="2" s="1"/>
  <c r="H868" i="2"/>
  <c r="K878" i="2"/>
  <c r="C878" i="2"/>
  <c r="E878" i="2" s="1"/>
  <c r="C879" i="2"/>
  <c r="E879" i="2" s="1"/>
  <c r="O879" i="2" s="1"/>
  <c r="J888" i="2"/>
  <c r="N888" i="2" s="1"/>
  <c r="K888" i="2"/>
  <c r="L888" i="2" s="1"/>
  <c r="B888" i="2"/>
  <c r="L896" i="2"/>
  <c r="C899" i="2"/>
  <c r="E899" i="2" s="1"/>
  <c r="O899" i="2" s="1"/>
  <c r="H899" i="2"/>
  <c r="J899" i="2"/>
  <c r="N899" i="2" s="1"/>
  <c r="J903" i="2"/>
  <c r="N903" i="2" s="1"/>
  <c r="G909" i="2"/>
  <c r="I909" i="2" s="1"/>
  <c r="M909" i="2" s="1"/>
  <c r="H910" i="2"/>
  <c r="D910" i="2"/>
  <c r="F910" i="2" s="1"/>
  <c r="C910" i="2"/>
  <c r="E910" i="2" s="1"/>
  <c r="O910" i="2" s="1"/>
  <c r="B910" i="2"/>
  <c r="F919" i="2"/>
  <c r="G919" i="2" s="1"/>
  <c r="I919" i="2" s="1"/>
  <c r="D927" i="2"/>
  <c r="B927" i="2"/>
  <c r="O927" i="2"/>
  <c r="O947" i="2"/>
  <c r="C947" i="2"/>
  <c r="E947" i="2" s="1"/>
  <c r="K947" i="2"/>
  <c r="B947" i="2"/>
  <c r="H962" i="2"/>
  <c r="O968" i="2"/>
  <c r="C968" i="2"/>
  <c r="E968" i="2" s="1"/>
  <c r="F968" i="2" s="1"/>
  <c r="J968" i="2"/>
  <c r="K968" i="2"/>
  <c r="L968" i="2" s="1"/>
  <c r="D983" i="2"/>
  <c r="F983" i="2" s="1"/>
  <c r="O983" i="2"/>
  <c r="C983" i="2"/>
  <c r="E983" i="2" s="1"/>
  <c r="J983" i="2"/>
  <c r="N983" i="2" s="1"/>
  <c r="P995" i="2"/>
  <c r="Q995" i="2" s="1"/>
  <c r="G995" i="2"/>
  <c r="I995" i="2" s="1"/>
  <c r="F2" i="4"/>
  <c r="E2" i="4"/>
  <c r="K2" i="4"/>
  <c r="H2" i="4"/>
  <c r="J2" i="4"/>
  <c r="I2" i="4"/>
  <c r="M2" i="4"/>
  <c r="G2" i="4"/>
  <c r="H9" i="4"/>
  <c r="B16" i="4"/>
  <c r="D28" i="4"/>
  <c r="C28" i="4"/>
  <c r="K28" i="4"/>
  <c r="H28" i="4"/>
  <c r="J28" i="4"/>
  <c r="I28" i="4"/>
  <c r="L28" i="4"/>
  <c r="G28" i="4"/>
  <c r="L34" i="4"/>
  <c r="F40" i="4"/>
  <c r="B44" i="4"/>
  <c r="K47" i="4"/>
  <c r="I56" i="4"/>
  <c r="H60" i="4"/>
  <c r="G60" i="4"/>
  <c r="B60" i="4"/>
  <c r="M60" i="4"/>
  <c r="E60" i="4"/>
  <c r="D60" i="4"/>
  <c r="L60" i="4"/>
  <c r="K60" i="4"/>
  <c r="J65" i="4"/>
  <c r="C71" i="4"/>
  <c r="H76" i="4"/>
  <c r="J106" i="4"/>
  <c r="I106" i="4"/>
  <c r="H106" i="4"/>
  <c r="E106" i="4"/>
  <c r="L106" i="4"/>
  <c r="K106" i="4"/>
  <c r="M106" i="4"/>
  <c r="D106" i="4"/>
  <c r="H112" i="4"/>
  <c r="E117" i="4"/>
  <c r="I119" i="4"/>
  <c r="H119" i="4"/>
  <c r="K119" i="4"/>
  <c r="F119" i="4"/>
  <c r="D119" i="4"/>
  <c r="C119" i="4"/>
  <c r="M119" i="4"/>
  <c r="L119" i="4"/>
  <c r="J119" i="4"/>
  <c r="G119" i="4"/>
  <c r="E119" i="4"/>
  <c r="F131" i="4"/>
  <c r="L146" i="4"/>
  <c r="K153" i="4"/>
  <c r="J153" i="4"/>
  <c r="E153" i="4"/>
  <c r="B153" i="4"/>
  <c r="M153" i="4"/>
  <c r="L153" i="4"/>
  <c r="I153" i="4"/>
  <c r="H153" i="4"/>
  <c r="G153" i="4"/>
  <c r="C153" i="4"/>
  <c r="B167" i="4"/>
  <c r="L176" i="4"/>
  <c r="K176" i="4"/>
  <c r="B176" i="4"/>
  <c r="M176" i="4"/>
  <c r="E176" i="4"/>
  <c r="D176" i="4"/>
  <c r="C176" i="4"/>
  <c r="I176" i="4"/>
  <c r="E213" i="4"/>
  <c r="C221" i="4"/>
  <c r="B221" i="4"/>
  <c r="J221" i="4"/>
  <c r="G221" i="4"/>
  <c r="M221" i="4"/>
  <c r="K221" i="4"/>
  <c r="L221" i="4"/>
  <c r="I221" i="4"/>
  <c r="H221" i="4"/>
  <c r="F221" i="4"/>
  <c r="E221" i="4"/>
  <c r="L248" i="4"/>
  <c r="K248" i="4"/>
  <c r="H248" i="4"/>
  <c r="E248" i="4"/>
  <c r="I248" i="4"/>
  <c r="G248" i="4"/>
  <c r="F248" i="4"/>
  <c r="C248" i="4"/>
  <c r="M248" i="4"/>
  <c r="J324" i="4"/>
  <c r="F324" i="4"/>
  <c r="E324" i="4"/>
  <c r="D324" i="4"/>
  <c r="M324" i="4"/>
  <c r="L324" i="4"/>
  <c r="G324" i="4"/>
  <c r="K324" i="4"/>
  <c r="C324" i="4"/>
  <c r="K891" i="4"/>
  <c r="E891" i="4"/>
  <c r="M891" i="4"/>
  <c r="L891" i="4"/>
  <c r="I891" i="4"/>
  <c r="F891" i="4"/>
  <c r="D891" i="4"/>
  <c r="J891" i="4"/>
  <c r="H891" i="4"/>
  <c r="B891" i="4"/>
  <c r="G891" i="4"/>
  <c r="C891" i="4"/>
  <c r="C7" i="10"/>
  <c r="F7" i="10" s="1"/>
  <c r="D518" i="5"/>
  <c r="D515" i="5"/>
  <c r="D512" i="5"/>
  <c r="D509" i="5"/>
  <c r="E509" i="5" s="1"/>
  <c r="D506" i="5"/>
  <c r="D503" i="5"/>
  <c r="E503" i="5" s="1"/>
  <c r="D500" i="5"/>
  <c r="D497" i="5"/>
  <c r="D494" i="5"/>
  <c r="D491" i="5"/>
  <c r="E491" i="5" s="1"/>
  <c r="D488" i="5"/>
  <c r="E488" i="5" s="1"/>
  <c r="D485" i="5"/>
  <c r="E485" i="5" s="1"/>
  <c r="D482" i="5"/>
  <c r="E482" i="5" s="1"/>
  <c r="D479" i="5"/>
  <c r="D476" i="5"/>
  <c r="D473" i="5"/>
  <c r="D470" i="5"/>
  <c r="D467" i="5"/>
  <c r="D464" i="5"/>
  <c r="E464" i="5" s="1"/>
  <c r="D461" i="5"/>
  <c r="E461" i="5" s="1"/>
  <c r="D458" i="5"/>
  <c r="D455" i="5"/>
  <c r="E455" i="5" s="1"/>
  <c r="D452" i="5"/>
  <c r="E452" i="5" s="1"/>
  <c r="D449" i="5"/>
  <c r="E449" i="5" s="1"/>
  <c r="D446" i="5"/>
  <c r="D443" i="5"/>
  <c r="D440" i="5"/>
  <c r="D437" i="5"/>
  <c r="D434" i="5"/>
  <c r="D431" i="5"/>
  <c r="D428" i="5"/>
  <c r="E428" i="5" s="1"/>
  <c r="D425" i="5"/>
  <c r="D422" i="5"/>
  <c r="D419" i="5"/>
  <c r="E419" i="5" s="1"/>
  <c r="D416" i="5"/>
  <c r="D413" i="5"/>
  <c r="E413" i="5" s="1"/>
  <c r="D410" i="5"/>
  <c r="E410" i="5" s="1"/>
  <c r="D407" i="5"/>
  <c r="D404" i="5"/>
  <c r="E404" i="5" s="1"/>
  <c r="D401" i="5"/>
  <c r="D398" i="5"/>
  <c r="D395" i="5"/>
  <c r="D392" i="5"/>
  <c r="D389" i="5"/>
  <c r="D386" i="5"/>
  <c r="D383" i="5"/>
  <c r="E383" i="5" s="1"/>
  <c r="D380" i="5"/>
  <c r="D377" i="5"/>
  <c r="E377" i="5" s="1"/>
  <c r="D374" i="5"/>
  <c r="D371" i="5"/>
  <c r="D368" i="5"/>
  <c r="D365" i="5"/>
  <c r="D362" i="5"/>
  <c r="D359" i="5"/>
  <c r="D356" i="5"/>
  <c r="E356" i="5" s="1"/>
  <c r="D353" i="5"/>
  <c r="D350" i="5"/>
  <c r="D347" i="5"/>
  <c r="E347" i="5" s="1"/>
  <c r="D344" i="5"/>
  <c r="E344" i="5" s="1"/>
  <c r="D341" i="5"/>
  <c r="E341" i="5" s="1"/>
  <c r="D338" i="5"/>
  <c r="E338" i="5" s="1"/>
  <c r="D335" i="5"/>
  <c r="D332" i="5"/>
  <c r="E332" i="5" s="1"/>
  <c r="D329" i="5"/>
  <c r="D326" i="5"/>
  <c r="D323" i="5"/>
  <c r="D320" i="5"/>
  <c r="E320" i="5" s="1"/>
  <c r="D317" i="5"/>
  <c r="D314" i="5"/>
  <c r="D311" i="5"/>
  <c r="E311" i="5" s="1"/>
  <c r="D308" i="5"/>
  <c r="E308" i="5" s="1"/>
  <c r="D305" i="5"/>
  <c r="E305" i="5" s="1"/>
  <c r="D302" i="5"/>
  <c r="D299" i="5"/>
  <c r="D296" i="5"/>
  <c r="D293" i="5"/>
  <c r="D290" i="5"/>
  <c r="D287" i="5"/>
  <c r="D284" i="5"/>
  <c r="D281" i="5"/>
  <c r="D278" i="5"/>
  <c r="D275" i="5"/>
  <c r="E275" i="5" s="1"/>
  <c r="D272" i="5"/>
  <c r="C520" i="5"/>
  <c r="C513" i="5"/>
  <c r="C509" i="5"/>
  <c r="C502" i="5"/>
  <c r="C495" i="5"/>
  <c r="C491" i="5"/>
  <c r="C484" i="5"/>
  <c r="C477" i="5"/>
  <c r="C473" i="5"/>
  <c r="C466" i="5"/>
  <c r="C459" i="5"/>
  <c r="C455" i="5"/>
  <c r="C448" i="5"/>
  <c r="C441" i="5"/>
  <c r="D516" i="5"/>
  <c r="D505" i="5"/>
  <c r="D498" i="5"/>
  <c r="D487" i="5"/>
  <c r="D480" i="5"/>
  <c r="D469" i="5"/>
  <c r="E469" i="5" s="1"/>
  <c r="D462" i="5"/>
  <c r="E462" i="5" s="1"/>
  <c r="D451" i="5"/>
  <c r="E451" i="5" s="1"/>
  <c r="D444" i="5"/>
  <c r="D519" i="5"/>
  <c r="D508" i="5"/>
  <c r="D501" i="5"/>
  <c r="E501" i="5" s="1"/>
  <c r="D490" i="5"/>
  <c r="D483" i="5"/>
  <c r="D472" i="5"/>
  <c r="D465" i="5"/>
  <c r="D454" i="5"/>
  <c r="D447" i="5"/>
  <c r="C518" i="5"/>
  <c r="C511" i="5"/>
  <c r="C504" i="5"/>
  <c r="C500" i="5"/>
  <c r="C493" i="5"/>
  <c r="C486" i="5"/>
  <c r="C482" i="5"/>
  <c r="C475" i="5"/>
  <c r="C468" i="5"/>
  <c r="C464" i="5"/>
  <c r="C457" i="5"/>
  <c r="C450" i="5"/>
  <c r="C446" i="5"/>
  <c r="C516" i="5"/>
  <c r="C507" i="5"/>
  <c r="D502" i="5"/>
  <c r="E502" i="5" s="1"/>
  <c r="C497" i="5"/>
  <c r="C488" i="5"/>
  <c r="D478" i="5"/>
  <c r="D474" i="5"/>
  <c r="E474" i="5" s="1"/>
  <c r="C469" i="5"/>
  <c r="D441" i="5"/>
  <c r="C437" i="5"/>
  <c r="C430" i="5"/>
  <c r="C423" i="5"/>
  <c r="C419" i="5"/>
  <c r="C412" i="5"/>
  <c r="C405" i="5"/>
  <c r="C401" i="5"/>
  <c r="C394" i="5"/>
  <c r="C387" i="5"/>
  <c r="C383" i="5"/>
  <c r="C376" i="5"/>
  <c r="C369" i="5"/>
  <c r="C365" i="5"/>
  <c r="C358" i="5"/>
  <c r="C351" i="5"/>
  <c r="C347" i="5"/>
  <c r="C340" i="5"/>
  <c r="C333" i="5"/>
  <c r="C329" i="5"/>
  <c r="C322" i="5"/>
  <c r="C315" i="5"/>
  <c r="C311" i="5"/>
  <c r="C304" i="5"/>
  <c r="C297" i="5"/>
  <c r="C293" i="5"/>
  <c r="C286" i="5"/>
  <c r="C279" i="5"/>
  <c r="C275" i="5"/>
  <c r="D268" i="5"/>
  <c r="C265" i="5"/>
  <c r="D255" i="5"/>
  <c r="E255" i="5" s="1"/>
  <c r="C252" i="5"/>
  <c r="D245" i="5"/>
  <c r="C242" i="5"/>
  <c r="D232" i="5"/>
  <c r="C229" i="5"/>
  <c r="D219" i="5"/>
  <c r="C216" i="5"/>
  <c r="D209" i="5"/>
  <c r="C206" i="5"/>
  <c r="C14" i="5"/>
  <c r="D511" i="5"/>
  <c r="E511" i="5" s="1"/>
  <c r="C483" i="5"/>
  <c r="C478" i="5"/>
  <c r="C474" i="5"/>
  <c r="D450" i="5"/>
  <c r="D445" i="5"/>
  <c r="D433" i="5"/>
  <c r="D426" i="5"/>
  <c r="D415" i="5"/>
  <c r="E415" i="5" s="1"/>
  <c r="D408" i="5"/>
  <c r="D397" i="5"/>
  <c r="D390" i="5"/>
  <c r="D379" i="5"/>
  <c r="D372" i="5"/>
  <c r="D361" i="5"/>
  <c r="D354" i="5"/>
  <c r="D343" i="5"/>
  <c r="D336" i="5"/>
  <c r="D325" i="5"/>
  <c r="D318" i="5"/>
  <c r="D307" i="5"/>
  <c r="D300" i="5"/>
  <c r="E300" i="5" s="1"/>
  <c r="D289" i="5"/>
  <c r="D282" i="5"/>
  <c r="D271" i="5"/>
  <c r="C268" i="5"/>
  <c r="D258" i="5"/>
  <c r="C255" i="5"/>
  <c r="D248" i="5"/>
  <c r="E248" i="5" s="1"/>
  <c r="C245" i="5"/>
  <c r="D235" i="5"/>
  <c r="C232" i="5"/>
  <c r="D222" i="5"/>
  <c r="C219" i="5"/>
  <c r="D212" i="5"/>
  <c r="C209" i="5"/>
  <c r="D199" i="5"/>
  <c r="D196" i="5"/>
  <c r="D193" i="5"/>
  <c r="D190" i="5"/>
  <c r="D187" i="5"/>
  <c r="D184" i="5"/>
  <c r="D181" i="5"/>
  <c r="D178" i="5"/>
  <c r="D175" i="5"/>
  <c r="D172" i="5"/>
  <c r="D169" i="5"/>
  <c r="D166" i="5"/>
  <c r="D163" i="5"/>
  <c r="D160" i="5"/>
  <c r="D157" i="5"/>
  <c r="D154" i="5"/>
  <c r="D151" i="5"/>
  <c r="D148" i="5"/>
  <c r="D145" i="5"/>
  <c r="D142" i="5"/>
  <c r="D139" i="5"/>
  <c r="D136" i="5"/>
  <c r="D133" i="5"/>
  <c r="D130" i="5"/>
  <c r="D127" i="5"/>
  <c r="D124" i="5"/>
  <c r="D121" i="5"/>
  <c r="D520" i="5"/>
  <c r="C515" i="5"/>
  <c r="C506" i="5"/>
  <c r="D496" i="5"/>
  <c r="D492" i="5"/>
  <c r="C487" i="5"/>
  <c r="D459" i="5"/>
  <c r="C445" i="5"/>
  <c r="C440" i="5"/>
  <c r="C433" i="5"/>
  <c r="C426" i="5"/>
  <c r="C422" i="5"/>
  <c r="C415" i="5"/>
  <c r="C408" i="5"/>
  <c r="C404" i="5"/>
  <c r="C397" i="5"/>
  <c r="C390" i="5"/>
  <c r="C386" i="5"/>
  <c r="C379" i="5"/>
  <c r="C372" i="5"/>
  <c r="C368" i="5"/>
  <c r="C361" i="5"/>
  <c r="C354" i="5"/>
  <c r="E354" i="5" s="1"/>
  <c r="C350" i="5"/>
  <c r="C343" i="5"/>
  <c r="C336" i="5"/>
  <c r="C332" i="5"/>
  <c r="C325" i="5"/>
  <c r="C318" i="5"/>
  <c r="C314" i="5"/>
  <c r="C307" i="5"/>
  <c r="C300" i="5"/>
  <c r="C296" i="5"/>
  <c r="C289" i="5"/>
  <c r="C282" i="5"/>
  <c r="C278" i="5"/>
  <c r="C271" i="5"/>
  <c r="D261" i="5"/>
  <c r="C258" i="5"/>
  <c r="D251" i="5"/>
  <c r="C248" i="5"/>
  <c r="D238" i="5"/>
  <c r="C235" i="5"/>
  <c r="D225" i="5"/>
  <c r="C222" i="5"/>
  <c r="D215" i="5"/>
  <c r="E215" i="5" s="1"/>
  <c r="C212" i="5"/>
  <c r="D202" i="5"/>
  <c r="C199" i="5"/>
  <c r="C196" i="5"/>
  <c r="D514" i="5"/>
  <c r="D510" i="5"/>
  <c r="C505" i="5"/>
  <c r="D477" i="5"/>
  <c r="E477" i="5" s="1"/>
  <c r="C463" i="5"/>
  <c r="C458" i="5"/>
  <c r="C444" i="5"/>
  <c r="C436" i="5"/>
  <c r="C429" i="5"/>
  <c r="C425" i="5"/>
  <c r="C418" i="5"/>
  <c r="C411" i="5"/>
  <c r="C407" i="5"/>
  <c r="C400" i="5"/>
  <c r="C393" i="5"/>
  <c r="C389" i="5"/>
  <c r="C382" i="5"/>
  <c r="C375" i="5"/>
  <c r="C371" i="5"/>
  <c r="C364" i="5"/>
  <c r="C357" i="5"/>
  <c r="C353" i="5"/>
  <c r="C346" i="5"/>
  <c r="C339" i="5"/>
  <c r="C335" i="5"/>
  <c r="C328" i="5"/>
  <c r="C321" i="5"/>
  <c r="C317" i="5"/>
  <c r="C310" i="5"/>
  <c r="C303" i="5"/>
  <c r="C299" i="5"/>
  <c r="C292" i="5"/>
  <c r="C285" i="5"/>
  <c r="C281" i="5"/>
  <c r="C274" i="5"/>
  <c r="D267" i="5"/>
  <c r="C264" i="5"/>
  <c r="D257" i="5"/>
  <c r="C254" i="5"/>
  <c r="D244" i="5"/>
  <c r="C241" i="5"/>
  <c r="D231" i="5"/>
  <c r="C228" i="5"/>
  <c r="D221" i="5"/>
  <c r="E221" i="5" s="1"/>
  <c r="C218" i="5"/>
  <c r="D208" i="5"/>
  <c r="E208" i="5" s="1"/>
  <c r="C205" i="5"/>
  <c r="D504" i="5"/>
  <c r="D499" i="5"/>
  <c r="C490" i="5"/>
  <c r="C485" i="5"/>
  <c r="D471" i="5"/>
  <c r="D457" i="5"/>
  <c r="D435" i="5"/>
  <c r="D424" i="5"/>
  <c r="D417" i="5"/>
  <c r="D406" i="5"/>
  <c r="E406" i="5" s="1"/>
  <c r="D399" i="5"/>
  <c r="E399" i="5" s="1"/>
  <c r="D388" i="5"/>
  <c r="D381" i="5"/>
  <c r="D370" i="5"/>
  <c r="D363" i="5"/>
  <c r="D352" i="5"/>
  <c r="D345" i="5"/>
  <c r="D334" i="5"/>
  <c r="E334" i="5" s="1"/>
  <c r="D327" i="5"/>
  <c r="D316" i="5"/>
  <c r="E316" i="5" s="1"/>
  <c r="D309" i="5"/>
  <c r="E309" i="5" s="1"/>
  <c r="D298" i="5"/>
  <c r="E298" i="5" s="1"/>
  <c r="D291" i="5"/>
  <c r="D280" i="5"/>
  <c r="D273" i="5"/>
  <c r="E273" i="5" s="1"/>
  <c r="D266" i="5"/>
  <c r="C263" i="5"/>
  <c r="D253" i="5"/>
  <c r="C250" i="5"/>
  <c r="D240" i="5"/>
  <c r="C237" i="5"/>
  <c r="D230" i="5"/>
  <c r="E230" i="5" s="1"/>
  <c r="C227" i="5"/>
  <c r="D217" i="5"/>
  <c r="E217" i="5" s="1"/>
  <c r="C214" i="5"/>
  <c r="D204" i="5"/>
  <c r="C201" i="5"/>
  <c r="C496" i="5"/>
  <c r="D484" i="5"/>
  <c r="C471" i="5"/>
  <c r="C465" i="5"/>
  <c r="C453" i="5"/>
  <c r="D430" i="5"/>
  <c r="C420" i="5"/>
  <c r="C414" i="5"/>
  <c r="D409" i="5"/>
  <c r="E409" i="5" s="1"/>
  <c r="D403" i="5"/>
  <c r="D393" i="5"/>
  <c r="C377" i="5"/>
  <c r="C356" i="5"/>
  <c r="D351" i="5"/>
  <c r="D330" i="5"/>
  <c r="D324" i="5"/>
  <c r="E324" i="5" s="1"/>
  <c r="C309" i="5"/>
  <c r="C298" i="5"/>
  <c r="C283" i="5"/>
  <c r="C277" i="5"/>
  <c r="C272" i="5"/>
  <c r="C267" i="5"/>
  <c r="D262" i="5"/>
  <c r="C239" i="5"/>
  <c r="C234" i="5"/>
  <c r="C220" i="5"/>
  <c r="C215" i="5"/>
  <c r="D206" i="5"/>
  <c r="E206" i="5" s="1"/>
  <c r="C197" i="5"/>
  <c r="D192" i="5"/>
  <c r="D180" i="5"/>
  <c r="E180" i="5" s="1"/>
  <c r="D168" i="5"/>
  <c r="D156" i="5"/>
  <c r="D144" i="5"/>
  <c r="D132" i="5"/>
  <c r="D120" i="5"/>
  <c r="D113" i="5"/>
  <c r="C106" i="5"/>
  <c r="D102" i="5"/>
  <c r="D95" i="5"/>
  <c r="E95" i="5" s="1"/>
  <c r="C88" i="5"/>
  <c r="D84" i="5"/>
  <c r="D77" i="5"/>
  <c r="E77" i="5" s="1"/>
  <c r="C70" i="5"/>
  <c r="D66" i="5"/>
  <c r="D59" i="5"/>
  <c r="D52" i="5"/>
  <c r="C49" i="5"/>
  <c r="D39" i="5"/>
  <c r="C36" i="5"/>
  <c r="D26" i="5"/>
  <c r="E26" i="5" s="1"/>
  <c r="C23" i="5"/>
  <c r="C447" i="5"/>
  <c r="C435" i="5"/>
  <c r="C424" i="5"/>
  <c r="C409" i="5"/>
  <c r="C403" i="5"/>
  <c r="C398" i="5"/>
  <c r="D382" i="5"/>
  <c r="D340" i="5"/>
  <c r="C330" i="5"/>
  <c r="C324" i="5"/>
  <c r="D319" i="5"/>
  <c r="D313" i="5"/>
  <c r="E313" i="5" s="1"/>
  <c r="D303" i="5"/>
  <c r="C287" i="5"/>
  <c r="C262" i="5"/>
  <c r="C257" i="5"/>
  <c r="D243" i="5"/>
  <c r="D229" i="5"/>
  <c r="E229" i="5" s="1"/>
  <c r="D224" i="5"/>
  <c r="D201" i="5"/>
  <c r="C192" i="5"/>
  <c r="D188" i="5"/>
  <c r="C184" i="5"/>
  <c r="C180" i="5"/>
  <c r="D176" i="5"/>
  <c r="E176" i="5" s="1"/>
  <c r="C172" i="5"/>
  <c r="C168" i="5"/>
  <c r="D164" i="5"/>
  <c r="E164" i="5" s="1"/>
  <c r="C160" i="5"/>
  <c r="C156" i="5"/>
  <c r="D152" i="5"/>
  <c r="C148" i="5"/>
  <c r="C144" i="5"/>
  <c r="D140" i="5"/>
  <c r="C136" i="5"/>
  <c r="C132" i="5"/>
  <c r="D128" i="5"/>
  <c r="C124" i="5"/>
  <c r="C120" i="5"/>
  <c r="C113" i="5"/>
  <c r="D109" i="5"/>
  <c r="C102" i="5"/>
  <c r="C95" i="5"/>
  <c r="D91" i="5"/>
  <c r="C84" i="5"/>
  <c r="C77" i="5"/>
  <c r="D73" i="5"/>
  <c r="C66" i="5"/>
  <c r="C59" i="5"/>
  <c r="D55" i="5"/>
  <c r="C52" i="5"/>
  <c r="D42" i="5"/>
  <c r="C39" i="5"/>
  <c r="D29" i="5"/>
  <c r="C26" i="5"/>
  <c r="C13" i="5"/>
  <c r="C476" i="5"/>
  <c r="C470" i="5"/>
  <c r="C452" i="5"/>
  <c r="D439" i="5"/>
  <c r="D429" i="5"/>
  <c r="C413" i="5"/>
  <c r="C392" i="5"/>
  <c r="D387" i="5"/>
  <c r="E387" i="5" s="1"/>
  <c r="D366" i="5"/>
  <c r="D360" i="5"/>
  <c r="E360" i="5" s="1"/>
  <c r="C345" i="5"/>
  <c r="C334" i="5"/>
  <c r="C319" i="5"/>
  <c r="C313" i="5"/>
  <c r="C308" i="5"/>
  <c r="D292" i="5"/>
  <c r="C266" i="5"/>
  <c r="D252" i="5"/>
  <c r="D247" i="5"/>
  <c r="E247" i="5" s="1"/>
  <c r="C243" i="5"/>
  <c r="C238" i="5"/>
  <c r="D233" i="5"/>
  <c r="E233" i="5" s="1"/>
  <c r="C224" i="5"/>
  <c r="D210" i="5"/>
  <c r="D205" i="5"/>
  <c r="C188" i="5"/>
  <c r="C176" i="5"/>
  <c r="C164" i="5"/>
  <c r="C152" i="5"/>
  <c r="C140" i="5"/>
  <c r="C128" i="5"/>
  <c r="D116" i="5"/>
  <c r="E116" i="5" s="1"/>
  <c r="C109" i="5"/>
  <c r="D105" i="5"/>
  <c r="D98" i="5"/>
  <c r="C91" i="5"/>
  <c r="D87" i="5"/>
  <c r="D80" i="5"/>
  <c r="C73" i="5"/>
  <c r="D69" i="5"/>
  <c r="D62" i="5"/>
  <c r="C55" i="5"/>
  <c r="D45" i="5"/>
  <c r="E45" i="5" s="1"/>
  <c r="C42" i="5"/>
  <c r="D32" i="5"/>
  <c r="E32" i="5" s="1"/>
  <c r="C29" i="5"/>
  <c r="D22" i="5"/>
  <c r="C489" i="5"/>
  <c r="D481" i="5"/>
  <c r="C451" i="5"/>
  <c r="C428" i="5"/>
  <c r="D423" i="5"/>
  <c r="E423" i="5" s="1"/>
  <c r="D402" i="5"/>
  <c r="D396" i="5"/>
  <c r="C381" i="5"/>
  <c r="C370" i="5"/>
  <c r="C355" i="5"/>
  <c r="C349" i="5"/>
  <c r="C344" i="5"/>
  <c r="D328" i="5"/>
  <c r="D286" i="5"/>
  <c r="C276" i="5"/>
  <c r="C270" i="5"/>
  <c r="C256" i="5"/>
  <c r="C251" i="5"/>
  <c r="D242" i="5"/>
  <c r="E242" i="5" s="1"/>
  <c r="D218" i="5"/>
  <c r="C200" i="5"/>
  <c r="C195" i="5"/>
  <c r="D191" i="5"/>
  <c r="C187" i="5"/>
  <c r="C183" i="5"/>
  <c r="D179" i="5"/>
  <c r="C175" i="5"/>
  <c r="C171" i="5"/>
  <c r="D167" i="5"/>
  <c r="E167" i="5" s="1"/>
  <c r="C163" i="5"/>
  <c r="C159" i="5"/>
  <c r="D155" i="5"/>
  <c r="E155" i="5" s="1"/>
  <c r="C151" i="5"/>
  <c r="C147" i="5"/>
  <c r="D143" i="5"/>
  <c r="E143" i="5" s="1"/>
  <c r="C139" i="5"/>
  <c r="C135" i="5"/>
  <c r="D131" i="5"/>
  <c r="C127" i="5"/>
  <c r="C123" i="5"/>
  <c r="D119" i="5"/>
  <c r="E119" i="5" s="1"/>
  <c r="C112" i="5"/>
  <c r="D108" i="5"/>
  <c r="D101" i="5"/>
  <c r="C94" i="5"/>
  <c r="D90" i="5"/>
  <c r="D83" i="5"/>
  <c r="C76" i="5"/>
  <c r="D72" i="5"/>
  <c r="D65" i="5"/>
  <c r="C58" i="5"/>
  <c r="D51" i="5"/>
  <c r="C48" i="5"/>
  <c r="D38" i="5"/>
  <c r="C35" i="5"/>
  <c r="D28" i="5"/>
  <c r="C25" i="5"/>
  <c r="C512" i="5"/>
  <c r="C499" i="5"/>
  <c r="C480" i="5"/>
  <c r="C467" i="5"/>
  <c r="C461" i="5"/>
  <c r="C449" i="5"/>
  <c r="C438" i="5"/>
  <c r="C432" i="5"/>
  <c r="D427" i="5"/>
  <c r="D421" i="5"/>
  <c r="D411" i="5"/>
  <c r="C395" i="5"/>
  <c r="C374" i="5"/>
  <c r="D369" i="5"/>
  <c r="E369" i="5" s="1"/>
  <c r="D348" i="5"/>
  <c r="D342" i="5"/>
  <c r="E342" i="5" s="1"/>
  <c r="C327" i="5"/>
  <c r="C316" i="5"/>
  <c r="C301" i="5"/>
  <c r="C295" i="5"/>
  <c r="C290" i="5"/>
  <c r="D274" i="5"/>
  <c r="C269" i="5"/>
  <c r="D264" i="5"/>
  <c r="D250" i="5"/>
  <c r="E250" i="5" s="1"/>
  <c r="C246" i="5"/>
  <c r="D236" i="5"/>
  <c r="C217" i="5"/>
  <c r="C213" i="5"/>
  <c r="C208" i="5"/>
  <c r="D203" i="5"/>
  <c r="D198" i="5"/>
  <c r="E198" i="5" s="1"/>
  <c r="D493" i="5"/>
  <c r="D486" i="5"/>
  <c r="D442" i="5"/>
  <c r="C427" i="5"/>
  <c r="C421" i="5"/>
  <c r="C416" i="5"/>
  <c r="D400" i="5"/>
  <c r="D358" i="5"/>
  <c r="C348" i="5"/>
  <c r="C342" i="5"/>
  <c r="D337" i="5"/>
  <c r="D331" i="5"/>
  <c r="E331" i="5" s="1"/>
  <c r="D321" i="5"/>
  <c r="E321" i="5" s="1"/>
  <c r="C305" i="5"/>
  <c r="C284" i="5"/>
  <c r="D279" i="5"/>
  <c r="E279" i="5" s="1"/>
  <c r="D254" i="5"/>
  <c r="E254" i="5" s="1"/>
  <c r="C236" i="5"/>
  <c r="C231" i="5"/>
  <c r="D226" i="5"/>
  <c r="C203" i="5"/>
  <c r="C198" i="5"/>
  <c r="C194" i="5"/>
  <c r="C182" i="5"/>
  <c r="C170" i="5"/>
  <c r="C158" i="5"/>
  <c r="C146" i="5"/>
  <c r="C134" i="5"/>
  <c r="C122" i="5"/>
  <c r="C118" i="5"/>
  <c r="D114" i="5"/>
  <c r="D107" i="5"/>
  <c r="C100" i="5"/>
  <c r="D96" i="5"/>
  <c r="D89" i="5"/>
  <c r="C82" i="5"/>
  <c r="E82" i="5" s="1"/>
  <c r="D78" i="5"/>
  <c r="D71" i="5"/>
  <c r="C64" i="5"/>
  <c r="D60" i="5"/>
  <c r="D50" i="5"/>
  <c r="C47" i="5"/>
  <c r="C503" i="5"/>
  <c r="D495" i="5"/>
  <c r="E495" i="5" s="1"/>
  <c r="D468" i="5"/>
  <c r="E468" i="5" s="1"/>
  <c r="D438" i="5"/>
  <c r="D385" i="5"/>
  <c r="C373" i="5"/>
  <c r="C366" i="5"/>
  <c r="C359" i="5"/>
  <c r="C312" i="5"/>
  <c r="D269" i="5"/>
  <c r="D256" i="5"/>
  <c r="C244" i="5"/>
  <c r="C202" i="5"/>
  <c r="D189" i="5"/>
  <c r="C178" i="5"/>
  <c r="C173" i="5"/>
  <c r="C167" i="5"/>
  <c r="C150" i="5"/>
  <c r="C145" i="5"/>
  <c r="D134" i="5"/>
  <c r="D117" i="5"/>
  <c r="D112" i="5"/>
  <c r="C103" i="5"/>
  <c r="C83" i="5"/>
  <c r="C78" i="5"/>
  <c r="D68" i="5"/>
  <c r="E68" i="5" s="1"/>
  <c r="D63" i="5"/>
  <c r="D58" i="5"/>
  <c r="D44" i="5"/>
  <c r="D35" i="5"/>
  <c r="E35" i="5" s="1"/>
  <c r="C31" i="5"/>
  <c r="C22" i="5"/>
  <c r="D517" i="5"/>
  <c r="E517" i="5" s="1"/>
  <c r="C510" i="5"/>
  <c r="D460" i="5"/>
  <c r="D453" i="5"/>
  <c r="D414" i="5"/>
  <c r="C385" i="5"/>
  <c r="D378" i="5"/>
  <c r="C326" i="5"/>
  <c r="C291" i="5"/>
  <c r="D276" i="5"/>
  <c r="D249" i="5"/>
  <c r="D228" i="5"/>
  <c r="C189" i="5"/>
  <c r="D183" i="5"/>
  <c r="E183" i="5" s="1"/>
  <c r="D161" i="5"/>
  <c r="E161" i="5" s="1"/>
  <c r="D138" i="5"/>
  <c r="C117" i="5"/>
  <c r="C107" i="5"/>
  <c r="D97" i="5"/>
  <c r="C87" i="5"/>
  <c r="C68" i="5"/>
  <c r="C63" i="5"/>
  <c r="D53" i="5"/>
  <c r="E53" i="5" s="1"/>
  <c r="D48" i="5"/>
  <c r="C44" i="5"/>
  <c r="C517" i="5"/>
  <c r="C494" i="5"/>
  <c r="C460" i="5"/>
  <c r="C443" i="5"/>
  <c r="C406" i="5"/>
  <c r="C399" i="5"/>
  <c r="D391" i="5"/>
  <c r="C378" i="5"/>
  <c r="C341" i="5"/>
  <c r="D333" i="5"/>
  <c r="E333" i="5" s="1"/>
  <c r="D304" i="5"/>
  <c r="E304" i="5" s="1"/>
  <c r="D297" i="5"/>
  <c r="E297" i="5" s="1"/>
  <c r="C261" i="5"/>
  <c r="C249" i="5"/>
  <c r="C221" i="5"/>
  <c r="D214" i="5"/>
  <c r="D194" i="5"/>
  <c r="E194" i="5" s="1"/>
  <c r="D177" i="5"/>
  <c r="C166" i="5"/>
  <c r="C161" i="5"/>
  <c r="C155" i="5"/>
  <c r="C138" i="5"/>
  <c r="C133" i="5"/>
  <c r="D122" i="5"/>
  <c r="D111" i="5"/>
  <c r="C97" i="5"/>
  <c r="D92" i="5"/>
  <c r="D82" i="5"/>
  <c r="C72" i="5"/>
  <c r="D57" i="5"/>
  <c r="C53" i="5"/>
  <c r="D34" i="5"/>
  <c r="C508" i="5"/>
  <c r="C442" i="5"/>
  <c r="D412" i="5"/>
  <c r="D405" i="5"/>
  <c r="E405" i="5" s="1"/>
  <c r="C384" i="5"/>
  <c r="D260" i="5"/>
  <c r="E260" i="5" s="1"/>
  <c r="D241" i="5"/>
  <c r="D220" i="5"/>
  <c r="D207" i="5"/>
  <c r="C193" i="5"/>
  <c r="D182" i="5"/>
  <c r="D165" i="5"/>
  <c r="C154" i="5"/>
  <c r="C149" i="5"/>
  <c r="C143" i="5"/>
  <c r="C126" i="5"/>
  <c r="C121" i="5"/>
  <c r="C101" i="5"/>
  <c r="C96" i="5"/>
  <c r="D86" i="5"/>
  <c r="D81" i="5"/>
  <c r="D76" i="5"/>
  <c r="C67" i="5"/>
  <c r="D47" i="5"/>
  <c r="C43" i="5"/>
  <c r="C38" i="5"/>
  <c r="C30" i="5"/>
  <c r="C21" i="5"/>
  <c r="E21" i="5" s="1"/>
  <c r="C481" i="5"/>
  <c r="C472" i="5"/>
  <c r="D456" i="5"/>
  <c r="C410" i="5"/>
  <c r="D375" i="5"/>
  <c r="C362" i="5"/>
  <c r="C338" i="5"/>
  <c r="D315" i="5"/>
  <c r="E315" i="5" s="1"/>
  <c r="C280" i="5"/>
  <c r="D265" i="5"/>
  <c r="E265" i="5" s="1"/>
  <c r="D259" i="5"/>
  <c r="C225" i="5"/>
  <c r="D174" i="5"/>
  <c r="C153" i="5"/>
  <c r="D147" i="5"/>
  <c r="D125" i="5"/>
  <c r="C110" i="5"/>
  <c r="D85" i="5"/>
  <c r="C80" i="5"/>
  <c r="C75" i="5"/>
  <c r="D70" i="5"/>
  <c r="C56" i="5"/>
  <c r="C46" i="5"/>
  <c r="D41" i="5"/>
  <c r="C37" i="5"/>
  <c r="C33" i="5"/>
  <c r="C28" i="5"/>
  <c r="C24" i="5"/>
  <c r="D20" i="5"/>
  <c r="D513" i="5"/>
  <c r="C498" i="5"/>
  <c r="D463" i="5"/>
  <c r="C456" i="5"/>
  <c r="D448" i="5"/>
  <c r="C388" i="5"/>
  <c r="D346" i="5"/>
  <c r="D322" i="5"/>
  <c r="E322" i="5" s="1"/>
  <c r="D301" i="5"/>
  <c r="E301" i="5" s="1"/>
  <c r="D294" i="5"/>
  <c r="C259" i="5"/>
  <c r="D246" i="5"/>
  <c r="D239" i="5"/>
  <c r="E239" i="5" s="1"/>
  <c r="D211" i="5"/>
  <c r="D197" i="5"/>
  <c r="C191" i="5"/>
  <c r="C174" i="5"/>
  <c r="C169" i="5"/>
  <c r="D158" i="5"/>
  <c r="E158" i="5" s="1"/>
  <c r="D141" i="5"/>
  <c r="C130" i="5"/>
  <c r="C125" i="5"/>
  <c r="C119" i="5"/>
  <c r="C114" i="5"/>
  <c r="D104" i="5"/>
  <c r="D99" i="5"/>
  <c r="D94" i="5"/>
  <c r="C85" i="5"/>
  <c r="C65" i="5"/>
  <c r="C60" i="5"/>
  <c r="C41" i="5"/>
  <c r="C20" i="5"/>
  <c r="C434" i="5"/>
  <c r="C417" i="5"/>
  <c r="C396" i="5"/>
  <c r="D306" i="5"/>
  <c r="E306" i="5" s="1"/>
  <c r="C288" i="5"/>
  <c r="C129" i="5"/>
  <c r="D106" i="5"/>
  <c r="C86" i="5"/>
  <c r="C71" i="5"/>
  <c r="D37" i="5"/>
  <c r="D25" i="5"/>
  <c r="C492" i="5"/>
  <c r="C352" i="5"/>
  <c r="C323" i="5"/>
  <c r="C306" i="5"/>
  <c r="D270" i="5"/>
  <c r="E270" i="5" s="1"/>
  <c r="C260" i="5"/>
  <c r="C233" i="5"/>
  <c r="D216" i="5"/>
  <c r="D159" i="5"/>
  <c r="D150" i="5"/>
  <c r="D135" i="5"/>
  <c r="C99" i="5"/>
  <c r="C92" i="5"/>
  <c r="C50" i="5"/>
  <c r="D31" i="5"/>
  <c r="C501" i="5"/>
  <c r="C462" i="5"/>
  <c r="D376" i="5"/>
  <c r="E376" i="5" s="1"/>
  <c r="C360" i="5"/>
  <c r="D295" i="5"/>
  <c r="C207" i="5"/>
  <c r="C181" i="5"/>
  <c r="C142" i="5"/>
  <c r="C105" i="5"/>
  <c r="C62" i="5"/>
  <c r="D56" i="5"/>
  <c r="E56" i="5" s="1"/>
  <c r="D43" i="5"/>
  <c r="D432" i="5"/>
  <c r="D367" i="5"/>
  <c r="C331" i="5"/>
  <c r="D312" i="5"/>
  <c r="D277" i="5"/>
  <c r="C240" i="5"/>
  <c r="D223" i="5"/>
  <c r="D173" i="5"/>
  <c r="E173" i="5" s="1"/>
  <c r="D149" i="5"/>
  <c r="E149" i="5" s="1"/>
  <c r="D118" i="5"/>
  <c r="C111" i="5"/>
  <c r="C98" i="5"/>
  <c r="C69" i="5"/>
  <c r="D49" i="5"/>
  <c r="D36" i="5"/>
  <c r="E36" i="5" s="1"/>
  <c r="D30" i="5"/>
  <c r="D24" i="5"/>
  <c r="E24" i="5" s="1"/>
  <c r="C519" i="5"/>
  <c r="C439" i="5"/>
  <c r="D394" i="5"/>
  <c r="D384" i="5"/>
  <c r="E384" i="5" s="1"/>
  <c r="C367" i="5"/>
  <c r="C294" i="5"/>
  <c r="C223" i="5"/>
  <c r="D186" i="5"/>
  <c r="C165" i="5"/>
  <c r="C157" i="5"/>
  <c r="C141" i="5"/>
  <c r="D126" i="5"/>
  <c r="C104" i="5"/>
  <c r="C90" i="5"/>
  <c r="D75" i="5"/>
  <c r="D61" i="5"/>
  <c r="D420" i="5"/>
  <c r="D373" i="5"/>
  <c r="E373" i="5" s="1"/>
  <c r="D237" i="5"/>
  <c r="D185" i="5"/>
  <c r="C81" i="5"/>
  <c r="D74" i="5"/>
  <c r="E74" i="5" s="1"/>
  <c r="D67" i="5"/>
  <c r="C40" i="5"/>
  <c r="D475" i="5"/>
  <c r="C454" i="5"/>
  <c r="D349" i="5"/>
  <c r="D170" i="5"/>
  <c r="E170" i="5" s="1"/>
  <c r="D103" i="5"/>
  <c r="C51" i="5"/>
  <c r="C226" i="5"/>
  <c r="C186" i="5"/>
  <c r="D129" i="5"/>
  <c r="D93" i="5"/>
  <c r="C514" i="5"/>
  <c r="C431" i="5"/>
  <c r="D357" i="5"/>
  <c r="C337" i="5"/>
  <c r="D285" i="5"/>
  <c r="D234" i="5"/>
  <c r="E234" i="5" s="1"/>
  <c r="D195" i="5"/>
  <c r="C177" i="5"/>
  <c r="D137" i="5"/>
  <c r="C93" i="5"/>
  <c r="C57" i="5"/>
  <c r="D33" i="5"/>
  <c r="D213" i="5"/>
  <c r="C204" i="5"/>
  <c r="C185" i="5"/>
  <c r="C137" i="5"/>
  <c r="D110" i="5"/>
  <c r="D40" i="5"/>
  <c r="D263" i="5"/>
  <c r="E263" i="5" s="1"/>
  <c r="C253" i="5"/>
  <c r="D146" i="5"/>
  <c r="C74" i="5"/>
  <c r="D64" i="5"/>
  <c r="C32" i="5"/>
  <c r="D489" i="5"/>
  <c r="C479" i="5"/>
  <c r="C363" i="5"/>
  <c r="C302" i="5"/>
  <c r="C230" i="5"/>
  <c r="D115" i="5"/>
  <c r="C89" i="5"/>
  <c r="C54" i="5"/>
  <c r="D46" i="5"/>
  <c r="D123" i="5"/>
  <c r="D418" i="5"/>
  <c r="D339" i="5"/>
  <c r="C273" i="5"/>
  <c r="D227" i="5"/>
  <c r="C131" i="5"/>
  <c r="D79" i="5"/>
  <c r="D21" i="5"/>
  <c r="D162" i="5"/>
  <c r="D88" i="5"/>
  <c r="C211" i="5"/>
  <c r="C190" i="5"/>
  <c r="D200" i="5"/>
  <c r="C179" i="5"/>
  <c r="C116" i="5"/>
  <c r="D54" i="5"/>
  <c r="C45" i="5"/>
  <c r="D507" i="5"/>
  <c r="C210" i="5"/>
  <c r="D153" i="5"/>
  <c r="C108" i="5"/>
  <c r="C402" i="5"/>
  <c r="C391" i="5"/>
  <c r="C380" i="5"/>
  <c r="D436" i="5"/>
  <c r="C162" i="5"/>
  <c r="D466" i="5"/>
  <c r="E466" i="5" s="1"/>
  <c r="D364" i="5"/>
  <c r="C79" i="5"/>
  <c r="D283" i="5"/>
  <c r="C61" i="5"/>
  <c r="D27" i="5"/>
  <c r="E27" i="5" s="1"/>
  <c r="D310" i="5"/>
  <c r="D288" i="5"/>
  <c r="E288" i="5" s="1"/>
  <c r="D171" i="5"/>
  <c r="D23" i="5"/>
  <c r="E23" i="5" s="1"/>
  <c r="D100" i="5"/>
  <c r="D355" i="5"/>
  <c r="C320" i="5"/>
  <c r="K413" i="2"/>
  <c r="H413" i="2"/>
  <c r="O413" i="2"/>
  <c r="D416" i="2"/>
  <c r="F416" i="2" s="1"/>
  <c r="O442" i="2"/>
  <c r="P442" i="2" s="1"/>
  <c r="Q442" i="2" s="1"/>
  <c r="O457" i="2"/>
  <c r="P457" i="2" s="1"/>
  <c r="Q457" i="2" s="1"/>
  <c r="B482" i="2"/>
  <c r="K482" i="2"/>
  <c r="K497" i="2"/>
  <c r="L497" i="2" s="1"/>
  <c r="M497" i="2" s="1"/>
  <c r="H497" i="2"/>
  <c r="O497" i="2"/>
  <c r="O502" i="2"/>
  <c r="P502" i="2" s="1"/>
  <c r="Q502" i="2" s="1"/>
  <c r="O517" i="2"/>
  <c r="P517" i="2" s="1"/>
  <c r="Q517" i="2" s="1"/>
  <c r="B542" i="2"/>
  <c r="K542" i="2"/>
  <c r="D560" i="2"/>
  <c r="F560" i="2" s="1"/>
  <c r="G560" i="2" s="1"/>
  <c r="I560" i="2" s="1"/>
  <c r="M560" i="2" s="1"/>
  <c r="N575" i="2"/>
  <c r="N580" i="2"/>
  <c r="M628" i="2"/>
  <c r="D643" i="2"/>
  <c r="F643" i="2" s="1"/>
  <c r="G643" i="2" s="1"/>
  <c r="I643" i="2" s="1"/>
  <c r="D648" i="2"/>
  <c r="F648" i="2" s="1"/>
  <c r="G648" i="2" s="1"/>
  <c r="I648" i="2" s="1"/>
  <c r="D653" i="2"/>
  <c r="F653" i="2" s="1"/>
  <c r="P653" i="2" s="1"/>
  <c r="Q653" i="2" s="1"/>
  <c r="F682" i="2"/>
  <c r="G682" i="2" s="1"/>
  <c r="I682" i="2" s="1"/>
  <c r="M682" i="2" s="1"/>
  <c r="H684" i="2"/>
  <c r="J684" i="2"/>
  <c r="N684" i="2" s="1"/>
  <c r="P697" i="2"/>
  <c r="Q697" i="2" s="1"/>
  <c r="G700" i="2"/>
  <c r="I700" i="2" s="1"/>
  <c r="M700" i="2" s="1"/>
  <c r="D713" i="2"/>
  <c r="F713" i="2" s="1"/>
  <c r="P713" i="2" s="1"/>
  <c r="Q713" i="2" s="1"/>
  <c r="D718" i="2"/>
  <c r="F718" i="2" s="1"/>
  <c r="B720" i="2"/>
  <c r="B722" i="2"/>
  <c r="B723" i="2"/>
  <c r="G724" i="2"/>
  <c r="I724" i="2" s="1"/>
  <c r="K729" i="2"/>
  <c r="L729" i="2" s="1"/>
  <c r="H729" i="2"/>
  <c r="I729" i="2" s="1"/>
  <c r="C743" i="2"/>
  <c r="E743" i="2" s="1"/>
  <c r="O743" i="2" s="1"/>
  <c r="J743" i="2"/>
  <c r="N743" i="2" s="1"/>
  <c r="D743" i="2"/>
  <c r="F743" i="2" s="1"/>
  <c r="J745" i="2"/>
  <c r="N745" i="2" s="1"/>
  <c r="B749" i="2"/>
  <c r="B763" i="2"/>
  <c r="C773" i="2"/>
  <c r="E773" i="2" s="1"/>
  <c r="C783" i="2"/>
  <c r="E783" i="2" s="1"/>
  <c r="B793" i="2"/>
  <c r="K793" i="2"/>
  <c r="L793" i="2" s="1"/>
  <c r="H793" i="2"/>
  <c r="D794" i="2"/>
  <c r="F794" i="2" s="1"/>
  <c r="P794" i="2" s="1"/>
  <c r="Q794" i="2" s="1"/>
  <c r="G801" i="2"/>
  <c r="I801" i="2" s="1"/>
  <c r="M801" i="2" s="1"/>
  <c r="D803" i="2"/>
  <c r="F803" i="2" s="1"/>
  <c r="N805" i="2"/>
  <c r="K811" i="2"/>
  <c r="H811" i="2"/>
  <c r="D811" i="2"/>
  <c r="F811" i="2" s="1"/>
  <c r="C811" i="2"/>
  <c r="E811" i="2" s="1"/>
  <c r="O811" i="2" s="1"/>
  <c r="J818" i="2"/>
  <c r="N818" i="2" s="1"/>
  <c r="K823" i="2"/>
  <c r="H823" i="2"/>
  <c r="O823" i="2"/>
  <c r="B824" i="2"/>
  <c r="F825" i="2"/>
  <c r="K828" i="2"/>
  <c r="L828" i="2" s="1"/>
  <c r="D831" i="2"/>
  <c r="C831" i="2"/>
  <c r="E831" i="2" s="1"/>
  <c r="O831" i="2" s="1"/>
  <c r="J831" i="2"/>
  <c r="N831" i="2" s="1"/>
  <c r="J840" i="2"/>
  <c r="N840" i="2" s="1"/>
  <c r="C840" i="2"/>
  <c r="E840" i="2" s="1"/>
  <c r="O840" i="2" s="1"/>
  <c r="O844" i="2"/>
  <c r="O860" i="2"/>
  <c r="C860" i="2"/>
  <c r="E860" i="2" s="1"/>
  <c r="F860" i="2" s="1"/>
  <c r="P860" i="2" s="1"/>
  <c r="Q860" i="2" s="1"/>
  <c r="B862" i="2"/>
  <c r="C868" i="2"/>
  <c r="E868" i="2" s="1"/>
  <c r="O868" i="2" s="1"/>
  <c r="G870" i="2"/>
  <c r="I870" i="2" s="1"/>
  <c r="B878" i="2"/>
  <c r="N882" i="2"/>
  <c r="C888" i="2"/>
  <c r="E888" i="2" s="1"/>
  <c r="N891" i="2"/>
  <c r="B899" i="2"/>
  <c r="O908" i="2"/>
  <c r="C908" i="2"/>
  <c r="E908" i="2" s="1"/>
  <c r="K908" i="2"/>
  <c r="L908" i="2" s="1"/>
  <c r="J908" i="2"/>
  <c r="N908" i="2" s="1"/>
  <c r="H908" i="2"/>
  <c r="D908" i="2"/>
  <c r="F908" i="2" s="1"/>
  <c r="B916" i="2"/>
  <c r="K916" i="2"/>
  <c r="D916" i="2"/>
  <c r="F916" i="2" s="1"/>
  <c r="C916" i="2"/>
  <c r="E916" i="2" s="1"/>
  <c r="O916" i="2" s="1"/>
  <c r="H916" i="2"/>
  <c r="F917" i="2"/>
  <c r="C927" i="2"/>
  <c r="E927" i="2" s="1"/>
  <c r="B937" i="2"/>
  <c r="K937" i="2"/>
  <c r="L937" i="2" s="1"/>
  <c r="H937" i="2"/>
  <c r="D938" i="2"/>
  <c r="F938" i="2" s="1"/>
  <c r="P938" i="2" s="1"/>
  <c r="Q938" i="2" s="1"/>
  <c r="G945" i="2"/>
  <c r="I945" i="2" s="1"/>
  <c r="M945" i="2" s="1"/>
  <c r="D947" i="2"/>
  <c r="F947" i="2" s="1"/>
  <c r="N949" i="2"/>
  <c r="K955" i="2"/>
  <c r="H955" i="2"/>
  <c r="D955" i="2"/>
  <c r="F955" i="2" s="1"/>
  <c r="G955" i="2" s="1"/>
  <c r="C955" i="2"/>
  <c r="E955" i="2" s="1"/>
  <c r="O955" i="2" s="1"/>
  <c r="J962" i="2"/>
  <c r="N962" i="2" s="1"/>
  <c r="K967" i="2"/>
  <c r="H967" i="2"/>
  <c r="O967" i="2"/>
  <c r="P967" i="2" s="1"/>
  <c r="Q967" i="2" s="1"/>
  <c r="B968" i="2"/>
  <c r="F969" i="2"/>
  <c r="K972" i="2"/>
  <c r="L972" i="2" s="1"/>
  <c r="D975" i="2"/>
  <c r="F975" i="2" s="1"/>
  <c r="P975" i="2" s="1"/>
  <c r="Q975" i="2" s="1"/>
  <c r="C975" i="2"/>
  <c r="E975" i="2" s="1"/>
  <c r="O975" i="2" s="1"/>
  <c r="J975" i="2"/>
  <c r="N975" i="2" s="1"/>
  <c r="B983" i="2"/>
  <c r="M993" i="2"/>
  <c r="B2" i="4"/>
  <c r="H5" i="4"/>
  <c r="I9" i="4"/>
  <c r="J16" i="4"/>
  <c r="B28" i="4"/>
  <c r="H40" i="4"/>
  <c r="E44" i="4"/>
  <c r="L47" i="4"/>
  <c r="C60" i="4"/>
  <c r="K65" i="4"/>
  <c r="F71" i="4"/>
  <c r="G73" i="4"/>
  <c r="F73" i="4"/>
  <c r="B73" i="4"/>
  <c r="M73" i="4"/>
  <c r="L73" i="4"/>
  <c r="K73" i="4"/>
  <c r="D73" i="4"/>
  <c r="C73" i="4"/>
  <c r="I76" i="4"/>
  <c r="F80" i="4"/>
  <c r="L93" i="4"/>
  <c r="B106" i="4"/>
  <c r="I109" i="4"/>
  <c r="H117" i="4"/>
  <c r="B119" i="4"/>
  <c r="G131" i="4"/>
  <c r="D153" i="4"/>
  <c r="D167" i="4"/>
  <c r="F176" i="4"/>
  <c r="G205" i="4"/>
  <c r="F205" i="4"/>
  <c r="E205" i="4"/>
  <c r="B205" i="4"/>
  <c r="M205" i="4"/>
  <c r="L205" i="4"/>
  <c r="K205" i="4"/>
  <c r="I205" i="4"/>
  <c r="J205" i="4"/>
  <c r="C205" i="4"/>
  <c r="D221" i="4"/>
  <c r="J229" i="4"/>
  <c r="B248" i="4"/>
  <c r="B324" i="4"/>
  <c r="B332" i="4"/>
  <c r="G332" i="4"/>
  <c r="F332" i="4"/>
  <c r="E332" i="4"/>
  <c r="M332" i="4"/>
  <c r="L332" i="4"/>
  <c r="J332" i="4"/>
  <c r="C332" i="4"/>
  <c r="K332" i="4"/>
  <c r="I332" i="4"/>
  <c r="H332" i="4"/>
  <c r="D332" i="4"/>
  <c r="B344" i="4"/>
  <c r="G344" i="4"/>
  <c r="F344" i="4"/>
  <c r="E344" i="4"/>
  <c r="L344" i="4"/>
  <c r="K344" i="4"/>
  <c r="J344" i="4"/>
  <c r="I344" i="4"/>
  <c r="H344" i="4"/>
  <c r="M344" i="4"/>
  <c r="J350" i="4"/>
  <c r="H512" i="4"/>
  <c r="E512" i="4"/>
  <c r="C512" i="4"/>
  <c r="J512" i="4"/>
  <c r="I512" i="4"/>
  <c r="G512" i="4"/>
  <c r="D512" i="4"/>
  <c r="F512" i="4"/>
  <c r="B512" i="4"/>
  <c r="L512" i="4"/>
  <c r="H656" i="4"/>
  <c r="E656" i="4"/>
  <c r="D656" i="4"/>
  <c r="C656" i="4"/>
  <c r="M656" i="4"/>
  <c r="L656" i="4"/>
  <c r="J656" i="4"/>
  <c r="F656" i="4"/>
  <c r="B656" i="4"/>
  <c r="K656" i="4"/>
  <c r="I656" i="4"/>
  <c r="G656" i="4"/>
  <c r="J690" i="4"/>
  <c r="I690" i="4"/>
  <c r="B690" i="4"/>
  <c r="M690" i="4"/>
  <c r="L690" i="4"/>
  <c r="C690" i="4"/>
  <c r="G690" i="4"/>
  <c r="F690" i="4"/>
  <c r="E690" i="4"/>
  <c r="D690" i="4"/>
  <c r="H690" i="4"/>
  <c r="K690" i="4"/>
  <c r="E63" i="4"/>
  <c r="D63" i="4"/>
  <c r="G63" i="4"/>
  <c r="B63" i="4"/>
  <c r="M63" i="4"/>
  <c r="F74" i="4"/>
  <c r="E74" i="4"/>
  <c r="C74" i="4"/>
  <c r="J94" i="4"/>
  <c r="I94" i="4"/>
  <c r="K94" i="4"/>
  <c r="F94" i="4"/>
  <c r="G94" i="4"/>
  <c r="E94" i="4"/>
  <c r="D100" i="4"/>
  <c r="C100" i="4"/>
  <c r="E100" i="4"/>
  <c r="M100" i="4"/>
  <c r="L100" i="4"/>
  <c r="K141" i="4"/>
  <c r="J141" i="4"/>
  <c r="F141" i="4"/>
  <c r="C141" i="4"/>
  <c r="L141" i="4"/>
  <c r="I141" i="4"/>
  <c r="H144" i="4"/>
  <c r="G144" i="4"/>
  <c r="K144" i="4"/>
  <c r="F144" i="4"/>
  <c r="E144" i="4"/>
  <c r="D144" i="4"/>
  <c r="E171" i="4"/>
  <c r="D171" i="4"/>
  <c r="L171" i="4"/>
  <c r="I171" i="4"/>
  <c r="J171" i="4"/>
  <c r="H171" i="4"/>
  <c r="G171" i="4"/>
  <c r="C171" i="4"/>
  <c r="C185" i="4"/>
  <c r="B185" i="4"/>
  <c r="M185" i="4"/>
  <c r="J185" i="4"/>
  <c r="F185" i="4"/>
  <c r="E185" i="4"/>
  <c r="D185" i="4"/>
  <c r="G193" i="4"/>
  <c r="F193" i="4"/>
  <c r="H193" i="4"/>
  <c r="C193" i="4"/>
  <c r="K193" i="4"/>
  <c r="J193" i="4"/>
  <c r="I193" i="4"/>
  <c r="D193" i="4"/>
  <c r="C209" i="4"/>
  <c r="B209" i="4"/>
  <c r="K209" i="4"/>
  <c r="H209" i="4"/>
  <c r="M209" i="4"/>
  <c r="L209" i="4"/>
  <c r="J209" i="4"/>
  <c r="G209" i="4"/>
  <c r="F254" i="4"/>
  <c r="E254" i="4"/>
  <c r="B254" i="4"/>
  <c r="M254" i="4"/>
  <c r="L254" i="4"/>
  <c r="J254" i="4"/>
  <c r="D254" i="4"/>
  <c r="C293" i="4"/>
  <c r="B293" i="4"/>
  <c r="D293" i="4"/>
  <c r="M293" i="4"/>
  <c r="J293" i="4"/>
  <c r="I293" i="4"/>
  <c r="H293" i="4"/>
  <c r="F293" i="4"/>
  <c r="G301" i="4"/>
  <c r="F301" i="4"/>
  <c r="E301" i="4"/>
  <c r="L301" i="4"/>
  <c r="K301" i="4"/>
  <c r="J301" i="4"/>
  <c r="I301" i="4"/>
  <c r="M301" i="4"/>
  <c r="D301" i="4"/>
  <c r="H362" i="4"/>
  <c r="F362" i="4"/>
  <c r="E362" i="4"/>
  <c r="D362" i="4"/>
  <c r="L362" i="4"/>
  <c r="K362" i="4"/>
  <c r="J362" i="4"/>
  <c r="I362" i="4"/>
  <c r="G362" i="4"/>
  <c r="C362" i="4"/>
  <c r="B362" i="4"/>
  <c r="C391" i="4"/>
  <c r="G391" i="4"/>
  <c r="F391" i="4"/>
  <c r="E391" i="4"/>
  <c r="B391" i="4"/>
  <c r="K391" i="4"/>
  <c r="I391" i="4"/>
  <c r="H391" i="4"/>
  <c r="L391" i="4"/>
  <c r="F412" i="4"/>
  <c r="G412" i="4"/>
  <c r="E412" i="4"/>
  <c r="D412" i="4"/>
  <c r="B412" i="4"/>
  <c r="K412" i="4"/>
  <c r="M412" i="4"/>
  <c r="H412" i="4"/>
  <c r="C412" i="4"/>
  <c r="L412" i="4"/>
  <c r="J412" i="4"/>
  <c r="I412" i="4"/>
  <c r="B542" i="4"/>
  <c r="K542" i="4"/>
  <c r="G542" i="4"/>
  <c r="D542" i="4"/>
  <c r="L542" i="4"/>
  <c r="H542" i="4"/>
  <c r="F542" i="4"/>
  <c r="E542" i="4"/>
  <c r="C542" i="4"/>
  <c r="M542" i="4"/>
  <c r="J542" i="4"/>
  <c r="B626" i="4"/>
  <c r="K626" i="4"/>
  <c r="C626" i="4"/>
  <c r="M626" i="4"/>
  <c r="L626" i="4"/>
  <c r="I626" i="4"/>
  <c r="F626" i="4"/>
  <c r="E626" i="4"/>
  <c r="J626" i="4"/>
  <c r="H626" i="4"/>
  <c r="G626" i="4"/>
  <c r="I35" i="4"/>
  <c r="H35" i="4"/>
  <c r="C35" i="4"/>
  <c r="L35" i="4"/>
  <c r="K35" i="4"/>
  <c r="H63" i="4"/>
  <c r="G74" i="4"/>
  <c r="J82" i="4"/>
  <c r="I82" i="4"/>
  <c r="L82" i="4"/>
  <c r="G82" i="4"/>
  <c r="D82" i="4"/>
  <c r="C82" i="4"/>
  <c r="D94" i="4"/>
  <c r="G100" i="4"/>
  <c r="G121" i="4"/>
  <c r="F121" i="4"/>
  <c r="M121" i="4"/>
  <c r="J121" i="4"/>
  <c r="L121" i="4"/>
  <c r="E141" i="4"/>
  <c r="I144" i="4"/>
  <c r="I155" i="4"/>
  <c r="H155" i="4"/>
  <c r="G155" i="4"/>
  <c r="D155" i="4"/>
  <c r="F155" i="4"/>
  <c r="E155" i="4"/>
  <c r="C155" i="4"/>
  <c r="G157" i="4"/>
  <c r="F157" i="4"/>
  <c r="K157" i="4"/>
  <c r="H157" i="4"/>
  <c r="M157" i="4"/>
  <c r="K171" i="4"/>
  <c r="I185" i="4"/>
  <c r="K189" i="4"/>
  <c r="J189" i="4"/>
  <c r="B189" i="4"/>
  <c r="M189" i="4"/>
  <c r="L189" i="4"/>
  <c r="I189" i="4"/>
  <c r="G189" i="4"/>
  <c r="L193" i="4"/>
  <c r="F209" i="4"/>
  <c r="K237" i="4"/>
  <c r="J237" i="4"/>
  <c r="L237" i="4"/>
  <c r="G237" i="4"/>
  <c r="I237" i="4"/>
  <c r="H237" i="4"/>
  <c r="F237" i="4"/>
  <c r="D237" i="4"/>
  <c r="I251" i="4"/>
  <c r="H251" i="4"/>
  <c r="M251" i="4"/>
  <c r="J251" i="4"/>
  <c r="D251" i="4"/>
  <c r="C251" i="4"/>
  <c r="B251" i="4"/>
  <c r="K251" i="4"/>
  <c r="H254" i="4"/>
  <c r="I263" i="4"/>
  <c r="H263" i="4"/>
  <c r="L263" i="4"/>
  <c r="G263" i="4"/>
  <c r="F263" i="4"/>
  <c r="E263" i="4"/>
  <c r="D263" i="4"/>
  <c r="B263" i="4"/>
  <c r="L272" i="4"/>
  <c r="K272" i="4"/>
  <c r="F272" i="4"/>
  <c r="D272" i="4"/>
  <c r="C272" i="4"/>
  <c r="J272" i="4"/>
  <c r="E272" i="4"/>
  <c r="J274" i="4"/>
  <c r="I274" i="4"/>
  <c r="H274" i="4"/>
  <c r="F274" i="4"/>
  <c r="E274" i="4"/>
  <c r="L274" i="4"/>
  <c r="K274" i="4"/>
  <c r="G274" i="4"/>
  <c r="C274" i="4"/>
  <c r="D280" i="4"/>
  <c r="C280" i="4"/>
  <c r="B280" i="4"/>
  <c r="M280" i="4"/>
  <c r="G280" i="4"/>
  <c r="F280" i="4"/>
  <c r="E280" i="4"/>
  <c r="K280" i="4"/>
  <c r="K293" i="4"/>
  <c r="K297" i="4"/>
  <c r="J297" i="4"/>
  <c r="E297" i="4"/>
  <c r="D297" i="4"/>
  <c r="C297" i="4"/>
  <c r="B297" i="4"/>
  <c r="H297" i="4"/>
  <c r="H301" i="4"/>
  <c r="L322" i="4"/>
  <c r="F322" i="4"/>
  <c r="E322" i="4"/>
  <c r="D322" i="4"/>
  <c r="H322" i="4"/>
  <c r="G322" i="4"/>
  <c r="C322" i="4"/>
  <c r="B322" i="4"/>
  <c r="I322" i="4"/>
  <c r="K335" i="4"/>
  <c r="F335" i="4"/>
  <c r="E335" i="4"/>
  <c r="D335" i="4"/>
  <c r="H335" i="4"/>
  <c r="G335" i="4"/>
  <c r="C335" i="4"/>
  <c r="B335" i="4"/>
  <c r="M335" i="4"/>
  <c r="J335" i="4"/>
  <c r="B356" i="4"/>
  <c r="G356" i="4"/>
  <c r="F356" i="4"/>
  <c r="E356" i="4"/>
  <c r="I356" i="4"/>
  <c r="H356" i="4"/>
  <c r="D356" i="4"/>
  <c r="C356" i="4"/>
  <c r="M356" i="4"/>
  <c r="K356" i="4"/>
  <c r="H386" i="4"/>
  <c r="F386" i="4"/>
  <c r="E386" i="4"/>
  <c r="D386" i="4"/>
  <c r="B386" i="4"/>
  <c r="K386" i="4"/>
  <c r="M386" i="4"/>
  <c r="G386" i="4"/>
  <c r="C386" i="4"/>
  <c r="L386" i="4"/>
  <c r="M391" i="4"/>
  <c r="H422" i="4"/>
  <c r="F422" i="4"/>
  <c r="E422" i="4"/>
  <c r="D422" i="4"/>
  <c r="B422" i="4"/>
  <c r="K422" i="4"/>
  <c r="M422" i="4"/>
  <c r="L422" i="4"/>
  <c r="J422" i="4"/>
  <c r="I422" i="4"/>
  <c r="C422" i="4"/>
  <c r="B452" i="4"/>
  <c r="K452" i="4"/>
  <c r="E452" i="4"/>
  <c r="D452" i="4"/>
  <c r="C452" i="4"/>
  <c r="I452" i="4"/>
  <c r="H452" i="4"/>
  <c r="G452" i="4"/>
  <c r="L452" i="4"/>
  <c r="F460" i="4"/>
  <c r="C460" i="4"/>
  <c r="M460" i="4"/>
  <c r="L460" i="4"/>
  <c r="K460" i="4"/>
  <c r="I460" i="4"/>
  <c r="D460" i="4"/>
  <c r="H460" i="4"/>
  <c r="G460" i="4"/>
  <c r="E460" i="4"/>
  <c r="B506" i="4"/>
  <c r="K506" i="4"/>
  <c r="J506" i="4"/>
  <c r="G506" i="4"/>
  <c r="H506" i="4"/>
  <c r="F506" i="4"/>
  <c r="E506" i="4"/>
  <c r="C506" i="4"/>
  <c r="M506" i="4"/>
  <c r="L506" i="4"/>
  <c r="J522" i="4"/>
  <c r="G522" i="4"/>
  <c r="K522" i="4"/>
  <c r="F522" i="4"/>
  <c r="E522" i="4"/>
  <c r="D522" i="4"/>
  <c r="B522" i="4"/>
  <c r="M522" i="4"/>
  <c r="L522" i="4"/>
  <c r="I522" i="4"/>
  <c r="H522" i="4"/>
  <c r="K701" i="4"/>
  <c r="J701" i="4"/>
  <c r="I701" i="4"/>
  <c r="H701" i="4"/>
  <c r="M701" i="4"/>
  <c r="G701" i="4"/>
  <c r="C701" i="4"/>
  <c r="L701" i="4"/>
  <c r="F701" i="4"/>
  <c r="E701" i="4"/>
  <c r="B701" i="4"/>
  <c r="D701" i="4"/>
  <c r="J585" i="2"/>
  <c r="N585" i="2" s="1"/>
  <c r="J621" i="2"/>
  <c r="N621" i="2" s="1"/>
  <c r="J657" i="2"/>
  <c r="N657" i="2" s="1"/>
  <c r="O660" i="2"/>
  <c r="O665" i="2"/>
  <c r="P665" i="2" s="1"/>
  <c r="Q665" i="2" s="1"/>
  <c r="O681" i="2"/>
  <c r="P681" i="2" s="1"/>
  <c r="Q681" i="2" s="1"/>
  <c r="K686" i="2"/>
  <c r="L686" i="2" s="1"/>
  <c r="M686" i="2" s="1"/>
  <c r="J686" i="2"/>
  <c r="O686" i="2"/>
  <c r="O691" i="2"/>
  <c r="P691" i="2" s="1"/>
  <c r="Q691" i="2" s="1"/>
  <c r="O696" i="2"/>
  <c r="P696" i="2" s="1"/>
  <c r="Q696" i="2" s="1"/>
  <c r="O701" i="2"/>
  <c r="M712" i="2"/>
  <c r="O716" i="2"/>
  <c r="P716" i="2" s="1"/>
  <c r="Q716" i="2" s="1"/>
  <c r="D721" i="2"/>
  <c r="C721" i="2"/>
  <c r="E721" i="2" s="1"/>
  <c r="O721" i="2" s="1"/>
  <c r="O726" i="2"/>
  <c r="C726" i="2"/>
  <c r="E726" i="2" s="1"/>
  <c r="F726" i="2" s="1"/>
  <c r="B726" i="2"/>
  <c r="H766" i="2"/>
  <c r="C766" i="2"/>
  <c r="E766" i="2" s="1"/>
  <c r="B766" i="2"/>
  <c r="B769" i="2"/>
  <c r="J769" i="2"/>
  <c r="N769" i="2" s="1"/>
  <c r="D771" i="2"/>
  <c r="F771" i="2" s="1"/>
  <c r="G771" i="2" s="1"/>
  <c r="I771" i="2" s="1"/>
  <c r="M771" i="2" s="1"/>
  <c r="C771" i="2"/>
  <c r="E771" i="2" s="1"/>
  <c r="O771" i="2" s="1"/>
  <c r="B805" i="2"/>
  <c r="H805" i="2"/>
  <c r="P846" i="2"/>
  <c r="Q846" i="2" s="1"/>
  <c r="O875" i="2"/>
  <c r="C875" i="2"/>
  <c r="E875" i="2" s="1"/>
  <c r="F875" i="2" s="1"/>
  <c r="G875" i="2" s="1"/>
  <c r="I875" i="2" s="1"/>
  <c r="M875" i="2" s="1"/>
  <c r="J876" i="2"/>
  <c r="N876" i="2" s="1"/>
  <c r="C876" i="2"/>
  <c r="E876" i="2" s="1"/>
  <c r="O876" i="2" s="1"/>
  <c r="B876" i="2"/>
  <c r="P882" i="2"/>
  <c r="Q882" i="2" s="1"/>
  <c r="K883" i="2"/>
  <c r="L883" i="2" s="1"/>
  <c r="H883" i="2"/>
  <c r="J883" i="2"/>
  <c r="P918" i="2"/>
  <c r="Q918" i="2" s="1"/>
  <c r="B949" i="2"/>
  <c r="H949" i="2"/>
  <c r="K997" i="2"/>
  <c r="H997" i="2"/>
  <c r="H24" i="4"/>
  <c r="G24" i="4"/>
  <c r="E24" i="4"/>
  <c r="B24" i="4"/>
  <c r="K24" i="4"/>
  <c r="J24" i="4"/>
  <c r="E27" i="4"/>
  <c r="D27" i="4"/>
  <c r="J27" i="4"/>
  <c r="G27" i="4"/>
  <c r="F27" i="4"/>
  <c r="C27" i="4"/>
  <c r="B35" i="4"/>
  <c r="C41" i="4"/>
  <c r="B41" i="4"/>
  <c r="K41" i="4"/>
  <c r="H41" i="4"/>
  <c r="I63" i="4"/>
  <c r="H74" i="4"/>
  <c r="C77" i="4"/>
  <c r="B77" i="4"/>
  <c r="H77" i="4"/>
  <c r="E77" i="4"/>
  <c r="J77" i="4"/>
  <c r="I77" i="4"/>
  <c r="B82" i="4"/>
  <c r="H94" i="4"/>
  <c r="H100" i="4"/>
  <c r="I107" i="4"/>
  <c r="H107" i="4"/>
  <c r="K107" i="4"/>
  <c r="F107" i="4"/>
  <c r="F110" i="4"/>
  <c r="E110" i="4"/>
  <c r="K110" i="4"/>
  <c r="J110" i="4"/>
  <c r="I110" i="4"/>
  <c r="B121" i="4"/>
  <c r="H132" i="4"/>
  <c r="G132" i="4"/>
  <c r="K132" i="4"/>
  <c r="F132" i="4"/>
  <c r="E135" i="4"/>
  <c r="D135" i="4"/>
  <c r="K135" i="4"/>
  <c r="J135" i="4"/>
  <c r="I135" i="4"/>
  <c r="G141" i="4"/>
  <c r="J144" i="4"/>
  <c r="B155" i="4"/>
  <c r="B157" i="4"/>
  <c r="M171" i="4"/>
  <c r="F182" i="4"/>
  <c r="E182" i="4"/>
  <c r="J182" i="4"/>
  <c r="G182" i="4"/>
  <c r="K182" i="4"/>
  <c r="I182" i="4"/>
  <c r="H182" i="4"/>
  <c r="C182" i="4"/>
  <c r="K185" i="4"/>
  <c r="C189" i="4"/>
  <c r="M193" i="4"/>
  <c r="F206" i="4"/>
  <c r="E206" i="4"/>
  <c r="H206" i="4"/>
  <c r="C206" i="4"/>
  <c r="L206" i="4"/>
  <c r="I209" i="4"/>
  <c r="B237" i="4"/>
  <c r="E251" i="4"/>
  <c r="I254" i="4"/>
  <c r="C263" i="4"/>
  <c r="B272" i="4"/>
  <c r="B274" i="4"/>
  <c r="H280" i="4"/>
  <c r="L293" i="4"/>
  <c r="F297" i="4"/>
  <c r="K309" i="4"/>
  <c r="J309" i="4"/>
  <c r="I309" i="4"/>
  <c r="M309" i="4"/>
  <c r="L309" i="4"/>
  <c r="H309" i="4"/>
  <c r="G309" i="4"/>
  <c r="F309" i="4"/>
  <c r="B309" i="4"/>
  <c r="J322" i="4"/>
  <c r="G327" i="4"/>
  <c r="F327" i="4"/>
  <c r="E327" i="4"/>
  <c r="D327" i="4"/>
  <c r="L327" i="4"/>
  <c r="K327" i="4"/>
  <c r="J327" i="4"/>
  <c r="I327" i="4"/>
  <c r="H327" i="4"/>
  <c r="C327" i="4"/>
  <c r="B327" i="4"/>
  <c r="I335" i="4"/>
  <c r="J356" i="4"/>
  <c r="I386" i="4"/>
  <c r="G422" i="4"/>
  <c r="F452" i="4"/>
  <c r="B460" i="4"/>
  <c r="D506" i="4"/>
  <c r="C522" i="4"/>
  <c r="C529" i="4"/>
  <c r="L529" i="4"/>
  <c r="G529" i="4"/>
  <c r="D529" i="4"/>
  <c r="J529" i="4"/>
  <c r="I529" i="4"/>
  <c r="H529" i="4"/>
  <c r="E529" i="4"/>
  <c r="M529" i="4"/>
  <c r="K529" i="4"/>
  <c r="F529" i="4"/>
  <c r="B529" i="4"/>
  <c r="E99" i="4"/>
  <c r="D99" i="4"/>
  <c r="B99" i="4"/>
  <c r="M99" i="4"/>
  <c r="J99" i="4"/>
  <c r="I99" i="4"/>
  <c r="L140" i="4"/>
  <c r="K140" i="4"/>
  <c r="E140" i="4"/>
  <c r="B140" i="4"/>
  <c r="G140" i="4"/>
  <c r="F140" i="4"/>
  <c r="D172" i="4"/>
  <c r="C172" i="4"/>
  <c r="M172" i="4"/>
  <c r="J172" i="4"/>
  <c r="L172" i="4"/>
  <c r="K172" i="4"/>
  <c r="H172" i="4"/>
  <c r="F194" i="4"/>
  <c r="E194" i="4"/>
  <c r="I194" i="4"/>
  <c r="D194" i="4"/>
  <c r="M194" i="4"/>
  <c r="L194" i="4"/>
  <c r="J194" i="4"/>
  <c r="L284" i="4"/>
  <c r="K284" i="4"/>
  <c r="E284" i="4"/>
  <c r="C284" i="4"/>
  <c r="B284" i="4"/>
  <c r="M284" i="4"/>
  <c r="I284" i="4"/>
  <c r="D284" i="4"/>
  <c r="J286" i="4"/>
  <c r="I286" i="4"/>
  <c r="G286" i="4"/>
  <c r="E286" i="4"/>
  <c r="D286" i="4"/>
  <c r="K286" i="4"/>
  <c r="H286" i="4"/>
  <c r="F286" i="4"/>
  <c r="B286" i="4"/>
  <c r="L430" i="4"/>
  <c r="I430" i="4"/>
  <c r="G430" i="4"/>
  <c r="F430" i="4"/>
  <c r="E430" i="4"/>
  <c r="C430" i="4"/>
  <c r="M430" i="4"/>
  <c r="K430" i="4"/>
  <c r="J430" i="4"/>
  <c r="H430" i="4"/>
  <c r="D430" i="4"/>
  <c r="B530" i="4"/>
  <c r="K530" i="4"/>
  <c r="H530" i="4"/>
  <c r="E530" i="4"/>
  <c r="M530" i="4"/>
  <c r="L530" i="4"/>
  <c r="I530" i="4"/>
  <c r="D530" i="4"/>
  <c r="C530" i="4"/>
  <c r="J530" i="4"/>
  <c r="G530" i="4"/>
  <c r="I559" i="4"/>
  <c r="F559" i="4"/>
  <c r="L559" i="4"/>
  <c r="H559" i="4"/>
  <c r="D559" i="4"/>
  <c r="C559" i="4"/>
  <c r="B559" i="4"/>
  <c r="M559" i="4"/>
  <c r="K559" i="4"/>
  <c r="J559" i="4"/>
  <c r="G559" i="4"/>
  <c r="E559" i="4"/>
  <c r="C577" i="4"/>
  <c r="L577" i="4"/>
  <c r="D577" i="4"/>
  <c r="I577" i="4"/>
  <c r="H577" i="4"/>
  <c r="G577" i="4"/>
  <c r="E577" i="4"/>
  <c r="M577" i="4"/>
  <c r="K577" i="4"/>
  <c r="J577" i="4"/>
  <c r="L616" i="4"/>
  <c r="I616" i="4"/>
  <c r="E616" i="4"/>
  <c r="B616" i="4"/>
  <c r="M616" i="4"/>
  <c r="J616" i="4"/>
  <c r="F616" i="4"/>
  <c r="D616" i="4"/>
  <c r="K616" i="4"/>
  <c r="H616" i="4"/>
  <c r="G616" i="4"/>
  <c r="F646" i="4"/>
  <c r="C646" i="4"/>
  <c r="B646" i="4"/>
  <c r="L646" i="4"/>
  <c r="I646" i="4"/>
  <c r="K646" i="4"/>
  <c r="J646" i="4"/>
  <c r="H646" i="4"/>
  <c r="E646" i="4"/>
  <c r="M646" i="4"/>
  <c r="G646" i="4"/>
  <c r="D646" i="4"/>
  <c r="O988" i="2"/>
  <c r="C988" i="2"/>
  <c r="E988" i="2" s="1"/>
  <c r="B988" i="2"/>
  <c r="J988" i="2"/>
  <c r="K988" i="2"/>
  <c r="L988" i="2" s="1"/>
  <c r="K996" i="2"/>
  <c r="L996" i="2" s="1"/>
  <c r="J996" i="2"/>
  <c r="N996" i="2" s="1"/>
  <c r="C996" i="2"/>
  <c r="E996" i="2" s="1"/>
  <c r="C24" i="3"/>
  <c r="C22" i="3"/>
  <c r="H12" i="4"/>
  <c r="G12" i="4"/>
  <c r="F12" i="4"/>
  <c r="C12" i="4"/>
  <c r="E12" i="4"/>
  <c r="D12" i="4"/>
  <c r="C29" i="4"/>
  <c r="B29" i="4"/>
  <c r="L29" i="4"/>
  <c r="I29" i="4"/>
  <c r="M29" i="4"/>
  <c r="E35" i="4"/>
  <c r="F50" i="4"/>
  <c r="E50" i="4"/>
  <c r="G50" i="4"/>
  <c r="B50" i="4"/>
  <c r="I50" i="4"/>
  <c r="H50" i="4"/>
  <c r="K63" i="4"/>
  <c r="K69" i="4"/>
  <c r="J69" i="4"/>
  <c r="L69" i="4"/>
  <c r="H25" i="3" s="1"/>
  <c r="D56" i="1" s="1"/>
  <c r="G69" i="4"/>
  <c r="J74" i="4"/>
  <c r="F82" i="4"/>
  <c r="M94" i="4"/>
  <c r="C99" i="4"/>
  <c r="J100" i="4"/>
  <c r="D121" i="4"/>
  <c r="C140" i="4"/>
  <c r="M141" i="4"/>
  <c r="M144" i="4"/>
  <c r="C149" i="4"/>
  <c r="B149" i="4"/>
  <c r="D149" i="4"/>
  <c r="M149" i="4"/>
  <c r="I149" i="4"/>
  <c r="H149" i="4"/>
  <c r="K155" i="4"/>
  <c r="D157" i="4"/>
  <c r="F170" i="4"/>
  <c r="E170" i="4"/>
  <c r="K170" i="4"/>
  <c r="H170" i="4"/>
  <c r="D170" i="4"/>
  <c r="C170" i="4"/>
  <c r="B170" i="4"/>
  <c r="B172" i="4"/>
  <c r="E189" i="4"/>
  <c r="H192" i="4"/>
  <c r="G192" i="4"/>
  <c r="E192" i="4"/>
  <c r="B192" i="4"/>
  <c r="F192" i="4"/>
  <c r="D192" i="4"/>
  <c r="C192" i="4"/>
  <c r="B194" i="4"/>
  <c r="L200" i="4"/>
  <c r="K200" i="4"/>
  <c r="I200" i="4"/>
  <c r="M200" i="4"/>
  <c r="J200" i="4"/>
  <c r="G200" i="4"/>
  <c r="I203" i="4"/>
  <c r="H203" i="4"/>
  <c r="C203" i="4"/>
  <c r="G203" i="4"/>
  <c r="F203" i="4"/>
  <c r="E203" i="4"/>
  <c r="B203" i="4"/>
  <c r="I215" i="4"/>
  <c r="H215" i="4"/>
  <c r="B215" i="4"/>
  <c r="M215" i="4"/>
  <c r="K215" i="4"/>
  <c r="J215" i="4"/>
  <c r="G215" i="4"/>
  <c r="E215" i="4"/>
  <c r="E237" i="4"/>
  <c r="G251" i="4"/>
  <c r="K263" i="4"/>
  <c r="E267" i="4"/>
  <c r="D267" i="4"/>
  <c r="B267" i="4"/>
  <c r="M267" i="4"/>
  <c r="G267" i="4"/>
  <c r="F267" i="4"/>
  <c r="C267" i="4"/>
  <c r="K267" i="4"/>
  <c r="H272" i="4"/>
  <c r="M274" i="4"/>
  <c r="J280" i="4"/>
  <c r="F284" i="4"/>
  <c r="C286" i="4"/>
  <c r="I297" i="4"/>
  <c r="E317" i="4"/>
  <c r="G317" i="4"/>
  <c r="F317" i="4"/>
  <c r="D317" i="4"/>
  <c r="I317" i="4"/>
  <c r="H317" i="4"/>
  <c r="C317" i="4"/>
  <c r="B317" i="4"/>
  <c r="K317" i="4"/>
  <c r="M322" i="4"/>
  <c r="F328" i="4"/>
  <c r="G328" i="4"/>
  <c r="E328" i="4"/>
  <c r="D328" i="4"/>
  <c r="M328" i="4"/>
  <c r="L328" i="4"/>
  <c r="K328" i="4"/>
  <c r="C328" i="4"/>
  <c r="E341" i="4"/>
  <c r="G341" i="4"/>
  <c r="F341" i="4"/>
  <c r="D341" i="4"/>
  <c r="M341" i="4"/>
  <c r="L341" i="4"/>
  <c r="K341" i="4"/>
  <c r="J341" i="4"/>
  <c r="H341" i="4"/>
  <c r="H410" i="4"/>
  <c r="F410" i="4"/>
  <c r="E410" i="4"/>
  <c r="D410" i="4"/>
  <c r="B410" i="4"/>
  <c r="K410" i="4"/>
  <c r="J410" i="4"/>
  <c r="I410" i="4"/>
  <c r="L410" i="4"/>
  <c r="B416" i="4"/>
  <c r="G416" i="4"/>
  <c r="F416" i="4"/>
  <c r="E416" i="4"/>
  <c r="C416" i="4"/>
  <c r="K416" i="4"/>
  <c r="L416" i="4"/>
  <c r="J416" i="4"/>
  <c r="I416" i="4"/>
  <c r="H416" i="4"/>
  <c r="M416" i="4"/>
  <c r="B430" i="4"/>
  <c r="F530" i="4"/>
  <c r="C616" i="4"/>
  <c r="O569" i="2"/>
  <c r="O585" i="2"/>
  <c r="K590" i="2"/>
  <c r="L590" i="2" s="1"/>
  <c r="J590" i="2"/>
  <c r="N590" i="2" s="1"/>
  <c r="O590" i="2"/>
  <c r="P590" i="2" s="1"/>
  <c r="Q590" i="2" s="1"/>
  <c r="O595" i="2"/>
  <c r="O600" i="2"/>
  <c r="O605" i="2"/>
  <c r="P605" i="2" s="1"/>
  <c r="Q605" i="2" s="1"/>
  <c r="O621" i="2"/>
  <c r="P621" i="2" s="1"/>
  <c r="Q621" i="2" s="1"/>
  <c r="K626" i="2"/>
  <c r="L626" i="2" s="1"/>
  <c r="M626" i="2" s="1"/>
  <c r="J626" i="2"/>
  <c r="O626" i="2"/>
  <c r="O631" i="2"/>
  <c r="P631" i="2" s="1"/>
  <c r="Q631" i="2" s="1"/>
  <c r="O636" i="2"/>
  <c r="P636" i="2" s="1"/>
  <c r="Q636" i="2" s="1"/>
  <c r="O641" i="2"/>
  <c r="P641" i="2" s="1"/>
  <c r="Q641" i="2" s="1"/>
  <c r="O657" i="2"/>
  <c r="D661" i="2"/>
  <c r="F661" i="2" s="1"/>
  <c r="O661" i="2"/>
  <c r="C661" i="2"/>
  <c r="E661" i="2" s="1"/>
  <c r="C666" i="2"/>
  <c r="E666" i="2" s="1"/>
  <c r="F666" i="2" s="1"/>
  <c r="B666" i="2"/>
  <c r="M688" i="2"/>
  <c r="O692" i="2"/>
  <c r="D697" i="2"/>
  <c r="F697" i="2" s="1"/>
  <c r="G697" i="2" s="1"/>
  <c r="I697" i="2" s="1"/>
  <c r="M697" i="2" s="1"/>
  <c r="O697" i="2"/>
  <c r="C697" i="2"/>
  <c r="E697" i="2" s="1"/>
  <c r="C702" i="2"/>
  <c r="E702" i="2" s="1"/>
  <c r="B702" i="2"/>
  <c r="F711" i="2"/>
  <c r="N719" i="2"/>
  <c r="P777" i="2"/>
  <c r="Q777" i="2" s="1"/>
  <c r="O779" i="2"/>
  <c r="C779" i="2"/>
  <c r="E779" i="2" s="1"/>
  <c r="F779" i="2" s="1"/>
  <c r="J779" i="2"/>
  <c r="N779" i="2" s="1"/>
  <c r="J780" i="2"/>
  <c r="N780" i="2" s="1"/>
  <c r="H780" i="2"/>
  <c r="C782" i="2"/>
  <c r="E782" i="2" s="1"/>
  <c r="O782" i="2" s="1"/>
  <c r="B782" i="2"/>
  <c r="F812" i="2"/>
  <c r="G812" i="2" s="1"/>
  <c r="I812" i="2" s="1"/>
  <c r="M812" i="2" s="1"/>
  <c r="H814" i="2"/>
  <c r="I814" i="2" s="1"/>
  <c r="M814" i="2" s="1"/>
  <c r="J814" i="2"/>
  <c r="N814" i="2" s="1"/>
  <c r="C815" i="2"/>
  <c r="E815" i="2" s="1"/>
  <c r="F815" i="2" s="1"/>
  <c r="J816" i="2"/>
  <c r="N816" i="2" s="1"/>
  <c r="D816" i="2"/>
  <c r="F816" i="2" s="1"/>
  <c r="P816" i="2" s="1"/>
  <c r="Q816" i="2" s="1"/>
  <c r="C816" i="2"/>
  <c r="E816" i="2" s="1"/>
  <c r="O816" i="2" s="1"/>
  <c r="D819" i="2"/>
  <c r="F819" i="2" s="1"/>
  <c r="G819" i="2" s="1"/>
  <c r="I819" i="2" s="1"/>
  <c r="K819" i="2"/>
  <c r="L819" i="2" s="1"/>
  <c r="J819" i="2"/>
  <c r="N819" i="2" s="1"/>
  <c r="B820" i="2"/>
  <c r="K820" i="2"/>
  <c r="H820" i="2"/>
  <c r="F821" i="2"/>
  <c r="P821" i="2" s="1"/>
  <c r="Q821" i="2" s="1"/>
  <c r="G849" i="2"/>
  <c r="I849" i="2" s="1"/>
  <c r="M849" i="2" s="1"/>
  <c r="J854" i="2"/>
  <c r="N854" i="2" s="1"/>
  <c r="H854" i="2"/>
  <c r="I854" i="2" s="1"/>
  <c r="M854" i="2" s="1"/>
  <c r="B889" i="2"/>
  <c r="H889" i="2"/>
  <c r="D891" i="2"/>
  <c r="C891" i="2"/>
  <c r="E891" i="2" s="1"/>
  <c r="O891" i="2" s="1"/>
  <c r="B891" i="2"/>
  <c r="P921" i="2"/>
  <c r="Q921" i="2" s="1"/>
  <c r="C923" i="2"/>
  <c r="E923" i="2" s="1"/>
  <c r="J923" i="2"/>
  <c r="N923" i="2" s="1"/>
  <c r="J924" i="2"/>
  <c r="N924" i="2" s="1"/>
  <c r="H924" i="2"/>
  <c r="C926" i="2"/>
  <c r="E926" i="2" s="1"/>
  <c r="O926" i="2" s="1"/>
  <c r="B926" i="2"/>
  <c r="H958" i="2"/>
  <c r="I958" i="2" s="1"/>
  <c r="M958" i="2" s="1"/>
  <c r="J958" i="2"/>
  <c r="N958" i="2" s="1"/>
  <c r="O959" i="2"/>
  <c r="C959" i="2"/>
  <c r="E959" i="2" s="1"/>
  <c r="F959" i="2" s="1"/>
  <c r="J960" i="2"/>
  <c r="N960" i="2" s="1"/>
  <c r="D960" i="2"/>
  <c r="C960" i="2"/>
  <c r="E960" i="2" s="1"/>
  <c r="O960" i="2" s="1"/>
  <c r="P961" i="2"/>
  <c r="Q961" i="2" s="1"/>
  <c r="D963" i="2"/>
  <c r="F963" i="2" s="1"/>
  <c r="P963" i="2" s="1"/>
  <c r="Q963" i="2" s="1"/>
  <c r="K963" i="2"/>
  <c r="L963" i="2" s="1"/>
  <c r="J963" i="2"/>
  <c r="N963" i="2" s="1"/>
  <c r="B964" i="2"/>
  <c r="K964" i="2"/>
  <c r="L964" i="2" s="1"/>
  <c r="H964" i="2"/>
  <c r="F965" i="2"/>
  <c r="O985" i="2"/>
  <c r="P986" i="2"/>
  <c r="Q986" i="2" s="1"/>
  <c r="H987" i="2"/>
  <c r="J987" i="2"/>
  <c r="N987" i="2" s="1"/>
  <c r="K987" i="2"/>
  <c r="L987" i="2" s="1"/>
  <c r="D988" i="2"/>
  <c r="F988" i="2" s="1"/>
  <c r="B996" i="2"/>
  <c r="F997" i="2"/>
  <c r="P997" i="2" s="1"/>
  <c r="Q997" i="2" s="1"/>
  <c r="E3" i="4"/>
  <c r="D3" i="4"/>
  <c r="L3" i="4"/>
  <c r="I3" i="4"/>
  <c r="M3" i="4"/>
  <c r="L8" i="4"/>
  <c r="K8" i="4"/>
  <c r="B8" i="4"/>
  <c r="M8" i="4"/>
  <c r="H8" i="4"/>
  <c r="G8" i="4"/>
  <c r="B12" i="4"/>
  <c r="D29" i="4"/>
  <c r="F35" i="4"/>
  <c r="F38" i="4"/>
  <c r="E38" i="4"/>
  <c r="H38" i="4"/>
  <c r="C38" i="4"/>
  <c r="D38" i="4"/>
  <c r="B38" i="4"/>
  <c r="K45" i="4"/>
  <c r="J45" i="4"/>
  <c r="I45" i="4"/>
  <c r="G45" i="4"/>
  <c r="F45" i="4"/>
  <c r="C50" i="4"/>
  <c r="K57" i="4"/>
  <c r="J57" i="4"/>
  <c r="M57" i="4"/>
  <c r="H57" i="4"/>
  <c r="L57" i="4"/>
  <c r="I57" i="4"/>
  <c r="L63" i="4"/>
  <c r="B69" i="4"/>
  <c r="K74" i="4"/>
  <c r="H82" i="4"/>
  <c r="E87" i="4"/>
  <c r="D87" i="4"/>
  <c r="C87" i="4"/>
  <c r="H87" i="4"/>
  <c r="G87" i="4"/>
  <c r="I95" i="4"/>
  <c r="H95" i="4"/>
  <c r="L95" i="4"/>
  <c r="G95" i="4"/>
  <c r="M95" i="4"/>
  <c r="K95" i="4"/>
  <c r="F99" i="4"/>
  <c r="K100" i="4"/>
  <c r="C113" i="4"/>
  <c r="B113" i="4"/>
  <c r="E113" i="4"/>
  <c r="F113" i="4"/>
  <c r="D113" i="4"/>
  <c r="E121" i="4"/>
  <c r="D124" i="4"/>
  <c r="C124" i="4"/>
  <c r="B124" i="4"/>
  <c r="M124" i="4"/>
  <c r="H124" i="4"/>
  <c r="G124" i="4"/>
  <c r="D140" i="4"/>
  <c r="J142" i="4"/>
  <c r="I142" i="4"/>
  <c r="G142" i="4"/>
  <c r="D142" i="4"/>
  <c r="G145" i="4"/>
  <c r="F145" i="4"/>
  <c r="L145" i="4"/>
  <c r="I145" i="4"/>
  <c r="K145" i="4"/>
  <c r="J145" i="4"/>
  <c r="E149" i="4"/>
  <c r="L155" i="4"/>
  <c r="E157" i="4"/>
  <c r="E159" i="4"/>
  <c r="D159" i="4"/>
  <c r="M159" i="4"/>
  <c r="J159" i="4"/>
  <c r="G159" i="4"/>
  <c r="F159" i="4"/>
  <c r="C159" i="4"/>
  <c r="G170" i="4"/>
  <c r="E172" i="4"/>
  <c r="I179" i="4"/>
  <c r="H179" i="4"/>
  <c r="E179" i="4"/>
  <c r="B179" i="4"/>
  <c r="M179" i="4"/>
  <c r="L179" i="4"/>
  <c r="J179" i="4"/>
  <c r="F189" i="4"/>
  <c r="I192" i="4"/>
  <c r="C194" i="4"/>
  <c r="B200" i="4"/>
  <c r="D203" i="4"/>
  <c r="D208" i="4"/>
  <c r="C208" i="4"/>
  <c r="J208" i="4"/>
  <c r="G208" i="4"/>
  <c r="I208" i="4"/>
  <c r="H208" i="4"/>
  <c r="F208" i="4"/>
  <c r="B208" i="4"/>
  <c r="C215" i="4"/>
  <c r="J226" i="4"/>
  <c r="I226" i="4"/>
  <c r="K226" i="4"/>
  <c r="L226" i="4"/>
  <c r="H226" i="4"/>
  <c r="G226" i="4"/>
  <c r="E226" i="4"/>
  <c r="D232" i="4"/>
  <c r="C232" i="4"/>
  <c r="H232" i="4"/>
  <c r="E232" i="4"/>
  <c r="M232" i="4"/>
  <c r="L232" i="4"/>
  <c r="J232" i="4"/>
  <c r="B232" i="4"/>
  <c r="M237" i="4"/>
  <c r="D244" i="4"/>
  <c r="C244" i="4"/>
  <c r="G244" i="4"/>
  <c r="B244" i="4"/>
  <c r="L244" i="4"/>
  <c r="H244" i="4"/>
  <c r="L251" i="4"/>
  <c r="M263" i="4"/>
  <c r="H267" i="4"/>
  <c r="I272" i="4"/>
  <c r="I275" i="4"/>
  <c r="H275" i="4"/>
  <c r="K275" i="4"/>
  <c r="G275" i="4"/>
  <c r="F275" i="4"/>
  <c r="L275" i="4"/>
  <c r="C275" i="4"/>
  <c r="G277" i="4"/>
  <c r="F277" i="4"/>
  <c r="M277" i="4"/>
  <c r="K277" i="4"/>
  <c r="J277" i="4"/>
  <c r="I277" i="4"/>
  <c r="H277" i="4"/>
  <c r="E277" i="4"/>
  <c r="C277" i="4"/>
  <c r="L280" i="4"/>
  <c r="G284" i="4"/>
  <c r="L286" i="4"/>
  <c r="L297" i="4"/>
  <c r="J317" i="4"/>
  <c r="B328" i="4"/>
  <c r="D330" i="4"/>
  <c r="G330" i="4"/>
  <c r="F330" i="4"/>
  <c r="E330" i="4"/>
  <c r="I330" i="4"/>
  <c r="H330" i="4"/>
  <c r="C330" i="4"/>
  <c r="B330" i="4"/>
  <c r="L330" i="4"/>
  <c r="B341" i="4"/>
  <c r="C410" i="4"/>
  <c r="D416" i="4"/>
  <c r="G435" i="4"/>
  <c r="D435" i="4"/>
  <c r="M435" i="4"/>
  <c r="L435" i="4"/>
  <c r="J435" i="4"/>
  <c r="E435" i="4"/>
  <c r="K435" i="4"/>
  <c r="C435" i="4"/>
  <c r="B435" i="4"/>
  <c r="H435" i="4"/>
  <c r="C439" i="4"/>
  <c r="L439" i="4"/>
  <c r="E439" i="4"/>
  <c r="D439" i="4"/>
  <c r="B439" i="4"/>
  <c r="I439" i="4"/>
  <c r="K439" i="4"/>
  <c r="J439" i="4"/>
  <c r="H439" i="4"/>
  <c r="G439" i="4"/>
  <c r="F439" i="4"/>
  <c r="F577" i="4"/>
  <c r="C589" i="4"/>
  <c r="L589" i="4"/>
  <c r="D589" i="4"/>
  <c r="M589" i="4"/>
  <c r="K589" i="4"/>
  <c r="J589" i="4"/>
  <c r="H589" i="4"/>
  <c r="E589" i="4"/>
  <c r="B589" i="4"/>
  <c r="I589" i="4"/>
  <c r="G589" i="4"/>
  <c r="F589" i="4"/>
  <c r="C745" i="4"/>
  <c r="B745" i="4"/>
  <c r="H745" i="4"/>
  <c r="F745" i="4"/>
  <c r="E745" i="4"/>
  <c r="D745" i="4"/>
  <c r="M745" i="4"/>
  <c r="L745" i="4"/>
  <c r="I745" i="4"/>
  <c r="J745" i="4"/>
  <c r="K745" i="4"/>
  <c r="G745" i="4"/>
  <c r="F242" i="4"/>
  <c r="E242" i="4"/>
  <c r="C242" i="4"/>
  <c r="L260" i="4"/>
  <c r="K260" i="4"/>
  <c r="G260" i="4"/>
  <c r="D260" i="4"/>
  <c r="H264" i="4"/>
  <c r="G264" i="4"/>
  <c r="M264" i="4"/>
  <c r="J264" i="4"/>
  <c r="H326" i="4"/>
  <c r="F326" i="4"/>
  <c r="E326" i="4"/>
  <c r="D326" i="4"/>
  <c r="I326" i="4"/>
  <c r="G326" i="4"/>
  <c r="C326" i="4"/>
  <c r="B326" i="4"/>
  <c r="I337" i="4"/>
  <c r="F337" i="4"/>
  <c r="E337" i="4"/>
  <c r="D337" i="4"/>
  <c r="M337" i="4"/>
  <c r="L337" i="4"/>
  <c r="D354" i="4"/>
  <c r="G354" i="4"/>
  <c r="F354" i="4"/>
  <c r="E354" i="4"/>
  <c r="M354" i="4"/>
  <c r="L354" i="4"/>
  <c r="C354" i="4"/>
  <c r="E365" i="4"/>
  <c r="G365" i="4"/>
  <c r="F365" i="4"/>
  <c r="D365" i="4"/>
  <c r="K365" i="4"/>
  <c r="I365" i="4"/>
  <c r="H365" i="4"/>
  <c r="C365" i="4"/>
  <c r="B365" i="4"/>
  <c r="G459" i="4"/>
  <c r="D459" i="4"/>
  <c r="L459" i="4"/>
  <c r="K459" i="4"/>
  <c r="J459" i="4"/>
  <c r="H459" i="4"/>
  <c r="B459" i="4"/>
  <c r="M459" i="4"/>
  <c r="I459" i="4"/>
  <c r="F459" i="4"/>
  <c r="E459" i="4"/>
  <c r="L520" i="4"/>
  <c r="I520" i="4"/>
  <c r="K520" i="4"/>
  <c r="G520" i="4"/>
  <c r="J520" i="4"/>
  <c r="E520" i="4"/>
  <c r="D520" i="4"/>
  <c r="M520" i="4"/>
  <c r="H520" i="4"/>
  <c r="F520" i="4"/>
  <c r="B554" i="4"/>
  <c r="K554" i="4"/>
  <c r="G554" i="4"/>
  <c r="D554" i="4"/>
  <c r="F554" i="4"/>
  <c r="E554" i="4"/>
  <c r="C554" i="4"/>
  <c r="M554" i="4"/>
  <c r="L554" i="4"/>
  <c r="I554" i="4"/>
  <c r="H554" i="4"/>
  <c r="G573" i="4"/>
  <c r="D573" i="4"/>
  <c r="M573" i="4"/>
  <c r="J573" i="4"/>
  <c r="K573" i="4"/>
  <c r="F573" i="4"/>
  <c r="E573" i="4"/>
  <c r="L573" i="4"/>
  <c r="I573" i="4"/>
  <c r="H573" i="4"/>
  <c r="H620" i="4"/>
  <c r="E620" i="4"/>
  <c r="K620" i="4"/>
  <c r="G620" i="4"/>
  <c r="M620" i="4"/>
  <c r="J620" i="4"/>
  <c r="D620" i="4"/>
  <c r="C620" i="4"/>
  <c r="L620" i="4"/>
  <c r="I620" i="4"/>
  <c r="F766" i="4"/>
  <c r="E766" i="4"/>
  <c r="D766" i="4"/>
  <c r="J766" i="4"/>
  <c r="I766" i="4"/>
  <c r="H766" i="4"/>
  <c r="G766" i="4"/>
  <c r="C766" i="4"/>
  <c r="K766" i="4"/>
  <c r="L766" i="4"/>
  <c r="F884" i="4"/>
  <c r="E884" i="4"/>
  <c r="H884" i="4"/>
  <c r="G884" i="4"/>
  <c r="D884" i="4"/>
  <c r="B884" i="4"/>
  <c r="M884" i="4"/>
  <c r="L884" i="4"/>
  <c r="K884" i="4"/>
  <c r="C884" i="4"/>
  <c r="G895" i="4"/>
  <c r="E895" i="4"/>
  <c r="D895" i="4"/>
  <c r="C895" i="4"/>
  <c r="B895" i="4"/>
  <c r="K895" i="4"/>
  <c r="J895" i="4"/>
  <c r="M895" i="4"/>
  <c r="L895" i="4"/>
  <c r="F895" i="4"/>
  <c r="H895" i="4"/>
  <c r="G501" i="4"/>
  <c r="D501" i="4"/>
  <c r="F501" i="4"/>
  <c r="B501" i="4"/>
  <c r="J501" i="4"/>
  <c r="I501" i="4"/>
  <c r="H501" i="4"/>
  <c r="C501" i="4"/>
  <c r="M501" i="4"/>
  <c r="L501" i="4"/>
  <c r="L544" i="4"/>
  <c r="I544" i="4"/>
  <c r="H544" i="4"/>
  <c r="E544" i="4"/>
  <c r="D544" i="4"/>
  <c r="C544" i="4"/>
  <c r="B544" i="4"/>
  <c r="M544" i="4"/>
  <c r="K544" i="4"/>
  <c r="J544" i="4"/>
  <c r="G544" i="4"/>
  <c r="F544" i="4"/>
  <c r="E219" i="4"/>
  <c r="D219" i="4"/>
  <c r="H219" i="4"/>
  <c r="C219" i="4"/>
  <c r="L236" i="4"/>
  <c r="K236" i="4"/>
  <c r="I236" i="4"/>
  <c r="F236" i="4"/>
  <c r="H242" i="4"/>
  <c r="C257" i="4"/>
  <c r="B257" i="4"/>
  <c r="G257" i="4"/>
  <c r="D257" i="4"/>
  <c r="F260" i="4"/>
  <c r="E264" i="4"/>
  <c r="J298" i="4"/>
  <c r="I298" i="4"/>
  <c r="F298" i="4"/>
  <c r="E298" i="4"/>
  <c r="D298" i="4"/>
  <c r="C298" i="4"/>
  <c r="K323" i="4"/>
  <c r="F323" i="4"/>
  <c r="E323" i="4"/>
  <c r="D323" i="4"/>
  <c r="L323" i="4"/>
  <c r="J323" i="4"/>
  <c r="I323" i="4"/>
  <c r="H323" i="4"/>
  <c r="M326" i="4"/>
  <c r="H337" i="4"/>
  <c r="C343" i="4"/>
  <c r="G343" i="4"/>
  <c r="F343" i="4"/>
  <c r="E343" i="4"/>
  <c r="I343" i="4"/>
  <c r="H343" i="4"/>
  <c r="D343" i="4"/>
  <c r="B343" i="4"/>
  <c r="J348" i="4"/>
  <c r="F348" i="4"/>
  <c r="E348" i="4"/>
  <c r="D348" i="4"/>
  <c r="H348" i="4"/>
  <c r="G348" i="4"/>
  <c r="C348" i="4"/>
  <c r="B348" i="4"/>
  <c r="M348" i="4"/>
  <c r="J354" i="4"/>
  <c r="H398" i="4"/>
  <c r="F398" i="4"/>
  <c r="E398" i="4"/>
  <c r="D398" i="4"/>
  <c r="B398" i="4"/>
  <c r="K398" i="4"/>
  <c r="J398" i="4"/>
  <c r="I398" i="4"/>
  <c r="G398" i="4"/>
  <c r="C398" i="4"/>
  <c r="C403" i="4"/>
  <c r="G403" i="4"/>
  <c r="F403" i="4"/>
  <c r="E403" i="4"/>
  <c r="B403" i="4"/>
  <c r="K403" i="4"/>
  <c r="L403" i="4"/>
  <c r="J403" i="4"/>
  <c r="I403" i="4"/>
  <c r="H403" i="4"/>
  <c r="I433" i="4"/>
  <c r="F433" i="4"/>
  <c r="L433" i="4"/>
  <c r="K433" i="4"/>
  <c r="J433" i="4"/>
  <c r="G433" i="4"/>
  <c r="B433" i="4"/>
  <c r="D433" i="4"/>
  <c r="C433" i="4"/>
  <c r="I487" i="4"/>
  <c r="F487" i="4"/>
  <c r="C487" i="4"/>
  <c r="M487" i="4"/>
  <c r="L487" i="4"/>
  <c r="C16" i="10" s="1"/>
  <c r="F16" i="10" s="1"/>
  <c r="J487" i="4"/>
  <c r="D487" i="4"/>
  <c r="H487" i="4"/>
  <c r="G487" i="4"/>
  <c r="F514" i="4"/>
  <c r="C514" i="4"/>
  <c r="G514" i="4"/>
  <c r="B514" i="4"/>
  <c r="M514" i="4"/>
  <c r="K514" i="4"/>
  <c r="H514" i="4"/>
  <c r="E514" i="4"/>
  <c r="L514" i="4"/>
  <c r="J514" i="4"/>
  <c r="I514" i="4"/>
  <c r="I571" i="4"/>
  <c r="F571" i="4"/>
  <c r="K571" i="4"/>
  <c r="G571" i="4"/>
  <c r="H571" i="4"/>
  <c r="E571" i="4"/>
  <c r="D571" i="4"/>
  <c r="B571" i="4"/>
  <c r="M571" i="4"/>
  <c r="L571" i="4"/>
  <c r="J571" i="4"/>
  <c r="F610" i="4"/>
  <c r="C610" i="4"/>
  <c r="M610" i="4"/>
  <c r="J610" i="4"/>
  <c r="L610" i="4"/>
  <c r="I610" i="4"/>
  <c r="E610" i="4"/>
  <c r="D610" i="4"/>
  <c r="K610" i="4"/>
  <c r="H610" i="4"/>
  <c r="D696" i="4"/>
  <c r="C696" i="4"/>
  <c r="J696" i="4"/>
  <c r="G696" i="4"/>
  <c r="F696" i="4"/>
  <c r="K696" i="4"/>
  <c r="B696" i="4"/>
  <c r="L696" i="4"/>
  <c r="I696" i="4"/>
  <c r="M696" i="4"/>
  <c r="G741" i="4"/>
  <c r="F741" i="4"/>
  <c r="B741" i="4"/>
  <c r="M741" i="4"/>
  <c r="L741" i="4"/>
  <c r="I741" i="4"/>
  <c r="K741" i="4"/>
  <c r="J741" i="4"/>
  <c r="D741" i="4"/>
  <c r="H741" i="4"/>
  <c r="E741" i="4"/>
  <c r="C741" i="4"/>
  <c r="H81" i="8"/>
  <c r="G81" i="8"/>
  <c r="D81" i="8"/>
  <c r="C81" i="8"/>
  <c r="E81" i="8" s="1"/>
  <c r="F81" i="8" s="1"/>
  <c r="J202" i="4"/>
  <c r="I202" i="4"/>
  <c r="B202" i="4"/>
  <c r="M202" i="4"/>
  <c r="E207" i="4"/>
  <c r="D207" i="4"/>
  <c r="I207" i="4"/>
  <c r="F207" i="4"/>
  <c r="L224" i="4"/>
  <c r="K224" i="4"/>
  <c r="J224" i="4"/>
  <c r="G224" i="4"/>
  <c r="J242" i="4"/>
  <c r="C245" i="4"/>
  <c r="B245" i="4"/>
  <c r="H245" i="4"/>
  <c r="E245" i="4"/>
  <c r="I260" i="4"/>
  <c r="J262" i="4"/>
  <c r="I262" i="4"/>
  <c r="K262" i="4"/>
  <c r="F262" i="4"/>
  <c r="I264" i="4"/>
  <c r="K273" i="4"/>
  <c r="J273" i="4"/>
  <c r="G273" i="4"/>
  <c r="E273" i="4"/>
  <c r="D273" i="4"/>
  <c r="H276" i="4"/>
  <c r="G276" i="4"/>
  <c r="L276" i="4"/>
  <c r="J276" i="4"/>
  <c r="I276" i="4"/>
  <c r="H300" i="4"/>
  <c r="G300" i="4"/>
  <c r="J300" i="4"/>
  <c r="I300" i="4"/>
  <c r="F300" i="4"/>
  <c r="E300" i="4"/>
  <c r="C331" i="4"/>
  <c r="G331" i="4"/>
  <c r="F331" i="4"/>
  <c r="E331" i="4"/>
  <c r="L331" i="4"/>
  <c r="K331" i="4"/>
  <c r="J331" i="4"/>
  <c r="I331" i="4"/>
  <c r="K337" i="4"/>
  <c r="L358" i="4"/>
  <c r="F358" i="4"/>
  <c r="E358" i="4"/>
  <c r="D358" i="4"/>
  <c r="K358" i="4"/>
  <c r="J358" i="4"/>
  <c r="I358" i="4"/>
  <c r="H358" i="4"/>
  <c r="I385" i="4"/>
  <c r="F385" i="4"/>
  <c r="E385" i="4"/>
  <c r="D385" i="4"/>
  <c r="B385" i="4"/>
  <c r="K385" i="4"/>
  <c r="J385" i="4"/>
  <c r="H385" i="4"/>
  <c r="G385" i="4"/>
  <c r="C385" i="4"/>
  <c r="D390" i="4"/>
  <c r="G390" i="4"/>
  <c r="F390" i="4"/>
  <c r="E390" i="4"/>
  <c r="B390" i="4"/>
  <c r="K390" i="4"/>
  <c r="L390" i="4"/>
  <c r="J390" i="4"/>
  <c r="I390" i="4"/>
  <c r="H390" i="4"/>
  <c r="I409" i="4"/>
  <c r="F409" i="4"/>
  <c r="E409" i="4"/>
  <c r="D409" i="4"/>
  <c r="B409" i="4"/>
  <c r="K409" i="4"/>
  <c r="M409" i="4"/>
  <c r="L409" i="4"/>
  <c r="J409" i="4"/>
  <c r="H409" i="4"/>
  <c r="G423" i="4"/>
  <c r="F423" i="4"/>
  <c r="E423" i="4"/>
  <c r="D423" i="4"/>
  <c r="B423" i="4"/>
  <c r="K423" i="4"/>
  <c r="J423" i="4"/>
  <c r="I423" i="4"/>
  <c r="E461" i="4"/>
  <c r="B461" i="4"/>
  <c r="M461" i="4"/>
  <c r="L461" i="4"/>
  <c r="J461" i="4"/>
  <c r="F461" i="4"/>
  <c r="I461" i="4"/>
  <c r="H461" i="4"/>
  <c r="G461" i="4"/>
  <c r="D461" i="4"/>
  <c r="K569" i="4"/>
  <c r="H569" i="4"/>
  <c r="G569" i="4"/>
  <c r="D569" i="4"/>
  <c r="L569" i="4"/>
  <c r="F569" i="4"/>
  <c r="E569" i="4"/>
  <c r="M569" i="4"/>
  <c r="J569" i="4"/>
  <c r="I569" i="4"/>
  <c r="J606" i="4"/>
  <c r="G606" i="4"/>
  <c r="H606" i="4"/>
  <c r="D606" i="4"/>
  <c r="M606" i="4"/>
  <c r="K606" i="4"/>
  <c r="E606" i="4"/>
  <c r="C606" i="4"/>
  <c r="L606" i="4"/>
  <c r="I606" i="4"/>
  <c r="E683" i="4"/>
  <c r="D683" i="4"/>
  <c r="I683" i="4"/>
  <c r="F683" i="4"/>
  <c r="C683" i="4"/>
  <c r="L683" i="4"/>
  <c r="H683" i="4"/>
  <c r="J683" i="4"/>
  <c r="G683" i="4"/>
  <c r="K683" i="4"/>
  <c r="B683" i="4"/>
  <c r="B772" i="2"/>
  <c r="K772" i="2"/>
  <c r="K787" i="2"/>
  <c r="H787" i="2"/>
  <c r="O787" i="2"/>
  <c r="O792" i="2"/>
  <c r="O807" i="2"/>
  <c r="B832" i="2"/>
  <c r="K832" i="2"/>
  <c r="L832" i="2" s="1"/>
  <c r="O842" i="2"/>
  <c r="O857" i="2"/>
  <c r="O886" i="2"/>
  <c r="O896" i="2"/>
  <c r="C896" i="2"/>
  <c r="E896" i="2" s="1"/>
  <c r="F896" i="2" s="1"/>
  <c r="P906" i="2"/>
  <c r="Q906" i="2" s="1"/>
  <c r="C911" i="2"/>
  <c r="E911" i="2" s="1"/>
  <c r="F911" i="2" s="1"/>
  <c r="K931" i="2"/>
  <c r="H931" i="2"/>
  <c r="O931" i="2"/>
  <c r="O936" i="2"/>
  <c r="O951" i="2"/>
  <c r="B976" i="2"/>
  <c r="K976" i="2"/>
  <c r="L976" i="2" s="1"/>
  <c r="F1000" i="2"/>
  <c r="L32" i="4"/>
  <c r="K32" i="4"/>
  <c r="I32" i="4"/>
  <c r="H48" i="4"/>
  <c r="G48" i="4"/>
  <c r="C48" i="4"/>
  <c r="C53" i="4"/>
  <c r="B53" i="4"/>
  <c r="J53" i="4"/>
  <c r="G53" i="4"/>
  <c r="J70" i="4"/>
  <c r="I70" i="4"/>
  <c r="M70" i="4"/>
  <c r="H70" i="4"/>
  <c r="F86" i="4"/>
  <c r="E86" i="4"/>
  <c r="B86" i="4"/>
  <c r="M86" i="4"/>
  <c r="L104" i="4"/>
  <c r="K104" i="4"/>
  <c r="F104" i="4"/>
  <c r="C104" i="4"/>
  <c r="H108" i="4"/>
  <c r="G108" i="4"/>
  <c r="L108" i="4"/>
  <c r="I108" i="4"/>
  <c r="K129" i="4"/>
  <c r="J129" i="4"/>
  <c r="F129" i="4"/>
  <c r="C129" i="4"/>
  <c r="G133" i="4"/>
  <c r="F133" i="4"/>
  <c r="L133" i="4"/>
  <c r="I133" i="4"/>
  <c r="I143" i="4"/>
  <c r="H143" i="4"/>
  <c r="J143" i="4"/>
  <c r="E143" i="4"/>
  <c r="E147" i="4"/>
  <c r="D147" i="4"/>
  <c r="K147" i="4"/>
  <c r="J154" i="4"/>
  <c r="I154" i="4"/>
  <c r="F154" i="4"/>
  <c r="C154" i="4"/>
  <c r="F158" i="4"/>
  <c r="E158" i="4"/>
  <c r="L158" i="4"/>
  <c r="I158" i="4"/>
  <c r="C202" i="4"/>
  <c r="B207" i="4"/>
  <c r="F218" i="4"/>
  <c r="E218" i="4"/>
  <c r="G218" i="4"/>
  <c r="B218" i="4"/>
  <c r="G219" i="4"/>
  <c r="B224" i="4"/>
  <c r="D236" i="4"/>
  <c r="I239" i="4"/>
  <c r="H239" i="4"/>
  <c r="K239" i="4"/>
  <c r="K242" i="4"/>
  <c r="D245" i="4"/>
  <c r="E255" i="4"/>
  <c r="D255" i="4"/>
  <c r="C255" i="4"/>
  <c r="H257" i="4"/>
  <c r="J260" i="4"/>
  <c r="B262" i="4"/>
  <c r="K264" i="4"/>
  <c r="B273" i="4"/>
  <c r="B276" i="4"/>
  <c r="K285" i="4"/>
  <c r="J285" i="4"/>
  <c r="F285" i="4"/>
  <c r="D285" i="4"/>
  <c r="C285" i="4"/>
  <c r="H288" i="4"/>
  <c r="G288" i="4"/>
  <c r="K288" i="4"/>
  <c r="I288" i="4"/>
  <c r="F288" i="4"/>
  <c r="E291" i="4"/>
  <c r="D291" i="4"/>
  <c r="L291" i="4"/>
  <c r="K291" i="4"/>
  <c r="H298" i="4"/>
  <c r="B300" i="4"/>
  <c r="F302" i="4"/>
  <c r="E302" i="4"/>
  <c r="D302" i="4"/>
  <c r="M302" i="4"/>
  <c r="L302" i="4"/>
  <c r="K302" i="4"/>
  <c r="G315" i="4"/>
  <c r="F315" i="4"/>
  <c r="E315" i="4"/>
  <c r="D315" i="4"/>
  <c r="M315" i="4"/>
  <c r="L315" i="4"/>
  <c r="G323" i="4"/>
  <c r="B331" i="4"/>
  <c r="J336" i="4"/>
  <c r="F336" i="4"/>
  <c r="E336" i="4"/>
  <c r="D336" i="4"/>
  <c r="L336" i="4"/>
  <c r="K336" i="4"/>
  <c r="I336" i="4"/>
  <c r="H336" i="4"/>
  <c r="L343" i="4"/>
  <c r="L348" i="4"/>
  <c r="E353" i="4"/>
  <c r="G353" i="4"/>
  <c r="F353" i="4"/>
  <c r="D353" i="4"/>
  <c r="L353" i="4"/>
  <c r="K353" i="4"/>
  <c r="J353" i="4"/>
  <c r="I353" i="4"/>
  <c r="B358" i="4"/>
  <c r="L385" i="4"/>
  <c r="C390" i="4"/>
  <c r="G399" i="4"/>
  <c r="F399" i="4"/>
  <c r="E399" i="4"/>
  <c r="D399" i="4"/>
  <c r="B399" i="4"/>
  <c r="K399" i="4"/>
  <c r="M399" i="4"/>
  <c r="H399" i="4"/>
  <c r="C399" i="4"/>
  <c r="B404" i="4"/>
  <c r="G404" i="4"/>
  <c r="F404" i="4"/>
  <c r="E404" i="4"/>
  <c r="C404" i="4"/>
  <c r="K404" i="4"/>
  <c r="I404" i="4"/>
  <c r="H404" i="4"/>
  <c r="C409" i="4"/>
  <c r="C423" i="4"/>
  <c r="M433" i="4"/>
  <c r="K443" i="4"/>
  <c r="H443" i="4"/>
  <c r="G443" i="4"/>
  <c r="F443" i="4"/>
  <c r="E443" i="4"/>
  <c r="C443" i="4"/>
  <c r="M443" i="4"/>
  <c r="D443" i="4"/>
  <c r="B443" i="4"/>
  <c r="C461" i="4"/>
  <c r="K487" i="4"/>
  <c r="B569" i="4"/>
  <c r="B606" i="4"/>
  <c r="G633" i="4"/>
  <c r="D633" i="4"/>
  <c r="C633" i="4"/>
  <c r="M633" i="4"/>
  <c r="J633" i="4"/>
  <c r="I633" i="4"/>
  <c r="H633" i="4"/>
  <c r="F633" i="4"/>
  <c r="B633" i="4"/>
  <c r="L633" i="4"/>
  <c r="K633" i="4"/>
  <c r="M683" i="4"/>
  <c r="K761" i="4"/>
  <c r="J761" i="4"/>
  <c r="I761" i="4"/>
  <c r="L761" i="4"/>
  <c r="G761" i="4"/>
  <c r="F761" i="4"/>
  <c r="E761" i="4"/>
  <c r="B761" i="4"/>
  <c r="M761" i="4"/>
  <c r="H761" i="4"/>
  <c r="D761" i="4"/>
  <c r="C761" i="4"/>
  <c r="L878" i="4"/>
  <c r="E878" i="4"/>
  <c r="M878" i="4"/>
  <c r="K878" i="4"/>
  <c r="I878" i="4"/>
  <c r="F878" i="4"/>
  <c r="D878" i="4"/>
  <c r="J878" i="4"/>
  <c r="C878" i="4"/>
  <c r="H878" i="4"/>
  <c r="G878" i="4"/>
  <c r="B878" i="4"/>
  <c r="G943" i="4"/>
  <c r="F943" i="4"/>
  <c r="M943" i="4"/>
  <c r="L943" i="4"/>
  <c r="K943" i="4"/>
  <c r="I943" i="4"/>
  <c r="D943" i="4"/>
  <c r="C943" i="4"/>
  <c r="E943" i="4"/>
  <c r="J943" i="4"/>
  <c r="H943" i="4"/>
  <c r="B943" i="4"/>
  <c r="E238" i="5"/>
  <c r="C767" i="2"/>
  <c r="E767" i="2" s="1"/>
  <c r="C772" i="2"/>
  <c r="E772" i="2" s="1"/>
  <c r="O772" i="2" s="1"/>
  <c r="B787" i="2"/>
  <c r="B792" i="2"/>
  <c r="O802" i="2"/>
  <c r="B807" i="2"/>
  <c r="O812" i="2"/>
  <c r="C812" i="2"/>
  <c r="E812" i="2" s="1"/>
  <c r="P822" i="2"/>
  <c r="Q822" i="2" s="1"/>
  <c r="O827" i="2"/>
  <c r="C827" i="2"/>
  <c r="E827" i="2" s="1"/>
  <c r="F827" i="2" s="1"/>
  <c r="C832" i="2"/>
  <c r="E832" i="2" s="1"/>
  <c r="K847" i="2"/>
  <c r="L847" i="2" s="1"/>
  <c r="H847" i="2"/>
  <c r="O847" i="2"/>
  <c r="P847" i="2" s="1"/>
  <c r="Q847" i="2" s="1"/>
  <c r="O852" i="2"/>
  <c r="P852" i="2" s="1"/>
  <c r="Q852" i="2" s="1"/>
  <c r="O867" i="2"/>
  <c r="P867" i="2" s="1"/>
  <c r="Q867" i="2" s="1"/>
  <c r="B886" i="2"/>
  <c r="B892" i="2"/>
  <c r="K892" i="2"/>
  <c r="L892" i="2" s="1"/>
  <c r="B896" i="2"/>
  <c r="C901" i="2"/>
  <c r="E901" i="2" s="1"/>
  <c r="B911" i="2"/>
  <c r="B931" i="2"/>
  <c r="B936" i="2"/>
  <c r="O946" i="2"/>
  <c r="B951" i="2"/>
  <c r="C956" i="2"/>
  <c r="E956" i="2" s="1"/>
  <c r="F956" i="2" s="1"/>
  <c r="G956" i="2" s="1"/>
  <c r="I956" i="2" s="1"/>
  <c r="M956" i="2" s="1"/>
  <c r="P966" i="2"/>
  <c r="Q966" i="2" s="1"/>
  <c r="O971" i="2"/>
  <c r="C971" i="2"/>
  <c r="E971" i="2" s="1"/>
  <c r="F971" i="2" s="1"/>
  <c r="P971" i="2" s="1"/>
  <c r="Q971" i="2" s="1"/>
  <c r="C976" i="2"/>
  <c r="E976" i="2" s="1"/>
  <c r="P981" i="2"/>
  <c r="Q981" i="2" s="1"/>
  <c r="D4" i="4"/>
  <c r="D25" i="3" s="1"/>
  <c r="D52" i="1" s="1"/>
  <c r="C4" i="4"/>
  <c r="M4" i="4"/>
  <c r="J4" i="4"/>
  <c r="I11" i="4"/>
  <c r="H11" i="4"/>
  <c r="E11" i="4"/>
  <c r="B11" i="4"/>
  <c r="E15" i="4"/>
  <c r="D15" i="4"/>
  <c r="K15" i="4"/>
  <c r="H15" i="4"/>
  <c r="K21" i="4"/>
  <c r="J21" i="4"/>
  <c r="B21" i="4"/>
  <c r="M21" i="4"/>
  <c r="F26" i="4"/>
  <c r="E26" i="4"/>
  <c r="I26" i="4"/>
  <c r="D26" i="4"/>
  <c r="B32" i="4"/>
  <c r="B48" i="4"/>
  <c r="D53" i="4"/>
  <c r="D64" i="4"/>
  <c r="C64" i="4"/>
  <c r="H64" i="4"/>
  <c r="E64" i="4"/>
  <c r="B70" i="4"/>
  <c r="K81" i="4"/>
  <c r="J81" i="4"/>
  <c r="I81" i="4"/>
  <c r="F81" i="4"/>
  <c r="C86" i="4"/>
  <c r="B104" i="4"/>
  <c r="B108" i="4"/>
  <c r="J118" i="4"/>
  <c r="I118" i="4"/>
  <c r="H118" i="4"/>
  <c r="E118" i="4"/>
  <c r="F122" i="4"/>
  <c r="E122" i="4"/>
  <c r="K122" i="4"/>
  <c r="B129" i="4"/>
  <c r="B133" i="4"/>
  <c r="B143" i="4"/>
  <c r="B147" i="4"/>
  <c r="B154" i="4"/>
  <c r="B158" i="4"/>
  <c r="L164" i="4"/>
  <c r="K164" i="4"/>
  <c r="C164" i="4"/>
  <c r="G169" i="4"/>
  <c r="F169" i="4"/>
  <c r="J169" i="4"/>
  <c r="E169" i="4"/>
  <c r="C173" i="4"/>
  <c r="B173" i="4"/>
  <c r="K173" i="4"/>
  <c r="H180" i="4"/>
  <c r="G180" i="4"/>
  <c r="F180" i="4"/>
  <c r="C180" i="4"/>
  <c r="D184" i="4"/>
  <c r="C184" i="4"/>
  <c r="L184" i="4"/>
  <c r="I184" i="4"/>
  <c r="J190" i="4"/>
  <c r="I190" i="4"/>
  <c r="C190" i="4"/>
  <c r="E195" i="4"/>
  <c r="D195" i="4"/>
  <c r="J195" i="4"/>
  <c r="G195" i="4"/>
  <c r="D202" i="4"/>
  <c r="C207" i="4"/>
  <c r="L212" i="4"/>
  <c r="K212" i="4"/>
  <c r="M212" i="4"/>
  <c r="H212" i="4"/>
  <c r="C218" i="4"/>
  <c r="I219" i="4"/>
  <c r="C224" i="4"/>
  <c r="H228" i="4"/>
  <c r="G228" i="4"/>
  <c r="B228" i="4"/>
  <c r="M228" i="4"/>
  <c r="C233" i="4"/>
  <c r="B233" i="4"/>
  <c r="I233" i="4"/>
  <c r="F233" i="4"/>
  <c r="E236" i="4"/>
  <c r="B239" i="4"/>
  <c r="L242" i="4"/>
  <c r="F245" i="4"/>
  <c r="J250" i="4"/>
  <c r="I250" i="4"/>
  <c r="L250" i="4"/>
  <c r="G250" i="4"/>
  <c r="B255" i="4"/>
  <c r="I257" i="4"/>
  <c r="M260" i="4"/>
  <c r="C262" i="4"/>
  <c r="L264" i="4"/>
  <c r="C273" i="4"/>
  <c r="C276" i="4"/>
  <c r="B285" i="4"/>
  <c r="B288" i="4"/>
  <c r="B291" i="4"/>
  <c r="K298" i="4"/>
  <c r="C300" i="4"/>
  <c r="B302" i="4"/>
  <c r="G313" i="4"/>
  <c r="F313" i="4"/>
  <c r="E313" i="4"/>
  <c r="I313" i="4"/>
  <c r="H313" i="4"/>
  <c r="D313" i="4"/>
  <c r="C313" i="4"/>
  <c r="B315" i="4"/>
  <c r="C319" i="4"/>
  <c r="G319" i="4"/>
  <c r="F319" i="4"/>
  <c r="E319" i="4"/>
  <c r="M319" i="4"/>
  <c r="L319" i="4"/>
  <c r="M323" i="4"/>
  <c r="D331" i="4"/>
  <c r="B336" i="4"/>
  <c r="F340" i="4"/>
  <c r="G340" i="4"/>
  <c r="E340" i="4"/>
  <c r="D340" i="4"/>
  <c r="L340" i="4"/>
  <c r="K340" i="4"/>
  <c r="J340" i="4"/>
  <c r="I340" i="4"/>
  <c r="M343" i="4"/>
  <c r="I349" i="4"/>
  <c r="F349" i="4"/>
  <c r="E349" i="4"/>
  <c r="D349" i="4"/>
  <c r="L349" i="4"/>
  <c r="K349" i="4"/>
  <c r="J349" i="4"/>
  <c r="H349" i="4"/>
  <c r="B353" i="4"/>
  <c r="C358" i="4"/>
  <c r="D378" i="4"/>
  <c r="G378" i="4"/>
  <c r="F378" i="4"/>
  <c r="E378" i="4"/>
  <c r="K378" i="4"/>
  <c r="I378" i="4"/>
  <c r="H378" i="4"/>
  <c r="C378" i="4"/>
  <c r="B378" i="4"/>
  <c r="M385" i="4"/>
  <c r="M390" i="4"/>
  <c r="J396" i="4"/>
  <c r="F396" i="4"/>
  <c r="E396" i="4"/>
  <c r="D396" i="4"/>
  <c r="B396" i="4"/>
  <c r="K396" i="4"/>
  <c r="M396" i="4"/>
  <c r="L396" i="4"/>
  <c r="I396" i="4"/>
  <c r="H396" i="4"/>
  <c r="I399" i="4"/>
  <c r="D404" i="4"/>
  <c r="G409" i="4"/>
  <c r="H423" i="4"/>
  <c r="I443" i="4"/>
  <c r="G447" i="4"/>
  <c r="D447" i="4"/>
  <c r="M447" i="4"/>
  <c r="L447" i="4"/>
  <c r="K447" i="4"/>
  <c r="I447" i="4"/>
  <c r="C447" i="4"/>
  <c r="J447" i="4"/>
  <c r="H447" i="4"/>
  <c r="F447" i="4"/>
  <c r="K461" i="4"/>
  <c r="B494" i="4"/>
  <c r="K494" i="4"/>
  <c r="L494" i="4"/>
  <c r="H494" i="4"/>
  <c r="E494" i="4"/>
  <c r="D494" i="4"/>
  <c r="C494" i="4"/>
  <c r="J494" i="4"/>
  <c r="M494" i="4"/>
  <c r="I494" i="4"/>
  <c r="G494" i="4"/>
  <c r="H548" i="4"/>
  <c r="E548" i="4"/>
  <c r="K548" i="4"/>
  <c r="D548" i="4"/>
  <c r="C548" i="4"/>
  <c r="B548" i="4"/>
  <c r="L548" i="4"/>
  <c r="J548" i="4"/>
  <c r="M548" i="4"/>
  <c r="I548" i="4"/>
  <c r="C569" i="4"/>
  <c r="F606" i="4"/>
  <c r="I631" i="4"/>
  <c r="F631" i="4"/>
  <c r="H631" i="4"/>
  <c r="D631" i="4"/>
  <c r="M631" i="4"/>
  <c r="K631" i="4"/>
  <c r="E631" i="4"/>
  <c r="C631" i="4"/>
  <c r="L631" i="4"/>
  <c r="J631" i="4"/>
  <c r="E633" i="4"/>
  <c r="C721" i="4"/>
  <c r="B721" i="4"/>
  <c r="J721" i="4"/>
  <c r="H721" i="4"/>
  <c r="G721" i="4"/>
  <c r="F721" i="4"/>
  <c r="K721" i="4"/>
  <c r="I721" i="4"/>
  <c r="E721" i="4"/>
  <c r="D721" i="4"/>
  <c r="M721" i="4"/>
  <c r="H728" i="4"/>
  <c r="G728" i="4"/>
  <c r="B728" i="4"/>
  <c r="M728" i="4"/>
  <c r="L728" i="4"/>
  <c r="J728" i="4"/>
  <c r="I728" i="4"/>
  <c r="D728" i="4"/>
  <c r="E728" i="4"/>
  <c r="C728" i="4"/>
  <c r="K728" i="4"/>
  <c r="F728" i="4"/>
  <c r="J762" i="4"/>
  <c r="I762" i="4"/>
  <c r="H762" i="4"/>
  <c r="L762" i="4"/>
  <c r="K762" i="4"/>
  <c r="G762" i="4"/>
  <c r="D762" i="4"/>
  <c r="M762" i="4"/>
  <c r="F762" i="4"/>
  <c r="E762" i="4"/>
  <c r="C762" i="4"/>
  <c r="B762" i="4"/>
  <c r="D366" i="4"/>
  <c r="G366" i="4"/>
  <c r="F366" i="4"/>
  <c r="E366" i="4"/>
  <c r="K366" i="4"/>
  <c r="L370" i="4"/>
  <c r="F370" i="4"/>
  <c r="E370" i="4"/>
  <c r="D370" i="4"/>
  <c r="J370" i="4"/>
  <c r="I373" i="4"/>
  <c r="F373" i="4"/>
  <c r="E373" i="4"/>
  <c r="D373" i="4"/>
  <c r="K373" i="4"/>
  <c r="F376" i="4"/>
  <c r="G376" i="4"/>
  <c r="E376" i="4"/>
  <c r="D376" i="4"/>
  <c r="K376" i="4"/>
  <c r="C379" i="4"/>
  <c r="G379" i="4"/>
  <c r="F379" i="4"/>
  <c r="E379" i="4"/>
  <c r="K379" i="4"/>
  <c r="K383" i="4"/>
  <c r="F383" i="4"/>
  <c r="E383" i="4"/>
  <c r="D383" i="4"/>
  <c r="J383" i="4"/>
  <c r="L394" i="4"/>
  <c r="F394" i="4"/>
  <c r="E394" i="4"/>
  <c r="D394" i="4"/>
  <c r="B394" i="4"/>
  <c r="J394" i="4"/>
  <c r="K407" i="4"/>
  <c r="F407" i="4"/>
  <c r="E407" i="4"/>
  <c r="D407" i="4"/>
  <c r="B407" i="4"/>
  <c r="J407" i="4"/>
  <c r="J420" i="4"/>
  <c r="F420" i="4"/>
  <c r="E420" i="4"/>
  <c r="D420" i="4"/>
  <c r="B420" i="4"/>
  <c r="K420" i="4"/>
  <c r="K455" i="4"/>
  <c r="H455" i="4"/>
  <c r="F455" i="4"/>
  <c r="E455" i="4"/>
  <c r="D455" i="4"/>
  <c r="B455" i="4"/>
  <c r="L455" i="4"/>
  <c r="I457" i="4"/>
  <c r="F457" i="4"/>
  <c r="J457" i="4"/>
  <c r="H457" i="4"/>
  <c r="G457" i="4"/>
  <c r="D457" i="4"/>
  <c r="I475" i="4"/>
  <c r="F475" i="4"/>
  <c r="C475" i="4"/>
  <c r="K475" i="4"/>
  <c r="J475" i="4"/>
  <c r="H475" i="4"/>
  <c r="E475" i="4"/>
  <c r="J498" i="4"/>
  <c r="G498" i="4"/>
  <c r="B498" i="4"/>
  <c r="M498" i="4"/>
  <c r="L498" i="4"/>
  <c r="I498" i="4"/>
  <c r="D498" i="4"/>
  <c r="I535" i="4"/>
  <c r="F535" i="4"/>
  <c r="K535" i="4"/>
  <c r="M535" i="4"/>
  <c r="L535" i="4"/>
  <c r="H535" i="4"/>
  <c r="D535" i="4"/>
  <c r="C535" i="4"/>
  <c r="F670" i="4"/>
  <c r="E670" i="4"/>
  <c r="H670" i="4"/>
  <c r="C670" i="4"/>
  <c r="B670" i="4"/>
  <c r="J670" i="4"/>
  <c r="D670" i="4"/>
  <c r="K670" i="4"/>
  <c r="I670" i="4"/>
  <c r="E695" i="4"/>
  <c r="D695" i="4"/>
  <c r="I695" i="4"/>
  <c r="F695" i="4"/>
  <c r="C695" i="4"/>
  <c r="J695" i="4"/>
  <c r="B695" i="4"/>
  <c r="M695" i="4"/>
  <c r="L695" i="4"/>
  <c r="K695" i="4"/>
  <c r="G695" i="4"/>
  <c r="L724" i="4"/>
  <c r="K724" i="4"/>
  <c r="J724" i="4"/>
  <c r="H724" i="4"/>
  <c r="G724" i="4"/>
  <c r="F724" i="4"/>
  <c r="I724" i="4"/>
  <c r="E724" i="4"/>
  <c r="C724" i="4"/>
  <c r="B724" i="4"/>
  <c r="M724" i="4"/>
  <c r="E921" i="4"/>
  <c r="F921" i="4"/>
  <c r="D921" i="4"/>
  <c r="C921" i="4"/>
  <c r="B921" i="4"/>
  <c r="K921" i="4"/>
  <c r="J921" i="4"/>
  <c r="M921" i="4"/>
  <c r="L921" i="4"/>
  <c r="G921" i="4"/>
  <c r="H921" i="4"/>
  <c r="E957" i="4"/>
  <c r="G957" i="4"/>
  <c r="M957" i="4"/>
  <c r="L957" i="4"/>
  <c r="K957" i="4"/>
  <c r="J957" i="4"/>
  <c r="H957" i="4"/>
  <c r="C957" i="4"/>
  <c r="B957" i="4"/>
  <c r="F957" i="4"/>
  <c r="I957" i="4"/>
  <c r="D957" i="4"/>
  <c r="E489" i="5"/>
  <c r="F388" i="4"/>
  <c r="G388" i="4"/>
  <c r="E388" i="4"/>
  <c r="D388" i="4"/>
  <c r="B388" i="4"/>
  <c r="K388" i="4"/>
  <c r="E401" i="4"/>
  <c r="G401" i="4"/>
  <c r="F401" i="4"/>
  <c r="D401" i="4"/>
  <c r="B401" i="4"/>
  <c r="K401" i="4"/>
  <c r="D414" i="4"/>
  <c r="G414" i="4"/>
  <c r="F414" i="4"/>
  <c r="E414" i="4"/>
  <c r="B414" i="4"/>
  <c r="K414" i="4"/>
  <c r="C427" i="4"/>
  <c r="G427" i="4"/>
  <c r="F427" i="4"/>
  <c r="E427" i="4"/>
  <c r="B427" i="4"/>
  <c r="K427" i="4"/>
  <c r="C469" i="4"/>
  <c r="L469" i="4"/>
  <c r="J469" i="4"/>
  <c r="G469" i="4"/>
  <c r="I469" i="4"/>
  <c r="H469" i="4"/>
  <c r="F469" i="4"/>
  <c r="D469" i="4"/>
  <c r="E503" i="4"/>
  <c r="B503" i="4"/>
  <c r="I503" i="4"/>
  <c r="F503" i="4"/>
  <c r="L503" i="4"/>
  <c r="H503" i="4"/>
  <c r="G503" i="4"/>
  <c r="G525" i="4"/>
  <c r="D525" i="4"/>
  <c r="C525" i="4"/>
  <c r="M525" i="4"/>
  <c r="K525" i="4"/>
  <c r="H525" i="4"/>
  <c r="F525" i="4"/>
  <c r="J546" i="4"/>
  <c r="G546" i="4"/>
  <c r="L546" i="4"/>
  <c r="H546" i="4"/>
  <c r="M546" i="4"/>
  <c r="K546" i="4"/>
  <c r="F546" i="4"/>
  <c r="C546" i="4"/>
  <c r="B546" i="4"/>
  <c r="H560" i="4"/>
  <c r="E560" i="4"/>
  <c r="M560" i="4"/>
  <c r="J560" i="4"/>
  <c r="I560" i="4"/>
  <c r="G560" i="4"/>
  <c r="F560" i="4"/>
  <c r="C560" i="4"/>
  <c r="B638" i="4"/>
  <c r="K638" i="4"/>
  <c r="J638" i="4"/>
  <c r="G638" i="4"/>
  <c r="D638" i="4"/>
  <c r="I638" i="4"/>
  <c r="H638" i="4"/>
  <c r="F638" i="4"/>
  <c r="C638" i="4"/>
  <c r="L700" i="4"/>
  <c r="K700" i="4"/>
  <c r="M700" i="4"/>
  <c r="H700" i="4"/>
  <c r="G700" i="4"/>
  <c r="F700" i="4"/>
  <c r="E700" i="4"/>
  <c r="C700" i="4"/>
  <c r="I700" i="4"/>
  <c r="D700" i="4"/>
  <c r="M986" i="2"/>
  <c r="O990" i="2"/>
  <c r="P990" i="2" s="1"/>
  <c r="Q990" i="2" s="1"/>
  <c r="D995" i="2"/>
  <c r="F995" i="2" s="1"/>
  <c r="O995" i="2"/>
  <c r="C995" i="2"/>
  <c r="E995" i="2" s="1"/>
  <c r="C1000" i="2"/>
  <c r="E1000" i="2" s="1"/>
  <c r="O1000" i="2" s="1"/>
  <c r="B1000" i="2"/>
  <c r="J10" i="4"/>
  <c r="I10" i="4"/>
  <c r="I23" i="4"/>
  <c r="H23" i="4"/>
  <c r="H36" i="4"/>
  <c r="G36" i="4"/>
  <c r="G49" i="4"/>
  <c r="F49" i="4"/>
  <c r="F62" i="4"/>
  <c r="E62" i="4"/>
  <c r="E75" i="4"/>
  <c r="D75" i="4"/>
  <c r="D88" i="4"/>
  <c r="C88" i="4"/>
  <c r="C101" i="4"/>
  <c r="B101" i="4"/>
  <c r="L152" i="4"/>
  <c r="K152" i="4"/>
  <c r="K165" i="4"/>
  <c r="J165" i="4"/>
  <c r="J178" i="4"/>
  <c r="I178" i="4"/>
  <c r="I191" i="4"/>
  <c r="H191" i="4"/>
  <c r="H204" i="4"/>
  <c r="G204" i="4"/>
  <c r="G217" i="4"/>
  <c r="F217" i="4"/>
  <c r="F230" i="4"/>
  <c r="E230" i="4"/>
  <c r="E243" i="4"/>
  <c r="D243" i="4"/>
  <c r="D256" i="4"/>
  <c r="C256" i="4"/>
  <c r="C269" i="4"/>
  <c r="B269" i="4"/>
  <c r="L296" i="4"/>
  <c r="K296" i="4"/>
  <c r="H312" i="4"/>
  <c r="G312" i="4"/>
  <c r="F312" i="4"/>
  <c r="J366" i="4"/>
  <c r="I370" i="4"/>
  <c r="J373" i="4"/>
  <c r="J376" i="4"/>
  <c r="J379" i="4"/>
  <c r="I383" i="4"/>
  <c r="J388" i="4"/>
  <c r="B392" i="4"/>
  <c r="G392" i="4"/>
  <c r="F392" i="4"/>
  <c r="E392" i="4"/>
  <c r="C392" i="4"/>
  <c r="K392" i="4"/>
  <c r="K394" i="4"/>
  <c r="J401" i="4"/>
  <c r="L406" i="4"/>
  <c r="F406" i="4"/>
  <c r="E406" i="4"/>
  <c r="D406" i="4"/>
  <c r="B406" i="4"/>
  <c r="J406" i="4"/>
  <c r="L407" i="4"/>
  <c r="J414" i="4"/>
  <c r="K419" i="4"/>
  <c r="F419" i="4"/>
  <c r="E419" i="4"/>
  <c r="D419" i="4"/>
  <c r="B419" i="4"/>
  <c r="J419" i="4"/>
  <c r="L420" i="4"/>
  <c r="J427" i="4"/>
  <c r="H434" i="4"/>
  <c r="E434" i="4"/>
  <c r="M434" i="4"/>
  <c r="L434" i="4"/>
  <c r="K434" i="4"/>
  <c r="I434" i="4"/>
  <c r="C434" i="4"/>
  <c r="L442" i="4"/>
  <c r="I442" i="4"/>
  <c r="F442" i="4"/>
  <c r="E442" i="4"/>
  <c r="D442" i="4"/>
  <c r="B442" i="4"/>
  <c r="K442" i="4"/>
  <c r="J444" i="4"/>
  <c r="G444" i="4"/>
  <c r="I444" i="4"/>
  <c r="H444" i="4"/>
  <c r="F444" i="4"/>
  <c r="D444" i="4"/>
  <c r="M455" i="4"/>
  <c r="L457" i="4"/>
  <c r="L466" i="4"/>
  <c r="I466" i="4"/>
  <c r="D466" i="4"/>
  <c r="C466" i="4"/>
  <c r="B466" i="4"/>
  <c r="H466" i="4"/>
  <c r="M469" i="4"/>
  <c r="M475" i="4"/>
  <c r="K498" i="4"/>
  <c r="K503" i="4"/>
  <c r="J525" i="4"/>
  <c r="E527" i="4"/>
  <c r="B527" i="4"/>
  <c r="G527" i="4"/>
  <c r="C527" i="4"/>
  <c r="H527" i="4"/>
  <c r="F527" i="4"/>
  <c r="D527" i="4"/>
  <c r="M527" i="4"/>
  <c r="L527" i="4"/>
  <c r="L560" i="4"/>
  <c r="L580" i="4"/>
  <c r="I580" i="4"/>
  <c r="F580" i="4"/>
  <c r="C580" i="4"/>
  <c r="K580" i="4"/>
  <c r="G580" i="4"/>
  <c r="E580" i="4"/>
  <c r="H584" i="4"/>
  <c r="E584" i="4"/>
  <c r="L584" i="4"/>
  <c r="I584" i="4"/>
  <c r="K584" i="4"/>
  <c r="F584" i="4"/>
  <c r="D584" i="4"/>
  <c r="K593" i="4"/>
  <c r="H593" i="4"/>
  <c r="G593" i="4"/>
  <c r="D593" i="4"/>
  <c r="I593" i="4"/>
  <c r="F593" i="4"/>
  <c r="E593" i="4"/>
  <c r="B593" i="4"/>
  <c r="G597" i="4"/>
  <c r="D597" i="4"/>
  <c r="M597" i="4"/>
  <c r="J597" i="4"/>
  <c r="H597" i="4"/>
  <c r="F597" i="4"/>
  <c r="E597" i="4"/>
  <c r="B597" i="4"/>
  <c r="E659" i="4"/>
  <c r="D659" i="4"/>
  <c r="J659" i="4"/>
  <c r="G659" i="4"/>
  <c r="F659" i="4"/>
  <c r="M659" i="4"/>
  <c r="I659" i="4"/>
  <c r="H659" i="4"/>
  <c r="B864" i="4"/>
  <c r="F864" i="4"/>
  <c r="M864" i="4"/>
  <c r="L864" i="4"/>
  <c r="J864" i="4"/>
  <c r="G864" i="4"/>
  <c r="E864" i="4"/>
  <c r="K864" i="4"/>
  <c r="D864" i="4"/>
  <c r="C864" i="4"/>
  <c r="H864" i="4"/>
  <c r="E897" i="4"/>
  <c r="F897" i="4"/>
  <c r="H897" i="4"/>
  <c r="G897" i="4"/>
  <c r="D897" i="4"/>
  <c r="B897" i="4"/>
  <c r="M897" i="4"/>
  <c r="L897" i="4"/>
  <c r="K897" i="4"/>
  <c r="C897" i="4"/>
  <c r="J897" i="4"/>
  <c r="I897" i="4"/>
  <c r="C281" i="4"/>
  <c r="B281" i="4"/>
  <c r="D304" i="4"/>
  <c r="C304" i="4"/>
  <c r="B304" i="4"/>
  <c r="L366" i="4"/>
  <c r="K370" i="4"/>
  <c r="L373" i="4"/>
  <c r="L376" i="4"/>
  <c r="L379" i="4"/>
  <c r="L383" i="4"/>
  <c r="G387" i="4"/>
  <c r="F387" i="4"/>
  <c r="E387" i="4"/>
  <c r="D387" i="4"/>
  <c r="B387" i="4"/>
  <c r="K387" i="4"/>
  <c r="L388" i="4"/>
  <c r="M394" i="4"/>
  <c r="F400" i="4"/>
  <c r="G400" i="4"/>
  <c r="E400" i="4"/>
  <c r="D400" i="4"/>
  <c r="B400" i="4"/>
  <c r="K400" i="4"/>
  <c r="L401" i="4"/>
  <c r="M407" i="4"/>
  <c r="E413" i="4"/>
  <c r="G413" i="4"/>
  <c r="F413" i="4"/>
  <c r="D413" i="4"/>
  <c r="B413" i="4"/>
  <c r="K413" i="4"/>
  <c r="L414" i="4"/>
  <c r="M420" i="4"/>
  <c r="D426" i="4"/>
  <c r="G426" i="4"/>
  <c r="F426" i="4"/>
  <c r="E426" i="4"/>
  <c r="B426" i="4"/>
  <c r="K426" i="4"/>
  <c r="L427" i="4"/>
  <c r="J456" i="4"/>
  <c r="G456" i="4"/>
  <c r="H456" i="4"/>
  <c r="F456" i="4"/>
  <c r="E456" i="4"/>
  <c r="C456" i="4"/>
  <c r="M456" i="4"/>
  <c r="M457" i="4"/>
  <c r="B470" i="4"/>
  <c r="K470" i="4"/>
  <c r="L470" i="4"/>
  <c r="H470" i="4"/>
  <c r="M470" i="4"/>
  <c r="J470" i="4"/>
  <c r="G470" i="4"/>
  <c r="C470" i="4"/>
  <c r="E479" i="4"/>
  <c r="B479" i="4"/>
  <c r="I479" i="4"/>
  <c r="F479" i="4"/>
  <c r="J479" i="4"/>
  <c r="H479" i="4"/>
  <c r="G479" i="4"/>
  <c r="C479" i="4"/>
  <c r="M503" i="4"/>
  <c r="L508" i="4"/>
  <c r="I508" i="4"/>
  <c r="M508" i="4"/>
  <c r="H508" i="4"/>
  <c r="K508" i="4"/>
  <c r="J508" i="4"/>
  <c r="F508" i="4"/>
  <c r="C508" i="4"/>
  <c r="B508" i="4"/>
  <c r="L525" i="4"/>
  <c r="F550" i="4"/>
  <c r="C550" i="4"/>
  <c r="B550" i="4"/>
  <c r="M550" i="4"/>
  <c r="J550" i="4"/>
  <c r="I550" i="4"/>
  <c r="H550" i="4"/>
  <c r="E550" i="4"/>
  <c r="G561" i="4"/>
  <c r="D561" i="4"/>
  <c r="K561" i="4"/>
  <c r="M561" i="4"/>
  <c r="L561" i="4"/>
  <c r="J561" i="4"/>
  <c r="H561" i="4"/>
  <c r="C561" i="4"/>
  <c r="B561" i="4"/>
  <c r="C565" i="4"/>
  <c r="L565" i="4"/>
  <c r="D565" i="4"/>
  <c r="F565" i="4"/>
  <c r="E565" i="4"/>
  <c r="B565" i="4"/>
  <c r="K565" i="4"/>
  <c r="J565" i="4"/>
  <c r="J582" i="4"/>
  <c r="G582" i="4"/>
  <c r="I582" i="4"/>
  <c r="E582" i="4"/>
  <c r="H582" i="4"/>
  <c r="F582" i="4"/>
  <c r="D582" i="4"/>
  <c r="B582" i="4"/>
  <c r="F586" i="4"/>
  <c r="C586" i="4"/>
  <c r="K586" i="4"/>
  <c r="H586" i="4"/>
  <c r="G586" i="4"/>
  <c r="E586" i="4"/>
  <c r="B586" i="4"/>
  <c r="M586" i="4"/>
  <c r="H644" i="4"/>
  <c r="E644" i="4"/>
  <c r="D644" i="4"/>
  <c r="G644" i="4"/>
  <c r="B644" i="4"/>
  <c r="L644" i="4"/>
  <c r="I644" i="4"/>
  <c r="F644" i="4"/>
  <c r="K713" i="4"/>
  <c r="J713" i="4"/>
  <c r="L713" i="4"/>
  <c r="I713" i="4"/>
  <c r="H713" i="4"/>
  <c r="M713" i="4"/>
  <c r="F713" i="4"/>
  <c r="E713" i="4"/>
  <c r="B713" i="4"/>
  <c r="G713" i="4"/>
  <c r="F754" i="4"/>
  <c r="E754" i="4"/>
  <c r="D754" i="4"/>
  <c r="L754" i="4"/>
  <c r="J754" i="4"/>
  <c r="I754" i="4"/>
  <c r="H754" i="4"/>
  <c r="B754" i="4"/>
  <c r="K754" i="4"/>
  <c r="M754" i="4"/>
  <c r="G754" i="4"/>
  <c r="C754" i="4"/>
  <c r="D934" i="4"/>
  <c r="F934" i="4"/>
  <c r="E934" i="4"/>
  <c r="C934" i="4"/>
  <c r="B934" i="4"/>
  <c r="K934" i="4"/>
  <c r="J934" i="4"/>
  <c r="M934" i="4"/>
  <c r="L934" i="4"/>
  <c r="G934" i="4"/>
  <c r="I934" i="4"/>
  <c r="H934" i="4"/>
  <c r="D970" i="4"/>
  <c r="G970" i="4"/>
  <c r="M970" i="4"/>
  <c r="J970" i="4"/>
  <c r="K970" i="4"/>
  <c r="F970" i="4"/>
  <c r="E970" i="4"/>
  <c r="L970" i="4"/>
  <c r="I970" i="4"/>
  <c r="H970" i="4"/>
  <c r="C970" i="4"/>
  <c r="B970" i="4"/>
  <c r="I977" i="4"/>
  <c r="F977" i="4"/>
  <c r="G977" i="4"/>
  <c r="E977" i="4"/>
  <c r="B977" i="4"/>
  <c r="H977" i="4"/>
  <c r="D977" i="4"/>
  <c r="C977" i="4"/>
  <c r="M977" i="4"/>
  <c r="L977" i="4"/>
  <c r="K977" i="4"/>
  <c r="J977" i="4"/>
  <c r="I311" i="4"/>
  <c r="H311" i="4"/>
  <c r="G311" i="4"/>
  <c r="F316" i="4"/>
  <c r="G316" i="4"/>
  <c r="E316" i="4"/>
  <c r="D316" i="4"/>
  <c r="B320" i="4"/>
  <c r="G320" i="4"/>
  <c r="F320" i="4"/>
  <c r="E320" i="4"/>
  <c r="I325" i="4"/>
  <c r="F325" i="4"/>
  <c r="E325" i="4"/>
  <c r="D325" i="4"/>
  <c r="E329" i="4"/>
  <c r="G329" i="4"/>
  <c r="F329" i="4"/>
  <c r="D329" i="4"/>
  <c r="L334" i="4"/>
  <c r="F334" i="4"/>
  <c r="E334" i="4"/>
  <c r="D334" i="4"/>
  <c r="H338" i="4"/>
  <c r="F338" i="4"/>
  <c r="E338" i="4"/>
  <c r="D338" i="4"/>
  <c r="D342" i="4"/>
  <c r="G342" i="4"/>
  <c r="F342" i="4"/>
  <c r="E342" i="4"/>
  <c r="K347" i="4"/>
  <c r="F347" i="4"/>
  <c r="E347" i="4"/>
  <c r="D347" i="4"/>
  <c r="G351" i="4"/>
  <c r="F351" i="4"/>
  <c r="E351" i="4"/>
  <c r="D351" i="4"/>
  <c r="C355" i="4"/>
  <c r="G355" i="4"/>
  <c r="F355" i="4"/>
  <c r="E355" i="4"/>
  <c r="J360" i="4"/>
  <c r="F360" i="4"/>
  <c r="E360" i="4"/>
  <c r="D360" i="4"/>
  <c r="F364" i="4"/>
  <c r="G364" i="4"/>
  <c r="E364" i="4"/>
  <c r="D364" i="4"/>
  <c r="M366" i="4"/>
  <c r="M370" i="4"/>
  <c r="M373" i="4"/>
  <c r="M376" i="4"/>
  <c r="M379" i="4"/>
  <c r="M383" i="4"/>
  <c r="M388" i="4"/>
  <c r="K395" i="4"/>
  <c r="F395" i="4"/>
  <c r="E395" i="4"/>
  <c r="D395" i="4"/>
  <c r="B395" i="4"/>
  <c r="J395" i="4"/>
  <c r="M401" i="4"/>
  <c r="J408" i="4"/>
  <c r="F408" i="4"/>
  <c r="E408" i="4"/>
  <c r="D408" i="4"/>
  <c r="B408" i="4"/>
  <c r="K408" i="4"/>
  <c r="M414" i="4"/>
  <c r="I421" i="4"/>
  <c r="F421" i="4"/>
  <c r="E421" i="4"/>
  <c r="D421" i="4"/>
  <c r="B421" i="4"/>
  <c r="K421" i="4"/>
  <c r="M427" i="4"/>
  <c r="J468" i="4"/>
  <c r="G468" i="4"/>
  <c r="F468" i="4"/>
  <c r="E468" i="4"/>
  <c r="D468" i="4"/>
  <c r="B468" i="4"/>
  <c r="L468" i="4"/>
  <c r="L496" i="4"/>
  <c r="I496" i="4"/>
  <c r="J496" i="4"/>
  <c r="H496" i="4"/>
  <c r="G496" i="4"/>
  <c r="F496" i="4"/>
  <c r="D496" i="4"/>
  <c r="I511" i="4"/>
  <c r="F511" i="4"/>
  <c r="B511" i="4"/>
  <c r="M511" i="4"/>
  <c r="E511" i="4"/>
  <c r="D511" i="4"/>
  <c r="C511" i="4"/>
  <c r="L511" i="4"/>
  <c r="K511" i="4"/>
  <c r="C685" i="4"/>
  <c r="B685" i="4"/>
  <c r="K685" i="4"/>
  <c r="H685" i="4"/>
  <c r="G685" i="4"/>
  <c r="E685" i="4"/>
  <c r="L685" i="4"/>
  <c r="F685" i="4"/>
  <c r="D685" i="4"/>
  <c r="I715" i="4"/>
  <c r="H715" i="4"/>
  <c r="B715" i="4"/>
  <c r="M715" i="4"/>
  <c r="L715" i="4"/>
  <c r="D715" i="4"/>
  <c r="C715" i="4"/>
  <c r="K715" i="4"/>
  <c r="F715" i="4"/>
  <c r="E715" i="4"/>
  <c r="D732" i="4"/>
  <c r="C732" i="4"/>
  <c r="H732" i="4"/>
  <c r="F732" i="4"/>
  <c r="E732" i="4"/>
  <c r="B732" i="4"/>
  <c r="M732" i="4"/>
  <c r="L732" i="4"/>
  <c r="K732" i="4"/>
  <c r="G732" i="4"/>
  <c r="E755" i="4"/>
  <c r="D755" i="4"/>
  <c r="C755" i="4"/>
  <c r="L755" i="4"/>
  <c r="K755" i="4"/>
  <c r="J755" i="4"/>
  <c r="G755" i="4"/>
  <c r="M755" i="4"/>
  <c r="I755" i="4"/>
  <c r="H755" i="4"/>
  <c r="F755" i="4"/>
  <c r="B755" i="4"/>
  <c r="G955" i="4"/>
  <c r="F955" i="4"/>
  <c r="L955" i="4"/>
  <c r="K955" i="4"/>
  <c r="D955" i="4"/>
  <c r="C955" i="4"/>
  <c r="B955" i="4"/>
  <c r="M955" i="4"/>
  <c r="J955" i="4"/>
  <c r="I955" i="4"/>
  <c r="H955" i="4"/>
  <c r="E955" i="4"/>
  <c r="E370" i="5"/>
  <c r="E381" i="5"/>
  <c r="F985" i="2"/>
  <c r="N993" i="2"/>
  <c r="G23" i="3"/>
  <c r="G24" i="3" s="1"/>
  <c r="L20" i="4"/>
  <c r="K20" i="4"/>
  <c r="K33" i="4"/>
  <c r="J33" i="4"/>
  <c r="J46" i="4"/>
  <c r="I46" i="4"/>
  <c r="I59" i="4"/>
  <c r="H59" i="4"/>
  <c r="H72" i="4"/>
  <c r="G72" i="4"/>
  <c r="G85" i="4"/>
  <c r="F85" i="4"/>
  <c r="F98" i="4"/>
  <c r="E98" i="4"/>
  <c r="E111" i="4"/>
  <c r="D111" i="4"/>
  <c r="E123" i="4"/>
  <c r="D123" i="4"/>
  <c r="D136" i="4"/>
  <c r="C136" i="4"/>
  <c r="D148" i="4"/>
  <c r="C148" i="4"/>
  <c r="C161" i="4"/>
  <c r="B161" i="4"/>
  <c r="L188" i="4"/>
  <c r="K188" i="4"/>
  <c r="K201" i="4"/>
  <c r="J201" i="4"/>
  <c r="J214" i="4"/>
  <c r="I214" i="4"/>
  <c r="I227" i="4"/>
  <c r="H227" i="4"/>
  <c r="H240" i="4"/>
  <c r="G240" i="4"/>
  <c r="G253" i="4"/>
  <c r="F253" i="4"/>
  <c r="F266" i="4"/>
  <c r="E266" i="4"/>
  <c r="E279" i="4"/>
  <c r="D279" i="4"/>
  <c r="E281" i="4"/>
  <c r="D292" i="4"/>
  <c r="C292" i="4"/>
  <c r="E303" i="4"/>
  <c r="D303" i="4"/>
  <c r="C303" i="4"/>
  <c r="F304" i="4"/>
  <c r="B311" i="4"/>
  <c r="B316" i="4"/>
  <c r="C320" i="4"/>
  <c r="B325" i="4"/>
  <c r="B329" i="4"/>
  <c r="B334" i="4"/>
  <c r="B338" i="4"/>
  <c r="B342" i="4"/>
  <c r="B347" i="4"/>
  <c r="B351" i="4"/>
  <c r="B355" i="4"/>
  <c r="B360" i="4"/>
  <c r="B364" i="4"/>
  <c r="C367" i="4"/>
  <c r="G367" i="4"/>
  <c r="F367" i="4"/>
  <c r="E367" i="4"/>
  <c r="K367" i="4"/>
  <c r="K371" i="4"/>
  <c r="F371" i="4"/>
  <c r="E371" i="4"/>
  <c r="D371" i="4"/>
  <c r="J371" i="4"/>
  <c r="H374" i="4"/>
  <c r="F374" i="4"/>
  <c r="E374" i="4"/>
  <c r="D374" i="4"/>
  <c r="K374" i="4"/>
  <c r="E377" i="4"/>
  <c r="G377" i="4"/>
  <c r="F377" i="4"/>
  <c r="D377" i="4"/>
  <c r="K377" i="4"/>
  <c r="B380" i="4"/>
  <c r="G380" i="4"/>
  <c r="F380" i="4"/>
  <c r="E380" i="4"/>
  <c r="K380" i="4"/>
  <c r="J384" i="4"/>
  <c r="F384" i="4"/>
  <c r="E384" i="4"/>
  <c r="D384" i="4"/>
  <c r="K384" i="4"/>
  <c r="H387" i="4"/>
  <c r="E389" i="4"/>
  <c r="G389" i="4"/>
  <c r="F389" i="4"/>
  <c r="D389" i="4"/>
  <c r="B389" i="4"/>
  <c r="K389" i="4"/>
  <c r="C395" i="4"/>
  <c r="H400" i="4"/>
  <c r="D402" i="4"/>
  <c r="G402" i="4"/>
  <c r="F402" i="4"/>
  <c r="E402" i="4"/>
  <c r="B402" i="4"/>
  <c r="K402" i="4"/>
  <c r="C408" i="4"/>
  <c r="H413" i="4"/>
  <c r="C415" i="4"/>
  <c r="G415" i="4"/>
  <c r="F415" i="4"/>
  <c r="E415" i="4"/>
  <c r="B415" i="4"/>
  <c r="K415" i="4"/>
  <c r="C421" i="4"/>
  <c r="H426" i="4"/>
  <c r="B428" i="4"/>
  <c r="K428" i="4"/>
  <c r="G428" i="4"/>
  <c r="F428" i="4"/>
  <c r="E428" i="4"/>
  <c r="C428" i="4"/>
  <c r="L428" i="4"/>
  <c r="K431" i="4"/>
  <c r="H431" i="4"/>
  <c r="I431" i="4"/>
  <c r="G431" i="4"/>
  <c r="F431" i="4"/>
  <c r="D431" i="4"/>
  <c r="H446" i="4"/>
  <c r="E446" i="4"/>
  <c r="L446" i="4"/>
  <c r="K446" i="4"/>
  <c r="J446" i="4"/>
  <c r="G446" i="4"/>
  <c r="B446" i="4"/>
  <c r="F448" i="4"/>
  <c r="C448" i="4"/>
  <c r="M448" i="4"/>
  <c r="L448" i="4"/>
  <c r="J448" i="4"/>
  <c r="E448" i="4"/>
  <c r="D456" i="4"/>
  <c r="C468" i="4"/>
  <c r="E470" i="4"/>
  <c r="K479" i="4"/>
  <c r="F490" i="4"/>
  <c r="C490" i="4"/>
  <c r="H490" i="4"/>
  <c r="D490" i="4"/>
  <c r="J490" i="4"/>
  <c r="I490" i="4"/>
  <c r="G490" i="4"/>
  <c r="B490" i="4"/>
  <c r="B496" i="4"/>
  <c r="E508" i="4"/>
  <c r="G511" i="4"/>
  <c r="K545" i="4"/>
  <c r="H545" i="4"/>
  <c r="J545" i="4"/>
  <c r="F545" i="4"/>
  <c r="I545" i="4"/>
  <c r="G545" i="4"/>
  <c r="E545" i="4"/>
  <c r="C545" i="4"/>
  <c r="G550" i="4"/>
  <c r="K557" i="4"/>
  <c r="H557" i="4"/>
  <c r="I557" i="4"/>
  <c r="E557" i="4"/>
  <c r="M557" i="4"/>
  <c r="L557" i="4"/>
  <c r="G557" i="4"/>
  <c r="C557" i="4"/>
  <c r="B557" i="4"/>
  <c r="F561" i="4"/>
  <c r="H565" i="4"/>
  <c r="K582" i="4"/>
  <c r="I586" i="4"/>
  <c r="J644" i="4"/>
  <c r="L676" i="4"/>
  <c r="K676" i="4"/>
  <c r="I676" i="4"/>
  <c r="H676" i="4"/>
  <c r="J676" i="4"/>
  <c r="M676" i="4"/>
  <c r="F676" i="4"/>
  <c r="C676" i="4"/>
  <c r="B676" i="4"/>
  <c r="F682" i="4"/>
  <c r="E682" i="4"/>
  <c r="H682" i="4"/>
  <c r="C682" i="4"/>
  <c r="B682" i="4"/>
  <c r="G682" i="4"/>
  <c r="L682" i="4"/>
  <c r="K682" i="4"/>
  <c r="J682" i="4"/>
  <c r="D682" i="4"/>
  <c r="I685" i="4"/>
  <c r="D713" i="4"/>
  <c r="G715" i="4"/>
  <c r="D720" i="4"/>
  <c r="C720" i="4"/>
  <c r="I720" i="4"/>
  <c r="G720" i="4"/>
  <c r="F720" i="4"/>
  <c r="E720" i="4"/>
  <c r="M720" i="4"/>
  <c r="L720" i="4"/>
  <c r="J720" i="4"/>
  <c r="H720" i="4"/>
  <c r="K720" i="4"/>
  <c r="I732" i="4"/>
  <c r="J738" i="4"/>
  <c r="I738" i="4"/>
  <c r="M738" i="4"/>
  <c r="K738" i="4"/>
  <c r="H738" i="4"/>
  <c r="G738" i="4"/>
  <c r="D738" i="4"/>
  <c r="L738" i="4"/>
  <c r="F738" i="4"/>
  <c r="B738" i="4"/>
  <c r="E738" i="4"/>
  <c r="C738" i="4"/>
  <c r="J904" i="4"/>
  <c r="E904" i="4"/>
  <c r="M904" i="4"/>
  <c r="L904" i="4"/>
  <c r="I904" i="4"/>
  <c r="F904" i="4"/>
  <c r="D904" i="4"/>
  <c r="K904" i="4"/>
  <c r="H904" i="4"/>
  <c r="B904" i="4"/>
  <c r="G904" i="4"/>
  <c r="K939" i="4"/>
  <c r="F939" i="4"/>
  <c r="H939" i="4"/>
  <c r="G939" i="4"/>
  <c r="M939" i="4"/>
  <c r="J939" i="4"/>
  <c r="D939" i="4"/>
  <c r="C939" i="4"/>
  <c r="E939" i="4"/>
  <c r="L939" i="4"/>
  <c r="I939" i="4"/>
  <c r="B939" i="4"/>
  <c r="E109" i="5"/>
  <c r="J432" i="4"/>
  <c r="G432" i="4"/>
  <c r="I445" i="4"/>
  <c r="F445" i="4"/>
  <c r="H458" i="4"/>
  <c r="E458" i="4"/>
  <c r="E491" i="4"/>
  <c r="B491" i="4"/>
  <c r="I491" i="4"/>
  <c r="F491" i="4"/>
  <c r="F502" i="4"/>
  <c r="C502" i="4"/>
  <c r="H502" i="4"/>
  <c r="D502" i="4"/>
  <c r="H524" i="4"/>
  <c r="E524" i="4"/>
  <c r="B524" i="4"/>
  <c r="M524" i="4"/>
  <c r="C541" i="4"/>
  <c r="L541" i="4"/>
  <c r="F541" i="4"/>
  <c r="B541" i="4"/>
  <c r="L568" i="4"/>
  <c r="I568" i="4"/>
  <c r="F568" i="4"/>
  <c r="C568" i="4"/>
  <c r="H572" i="4"/>
  <c r="E572" i="4"/>
  <c r="L572" i="4"/>
  <c r="I572" i="4"/>
  <c r="I583" i="4"/>
  <c r="F583" i="4"/>
  <c r="K583" i="4"/>
  <c r="G583" i="4"/>
  <c r="J594" i="4"/>
  <c r="G594" i="4"/>
  <c r="I594" i="4"/>
  <c r="E594" i="4"/>
  <c r="F598" i="4"/>
  <c r="C598" i="4"/>
  <c r="K598" i="4"/>
  <c r="L652" i="4"/>
  <c r="I652" i="4"/>
  <c r="H652" i="4"/>
  <c r="G652" i="4"/>
  <c r="D652" i="4"/>
  <c r="C661" i="4"/>
  <c r="B661" i="4"/>
  <c r="L661" i="4"/>
  <c r="I661" i="4"/>
  <c r="H661" i="4"/>
  <c r="M661" i="4"/>
  <c r="G661" i="4"/>
  <c r="J666" i="4"/>
  <c r="I666" i="4"/>
  <c r="B666" i="4"/>
  <c r="M666" i="4"/>
  <c r="L666" i="4"/>
  <c r="G666" i="4"/>
  <c r="D666" i="4"/>
  <c r="I679" i="4"/>
  <c r="H679" i="4"/>
  <c r="C679" i="4"/>
  <c r="M679" i="4"/>
  <c r="K679" i="4"/>
  <c r="F679" i="4"/>
  <c r="H704" i="4"/>
  <c r="G704" i="4"/>
  <c r="C704" i="4"/>
  <c r="M704" i="4"/>
  <c r="J704" i="4"/>
  <c r="I704" i="4"/>
  <c r="E704" i="4"/>
  <c r="C709" i="4"/>
  <c r="B709" i="4"/>
  <c r="J709" i="4"/>
  <c r="G709" i="4"/>
  <c r="F709" i="4"/>
  <c r="L709" i="4"/>
  <c r="K709" i="4"/>
  <c r="E709" i="4"/>
  <c r="C733" i="4"/>
  <c r="B733" i="4"/>
  <c r="I733" i="4"/>
  <c r="G733" i="4"/>
  <c r="F733" i="4"/>
  <c r="E733" i="4"/>
  <c r="H733" i="4"/>
  <c r="D733" i="4"/>
  <c r="J810" i="4"/>
  <c r="I810" i="4"/>
  <c r="H810" i="4"/>
  <c r="C810" i="4"/>
  <c r="B810" i="4"/>
  <c r="K810" i="4"/>
  <c r="G810" i="4"/>
  <c r="F810" i="4"/>
  <c r="E810" i="4"/>
  <c r="D810" i="4"/>
  <c r="L810" i="4"/>
  <c r="I869" i="4"/>
  <c r="E869" i="4"/>
  <c r="D869" i="4"/>
  <c r="C869" i="4"/>
  <c r="B869" i="4"/>
  <c r="K869" i="4"/>
  <c r="J869" i="4"/>
  <c r="M869" i="4"/>
  <c r="G869" i="4"/>
  <c r="L869" i="4"/>
  <c r="D982" i="4"/>
  <c r="G982" i="4"/>
  <c r="M982" i="4"/>
  <c r="L982" i="4"/>
  <c r="I982" i="4"/>
  <c r="K982" i="4"/>
  <c r="F982" i="4"/>
  <c r="E982" i="4"/>
  <c r="C982" i="4"/>
  <c r="J982" i="4"/>
  <c r="H982" i="4"/>
  <c r="E96" i="5"/>
  <c r="E345" i="5"/>
  <c r="E435" i="5"/>
  <c r="E457" i="5"/>
  <c r="H295" i="8"/>
  <c r="G295" i="8"/>
  <c r="C295" i="8"/>
  <c r="E295" i="8" s="1"/>
  <c r="F295" i="8" s="1"/>
  <c r="D295" i="8"/>
  <c r="B518" i="4"/>
  <c r="K518" i="4"/>
  <c r="I518" i="4"/>
  <c r="F518" i="4"/>
  <c r="J534" i="4"/>
  <c r="G534" i="4"/>
  <c r="M534" i="4"/>
  <c r="I534" i="4"/>
  <c r="K605" i="4"/>
  <c r="H605" i="4"/>
  <c r="F605" i="4"/>
  <c r="C605" i="4"/>
  <c r="G609" i="4"/>
  <c r="D609" i="4"/>
  <c r="L609" i="4"/>
  <c r="I609" i="4"/>
  <c r="B614" i="4"/>
  <c r="K614" i="4"/>
  <c r="D614" i="4"/>
  <c r="I619" i="4"/>
  <c r="F619" i="4"/>
  <c r="J619" i="4"/>
  <c r="E619" i="4"/>
  <c r="E623" i="4"/>
  <c r="B623" i="4"/>
  <c r="K623" i="4"/>
  <c r="J630" i="4"/>
  <c r="G630" i="4"/>
  <c r="F630" i="4"/>
  <c r="C630" i="4"/>
  <c r="I643" i="4"/>
  <c r="F643" i="4"/>
  <c r="E643" i="4"/>
  <c r="C643" i="4"/>
  <c r="K725" i="4"/>
  <c r="J725" i="4"/>
  <c r="M725" i="4"/>
  <c r="I725" i="4"/>
  <c r="H725" i="4"/>
  <c r="G725" i="4"/>
  <c r="L725" i="4"/>
  <c r="D725" i="4"/>
  <c r="F814" i="4"/>
  <c r="E814" i="4"/>
  <c r="D814" i="4"/>
  <c r="K814" i="4"/>
  <c r="J814" i="4"/>
  <c r="M814" i="4"/>
  <c r="L814" i="4"/>
  <c r="I814" i="4"/>
  <c r="H814" i="4"/>
  <c r="B814" i="4"/>
  <c r="G814" i="4"/>
  <c r="E97" i="5"/>
  <c r="B440" i="4"/>
  <c r="K440" i="4"/>
  <c r="L454" i="4"/>
  <c r="I454" i="4"/>
  <c r="K467" i="4"/>
  <c r="H467" i="4"/>
  <c r="J474" i="4"/>
  <c r="G474" i="4"/>
  <c r="B474" i="4"/>
  <c r="M474" i="4"/>
  <c r="L484" i="4"/>
  <c r="I484" i="4"/>
  <c r="J484" i="4"/>
  <c r="C517" i="4"/>
  <c r="L517" i="4"/>
  <c r="H517" i="4"/>
  <c r="E517" i="4"/>
  <c r="E518" i="4"/>
  <c r="K533" i="4"/>
  <c r="H533" i="4"/>
  <c r="L533" i="4"/>
  <c r="G533" i="4"/>
  <c r="D534" i="4"/>
  <c r="F538" i="4"/>
  <c r="C538" i="4"/>
  <c r="D538" i="4"/>
  <c r="L604" i="4"/>
  <c r="I604" i="4"/>
  <c r="E604" i="4"/>
  <c r="B604" i="4"/>
  <c r="E605" i="4"/>
  <c r="H608" i="4"/>
  <c r="E608" i="4"/>
  <c r="K608" i="4"/>
  <c r="G608" i="4"/>
  <c r="E609" i="4"/>
  <c r="C613" i="4"/>
  <c r="L613" i="4"/>
  <c r="B613" i="4"/>
  <c r="M613" i="4"/>
  <c r="F614" i="4"/>
  <c r="J618" i="4"/>
  <c r="G618" i="4"/>
  <c r="H618" i="4"/>
  <c r="D618" i="4"/>
  <c r="D619" i="4"/>
  <c r="F622" i="4"/>
  <c r="C622" i="4"/>
  <c r="M622" i="4"/>
  <c r="J622" i="4"/>
  <c r="F623" i="4"/>
  <c r="K629" i="4"/>
  <c r="H629" i="4"/>
  <c r="E629" i="4"/>
  <c r="B629" i="4"/>
  <c r="E630" i="4"/>
  <c r="G643" i="4"/>
  <c r="J654" i="4"/>
  <c r="G654" i="4"/>
  <c r="F654" i="4"/>
  <c r="K654" i="4"/>
  <c r="E671" i="4"/>
  <c r="D671" i="4"/>
  <c r="I671" i="4"/>
  <c r="F671" i="4"/>
  <c r="C671" i="4"/>
  <c r="K671" i="4"/>
  <c r="D684" i="4"/>
  <c r="C684" i="4"/>
  <c r="J684" i="4"/>
  <c r="G684" i="4"/>
  <c r="F684" i="4"/>
  <c r="M684" i="4"/>
  <c r="L688" i="4"/>
  <c r="K688" i="4"/>
  <c r="I688" i="4"/>
  <c r="H688" i="4"/>
  <c r="M688" i="4"/>
  <c r="F688" i="4"/>
  <c r="I691" i="4"/>
  <c r="H691" i="4"/>
  <c r="C691" i="4"/>
  <c r="M691" i="4"/>
  <c r="G691" i="4"/>
  <c r="D691" i="4"/>
  <c r="E725" i="4"/>
  <c r="L736" i="4"/>
  <c r="K736" i="4"/>
  <c r="I736" i="4"/>
  <c r="G736" i="4"/>
  <c r="F736" i="4"/>
  <c r="E736" i="4"/>
  <c r="B736" i="4"/>
  <c r="M736" i="4"/>
  <c r="J736" i="4"/>
  <c r="C736" i="4"/>
  <c r="L748" i="4"/>
  <c r="K748" i="4"/>
  <c r="J748" i="4"/>
  <c r="I748" i="4"/>
  <c r="G748" i="4"/>
  <c r="F748" i="4"/>
  <c r="E748" i="4"/>
  <c r="B748" i="4"/>
  <c r="M748" i="4"/>
  <c r="D748" i="4"/>
  <c r="C748" i="4"/>
  <c r="L760" i="4"/>
  <c r="K760" i="4"/>
  <c r="J760" i="4"/>
  <c r="G760" i="4"/>
  <c r="E760" i="4"/>
  <c r="D760" i="4"/>
  <c r="C760" i="4"/>
  <c r="M760" i="4"/>
  <c r="I760" i="4"/>
  <c r="H760" i="4"/>
  <c r="F760" i="4"/>
  <c r="B760" i="4"/>
  <c r="L808" i="4"/>
  <c r="K808" i="4"/>
  <c r="J808" i="4"/>
  <c r="E808" i="4"/>
  <c r="D808" i="4"/>
  <c r="M808" i="4"/>
  <c r="I808" i="4"/>
  <c r="H808" i="4"/>
  <c r="C808" i="4"/>
  <c r="G808" i="4"/>
  <c r="F808" i="4"/>
  <c r="C851" i="4"/>
  <c r="F851" i="4"/>
  <c r="M851" i="4"/>
  <c r="L851" i="4"/>
  <c r="J851" i="4"/>
  <c r="G851" i="4"/>
  <c r="E851" i="4"/>
  <c r="K851" i="4"/>
  <c r="D851" i="4"/>
  <c r="I851" i="4"/>
  <c r="G967" i="4"/>
  <c r="F967" i="4"/>
  <c r="K967" i="4"/>
  <c r="J967" i="4"/>
  <c r="E967" i="4"/>
  <c r="M967" i="4"/>
  <c r="H967" i="4"/>
  <c r="D967" i="4"/>
  <c r="C967" i="4"/>
  <c r="B967" i="4"/>
  <c r="K975" i="4"/>
  <c r="F975" i="4"/>
  <c r="D975" i="4"/>
  <c r="C975" i="4"/>
  <c r="M975" i="4"/>
  <c r="L975" i="4"/>
  <c r="I975" i="4"/>
  <c r="E975" i="4"/>
  <c r="B975" i="4"/>
  <c r="J975" i="4"/>
  <c r="H975" i="4"/>
  <c r="C995" i="4"/>
  <c r="G995" i="4"/>
  <c r="M995" i="4"/>
  <c r="L995" i="4"/>
  <c r="I995" i="4"/>
  <c r="E995" i="4"/>
  <c r="D995" i="4"/>
  <c r="B995" i="4"/>
  <c r="K995" i="4"/>
  <c r="J995" i="4"/>
  <c r="H995" i="4"/>
  <c r="E141" i="5"/>
  <c r="E193" i="5"/>
  <c r="E427" i="5"/>
  <c r="M305" i="4"/>
  <c r="H432" i="4"/>
  <c r="D440" i="4"/>
  <c r="H445" i="4"/>
  <c r="C451" i="4"/>
  <c r="L451" i="4"/>
  <c r="C454" i="4"/>
  <c r="I458" i="4"/>
  <c r="B464" i="4"/>
  <c r="K464" i="4"/>
  <c r="C467" i="4"/>
  <c r="D474" i="4"/>
  <c r="F478" i="4"/>
  <c r="C478" i="4"/>
  <c r="H478" i="4"/>
  <c r="D478" i="4"/>
  <c r="C484" i="4"/>
  <c r="G489" i="4"/>
  <c r="D489" i="4"/>
  <c r="F489" i="4"/>
  <c r="B489" i="4"/>
  <c r="K491" i="4"/>
  <c r="K502" i="4"/>
  <c r="C505" i="4"/>
  <c r="L505" i="4"/>
  <c r="I505" i="4"/>
  <c r="F505" i="4"/>
  <c r="D517" i="4"/>
  <c r="H518" i="4"/>
  <c r="K521" i="4"/>
  <c r="H521" i="4"/>
  <c r="M521" i="4"/>
  <c r="I521" i="4"/>
  <c r="J524" i="4"/>
  <c r="C533" i="4"/>
  <c r="F534" i="4"/>
  <c r="E538" i="4"/>
  <c r="J541" i="4"/>
  <c r="J568" i="4"/>
  <c r="J570" i="4"/>
  <c r="G570" i="4"/>
  <c r="I570" i="4"/>
  <c r="E570" i="4"/>
  <c r="J572" i="4"/>
  <c r="F574" i="4"/>
  <c r="C574" i="4"/>
  <c r="K574" i="4"/>
  <c r="K581" i="4"/>
  <c r="H581" i="4"/>
  <c r="G581" i="4"/>
  <c r="D581" i="4"/>
  <c r="J583" i="4"/>
  <c r="G585" i="4"/>
  <c r="D585" i="4"/>
  <c r="M585" i="4"/>
  <c r="J585" i="4"/>
  <c r="L592" i="4"/>
  <c r="I592" i="4"/>
  <c r="F592" i="4"/>
  <c r="C592" i="4"/>
  <c r="K594" i="4"/>
  <c r="H596" i="4"/>
  <c r="E596" i="4"/>
  <c r="L596" i="4"/>
  <c r="I596" i="4"/>
  <c r="I598" i="4"/>
  <c r="D604" i="4"/>
  <c r="I605" i="4"/>
  <c r="C608" i="4"/>
  <c r="H609" i="4"/>
  <c r="E613" i="4"/>
  <c r="H614" i="4"/>
  <c r="C618" i="4"/>
  <c r="H619" i="4"/>
  <c r="D622" i="4"/>
  <c r="H623" i="4"/>
  <c r="D629" i="4"/>
  <c r="I630" i="4"/>
  <c r="K641" i="4"/>
  <c r="H641" i="4"/>
  <c r="G641" i="4"/>
  <c r="J641" i="4"/>
  <c r="J643" i="4"/>
  <c r="G645" i="4"/>
  <c r="D645" i="4"/>
  <c r="C645" i="4"/>
  <c r="J645" i="4"/>
  <c r="F645" i="4"/>
  <c r="C654" i="4"/>
  <c r="I667" i="4"/>
  <c r="H667" i="4"/>
  <c r="C667" i="4"/>
  <c r="M667" i="4"/>
  <c r="J667" i="4"/>
  <c r="G671" i="4"/>
  <c r="E684" i="4"/>
  <c r="C688" i="4"/>
  <c r="E691" i="4"/>
  <c r="H736" i="4"/>
  <c r="I787" i="4"/>
  <c r="H787" i="4"/>
  <c r="G787" i="4"/>
  <c r="B787" i="4"/>
  <c r="M787" i="4"/>
  <c r="L787" i="4"/>
  <c r="K787" i="4"/>
  <c r="E787" i="4"/>
  <c r="F787" i="4"/>
  <c r="F802" i="4"/>
  <c r="E802" i="4"/>
  <c r="D802" i="4"/>
  <c r="K802" i="4"/>
  <c r="J802" i="4"/>
  <c r="L802" i="4"/>
  <c r="I802" i="4"/>
  <c r="H802" i="4"/>
  <c r="G802" i="4"/>
  <c r="C802" i="4"/>
  <c r="M802" i="4"/>
  <c r="H851" i="4"/>
  <c r="F908" i="4"/>
  <c r="E908" i="4"/>
  <c r="D908" i="4"/>
  <c r="C908" i="4"/>
  <c r="B908" i="4"/>
  <c r="K908" i="4"/>
  <c r="J908" i="4"/>
  <c r="M908" i="4"/>
  <c r="L908" i="4"/>
  <c r="G908" i="4"/>
  <c r="I908" i="4"/>
  <c r="F992" i="4"/>
  <c r="G992" i="4"/>
  <c r="J992" i="4"/>
  <c r="I992" i="4"/>
  <c r="D992" i="4"/>
  <c r="E992" i="4"/>
  <c r="C992" i="4"/>
  <c r="B992" i="4"/>
  <c r="M992" i="4"/>
  <c r="H992" i="4"/>
  <c r="E429" i="5"/>
  <c r="E508" i="5"/>
  <c r="M6" i="4"/>
  <c r="L19" i="4"/>
  <c r="L31" i="4"/>
  <c r="L43" i="4"/>
  <c r="L55" i="4"/>
  <c r="L67" i="4"/>
  <c r="L79" i="4"/>
  <c r="M90" i="4"/>
  <c r="M102" i="4"/>
  <c r="M114" i="4"/>
  <c r="L115" i="4"/>
  <c r="L127" i="4"/>
  <c r="M138" i="4"/>
  <c r="L139" i="4"/>
  <c r="L151" i="4"/>
  <c r="L163" i="4"/>
  <c r="L175" i="4"/>
  <c r="L187" i="4"/>
  <c r="L199" i="4"/>
  <c r="L211" i="4"/>
  <c r="L223" i="4"/>
  <c r="L235" i="4"/>
  <c r="L247" i="4"/>
  <c r="L259" i="4"/>
  <c r="L271" i="4"/>
  <c r="L283" i="4"/>
  <c r="L295" i="4"/>
  <c r="B305" i="4"/>
  <c r="L307" i="4"/>
  <c r="I432" i="4"/>
  <c r="E437" i="4"/>
  <c r="B437" i="4"/>
  <c r="E440" i="4"/>
  <c r="J445" i="4"/>
  <c r="B451" i="4"/>
  <c r="D454" i="4"/>
  <c r="J458" i="4"/>
  <c r="C463" i="4"/>
  <c r="L463" i="4"/>
  <c r="C464" i="4"/>
  <c r="D467" i="4"/>
  <c r="L472" i="4"/>
  <c r="I472" i="4"/>
  <c r="J472" i="4"/>
  <c r="E474" i="4"/>
  <c r="B478" i="4"/>
  <c r="D484" i="4"/>
  <c r="C489" i="4"/>
  <c r="L491" i="4"/>
  <c r="I499" i="4"/>
  <c r="F499" i="4"/>
  <c r="C499" i="4"/>
  <c r="L502" i="4"/>
  <c r="B505" i="4"/>
  <c r="E515" i="4"/>
  <c r="B515" i="4"/>
  <c r="H515" i="4"/>
  <c r="D515" i="4"/>
  <c r="F517" i="4"/>
  <c r="J518" i="4"/>
  <c r="B521" i="4"/>
  <c r="K524" i="4"/>
  <c r="L532" i="4"/>
  <c r="I532" i="4"/>
  <c r="J532" i="4"/>
  <c r="F532" i="4"/>
  <c r="D533" i="4"/>
  <c r="H534" i="4"/>
  <c r="G537" i="4"/>
  <c r="D537" i="4"/>
  <c r="B537" i="4"/>
  <c r="M537" i="4"/>
  <c r="G538" i="4"/>
  <c r="K541" i="4"/>
  <c r="K568" i="4"/>
  <c r="B570" i="4"/>
  <c r="K572" i="4"/>
  <c r="B574" i="4"/>
  <c r="B581" i="4"/>
  <c r="L583" i="4"/>
  <c r="B585" i="4"/>
  <c r="B592" i="4"/>
  <c r="L594" i="4"/>
  <c r="B596" i="4"/>
  <c r="J598" i="4"/>
  <c r="F604" i="4"/>
  <c r="J605" i="4"/>
  <c r="I607" i="4"/>
  <c r="F607" i="4"/>
  <c r="J607" i="4"/>
  <c r="E607" i="4"/>
  <c r="D608" i="4"/>
  <c r="J609" i="4"/>
  <c r="E611" i="4"/>
  <c r="B611" i="4"/>
  <c r="K611" i="4"/>
  <c r="F613" i="4"/>
  <c r="I614" i="4"/>
  <c r="K617" i="4"/>
  <c r="H617" i="4"/>
  <c r="F617" i="4"/>
  <c r="C617" i="4"/>
  <c r="E618" i="4"/>
  <c r="K619" i="4"/>
  <c r="G621" i="4"/>
  <c r="D621" i="4"/>
  <c r="L621" i="4"/>
  <c r="I621" i="4"/>
  <c r="E622" i="4"/>
  <c r="I623" i="4"/>
  <c r="F629" i="4"/>
  <c r="K630" i="4"/>
  <c r="H632" i="4"/>
  <c r="E632" i="4"/>
  <c r="D632" i="4"/>
  <c r="K632" i="4"/>
  <c r="G632" i="4"/>
  <c r="B641" i="4"/>
  <c r="K643" i="4"/>
  <c r="B645" i="4"/>
  <c r="C649" i="4"/>
  <c r="L649" i="4"/>
  <c r="K649" i="4"/>
  <c r="B649" i="4"/>
  <c r="M652" i="4"/>
  <c r="D654" i="4"/>
  <c r="B667" i="4"/>
  <c r="H671" i="4"/>
  <c r="C673" i="4"/>
  <c r="B673" i="4"/>
  <c r="K673" i="4"/>
  <c r="H673" i="4"/>
  <c r="G673" i="4"/>
  <c r="I673" i="4"/>
  <c r="D673" i="4"/>
  <c r="H684" i="4"/>
  <c r="D688" i="4"/>
  <c r="F691" i="4"/>
  <c r="I703" i="4"/>
  <c r="H703" i="4"/>
  <c r="B703" i="4"/>
  <c r="M703" i="4"/>
  <c r="L703" i="4"/>
  <c r="D703" i="4"/>
  <c r="C703" i="4"/>
  <c r="K703" i="4"/>
  <c r="K737" i="4"/>
  <c r="J737" i="4"/>
  <c r="L737" i="4"/>
  <c r="H737" i="4"/>
  <c r="G737" i="4"/>
  <c r="F737" i="4"/>
  <c r="C737" i="4"/>
  <c r="D737" i="4"/>
  <c r="B737" i="4"/>
  <c r="H776" i="4"/>
  <c r="G776" i="4"/>
  <c r="F776" i="4"/>
  <c r="M776" i="4"/>
  <c r="L776" i="4"/>
  <c r="K776" i="4"/>
  <c r="E776" i="4"/>
  <c r="D776" i="4"/>
  <c r="C787" i="4"/>
  <c r="E791" i="4"/>
  <c r="D791" i="4"/>
  <c r="C791" i="4"/>
  <c r="J791" i="4"/>
  <c r="M791" i="4"/>
  <c r="L791" i="4"/>
  <c r="K791" i="4"/>
  <c r="G791" i="4"/>
  <c r="I791" i="4"/>
  <c r="B791" i="4"/>
  <c r="B802" i="4"/>
  <c r="H908" i="4"/>
  <c r="C947" i="4"/>
  <c r="G947" i="4"/>
  <c r="D947" i="4"/>
  <c r="B947" i="4"/>
  <c r="K947" i="4"/>
  <c r="J947" i="4"/>
  <c r="I947" i="4"/>
  <c r="F947" i="4"/>
  <c r="L947" i="4"/>
  <c r="E947" i="4"/>
  <c r="K992" i="4"/>
  <c r="E165" i="5"/>
  <c r="E363" i="5"/>
  <c r="K432" i="4"/>
  <c r="F436" i="4"/>
  <c r="C436" i="4"/>
  <c r="F440" i="4"/>
  <c r="K445" i="4"/>
  <c r="E449" i="4"/>
  <c r="B449" i="4"/>
  <c r="D451" i="4"/>
  <c r="E454" i="4"/>
  <c r="K458" i="4"/>
  <c r="D464" i="4"/>
  <c r="E467" i="4"/>
  <c r="F474" i="4"/>
  <c r="E478" i="4"/>
  <c r="B482" i="4"/>
  <c r="K482" i="4"/>
  <c r="L482" i="4"/>
  <c r="H482" i="4"/>
  <c r="E484" i="4"/>
  <c r="E489" i="4"/>
  <c r="M491" i="4"/>
  <c r="C493" i="4"/>
  <c r="L493" i="4"/>
  <c r="J493" i="4"/>
  <c r="G493" i="4"/>
  <c r="M502" i="4"/>
  <c r="D505" i="4"/>
  <c r="K509" i="4"/>
  <c r="H509" i="4"/>
  <c r="J509" i="4"/>
  <c r="G517" i="4"/>
  <c r="L518" i="4"/>
  <c r="C521" i="4"/>
  <c r="L524" i="4"/>
  <c r="E533" i="4"/>
  <c r="K534" i="4"/>
  <c r="H538" i="4"/>
  <c r="M541" i="4"/>
  <c r="I547" i="4"/>
  <c r="F547" i="4"/>
  <c r="M547" i="4"/>
  <c r="J547" i="4"/>
  <c r="C553" i="4"/>
  <c r="L553" i="4"/>
  <c r="F553" i="4"/>
  <c r="B553" i="4"/>
  <c r="J558" i="4"/>
  <c r="G558" i="4"/>
  <c r="K558" i="4"/>
  <c r="F558" i="4"/>
  <c r="E563" i="4"/>
  <c r="B563" i="4"/>
  <c r="C563" i="4"/>
  <c r="M563" i="4"/>
  <c r="M568" i="4"/>
  <c r="C570" i="4"/>
  <c r="M572" i="4"/>
  <c r="D574" i="4"/>
  <c r="C581" i="4"/>
  <c r="M583" i="4"/>
  <c r="C585" i="4"/>
  <c r="D592" i="4"/>
  <c r="M594" i="4"/>
  <c r="C596" i="4"/>
  <c r="L598" i="4"/>
  <c r="C601" i="4"/>
  <c r="L601" i="4"/>
  <c r="D601" i="4"/>
  <c r="G604" i="4"/>
  <c r="L605" i="4"/>
  <c r="F608" i="4"/>
  <c r="K609" i="4"/>
  <c r="G613" i="4"/>
  <c r="J614" i="4"/>
  <c r="F618" i="4"/>
  <c r="L619" i="4"/>
  <c r="G622" i="4"/>
  <c r="J623" i="4"/>
  <c r="G629" i="4"/>
  <c r="L630" i="4"/>
  <c r="C641" i="4"/>
  <c r="L643" i="4"/>
  <c r="E645" i="4"/>
  <c r="K653" i="4"/>
  <c r="H653" i="4"/>
  <c r="G653" i="4"/>
  <c r="L653" i="4"/>
  <c r="F653" i="4"/>
  <c r="E654" i="4"/>
  <c r="G657" i="4"/>
  <c r="H657" i="4"/>
  <c r="D657" i="4"/>
  <c r="C657" i="4"/>
  <c r="I657" i="4"/>
  <c r="B657" i="4"/>
  <c r="D667" i="4"/>
  <c r="J671" i="4"/>
  <c r="I684" i="4"/>
  <c r="E688" i="4"/>
  <c r="J691" i="4"/>
  <c r="D708" i="4"/>
  <c r="C708" i="4"/>
  <c r="I708" i="4"/>
  <c r="F708" i="4"/>
  <c r="E708" i="4"/>
  <c r="K708" i="4"/>
  <c r="J708" i="4"/>
  <c r="G708" i="4"/>
  <c r="B708" i="4"/>
  <c r="D787" i="4"/>
  <c r="B888" i="4"/>
  <c r="F888" i="4"/>
  <c r="L888" i="4"/>
  <c r="K888" i="4"/>
  <c r="J888" i="4"/>
  <c r="H888" i="4"/>
  <c r="D888" i="4"/>
  <c r="C888" i="4"/>
  <c r="M888" i="4"/>
  <c r="I888" i="4"/>
  <c r="G888" i="4"/>
  <c r="E114" i="5"/>
  <c r="E133" i="5"/>
  <c r="E397" i="5"/>
  <c r="E408" i="5"/>
  <c r="K797" i="4"/>
  <c r="J797" i="4"/>
  <c r="I797" i="4"/>
  <c r="D797" i="4"/>
  <c r="C797" i="4"/>
  <c r="M797" i="4"/>
  <c r="G797" i="4"/>
  <c r="H882" i="4"/>
  <c r="E882" i="4"/>
  <c r="D882" i="4"/>
  <c r="C882" i="4"/>
  <c r="B882" i="4"/>
  <c r="K882" i="4"/>
  <c r="J882" i="4"/>
  <c r="M882" i="4"/>
  <c r="L882" i="4"/>
  <c r="F882" i="4"/>
  <c r="I917" i="4"/>
  <c r="E917" i="4"/>
  <c r="M917" i="4"/>
  <c r="L917" i="4"/>
  <c r="J917" i="4"/>
  <c r="F917" i="4"/>
  <c r="D917" i="4"/>
  <c r="K917" i="4"/>
  <c r="H917" i="4"/>
  <c r="B917" i="4"/>
  <c r="E72" i="5"/>
  <c r="E108" i="5"/>
  <c r="G753" i="4"/>
  <c r="F753" i="4"/>
  <c r="E753" i="4"/>
  <c r="J753" i="4"/>
  <c r="H753" i="4"/>
  <c r="D753" i="4"/>
  <c r="C753" i="4"/>
  <c r="E767" i="4"/>
  <c r="D767" i="4"/>
  <c r="C767" i="4"/>
  <c r="L767" i="4"/>
  <c r="K767" i="4"/>
  <c r="J767" i="4"/>
  <c r="I767" i="4"/>
  <c r="H767" i="4"/>
  <c r="B767" i="4"/>
  <c r="I845" i="4"/>
  <c r="E845" i="4"/>
  <c r="G845" i="4"/>
  <c r="F845" i="4"/>
  <c r="D845" i="4"/>
  <c r="B845" i="4"/>
  <c r="M845" i="4"/>
  <c r="L845" i="4"/>
  <c r="H845" i="4"/>
  <c r="B948" i="4"/>
  <c r="G948" i="4"/>
  <c r="E948" i="4"/>
  <c r="D948" i="4"/>
  <c r="M948" i="4"/>
  <c r="L948" i="4"/>
  <c r="J948" i="4"/>
  <c r="F948" i="4"/>
  <c r="C948" i="4"/>
  <c r="K948" i="4"/>
  <c r="I948" i="4"/>
  <c r="H948" i="4"/>
  <c r="E157" i="5"/>
  <c r="E325" i="5"/>
  <c r="E336" i="5"/>
  <c r="E79" i="8"/>
  <c r="F79" i="8" s="1"/>
  <c r="G141" i="8"/>
  <c r="H141" i="8"/>
  <c r="D141" i="8"/>
  <c r="C141" i="8"/>
  <c r="E141" i="8" s="1"/>
  <c r="F141" i="8" s="1"/>
  <c r="M438" i="4"/>
  <c r="M450" i="4"/>
  <c r="M462" i="4"/>
  <c r="H476" i="4"/>
  <c r="E476" i="4"/>
  <c r="H488" i="4"/>
  <c r="E488" i="4"/>
  <c r="H500" i="4"/>
  <c r="E500" i="4"/>
  <c r="G513" i="4"/>
  <c r="D513" i="4"/>
  <c r="F526" i="4"/>
  <c r="C526" i="4"/>
  <c r="E539" i="4"/>
  <c r="B539" i="4"/>
  <c r="B566" i="4"/>
  <c r="K566" i="4"/>
  <c r="B578" i="4"/>
  <c r="K578" i="4"/>
  <c r="B590" i="4"/>
  <c r="K590" i="4"/>
  <c r="B602" i="4"/>
  <c r="K602" i="4"/>
  <c r="L628" i="4"/>
  <c r="I628" i="4"/>
  <c r="C637" i="4"/>
  <c r="L637" i="4"/>
  <c r="K637" i="4"/>
  <c r="B650" i="4"/>
  <c r="K650" i="4"/>
  <c r="J650" i="4"/>
  <c r="D660" i="4"/>
  <c r="C660" i="4"/>
  <c r="K660" i="4"/>
  <c r="H660" i="4"/>
  <c r="G660" i="4"/>
  <c r="J678" i="4"/>
  <c r="I678" i="4"/>
  <c r="B678" i="4"/>
  <c r="M678" i="4"/>
  <c r="L678" i="4"/>
  <c r="L712" i="4"/>
  <c r="K712" i="4"/>
  <c r="M712" i="4"/>
  <c r="I712" i="4"/>
  <c r="H712" i="4"/>
  <c r="G712" i="4"/>
  <c r="J726" i="4"/>
  <c r="I726" i="4"/>
  <c r="L726" i="4"/>
  <c r="K726" i="4"/>
  <c r="H726" i="4"/>
  <c r="B753" i="4"/>
  <c r="F767" i="4"/>
  <c r="H797" i="4"/>
  <c r="E803" i="4"/>
  <c r="D803" i="4"/>
  <c r="C803" i="4"/>
  <c r="J803" i="4"/>
  <c r="I803" i="4"/>
  <c r="M803" i="4"/>
  <c r="L803" i="4"/>
  <c r="G803" i="4"/>
  <c r="C845" i="4"/>
  <c r="E337" i="5"/>
  <c r="E197" i="8"/>
  <c r="F197" i="8" s="1"/>
  <c r="I775" i="4"/>
  <c r="H775" i="4"/>
  <c r="G775" i="4"/>
  <c r="M775" i="4"/>
  <c r="L775" i="4"/>
  <c r="K775" i="4"/>
  <c r="J775" i="4"/>
  <c r="F775" i="4"/>
  <c r="C775" i="4"/>
  <c r="K843" i="4"/>
  <c r="E843" i="4"/>
  <c r="D843" i="4"/>
  <c r="C843" i="4"/>
  <c r="B843" i="4"/>
  <c r="J843" i="4"/>
  <c r="I843" i="4"/>
  <c r="M843" i="4"/>
  <c r="G843" i="4"/>
  <c r="H858" i="4"/>
  <c r="E858" i="4"/>
  <c r="G858" i="4"/>
  <c r="F858" i="4"/>
  <c r="D858" i="4"/>
  <c r="B858" i="4"/>
  <c r="M858" i="4"/>
  <c r="L858" i="4"/>
  <c r="I858" i="4"/>
  <c r="J928" i="4"/>
  <c r="E928" i="4"/>
  <c r="L928" i="4"/>
  <c r="K928" i="4"/>
  <c r="I928" i="4"/>
  <c r="G928" i="4"/>
  <c r="C928" i="4"/>
  <c r="B928" i="4"/>
  <c r="M928" i="4"/>
  <c r="H928" i="4"/>
  <c r="F928" i="4"/>
  <c r="B936" i="4"/>
  <c r="G936" i="4"/>
  <c r="F936" i="4"/>
  <c r="I936" i="4"/>
  <c r="H936" i="4"/>
  <c r="E936" i="4"/>
  <c r="C936" i="4"/>
  <c r="M936" i="4"/>
  <c r="L936" i="4"/>
  <c r="D936" i="4"/>
  <c r="D994" i="4"/>
  <c r="G994" i="4"/>
  <c r="L994" i="4"/>
  <c r="K994" i="4"/>
  <c r="H994" i="4"/>
  <c r="M994" i="4"/>
  <c r="F994" i="4"/>
  <c r="E994" i="4"/>
  <c r="J994" i="4"/>
  <c r="E169" i="5"/>
  <c r="E348" i="5"/>
  <c r="E707" i="4"/>
  <c r="D707" i="4"/>
  <c r="H707" i="4"/>
  <c r="C707" i="4"/>
  <c r="B707" i="4"/>
  <c r="E719" i="4"/>
  <c r="D719" i="4"/>
  <c r="H719" i="4"/>
  <c r="F719" i="4"/>
  <c r="C719" i="4"/>
  <c r="B719" i="4"/>
  <c r="K753" i="4"/>
  <c r="M767" i="4"/>
  <c r="K773" i="4"/>
  <c r="J773" i="4"/>
  <c r="I773" i="4"/>
  <c r="F773" i="4"/>
  <c r="E773" i="4"/>
  <c r="D773" i="4"/>
  <c r="C773" i="4"/>
  <c r="B773" i="4"/>
  <c r="B775" i="4"/>
  <c r="F843" i="4"/>
  <c r="K845" i="4"/>
  <c r="C858" i="4"/>
  <c r="K915" i="4"/>
  <c r="E915" i="4"/>
  <c r="L915" i="4"/>
  <c r="J915" i="4"/>
  <c r="I915" i="4"/>
  <c r="G915" i="4"/>
  <c r="C915" i="4"/>
  <c r="B915" i="4"/>
  <c r="M915" i="4"/>
  <c r="H915" i="4"/>
  <c r="F915" i="4"/>
  <c r="C923" i="4"/>
  <c r="F923" i="4"/>
  <c r="H923" i="4"/>
  <c r="G923" i="4"/>
  <c r="E923" i="4"/>
  <c r="B923" i="4"/>
  <c r="M923" i="4"/>
  <c r="L923" i="4"/>
  <c r="K923" i="4"/>
  <c r="D923" i="4"/>
  <c r="D928" i="4"/>
  <c r="J936" i="4"/>
  <c r="B994" i="4"/>
  <c r="E67" i="5"/>
  <c r="H91" i="8"/>
  <c r="G91" i="8"/>
  <c r="C91" i="8"/>
  <c r="E91" i="8" s="1"/>
  <c r="F91" i="8" s="1"/>
  <c r="D91" i="8"/>
  <c r="K473" i="4"/>
  <c r="H473" i="4"/>
  <c r="D476" i="4"/>
  <c r="K485" i="4"/>
  <c r="H485" i="4"/>
  <c r="D488" i="4"/>
  <c r="K497" i="4"/>
  <c r="H497" i="4"/>
  <c r="D500" i="4"/>
  <c r="J510" i="4"/>
  <c r="G510" i="4"/>
  <c r="E513" i="4"/>
  <c r="I523" i="4"/>
  <c r="F523" i="4"/>
  <c r="E526" i="4"/>
  <c r="H536" i="4"/>
  <c r="E536" i="4"/>
  <c r="F539" i="4"/>
  <c r="G549" i="4"/>
  <c r="D549" i="4"/>
  <c r="F562" i="4"/>
  <c r="C562" i="4"/>
  <c r="E566" i="4"/>
  <c r="E575" i="4"/>
  <c r="B575" i="4"/>
  <c r="E578" i="4"/>
  <c r="E587" i="4"/>
  <c r="B587" i="4"/>
  <c r="E590" i="4"/>
  <c r="E599" i="4"/>
  <c r="B599" i="4"/>
  <c r="E602" i="4"/>
  <c r="C625" i="4"/>
  <c r="L625" i="4"/>
  <c r="D628" i="4"/>
  <c r="E637" i="4"/>
  <c r="J642" i="4"/>
  <c r="G642" i="4"/>
  <c r="F642" i="4"/>
  <c r="E650" i="4"/>
  <c r="I655" i="4"/>
  <c r="F655" i="4"/>
  <c r="E655" i="4"/>
  <c r="F660" i="4"/>
  <c r="L664" i="4"/>
  <c r="K664" i="4"/>
  <c r="I664" i="4"/>
  <c r="H664" i="4"/>
  <c r="D672" i="4"/>
  <c r="C672" i="4"/>
  <c r="J672" i="4"/>
  <c r="G672" i="4"/>
  <c r="F672" i="4"/>
  <c r="E678" i="4"/>
  <c r="F694" i="4"/>
  <c r="E694" i="4"/>
  <c r="H694" i="4"/>
  <c r="C694" i="4"/>
  <c r="B694" i="4"/>
  <c r="C697" i="4"/>
  <c r="B697" i="4"/>
  <c r="K697" i="4"/>
  <c r="H697" i="4"/>
  <c r="G697" i="4"/>
  <c r="F707" i="4"/>
  <c r="D712" i="4"/>
  <c r="G719" i="4"/>
  <c r="D726" i="4"/>
  <c r="K749" i="4"/>
  <c r="J749" i="4"/>
  <c r="I749" i="4"/>
  <c r="L749" i="4"/>
  <c r="H749" i="4"/>
  <c r="G749" i="4"/>
  <c r="D749" i="4"/>
  <c r="L753" i="4"/>
  <c r="D768" i="4"/>
  <c r="C768" i="4"/>
  <c r="B768" i="4"/>
  <c r="M768" i="4"/>
  <c r="L768" i="4"/>
  <c r="K768" i="4"/>
  <c r="J768" i="4"/>
  <c r="G768" i="4"/>
  <c r="G773" i="4"/>
  <c r="D775" i="4"/>
  <c r="E779" i="4"/>
  <c r="D779" i="4"/>
  <c r="C779" i="4"/>
  <c r="I779" i="4"/>
  <c r="H779" i="4"/>
  <c r="G779" i="4"/>
  <c r="F779" i="4"/>
  <c r="B779" i="4"/>
  <c r="H803" i="4"/>
  <c r="H843" i="4"/>
  <c r="J856" i="4"/>
  <c r="E856" i="4"/>
  <c r="D856" i="4"/>
  <c r="C856" i="4"/>
  <c r="B856" i="4"/>
  <c r="K856" i="4"/>
  <c r="I856" i="4"/>
  <c r="M856" i="4"/>
  <c r="G856" i="4"/>
  <c r="J858" i="4"/>
  <c r="G871" i="4"/>
  <c r="E871" i="4"/>
  <c r="H871" i="4"/>
  <c r="F871" i="4"/>
  <c r="D871" i="4"/>
  <c r="B871" i="4"/>
  <c r="M871" i="4"/>
  <c r="L871" i="4"/>
  <c r="I871" i="4"/>
  <c r="L902" i="4"/>
  <c r="E902" i="4"/>
  <c r="K902" i="4"/>
  <c r="J902" i="4"/>
  <c r="I902" i="4"/>
  <c r="G902" i="4"/>
  <c r="C902" i="4"/>
  <c r="B902" i="4"/>
  <c r="M902" i="4"/>
  <c r="H902" i="4"/>
  <c r="F902" i="4"/>
  <c r="D910" i="4"/>
  <c r="F910" i="4"/>
  <c r="H910" i="4"/>
  <c r="G910" i="4"/>
  <c r="E910" i="4"/>
  <c r="B910" i="4"/>
  <c r="M910" i="4"/>
  <c r="L910" i="4"/>
  <c r="K910" i="4"/>
  <c r="C910" i="4"/>
  <c r="D915" i="4"/>
  <c r="I923" i="4"/>
  <c r="K936" i="4"/>
  <c r="C994" i="4"/>
  <c r="E94" i="5"/>
  <c r="E402" i="5"/>
  <c r="J774" i="4"/>
  <c r="I774" i="4"/>
  <c r="H774" i="4"/>
  <c r="J777" i="4"/>
  <c r="D780" i="4"/>
  <c r="C780" i="4"/>
  <c r="B780" i="4"/>
  <c r="J786" i="4"/>
  <c r="I786" i="4"/>
  <c r="H786" i="4"/>
  <c r="C786" i="4"/>
  <c r="F790" i="4"/>
  <c r="E790" i="4"/>
  <c r="D790" i="4"/>
  <c r="K790" i="4"/>
  <c r="L796" i="4"/>
  <c r="K796" i="4"/>
  <c r="J796" i="4"/>
  <c r="E796" i="4"/>
  <c r="D796" i="4"/>
  <c r="E849" i="4"/>
  <c r="F849" i="4"/>
  <c r="L849" i="4"/>
  <c r="K849" i="4"/>
  <c r="J849" i="4"/>
  <c r="H849" i="4"/>
  <c r="C849" i="4"/>
  <c r="B849" i="4"/>
  <c r="D862" i="4"/>
  <c r="F862" i="4"/>
  <c r="L862" i="4"/>
  <c r="K862" i="4"/>
  <c r="J862" i="4"/>
  <c r="H862" i="4"/>
  <c r="C862" i="4"/>
  <c r="B862" i="4"/>
  <c r="C875" i="4"/>
  <c r="F875" i="4"/>
  <c r="L875" i="4"/>
  <c r="K875" i="4"/>
  <c r="J875" i="4"/>
  <c r="H875" i="4"/>
  <c r="D875" i="4"/>
  <c r="B875" i="4"/>
  <c r="I953" i="4"/>
  <c r="F953" i="4"/>
  <c r="J953" i="4"/>
  <c r="H953" i="4"/>
  <c r="M953" i="4"/>
  <c r="L953" i="4"/>
  <c r="G953" i="4"/>
  <c r="C953" i="4"/>
  <c r="B953" i="4"/>
  <c r="I965" i="4"/>
  <c r="F965" i="4"/>
  <c r="H965" i="4"/>
  <c r="G965" i="4"/>
  <c r="C965" i="4"/>
  <c r="E965" i="4"/>
  <c r="D965" i="4"/>
  <c r="B965" i="4"/>
  <c r="M965" i="4"/>
  <c r="F980" i="4"/>
  <c r="G980" i="4"/>
  <c r="K980" i="4"/>
  <c r="J980" i="4"/>
  <c r="E980" i="4"/>
  <c r="D980" i="4"/>
  <c r="C980" i="4"/>
  <c r="B980" i="4"/>
  <c r="M980" i="4"/>
  <c r="E60" i="5"/>
  <c r="E204" i="5"/>
  <c r="E328" i="5"/>
  <c r="E447" i="5"/>
  <c r="E498" i="5"/>
  <c r="H31" i="8"/>
  <c r="G31" i="8"/>
  <c r="D31" i="8"/>
  <c r="C31" i="8"/>
  <c r="E31" i="8" s="1"/>
  <c r="F31" i="8" s="1"/>
  <c r="M635" i="4"/>
  <c r="M647" i="4"/>
  <c r="G669" i="4"/>
  <c r="F669" i="4"/>
  <c r="G681" i="4"/>
  <c r="F681" i="4"/>
  <c r="G693" i="4"/>
  <c r="F693" i="4"/>
  <c r="F706" i="4"/>
  <c r="E706" i="4"/>
  <c r="F718" i="4"/>
  <c r="E718" i="4"/>
  <c r="E731" i="4"/>
  <c r="D731" i="4"/>
  <c r="D744" i="4"/>
  <c r="C744" i="4"/>
  <c r="H752" i="4"/>
  <c r="G752" i="4"/>
  <c r="F752" i="4"/>
  <c r="G765" i="4"/>
  <c r="F765" i="4"/>
  <c r="E765" i="4"/>
  <c r="D774" i="4"/>
  <c r="G780" i="4"/>
  <c r="K785" i="4"/>
  <c r="J785" i="4"/>
  <c r="I785" i="4"/>
  <c r="D785" i="4"/>
  <c r="E786" i="4"/>
  <c r="G789" i="4"/>
  <c r="F789" i="4"/>
  <c r="E789" i="4"/>
  <c r="L789" i="4"/>
  <c r="G790" i="4"/>
  <c r="F796" i="4"/>
  <c r="G813" i="4"/>
  <c r="F813" i="4"/>
  <c r="E813" i="4"/>
  <c r="L813" i="4"/>
  <c r="K813" i="4"/>
  <c r="D816" i="4"/>
  <c r="C816" i="4"/>
  <c r="B816" i="4"/>
  <c r="I816" i="4"/>
  <c r="H816" i="4"/>
  <c r="H846" i="4"/>
  <c r="E846" i="4"/>
  <c r="I846" i="4"/>
  <c r="G846" i="4"/>
  <c r="F846" i="4"/>
  <c r="C846" i="4"/>
  <c r="M846" i="4"/>
  <c r="I849" i="4"/>
  <c r="G859" i="4"/>
  <c r="E859" i="4"/>
  <c r="I859" i="4"/>
  <c r="H859" i="4"/>
  <c r="F859" i="4"/>
  <c r="C859" i="4"/>
  <c r="M859" i="4"/>
  <c r="I862" i="4"/>
  <c r="F872" i="4"/>
  <c r="E872" i="4"/>
  <c r="I872" i="4"/>
  <c r="H872" i="4"/>
  <c r="G872" i="4"/>
  <c r="C872" i="4"/>
  <c r="M872" i="4"/>
  <c r="I875" i="4"/>
  <c r="K951" i="4"/>
  <c r="F951" i="4"/>
  <c r="G951" i="4"/>
  <c r="E951" i="4"/>
  <c r="D951" i="4"/>
  <c r="C951" i="4"/>
  <c r="B951" i="4"/>
  <c r="M951" i="4"/>
  <c r="L951" i="4"/>
  <c r="K953" i="4"/>
  <c r="L965" i="4"/>
  <c r="F968" i="4"/>
  <c r="G968" i="4"/>
  <c r="L968" i="4"/>
  <c r="K968" i="4"/>
  <c r="H968" i="4"/>
  <c r="D968" i="4"/>
  <c r="C968" i="4"/>
  <c r="B968" i="4"/>
  <c r="M968" i="4"/>
  <c r="L980" i="4"/>
  <c r="C983" i="4"/>
  <c r="G983" i="4"/>
  <c r="M983" i="4"/>
  <c r="J983" i="4"/>
  <c r="E983" i="4"/>
  <c r="D983" i="4"/>
  <c r="B983" i="4"/>
  <c r="L983" i="4"/>
  <c r="K983" i="4"/>
  <c r="I1001" i="4"/>
  <c r="F1001" i="4"/>
  <c r="D1001" i="4"/>
  <c r="C1001" i="4"/>
  <c r="J1001" i="4"/>
  <c r="H1001" i="4"/>
  <c r="G1001" i="4"/>
  <c r="B1001" i="4"/>
  <c r="E30" i="5"/>
  <c r="E42" i="5"/>
  <c r="E55" i="5"/>
  <c r="E118" i="5"/>
  <c r="E214" i="5"/>
  <c r="E231" i="5"/>
  <c r="E450" i="5"/>
  <c r="J471" i="4"/>
  <c r="M480" i="4"/>
  <c r="J483" i="4"/>
  <c r="M492" i="4"/>
  <c r="J495" i="4"/>
  <c r="J507" i="4"/>
  <c r="J519" i="4"/>
  <c r="J531" i="4"/>
  <c r="J543" i="4"/>
  <c r="M552" i="4"/>
  <c r="J567" i="4"/>
  <c r="M576" i="4"/>
  <c r="J579" i="4"/>
  <c r="M588" i="4"/>
  <c r="J591" i="4"/>
  <c r="M600" i="4"/>
  <c r="M612" i="4"/>
  <c r="J615" i="4"/>
  <c r="J627" i="4"/>
  <c r="B635" i="4"/>
  <c r="J639" i="4"/>
  <c r="B647" i="4"/>
  <c r="M648" i="4"/>
  <c r="J651" i="4"/>
  <c r="H668" i="4"/>
  <c r="G668" i="4"/>
  <c r="B669" i="4"/>
  <c r="H680" i="4"/>
  <c r="G680" i="4"/>
  <c r="B681" i="4"/>
  <c r="H692" i="4"/>
  <c r="G692" i="4"/>
  <c r="B693" i="4"/>
  <c r="G705" i="4"/>
  <c r="F705" i="4"/>
  <c r="B706" i="4"/>
  <c r="G717" i="4"/>
  <c r="F717" i="4"/>
  <c r="B718" i="4"/>
  <c r="F730" i="4"/>
  <c r="E730" i="4"/>
  <c r="B731" i="4"/>
  <c r="E743" i="4"/>
  <c r="D743" i="4"/>
  <c r="B744" i="4"/>
  <c r="B752" i="4"/>
  <c r="B765" i="4"/>
  <c r="L772" i="4"/>
  <c r="K772" i="4"/>
  <c r="J772" i="4"/>
  <c r="E774" i="4"/>
  <c r="F778" i="4"/>
  <c r="E778" i="4"/>
  <c r="D778" i="4"/>
  <c r="H780" i="4"/>
  <c r="B785" i="4"/>
  <c r="F786" i="4"/>
  <c r="B789" i="4"/>
  <c r="H790" i="4"/>
  <c r="G796" i="4"/>
  <c r="J798" i="4"/>
  <c r="I798" i="4"/>
  <c r="H798" i="4"/>
  <c r="C798" i="4"/>
  <c r="B798" i="4"/>
  <c r="B813" i="4"/>
  <c r="E816" i="4"/>
  <c r="B846" i="4"/>
  <c r="M849" i="4"/>
  <c r="B859" i="4"/>
  <c r="M862" i="4"/>
  <c r="B872" i="4"/>
  <c r="M875" i="4"/>
  <c r="E885" i="4"/>
  <c r="F885" i="4"/>
  <c r="I885" i="4"/>
  <c r="H885" i="4"/>
  <c r="G885" i="4"/>
  <c r="C885" i="4"/>
  <c r="M885" i="4"/>
  <c r="D898" i="4"/>
  <c r="F898" i="4"/>
  <c r="I898" i="4"/>
  <c r="H898" i="4"/>
  <c r="G898" i="4"/>
  <c r="C898" i="4"/>
  <c r="M898" i="4"/>
  <c r="C911" i="4"/>
  <c r="F911" i="4"/>
  <c r="I911" i="4"/>
  <c r="H911" i="4"/>
  <c r="G911" i="4"/>
  <c r="D911" i="4"/>
  <c r="M911" i="4"/>
  <c r="B924" i="4"/>
  <c r="F924" i="4"/>
  <c r="I924" i="4"/>
  <c r="H924" i="4"/>
  <c r="G924" i="4"/>
  <c r="D924" i="4"/>
  <c r="M924" i="4"/>
  <c r="H951" i="4"/>
  <c r="E968" i="4"/>
  <c r="L974" i="4"/>
  <c r="F974" i="4"/>
  <c r="C974" i="4"/>
  <c r="B974" i="4"/>
  <c r="M974" i="4"/>
  <c r="I974" i="4"/>
  <c r="H974" i="4"/>
  <c r="G974" i="4"/>
  <c r="D974" i="4"/>
  <c r="F983" i="4"/>
  <c r="K987" i="4"/>
  <c r="F987" i="4"/>
  <c r="C987" i="4"/>
  <c r="B987" i="4"/>
  <c r="M987" i="4"/>
  <c r="L987" i="4"/>
  <c r="I987" i="4"/>
  <c r="E987" i="4"/>
  <c r="D987" i="4"/>
  <c r="E1001" i="4"/>
  <c r="E43" i="5"/>
  <c r="E76" i="5"/>
  <c r="E91" i="5"/>
  <c r="E207" i="5"/>
  <c r="E259" i="5"/>
  <c r="H331" i="8"/>
  <c r="G331" i="8"/>
  <c r="D331" i="8"/>
  <c r="C331" i="8"/>
  <c r="E331" i="8" s="1"/>
  <c r="F331" i="8" s="1"/>
  <c r="H1017" i="8"/>
  <c r="G1017" i="8"/>
  <c r="C1017" i="8"/>
  <c r="D1017" i="8"/>
  <c r="H716" i="4"/>
  <c r="G716" i="4"/>
  <c r="G729" i="4"/>
  <c r="F729" i="4"/>
  <c r="F742" i="4"/>
  <c r="E742" i="4"/>
  <c r="I751" i="4"/>
  <c r="H751" i="4"/>
  <c r="G751" i="4"/>
  <c r="H764" i="4"/>
  <c r="G764" i="4"/>
  <c r="F764" i="4"/>
  <c r="F774" i="4"/>
  <c r="I780" i="4"/>
  <c r="G786" i="4"/>
  <c r="I790" i="4"/>
  <c r="H796" i="4"/>
  <c r="G801" i="4"/>
  <c r="F801" i="4"/>
  <c r="E801" i="4"/>
  <c r="L801" i="4"/>
  <c r="K801" i="4"/>
  <c r="D804" i="4"/>
  <c r="C804" i="4"/>
  <c r="B804" i="4"/>
  <c r="I804" i="4"/>
  <c r="H804" i="4"/>
  <c r="D850" i="4"/>
  <c r="F850" i="4"/>
  <c r="M850" i="4"/>
  <c r="L850" i="4"/>
  <c r="K850" i="4"/>
  <c r="I850" i="4"/>
  <c r="E850" i="4"/>
  <c r="C850" i="4"/>
  <c r="C863" i="4"/>
  <c r="F863" i="4"/>
  <c r="M863" i="4"/>
  <c r="L863" i="4"/>
  <c r="K863" i="4"/>
  <c r="I863" i="4"/>
  <c r="E863" i="4"/>
  <c r="D863" i="4"/>
  <c r="B876" i="4"/>
  <c r="F876" i="4"/>
  <c r="M876" i="4"/>
  <c r="L876" i="4"/>
  <c r="K876" i="4"/>
  <c r="I876" i="4"/>
  <c r="E876" i="4"/>
  <c r="D876" i="4"/>
  <c r="I951" i="4"/>
  <c r="F956" i="4"/>
  <c r="G956" i="4"/>
  <c r="M956" i="4"/>
  <c r="L956" i="4"/>
  <c r="I956" i="4"/>
  <c r="H956" i="4"/>
  <c r="E956" i="4"/>
  <c r="C956" i="4"/>
  <c r="L962" i="4"/>
  <c r="F962" i="4"/>
  <c r="D962" i="4"/>
  <c r="C962" i="4"/>
  <c r="I962" i="4"/>
  <c r="H962" i="4"/>
  <c r="G962" i="4"/>
  <c r="B962" i="4"/>
  <c r="I968" i="4"/>
  <c r="H983" i="4"/>
  <c r="K1001" i="4"/>
  <c r="E85" i="5"/>
  <c r="E135" i="5"/>
  <c r="E159" i="5"/>
  <c r="E352" i="5"/>
  <c r="E424" i="5"/>
  <c r="E492" i="5"/>
  <c r="D15" i="6"/>
  <c r="F15" i="6"/>
  <c r="D59" i="8"/>
  <c r="C59" i="8"/>
  <c r="H59" i="8"/>
  <c r="G59" i="8"/>
  <c r="G777" i="4"/>
  <c r="F777" i="4"/>
  <c r="E777" i="4"/>
  <c r="L784" i="4"/>
  <c r="K784" i="4"/>
  <c r="J784" i="4"/>
  <c r="E784" i="4"/>
  <c r="D792" i="4"/>
  <c r="C792" i="4"/>
  <c r="B792" i="4"/>
  <c r="I792" i="4"/>
  <c r="K809" i="4"/>
  <c r="J809" i="4"/>
  <c r="I809" i="4"/>
  <c r="D809" i="4"/>
  <c r="C809" i="4"/>
  <c r="L890" i="4"/>
  <c r="E890" i="4"/>
  <c r="M890" i="4"/>
  <c r="K890" i="4"/>
  <c r="J890" i="4"/>
  <c r="H890" i="4"/>
  <c r="D890" i="4"/>
  <c r="C890" i="4"/>
  <c r="K903" i="4"/>
  <c r="E903" i="4"/>
  <c r="M903" i="4"/>
  <c r="L903" i="4"/>
  <c r="J903" i="4"/>
  <c r="H903" i="4"/>
  <c r="D903" i="4"/>
  <c r="C903" i="4"/>
  <c r="J916" i="4"/>
  <c r="E916" i="4"/>
  <c r="M916" i="4"/>
  <c r="L916" i="4"/>
  <c r="K916" i="4"/>
  <c r="H916" i="4"/>
  <c r="D916" i="4"/>
  <c r="C916" i="4"/>
  <c r="I929" i="4"/>
  <c r="E929" i="4"/>
  <c r="M929" i="4"/>
  <c r="L929" i="4"/>
  <c r="K929" i="4"/>
  <c r="H929" i="4"/>
  <c r="D929" i="4"/>
  <c r="C929" i="4"/>
  <c r="G991" i="4"/>
  <c r="F991" i="4"/>
  <c r="I991" i="4"/>
  <c r="H991" i="4"/>
  <c r="C991" i="4"/>
  <c r="M991" i="4"/>
  <c r="J991" i="4"/>
  <c r="E991" i="4"/>
  <c r="E199" i="5"/>
  <c r="D11" i="6"/>
  <c r="F12" i="6"/>
  <c r="H93" i="8"/>
  <c r="G93" i="8"/>
  <c r="C93" i="8"/>
  <c r="E93" i="8" s="1"/>
  <c r="F93" i="8" s="1"/>
  <c r="D93" i="8"/>
  <c r="K665" i="4"/>
  <c r="J665" i="4"/>
  <c r="E669" i="4"/>
  <c r="K677" i="4"/>
  <c r="J677" i="4"/>
  <c r="E681" i="4"/>
  <c r="K689" i="4"/>
  <c r="J689" i="4"/>
  <c r="E693" i="4"/>
  <c r="J702" i="4"/>
  <c r="I702" i="4"/>
  <c r="G706" i="4"/>
  <c r="J714" i="4"/>
  <c r="I714" i="4"/>
  <c r="C716" i="4"/>
  <c r="G718" i="4"/>
  <c r="I727" i="4"/>
  <c r="H727" i="4"/>
  <c r="C729" i="4"/>
  <c r="G731" i="4"/>
  <c r="H740" i="4"/>
  <c r="G740" i="4"/>
  <c r="C742" i="4"/>
  <c r="G744" i="4"/>
  <c r="J750" i="4"/>
  <c r="I750" i="4"/>
  <c r="H750" i="4"/>
  <c r="C751" i="4"/>
  <c r="E752" i="4"/>
  <c r="D756" i="4"/>
  <c r="C756" i="4"/>
  <c r="B756" i="4"/>
  <c r="I763" i="4"/>
  <c r="H763" i="4"/>
  <c r="G763" i="4"/>
  <c r="C764" i="4"/>
  <c r="H765" i="4"/>
  <c r="D772" i="4"/>
  <c r="K774" i="4"/>
  <c r="B777" i="4"/>
  <c r="G778" i="4"/>
  <c r="K780" i="4"/>
  <c r="B784" i="4"/>
  <c r="F785" i="4"/>
  <c r="L786" i="4"/>
  <c r="H789" i="4"/>
  <c r="L790" i="4"/>
  <c r="E792" i="4"/>
  <c r="M796" i="4"/>
  <c r="F798" i="4"/>
  <c r="C801" i="4"/>
  <c r="F804" i="4"/>
  <c r="B809" i="4"/>
  <c r="H813" i="4"/>
  <c r="E815" i="4"/>
  <c r="D815" i="4"/>
  <c r="C815" i="4"/>
  <c r="J815" i="4"/>
  <c r="I815" i="4"/>
  <c r="J816" i="4"/>
  <c r="K846" i="4"/>
  <c r="G850" i="4"/>
  <c r="K859" i="4"/>
  <c r="G863" i="4"/>
  <c r="K872" i="4"/>
  <c r="G876" i="4"/>
  <c r="J885" i="4"/>
  <c r="B890" i="4"/>
  <c r="J898" i="4"/>
  <c r="B903" i="4"/>
  <c r="J911" i="4"/>
  <c r="B916" i="4"/>
  <c r="J924" i="4"/>
  <c r="B929" i="4"/>
  <c r="J952" i="4"/>
  <c r="F952" i="4"/>
  <c r="H952" i="4"/>
  <c r="G952" i="4"/>
  <c r="K952" i="4"/>
  <c r="I952" i="4"/>
  <c r="E952" i="4"/>
  <c r="C952" i="4"/>
  <c r="D956" i="4"/>
  <c r="J962" i="4"/>
  <c r="J964" i="4"/>
  <c r="F964" i="4"/>
  <c r="G964" i="4"/>
  <c r="E964" i="4"/>
  <c r="B964" i="4"/>
  <c r="M964" i="4"/>
  <c r="I964" i="4"/>
  <c r="H964" i="4"/>
  <c r="K974" i="4"/>
  <c r="G979" i="4"/>
  <c r="F979" i="4"/>
  <c r="J979" i="4"/>
  <c r="I979" i="4"/>
  <c r="D979" i="4"/>
  <c r="M979" i="4"/>
  <c r="H979" i="4"/>
  <c r="E979" i="4"/>
  <c r="J987" i="4"/>
  <c r="B991" i="4"/>
  <c r="M1001" i="4"/>
  <c r="E64" i="5"/>
  <c r="E79" i="5"/>
  <c r="E151" i="5"/>
  <c r="E175" i="5"/>
  <c r="E378" i="5"/>
  <c r="E442" i="5"/>
  <c r="M799" i="4"/>
  <c r="M811" i="4"/>
  <c r="K844" i="4"/>
  <c r="F848" i="4"/>
  <c r="E848" i="4"/>
  <c r="K857" i="4"/>
  <c r="E861" i="4"/>
  <c r="F861" i="4"/>
  <c r="K870" i="4"/>
  <c r="D874" i="4"/>
  <c r="F874" i="4"/>
  <c r="K883" i="4"/>
  <c r="C887" i="4"/>
  <c r="F887" i="4"/>
  <c r="K896" i="4"/>
  <c r="B900" i="4"/>
  <c r="F900" i="4"/>
  <c r="K909" i="4"/>
  <c r="L914" i="4"/>
  <c r="E914" i="4"/>
  <c r="K922" i="4"/>
  <c r="K927" i="4"/>
  <c r="E927" i="4"/>
  <c r="K935" i="4"/>
  <c r="E28" i="5"/>
  <c r="E37" i="5"/>
  <c r="E147" i="5"/>
  <c r="E153" i="5"/>
  <c r="E163" i="5"/>
  <c r="E205" i="5"/>
  <c r="E280" i="5"/>
  <c r="E375" i="5"/>
  <c r="E433" i="5"/>
  <c r="E472" i="5"/>
  <c r="E481" i="5"/>
  <c r="G65" i="8"/>
  <c r="C65" i="8"/>
  <c r="H65" i="8"/>
  <c r="D225" i="8"/>
  <c r="H225" i="8"/>
  <c r="G225" i="8"/>
  <c r="C225" i="8"/>
  <c r="H336" i="8"/>
  <c r="G336" i="8"/>
  <c r="D336" i="8"/>
  <c r="C336" i="8"/>
  <c r="M788" i="4"/>
  <c r="B799" i="4"/>
  <c r="M800" i="4"/>
  <c r="B811" i="4"/>
  <c r="M812" i="4"/>
  <c r="G847" i="4"/>
  <c r="E847" i="4"/>
  <c r="B848" i="4"/>
  <c r="F860" i="4"/>
  <c r="E860" i="4"/>
  <c r="B861" i="4"/>
  <c r="E873" i="4"/>
  <c r="F873" i="4"/>
  <c r="B874" i="4"/>
  <c r="D886" i="4"/>
  <c r="F886" i="4"/>
  <c r="B887" i="4"/>
  <c r="C899" i="4"/>
  <c r="F899" i="4"/>
  <c r="C900" i="4"/>
  <c r="B912" i="4"/>
  <c r="F912" i="4"/>
  <c r="B914" i="4"/>
  <c r="L926" i="4"/>
  <c r="E926" i="4"/>
  <c r="B927" i="4"/>
  <c r="L938" i="4"/>
  <c r="F938" i="4"/>
  <c r="G938" i="4"/>
  <c r="E938" i="4"/>
  <c r="H942" i="4"/>
  <c r="F942" i="4"/>
  <c r="L942" i="4"/>
  <c r="K942" i="4"/>
  <c r="H966" i="4"/>
  <c r="F966" i="4"/>
  <c r="J966" i="4"/>
  <c r="I966" i="4"/>
  <c r="D966" i="4"/>
  <c r="E969" i="4"/>
  <c r="G969" i="4"/>
  <c r="M969" i="4"/>
  <c r="L969" i="4"/>
  <c r="I969" i="4"/>
  <c r="H978" i="4"/>
  <c r="F978" i="4"/>
  <c r="I978" i="4"/>
  <c r="G978" i="4"/>
  <c r="C978" i="4"/>
  <c r="E981" i="4"/>
  <c r="G981" i="4"/>
  <c r="L981" i="4"/>
  <c r="K981" i="4"/>
  <c r="H981" i="4"/>
  <c r="H990" i="4"/>
  <c r="F990" i="4"/>
  <c r="G990" i="4"/>
  <c r="E990" i="4"/>
  <c r="B990" i="4"/>
  <c r="E993" i="4"/>
  <c r="G993" i="4"/>
  <c r="K993" i="4"/>
  <c r="J993" i="4"/>
  <c r="F993" i="4"/>
  <c r="B996" i="4"/>
  <c r="G996" i="4"/>
  <c r="M996" i="4"/>
  <c r="J996" i="4"/>
  <c r="E61" i="5"/>
  <c r="E90" i="5"/>
  <c r="E100" i="5"/>
  <c r="E115" i="5"/>
  <c r="E181" i="5"/>
  <c r="E240" i="5"/>
  <c r="E355" i="5"/>
  <c r="E396" i="5"/>
  <c r="E426" i="5"/>
  <c r="D41" i="8"/>
  <c r="C41" i="8"/>
  <c r="H41" i="8"/>
  <c r="D65" i="8"/>
  <c r="H103" i="8"/>
  <c r="G103" i="8"/>
  <c r="D103" i="8"/>
  <c r="C103" i="8"/>
  <c r="E103" i="8" s="1"/>
  <c r="F103" i="8" s="1"/>
  <c r="C171" i="8"/>
  <c r="H171" i="8"/>
  <c r="G171" i="8"/>
  <c r="D171" i="8"/>
  <c r="D189" i="8"/>
  <c r="C189" i="8"/>
  <c r="H189" i="8"/>
  <c r="G189" i="8"/>
  <c r="H384" i="8"/>
  <c r="G384" i="8"/>
  <c r="D384" i="8"/>
  <c r="C384" i="8"/>
  <c r="E384" i="8" s="1"/>
  <c r="F384" i="8" s="1"/>
  <c r="H454" i="8"/>
  <c r="D454" i="8"/>
  <c r="C454" i="8"/>
  <c r="G454" i="8"/>
  <c r="C600" i="8"/>
  <c r="E600" i="8" s="1"/>
  <c r="F600" i="8" s="1"/>
  <c r="H600" i="8"/>
  <c r="G600" i="8"/>
  <c r="D600" i="8"/>
  <c r="J844" i="4"/>
  <c r="E844" i="4"/>
  <c r="I857" i="4"/>
  <c r="E857" i="4"/>
  <c r="H870" i="4"/>
  <c r="E870" i="4"/>
  <c r="G883" i="4"/>
  <c r="E883" i="4"/>
  <c r="F896" i="4"/>
  <c r="E896" i="4"/>
  <c r="E909" i="4"/>
  <c r="F909" i="4"/>
  <c r="D922" i="4"/>
  <c r="F922" i="4"/>
  <c r="C935" i="4"/>
  <c r="F935" i="4"/>
  <c r="I941" i="4"/>
  <c r="F941" i="4"/>
  <c r="K941" i="4"/>
  <c r="J941" i="4"/>
  <c r="E25" i="5"/>
  <c r="E34" i="5"/>
  <c r="E171" i="5"/>
  <c r="E177" i="5"/>
  <c r="E187" i="5"/>
  <c r="E289" i="5"/>
  <c r="E310" i="5"/>
  <c r="E357" i="5"/>
  <c r="E391" i="5"/>
  <c r="E436" i="5"/>
  <c r="E475" i="5"/>
  <c r="H33" i="8"/>
  <c r="G33" i="8"/>
  <c r="D33" i="8"/>
  <c r="C33" i="8"/>
  <c r="E33" i="8" s="1"/>
  <c r="F33" i="8" s="1"/>
  <c r="E158" i="8"/>
  <c r="F158" i="8" s="1"/>
  <c r="D164" i="8"/>
  <c r="C164" i="8"/>
  <c r="E164" i="8" s="1"/>
  <c r="F164" i="8" s="1"/>
  <c r="H164" i="8"/>
  <c r="G164" i="8"/>
  <c r="G209" i="8"/>
  <c r="D209" i="8"/>
  <c r="H209" i="8"/>
  <c r="C209" i="8"/>
  <c r="E209" i="8" s="1"/>
  <c r="F209" i="8" s="1"/>
  <c r="E215" i="8"/>
  <c r="F215" i="8" s="1"/>
  <c r="H242" i="8"/>
  <c r="G242" i="8"/>
  <c r="D242" i="8"/>
  <c r="C242" i="8"/>
  <c r="E282" i="8"/>
  <c r="F282" i="8" s="1"/>
  <c r="G289" i="8"/>
  <c r="D289" i="8"/>
  <c r="H289" i="8"/>
  <c r="C289" i="8"/>
  <c r="E289" i="8" s="1"/>
  <c r="F289" i="8" s="1"/>
  <c r="G309" i="8"/>
  <c r="D309" i="8"/>
  <c r="H309" i="8"/>
  <c r="C309" i="8"/>
  <c r="E329" i="8"/>
  <c r="F329" i="8" s="1"/>
  <c r="M757" i="4"/>
  <c r="M769" i="4"/>
  <c r="M781" i="4"/>
  <c r="F788" i="4"/>
  <c r="M793" i="4"/>
  <c r="G799" i="4"/>
  <c r="F800" i="4"/>
  <c r="M805" i="4"/>
  <c r="G811" i="4"/>
  <c r="F812" i="4"/>
  <c r="M817" i="4"/>
  <c r="L842" i="4"/>
  <c r="E842" i="4"/>
  <c r="C844" i="4"/>
  <c r="H847" i="4"/>
  <c r="I848" i="4"/>
  <c r="K855" i="4"/>
  <c r="E855" i="4"/>
  <c r="C857" i="4"/>
  <c r="H860" i="4"/>
  <c r="I861" i="4"/>
  <c r="J868" i="4"/>
  <c r="E868" i="4"/>
  <c r="C870" i="4"/>
  <c r="H873" i="4"/>
  <c r="I874" i="4"/>
  <c r="I881" i="4"/>
  <c r="E881" i="4"/>
  <c r="C883" i="4"/>
  <c r="H886" i="4"/>
  <c r="I887" i="4"/>
  <c r="H894" i="4"/>
  <c r="E894" i="4"/>
  <c r="C896" i="4"/>
  <c r="H899" i="4"/>
  <c r="I900" i="4"/>
  <c r="G907" i="4"/>
  <c r="E907" i="4"/>
  <c r="C909" i="4"/>
  <c r="H912" i="4"/>
  <c r="H914" i="4"/>
  <c r="F920" i="4"/>
  <c r="E920" i="4"/>
  <c r="C922" i="4"/>
  <c r="G926" i="4"/>
  <c r="H927" i="4"/>
  <c r="E933" i="4"/>
  <c r="F933" i="4"/>
  <c r="D935" i="4"/>
  <c r="I938" i="4"/>
  <c r="C941" i="4"/>
  <c r="G942" i="4"/>
  <c r="B960" i="4"/>
  <c r="G960" i="4"/>
  <c r="D960" i="4"/>
  <c r="C960" i="4"/>
  <c r="K990" i="4"/>
  <c r="I993" i="4"/>
  <c r="H996" i="4"/>
  <c r="E48" i="5"/>
  <c r="E127" i="5"/>
  <c r="E201" i="5"/>
  <c r="E235" i="5"/>
  <c r="E243" i="5"/>
  <c r="E276" i="5"/>
  <c r="E291" i="5"/>
  <c r="D260" i="8"/>
  <c r="H260" i="8"/>
  <c r="G260" i="8"/>
  <c r="C260" i="8"/>
  <c r="E260" i="8" s="1"/>
  <c r="F260" i="8" s="1"/>
  <c r="L663" i="4"/>
  <c r="M674" i="4"/>
  <c r="L675" i="4"/>
  <c r="M686" i="4"/>
  <c r="L687" i="4"/>
  <c r="L699" i="4"/>
  <c r="M710" i="4"/>
  <c r="L711" i="4"/>
  <c r="L723" i="4"/>
  <c r="L735" i="4"/>
  <c r="M746" i="4"/>
  <c r="L747" i="4"/>
  <c r="B757" i="4"/>
  <c r="M758" i="4"/>
  <c r="L759" i="4"/>
  <c r="B769" i="4"/>
  <c r="M770" i="4"/>
  <c r="B781" i="4"/>
  <c r="M782" i="4"/>
  <c r="L783" i="4"/>
  <c r="G788" i="4"/>
  <c r="B793" i="4"/>
  <c r="L795" i="4"/>
  <c r="H799" i="4"/>
  <c r="G800" i="4"/>
  <c r="B805" i="4"/>
  <c r="L807" i="4"/>
  <c r="H811" i="4"/>
  <c r="G812" i="4"/>
  <c r="B817" i="4"/>
  <c r="M820" i="4"/>
  <c r="M821" i="4"/>
  <c r="M822" i="4"/>
  <c r="M823" i="4"/>
  <c r="M824" i="4"/>
  <c r="M825" i="4"/>
  <c r="M826" i="4"/>
  <c r="M827" i="4"/>
  <c r="M828" i="4"/>
  <c r="M829" i="4"/>
  <c r="M830" i="4"/>
  <c r="M832" i="4"/>
  <c r="M833" i="4"/>
  <c r="M834" i="4"/>
  <c r="M835" i="4"/>
  <c r="M836" i="4"/>
  <c r="M837" i="4"/>
  <c r="M838" i="4"/>
  <c r="B840" i="4"/>
  <c r="F840" i="4"/>
  <c r="B842" i="4"/>
  <c r="D844" i="4"/>
  <c r="I847" i="4"/>
  <c r="J848" i="4"/>
  <c r="L854" i="4"/>
  <c r="E854" i="4"/>
  <c r="B855" i="4"/>
  <c r="D857" i="4"/>
  <c r="I860" i="4"/>
  <c r="J861" i="4"/>
  <c r="K867" i="4"/>
  <c r="E867" i="4"/>
  <c r="B868" i="4"/>
  <c r="D870" i="4"/>
  <c r="I873" i="4"/>
  <c r="J874" i="4"/>
  <c r="J880" i="4"/>
  <c r="E880" i="4"/>
  <c r="B881" i="4"/>
  <c r="D883" i="4"/>
  <c r="I886" i="4"/>
  <c r="J887" i="4"/>
  <c r="I893" i="4"/>
  <c r="E893" i="4"/>
  <c r="B894" i="4"/>
  <c r="D896" i="4"/>
  <c r="I899" i="4"/>
  <c r="J900" i="4"/>
  <c r="H906" i="4"/>
  <c r="E906" i="4"/>
  <c r="B907" i="4"/>
  <c r="D909" i="4"/>
  <c r="I912" i="4"/>
  <c r="I914" i="4"/>
  <c r="G919" i="4"/>
  <c r="E919" i="4"/>
  <c r="B920" i="4"/>
  <c r="E922" i="4"/>
  <c r="H926" i="4"/>
  <c r="I927" i="4"/>
  <c r="F932" i="4"/>
  <c r="E932" i="4"/>
  <c r="B933" i="4"/>
  <c r="E935" i="4"/>
  <c r="J938" i="4"/>
  <c r="J940" i="4"/>
  <c r="F940" i="4"/>
  <c r="I940" i="4"/>
  <c r="H940" i="4"/>
  <c r="D941" i="4"/>
  <c r="I942" i="4"/>
  <c r="F944" i="4"/>
  <c r="G944" i="4"/>
  <c r="M944" i="4"/>
  <c r="E960" i="4"/>
  <c r="L966" i="4"/>
  <c r="J969" i="4"/>
  <c r="L978" i="4"/>
  <c r="J981" i="4"/>
  <c r="J988" i="4"/>
  <c r="F988" i="4"/>
  <c r="D988" i="4"/>
  <c r="C988" i="4"/>
  <c r="L990" i="4"/>
  <c r="L993" i="4"/>
  <c r="I996" i="4"/>
  <c r="J1000" i="4"/>
  <c r="F1000" i="4"/>
  <c r="C1000" i="4"/>
  <c r="B1000" i="4"/>
  <c r="M1000" i="4"/>
  <c r="E31" i="5"/>
  <c r="E58" i="5"/>
  <c r="E73" i="5"/>
  <c r="E78" i="5"/>
  <c r="E103" i="5"/>
  <c r="E112" i="5"/>
  <c r="E145" i="5"/>
  <c r="E202" i="5"/>
  <c r="E256" i="5"/>
  <c r="E312" i="5"/>
  <c r="E319" i="5"/>
  <c r="E366" i="5"/>
  <c r="E421" i="5"/>
  <c r="E444" i="5"/>
  <c r="E486" i="5"/>
  <c r="H86" i="8"/>
  <c r="G86" i="8"/>
  <c r="D86" i="8"/>
  <c r="C86" i="8"/>
  <c r="C147" i="8"/>
  <c r="E147" i="8" s="1"/>
  <c r="F147" i="8" s="1"/>
  <c r="H147" i="8"/>
  <c r="G147" i="8"/>
  <c r="D147" i="8"/>
  <c r="D322" i="8"/>
  <c r="C322" i="8"/>
  <c r="G322" i="8"/>
  <c r="H322" i="8"/>
  <c r="E436" i="8"/>
  <c r="F436" i="8" s="1"/>
  <c r="H652" i="8"/>
  <c r="G652" i="8"/>
  <c r="D652" i="8"/>
  <c r="C652" i="8"/>
  <c r="E652" i="8" s="1"/>
  <c r="F652" i="8" s="1"/>
  <c r="C839" i="4"/>
  <c r="F839" i="4"/>
  <c r="C842" i="4"/>
  <c r="F844" i="4"/>
  <c r="J847" i="4"/>
  <c r="K848" i="4"/>
  <c r="B852" i="4"/>
  <c r="F852" i="4"/>
  <c r="B854" i="4"/>
  <c r="C855" i="4"/>
  <c r="F857" i="4"/>
  <c r="J860" i="4"/>
  <c r="K861" i="4"/>
  <c r="L866" i="4"/>
  <c r="E866" i="4"/>
  <c r="B867" i="4"/>
  <c r="C868" i="4"/>
  <c r="F870" i="4"/>
  <c r="J873" i="4"/>
  <c r="K874" i="4"/>
  <c r="K879" i="4"/>
  <c r="E879" i="4"/>
  <c r="C881" i="4"/>
  <c r="F883" i="4"/>
  <c r="J886" i="4"/>
  <c r="K887" i="4"/>
  <c r="J892" i="4"/>
  <c r="E892" i="4"/>
  <c r="B893" i="4"/>
  <c r="C894" i="4"/>
  <c r="G896" i="4"/>
  <c r="J899" i="4"/>
  <c r="K900" i="4"/>
  <c r="I905" i="4"/>
  <c r="E905" i="4"/>
  <c r="B906" i="4"/>
  <c r="C907" i="4"/>
  <c r="G909" i="4"/>
  <c r="J912" i="4"/>
  <c r="J914" i="4"/>
  <c r="H918" i="4"/>
  <c r="E918" i="4"/>
  <c r="B919" i="4"/>
  <c r="C920" i="4"/>
  <c r="G922" i="4"/>
  <c r="I926" i="4"/>
  <c r="J927" i="4"/>
  <c r="G931" i="4"/>
  <c r="E931" i="4"/>
  <c r="B932" i="4"/>
  <c r="C933" i="4"/>
  <c r="G935" i="4"/>
  <c r="K938" i="4"/>
  <c r="B940" i="4"/>
  <c r="E941" i="4"/>
  <c r="J942" i="4"/>
  <c r="B944" i="4"/>
  <c r="L950" i="4"/>
  <c r="F950" i="4"/>
  <c r="E950" i="4"/>
  <c r="D950" i="4"/>
  <c r="H954" i="4"/>
  <c r="F954" i="4"/>
  <c r="K954" i="4"/>
  <c r="J954" i="4"/>
  <c r="F960" i="4"/>
  <c r="M966" i="4"/>
  <c r="K969" i="4"/>
  <c r="M978" i="4"/>
  <c r="M981" i="4"/>
  <c r="B988" i="4"/>
  <c r="M990" i="4"/>
  <c r="M993" i="4"/>
  <c r="K996" i="4"/>
  <c r="D1000" i="4"/>
  <c r="E40" i="5"/>
  <c r="E54" i="5"/>
  <c r="E123" i="5"/>
  <c r="E129" i="5"/>
  <c r="E139" i="5"/>
  <c r="E210" i="5"/>
  <c r="E223" i="5"/>
  <c r="E237" i="5"/>
  <c r="E292" i="5"/>
  <c r="E343" i="5"/>
  <c r="E400" i="5"/>
  <c r="H79" i="8"/>
  <c r="G79" i="8"/>
  <c r="D79" i="8"/>
  <c r="E264" i="8"/>
  <c r="F264" i="8" s="1"/>
  <c r="G368" i="8"/>
  <c r="D368" i="8"/>
  <c r="C368" i="8"/>
  <c r="E57" i="5"/>
  <c r="E75" i="5"/>
  <c r="E93" i="5"/>
  <c r="E126" i="5"/>
  <c r="E130" i="5"/>
  <c r="E138" i="5"/>
  <c r="E142" i="5"/>
  <c r="E150" i="5"/>
  <c r="E154" i="5"/>
  <c r="E162" i="5"/>
  <c r="E166" i="5"/>
  <c r="E174" i="5"/>
  <c r="E178" i="5"/>
  <c r="E190" i="5"/>
  <c r="E264" i="5"/>
  <c r="E274" i="5"/>
  <c r="E379" i="5"/>
  <c r="E390" i="5"/>
  <c r="E411" i="5"/>
  <c r="E432" i="5"/>
  <c r="E480" i="5"/>
  <c r="E505" i="5"/>
  <c r="D34" i="8"/>
  <c r="C34" i="8"/>
  <c r="E34" i="8" s="1"/>
  <c r="F34" i="8" s="1"/>
  <c r="G34" i="8"/>
  <c r="G76" i="8"/>
  <c r="D76" i="8"/>
  <c r="H76" i="8"/>
  <c r="C76" i="8"/>
  <c r="E76" i="8" s="1"/>
  <c r="F76" i="8" s="1"/>
  <c r="C109" i="8"/>
  <c r="E109" i="8" s="1"/>
  <c r="F109" i="8" s="1"/>
  <c r="H109" i="8"/>
  <c r="G109" i="8"/>
  <c r="C177" i="8"/>
  <c r="E177" i="8" s="1"/>
  <c r="F177" i="8" s="1"/>
  <c r="H177" i="8"/>
  <c r="G177" i="8"/>
  <c r="H184" i="8"/>
  <c r="G184" i="8"/>
  <c r="C184" i="8"/>
  <c r="E184" i="8" s="1"/>
  <c r="F184" i="8" s="1"/>
  <c r="D265" i="8"/>
  <c r="E265" i="8" s="1"/>
  <c r="F265" i="8" s="1"/>
  <c r="G265" i="8"/>
  <c r="C390" i="8"/>
  <c r="E390" i="8" s="1"/>
  <c r="F390" i="8" s="1"/>
  <c r="G390" i="8"/>
  <c r="H390" i="8"/>
  <c r="D407" i="8"/>
  <c r="C407" i="8"/>
  <c r="G407" i="8"/>
  <c r="H407" i="8"/>
  <c r="E488" i="8"/>
  <c r="F488" i="8" s="1"/>
  <c r="D501" i="8"/>
  <c r="G501" i="8"/>
  <c r="H501" i="8"/>
  <c r="C501" i="8"/>
  <c r="E501" i="8" s="1"/>
  <c r="F501" i="8" s="1"/>
  <c r="E241" i="5"/>
  <c r="E285" i="5"/>
  <c r="E364" i="5"/>
  <c r="E385" i="5"/>
  <c r="E487" i="5"/>
  <c r="E519" i="5"/>
  <c r="D71" i="8"/>
  <c r="C71" i="8"/>
  <c r="E71" i="8" s="1"/>
  <c r="F71" i="8" s="1"/>
  <c r="G71" i="8"/>
  <c r="G119" i="8"/>
  <c r="H119" i="8"/>
  <c r="D119" i="8"/>
  <c r="C119" i="8"/>
  <c r="E119" i="8" s="1"/>
  <c r="F119" i="8" s="1"/>
  <c r="G131" i="8"/>
  <c r="H131" i="8"/>
  <c r="D131" i="8"/>
  <c r="C131" i="8"/>
  <c r="C135" i="8"/>
  <c r="E135" i="8" s="1"/>
  <c r="F135" i="8" s="1"/>
  <c r="H135" i="8"/>
  <c r="G135" i="8"/>
  <c r="H163" i="8"/>
  <c r="G163" i="8"/>
  <c r="C163" i="8"/>
  <c r="E163" i="8" s="1"/>
  <c r="F163" i="8" s="1"/>
  <c r="G222" i="8"/>
  <c r="C222" i="8"/>
  <c r="E222" i="8" s="1"/>
  <c r="F222" i="8" s="1"/>
  <c r="G258" i="8"/>
  <c r="H258" i="8"/>
  <c r="D258" i="8"/>
  <c r="E258" i="8" s="1"/>
  <c r="F258" i="8" s="1"/>
  <c r="K963" i="4"/>
  <c r="F963" i="4"/>
  <c r="J976" i="4"/>
  <c r="F976" i="4"/>
  <c r="I989" i="4"/>
  <c r="F989" i="4"/>
  <c r="H1002" i="4"/>
  <c r="F1002" i="4"/>
  <c r="E22" i="5"/>
  <c r="E69" i="5"/>
  <c r="E87" i="5"/>
  <c r="E105" i="5"/>
  <c r="E228" i="5"/>
  <c r="E261" i="5"/>
  <c r="E307" i="5"/>
  <c r="E318" i="5"/>
  <c r="E339" i="5"/>
  <c r="E418" i="5"/>
  <c r="E439" i="5"/>
  <c r="E445" i="5"/>
  <c r="E463" i="5"/>
  <c r="E514" i="5"/>
  <c r="F19" i="6"/>
  <c r="F20" i="6"/>
  <c r="C14" i="10"/>
  <c r="F14" i="10" s="1"/>
  <c r="F25" i="8"/>
  <c r="G28" i="8"/>
  <c r="D28" i="8"/>
  <c r="C28" i="8"/>
  <c r="C123" i="8"/>
  <c r="H123" i="8"/>
  <c r="G123" i="8"/>
  <c r="D123" i="8"/>
  <c r="G143" i="8"/>
  <c r="H143" i="8"/>
  <c r="D143" i="8"/>
  <c r="C143" i="8"/>
  <c r="C159" i="8"/>
  <c r="G159" i="8"/>
  <c r="D159" i="8"/>
  <c r="D188" i="8"/>
  <c r="C188" i="8"/>
  <c r="E188" i="8" s="1"/>
  <c r="F188" i="8" s="1"/>
  <c r="H188" i="8"/>
  <c r="G188" i="8"/>
  <c r="G197" i="8"/>
  <c r="H197" i="8"/>
  <c r="D197" i="8"/>
  <c r="G341" i="8"/>
  <c r="D341" i="8"/>
  <c r="H341" i="8"/>
  <c r="C341" i="8"/>
  <c r="E341" i="8" s="1"/>
  <c r="F341" i="8" s="1"/>
  <c r="G458" i="8"/>
  <c r="H458" i="8"/>
  <c r="C458" i="8"/>
  <c r="D458" i="8"/>
  <c r="G626" i="8"/>
  <c r="H626" i="8"/>
  <c r="D626" i="8"/>
  <c r="E626" i="8" s="1"/>
  <c r="F626" i="8" s="1"/>
  <c r="D646" i="8"/>
  <c r="G646" i="8"/>
  <c r="C646" i="8"/>
  <c r="H646" i="8"/>
  <c r="E52" i="5"/>
  <c r="E66" i="5"/>
  <c r="E84" i="5"/>
  <c r="E102" i="5"/>
  <c r="E120" i="5"/>
  <c r="E124" i="5"/>
  <c r="E132" i="5"/>
  <c r="E136" i="5"/>
  <c r="E144" i="5"/>
  <c r="E148" i="5"/>
  <c r="E156" i="5"/>
  <c r="E160" i="5"/>
  <c r="E168" i="5"/>
  <c r="E172" i="5"/>
  <c r="E184" i="5"/>
  <c r="E196" i="5"/>
  <c r="E271" i="5"/>
  <c r="E282" i="5"/>
  <c r="E303" i="5"/>
  <c r="E382" i="5"/>
  <c r="E403" i="5"/>
  <c r="E483" i="5"/>
  <c r="H29" i="8"/>
  <c r="C29" i="8"/>
  <c r="G29" i="8"/>
  <c r="D29" i="8"/>
  <c r="H46" i="8"/>
  <c r="G46" i="8"/>
  <c r="D46" i="8"/>
  <c r="E46" i="8" s="1"/>
  <c r="F46" i="8" s="1"/>
  <c r="E62" i="8"/>
  <c r="F62" i="8" s="1"/>
  <c r="H100" i="8"/>
  <c r="G100" i="8"/>
  <c r="D100" i="8"/>
  <c r="C100" i="8"/>
  <c r="E100" i="8" s="1"/>
  <c r="F100" i="8" s="1"/>
  <c r="H115" i="8"/>
  <c r="D115" i="8"/>
  <c r="C115" i="8"/>
  <c r="H149" i="8"/>
  <c r="G149" i="8"/>
  <c r="D156" i="8"/>
  <c r="C156" i="8"/>
  <c r="E156" i="8" s="1"/>
  <c r="F156" i="8" s="1"/>
  <c r="E182" i="8"/>
  <c r="F182" i="8" s="1"/>
  <c r="C192" i="8"/>
  <c r="E192" i="8" s="1"/>
  <c r="F192" i="8" s="1"/>
  <c r="H192" i="8"/>
  <c r="G314" i="8"/>
  <c r="D314" i="8"/>
  <c r="C314" i="8"/>
  <c r="E314" i="8" s="1"/>
  <c r="F314" i="8" s="1"/>
  <c r="H314" i="8"/>
  <c r="G326" i="8"/>
  <c r="H326" i="8"/>
  <c r="D326" i="8"/>
  <c r="C326" i="8"/>
  <c r="E326" i="8" s="1"/>
  <c r="F326" i="8" s="1"/>
  <c r="E418" i="8"/>
  <c r="F418" i="8" s="1"/>
  <c r="D490" i="8"/>
  <c r="H490" i="8"/>
  <c r="G490" i="8"/>
  <c r="C490" i="8"/>
  <c r="D946" i="4"/>
  <c r="G946" i="4"/>
  <c r="C959" i="4"/>
  <c r="G959" i="4"/>
  <c r="D963" i="4"/>
  <c r="B972" i="4"/>
  <c r="G972" i="4"/>
  <c r="D976" i="4"/>
  <c r="L986" i="4"/>
  <c r="F986" i="4"/>
  <c r="D989" i="4"/>
  <c r="K999" i="4"/>
  <c r="F999" i="4"/>
  <c r="D1002" i="4"/>
  <c r="E49" i="5"/>
  <c r="E70" i="5"/>
  <c r="E88" i="5"/>
  <c r="E106" i="5"/>
  <c r="E220" i="5"/>
  <c r="E361" i="5"/>
  <c r="E372" i="5"/>
  <c r="E393" i="5"/>
  <c r="E414" i="5"/>
  <c r="E471" i="5"/>
  <c r="H69" i="8"/>
  <c r="G69" i="8"/>
  <c r="D69" i="8"/>
  <c r="C69" i="8"/>
  <c r="H84" i="8"/>
  <c r="G84" i="8"/>
  <c r="D84" i="8"/>
  <c r="G153" i="8"/>
  <c r="D153" i="8"/>
  <c r="C153" i="8"/>
  <c r="E153" i="8" s="1"/>
  <c r="F153" i="8" s="1"/>
  <c r="H153" i="8"/>
  <c r="G179" i="8"/>
  <c r="C179" i="8"/>
  <c r="H179" i="8"/>
  <c r="D179" i="8"/>
  <c r="H268" i="8"/>
  <c r="G268" i="8"/>
  <c r="D268" i="8"/>
  <c r="G531" i="8"/>
  <c r="H531" i="8"/>
  <c r="D531" i="8"/>
  <c r="C531" i="8"/>
  <c r="E531" i="8" s="1"/>
  <c r="F531" i="8" s="1"/>
  <c r="H724" i="8"/>
  <c r="G724" i="8"/>
  <c r="D724" i="8"/>
  <c r="C724" i="8"/>
  <c r="E724" i="8" s="1"/>
  <c r="F724" i="8" s="1"/>
  <c r="E945" i="4"/>
  <c r="G945" i="4"/>
  <c r="B946" i="4"/>
  <c r="D958" i="4"/>
  <c r="G958" i="4"/>
  <c r="B959" i="4"/>
  <c r="E963" i="4"/>
  <c r="C971" i="4"/>
  <c r="G971" i="4"/>
  <c r="C972" i="4"/>
  <c r="E976" i="4"/>
  <c r="B984" i="4"/>
  <c r="G984" i="4"/>
  <c r="B986" i="4"/>
  <c r="E989" i="4"/>
  <c r="L998" i="4"/>
  <c r="F998" i="4"/>
  <c r="B999" i="4"/>
  <c r="E1002" i="4"/>
  <c r="E46" i="5"/>
  <c r="E63" i="5"/>
  <c r="E81" i="5"/>
  <c r="E99" i="5"/>
  <c r="E117" i="5"/>
  <c r="E225" i="5"/>
  <c r="E258" i="5"/>
  <c r="E346" i="5"/>
  <c r="C12" i="10"/>
  <c r="F12" i="10" s="1"/>
  <c r="D12" i="6"/>
  <c r="H26" i="8"/>
  <c r="G26" i="8"/>
  <c r="C26" i="8"/>
  <c r="E26" i="8" s="1"/>
  <c r="F26" i="8" s="1"/>
  <c r="C84" i="8"/>
  <c r="G115" i="8"/>
  <c r="C133" i="8"/>
  <c r="H133" i="8"/>
  <c r="G133" i="8"/>
  <c r="D133" i="8"/>
  <c r="D149" i="8"/>
  <c r="E149" i="8" s="1"/>
  <c r="F149" i="8" s="1"/>
  <c r="H156" i="8"/>
  <c r="E173" i="8"/>
  <c r="F173" i="8" s="1"/>
  <c r="G192" i="8"/>
  <c r="D224" i="8"/>
  <c r="E224" i="8" s="1"/>
  <c r="F224" i="8" s="1"/>
  <c r="G224" i="8"/>
  <c r="H224" i="8"/>
  <c r="C268" i="8"/>
  <c r="G294" i="8"/>
  <c r="D294" i="8"/>
  <c r="C294" i="8"/>
  <c r="E294" i="8" s="1"/>
  <c r="F294" i="8" s="1"/>
  <c r="H294" i="8"/>
  <c r="H299" i="8"/>
  <c r="G299" i="8"/>
  <c r="D299" i="8"/>
  <c r="C299" i="8"/>
  <c r="C450" i="8"/>
  <c r="E450" i="8" s="1"/>
  <c r="F450" i="8" s="1"/>
  <c r="H450" i="8"/>
  <c r="G450" i="8"/>
  <c r="D450" i="8"/>
  <c r="D492" i="8"/>
  <c r="C492" i="8"/>
  <c r="H492" i="8"/>
  <c r="G492" i="8"/>
  <c r="C528" i="8"/>
  <c r="E528" i="8" s="1"/>
  <c r="F528" i="8" s="1"/>
  <c r="H528" i="8"/>
  <c r="G528" i="8"/>
  <c r="D528" i="8"/>
  <c r="D592" i="8"/>
  <c r="H592" i="8"/>
  <c r="G592" i="8"/>
  <c r="C592" i="8"/>
  <c r="D623" i="8"/>
  <c r="C623" i="8"/>
  <c r="H623" i="8"/>
  <c r="G623" i="8"/>
  <c r="E453" i="5"/>
  <c r="G40" i="8"/>
  <c r="D40" i="8"/>
  <c r="E40" i="8" s="1"/>
  <c r="F40" i="8" s="1"/>
  <c r="H40" i="8"/>
  <c r="E60" i="8"/>
  <c r="F60" i="8" s="1"/>
  <c r="G88" i="8"/>
  <c r="D88" i="8"/>
  <c r="E88" i="8" s="1"/>
  <c r="F88" i="8" s="1"/>
  <c r="C121" i="8"/>
  <c r="H121" i="8"/>
  <c r="G121" i="8"/>
  <c r="D121" i="8"/>
  <c r="H139" i="8"/>
  <c r="G139" i="8"/>
  <c r="C139" i="8"/>
  <c r="E139" i="8" s="1"/>
  <c r="F139" i="8" s="1"/>
  <c r="D150" i="8"/>
  <c r="H150" i="8"/>
  <c r="C150" i="8"/>
  <c r="H160" i="8"/>
  <c r="G160" i="8"/>
  <c r="C160" i="8"/>
  <c r="E160" i="8" s="1"/>
  <c r="F160" i="8" s="1"/>
  <c r="D176" i="8"/>
  <c r="G176" i="8"/>
  <c r="C176" i="8"/>
  <c r="E176" i="8" s="1"/>
  <c r="F176" i="8" s="1"/>
  <c r="H176" i="8"/>
  <c r="G180" i="8"/>
  <c r="H180" i="8"/>
  <c r="D180" i="8"/>
  <c r="C180" i="8"/>
  <c r="D212" i="8"/>
  <c r="C212" i="8"/>
  <c r="H212" i="8"/>
  <c r="G212" i="8"/>
  <c r="H275" i="8"/>
  <c r="G275" i="8"/>
  <c r="C275" i="8"/>
  <c r="E275" i="8" s="1"/>
  <c r="F275" i="8" s="1"/>
  <c r="H348" i="8"/>
  <c r="G348" i="8"/>
  <c r="D348" i="8"/>
  <c r="C348" i="8"/>
  <c r="E496" i="5"/>
  <c r="H38" i="8"/>
  <c r="G38" i="8"/>
  <c r="C38" i="8"/>
  <c r="E38" i="8" s="1"/>
  <c r="F38" i="8" s="1"/>
  <c r="H57" i="8"/>
  <c r="G57" i="8"/>
  <c r="C57" i="8"/>
  <c r="E57" i="8" s="1"/>
  <c r="F57" i="8" s="1"/>
  <c r="D101" i="8"/>
  <c r="C101" i="8"/>
  <c r="E101" i="8" s="1"/>
  <c r="F101" i="8" s="1"/>
  <c r="E107" i="8"/>
  <c r="F107" i="8" s="1"/>
  <c r="H125" i="8"/>
  <c r="G125" i="8"/>
  <c r="E130" i="8"/>
  <c r="F130" i="8" s="1"/>
  <c r="H151" i="8"/>
  <c r="G151" i="8"/>
  <c r="D151" i="8"/>
  <c r="C151" i="8"/>
  <c r="E151" i="8" s="1"/>
  <c r="F151" i="8" s="1"/>
  <c r="G161" i="8"/>
  <c r="D161" i="8"/>
  <c r="H161" i="8"/>
  <c r="C161" i="8"/>
  <c r="E161" i="8" s="1"/>
  <c r="F161" i="8" s="1"/>
  <c r="C216" i="8"/>
  <c r="E216" i="8" s="1"/>
  <c r="F216" i="8" s="1"/>
  <c r="H216" i="8"/>
  <c r="G216" i="8"/>
  <c r="E240" i="8"/>
  <c r="F240" i="8" s="1"/>
  <c r="E273" i="8"/>
  <c r="F273" i="8" s="1"/>
  <c r="D300" i="8"/>
  <c r="C300" i="8"/>
  <c r="H300" i="8"/>
  <c r="D311" i="8"/>
  <c r="C311" i="8"/>
  <c r="E311" i="8" s="1"/>
  <c r="F311" i="8" s="1"/>
  <c r="G311" i="8"/>
  <c r="E379" i="8"/>
  <c r="F379" i="8" s="1"/>
  <c r="G401" i="8"/>
  <c r="H401" i="8"/>
  <c r="D401" i="8"/>
  <c r="C401" i="8"/>
  <c r="E401" i="8" s="1"/>
  <c r="F401" i="8" s="1"/>
  <c r="H436" i="8"/>
  <c r="G436" i="8"/>
  <c r="D436" i="8"/>
  <c r="H628" i="8"/>
  <c r="G628" i="8"/>
  <c r="C628" i="8"/>
  <c r="D628" i="8"/>
  <c r="D712" i="8"/>
  <c r="E712" i="8" s="1"/>
  <c r="F712" i="8" s="1"/>
  <c r="H712" i="8"/>
  <c r="E749" i="8"/>
  <c r="F749" i="8" s="1"/>
  <c r="E478" i="5"/>
  <c r="D35" i="8"/>
  <c r="C35" i="8"/>
  <c r="G35" i="8"/>
  <c r="G58" i="8"/>
  <c r="C58" i="8"/>
  <c r="C111" i="8"/>
  <c r="H111" i="8"/>
  <c r="H144" i="8"/>
  <c r="C144" i="8"/>
  <c r="E144" i="8" s="1"/>
  <c r="F144" i="8" s="1"/>
  <c r="D199" i="8"/>
  <c r="H199" i="8"/>
  <c r="G199" i="8"/>
  <c r="G270" i="8"/>
  <c r="H270" i="8"/>
  <c r="C270" i="8"/>
  <c r="E270" i="8" s="1"/>
  <c r="F270" i="8" s="1"/>
  <c r="D270" i="8"/>
  <c r="H297" i="8"/>
  <c r="D297" i="8"/>
  <c r="C297" i="8"/>
  <c r="E297" i="8" s="1"/>
  <c r="F297" i="8" s="1"/>
  <c r="G579" i="8"/>
  <c r="H579" i="8"/>
  <c r="D579" i="8"/>
  <c r="C579" i="8"/>
  <c r="H587" i="8"/>
  <c r="G587" i="8"/>
  <c r="D587" i="8"/>
  <c r="C587" i="8"/>
  <c r="E587" i="8" s="1"/>
  <c r="F587" i="8" s="1"/>
  <c r="H709" i="8"/>
  <c r="G709" i="8"/>
  <c r="D709" i="8"/>
  <c r="C709" i="8"/>
  <c r="E709" i="8" s="1"/>
  <c r="F709" i="8" s="1"/>
  <c r="H844" i="8"/>
  <c r="G844" i="8"/>
  <c r="D844" i="8"/>
  <c r="C844" i="8"/>
  <c r="E507" i="5"/>
  <c r="E516" i="5"/>
  <c r="H35" i="8"/>
  <c r="D47" i="8"/>
  <c r="C47" i="8"/>
  <c r="E47" i="8" s="1"/>
  <c r="F47" i="8" s="1"/>
  <c r="H47" i="8"/>
  <c r="G47" i="8"/>
  <c r="H55" i="8"/>
  <c r="G55" i="8"/>
  <c r="C55" i="8"/>
  <c r="D58" i="8"/>
  <c r="G64" i="8"/>
  <c r="D64" i="8"/>
  <c r="C64" i="8"/>
  <c r="H67" i="8"/>
  <c r="G67" i="8"/>
  <c r="D67" i="8"/>
  <c r="C67" i="8"/>
  <c r="H101" i="8"/>
  <c r="D111" i="8"/>
  <c r="D144" i="8"/>
  <c r="G169" i="8"/>
  <c r="H169" i="8"/>
  <c r="D169" i="8"/>
  <c r="C199" i="8"/>
  <c r="G377" i="8"/>
  <c r="D377" i="8"/>
  <c r="G380" i="8"/>
  <c r="D380" i="8"/>
  <c r="C380" i="8"/>
  <c r="E380" i="8" s="1"/>
  <c r="F380" i="8" s="1"/>
  <c r="H380" i="8"/>
  <c r="E484" i="8"/>
  <c r="F484" i="8" s="1"/>
  <c r="D503" i="8"/>
  <c r="C503" i="8"/>
  <c r="H503" i="8"/>
  <c r="G712" i="8"/>
  <c r="E460" i="5"/>
  <c r="D18" i="6"/>
  <c r="H36" i="8"/>
  <c r="G36" i="8"/>
  <c r="C36" i="8"/>
  <c r="E36" i="8" s="1"/>
  <c r="F36" i="8" s="1"/>
  <c r="C53" i="8"/>
  <c r="E53" i="8" s="1"/>
  <c r="F53" i="8" s="1"/>
  <c r="D55" i="8"/>
  <c r="H58" i="8"/>
  <c r="H64" i="8"/>
  <c r="D102" i="8"/>
  <c r="G102" i="8"/>
  <c r="C102" i="8"/>
  <c r="H102" i="8"/>
  <c r="C169" i="8"/>
  <c r="H220" i="8"/>
  <c r="G220" i="8"/>
  <c r="C220" i="8"/>
  <c r="E220" i="8" s="1"/>
  <c r="F220" i="8" s="1"/>
  <c r="E281" i="8"/>
  <c r="F281" i="8" s="1"/>
  <c r="G297" i="8"/>
  <c r="D316" i="8"/>
  <c r="H316" i="8"/>
  <c r="G316" i="8"/>
  <c r="C316" i="8"/>
  <c r="G346" i="8"/>
  <c r="C346" i="8"/>
  <c r="E346" i="8" s="1"/>
  <c r="F346" i="8" s="1"/>
  <c r="D346" i="8"/>
  <c r="G350" i="8"/>
  <c r="H350" i="8"/>
  <c r="D350" i="8"/>
  <c r="C350" i="8"/>
  <c r="E350" i="8" s="1"/>
  <c r="F350" i="8" s="1"/>
  <c r="H367" i="8"/>
  <c r="G367" i="8"/>
  <c r="D367" i="8"/>
  <c r="C367" i="8"/>
  <c r="E371" i="8"/>
  <c r="F371" i="8" s="1"/>
  <c r="C377" i="8"/>
  <c r="E441" i="8"/>
  <c r="F441" i="8" s="1"/>
  <c r="E465" i="8"/>
  <c r="F465" i="8" s="1"/>
  <c r="E471" i="8"/>
  <c r="F471" i="8" s="1"/>
  <c r="G503" i="8"/>
  <c r="H543" i="8"/>
  <c r="D543" i="8"/>
  <c r="C543" i="8"/>
  <c r="D657" i="8"/>
  <c r="C657" i="8"/>
  <c r="G657" i="8"/>
  <c r="H657" i="8"/>
  <c r="H62" i="8"/>
  <c r="G62" i="8"/>
  <c r="D95" i="8"/>
  <c r="C95" i="8"/>
  <c r="E95" i="8" s="1"/>
  <c r="F95" i="8" s="1"/>
  <c r="H182" i="8"/>
  <c r="G182" i="8"/>
  <c r="D182" i="8"/>
  <c r="E217" i="8"/>
  <c r="F217" i="8" s="1"/>
  <c r="H256" i="8"/>
  <c r="G256" i="8"/>
  <c r="D256" i="8"/>
  <c r="C256" i="8"/>
  <c r="H321" i="8"/>
  <c r="D321" i="8"/>
  <c r="C321" i="8"/>
  <c r="E321" i="8" s="1"/>
  <c r="F321" i="8" s="1"/>
  <c r="G321" i="8"/>
  <c r="H369" i="8"/>
  <c r="G369" i="8"/>
  <c r="C462" i="8"/>
  <c r="E462" i="8" s="1"/>
  <c r="F462" i="8" s="1"/>
  <c r="G462" i="8"/>
  <c r="H462" i="8"/>
  <c r="C518" i="8"/>
  <c r="E518" i="8" s="1"/>
  <c r="F518" i="8" s="1"/>
  <c r="H518" i="8"/>
  <c r="G518" i="8"/>
  <c r="E846" i="8"/>
  <c r="F846" i="8" s="1"/>
  <c r="G849" i="8"/>
  <c r="H849" i="8"/>
  <c r="D849" i="8"/>
  <c r="C849" i="8"/>
  <c r="F16" i="6"/>
  <c r="H98" i="8"/>
  <c r="G98" i="8"/>
  <c r="G105" i="8"/>
  <c r="H105" i="8"/>
  <c r="G107" i="8"/>
  <c r="H107" i="8"/>
  <c r="E205" i="8"/>
  <c r="F205" i="8" s="1"/>
  <c r="G215" i="8"/>
  <c r="H215" i="8"/>
  <c r="D235" i="8"/>
  <c r="C235" i="8"/>
  <c r="H266" i="8"/>
  <c r="G266" i="8"/>
  <c r="D266" i="8"/>
  <c r="C266" i="8"/>
  <c r="E266" i="8" s="1"/>
  <c r="F266" i="8" s="1"/>
  <c r="G278" i="8"/>
  <c r="C278" i="8"/>
  <c r="E278" i="8" s="1"/>
  <c r="F278" i="8" s="1"/>
  <c r="H287" i="8"/>
  <c r="G287" i="8"/>
  <c r="D287" i="8"/>
  <c r="E287" i="8" s="1"/>
  <c r="F287" i="8" s="1"/>
  <c r="G302" i="8"/>
  <c r="D302" i="8"/>
  <c r="C302" i="8"/>
  <c r="G315" i="8"/>
  <c r="H375" i="8"/>
  <c r="G375" i="8"/>
  <c r="C375" i="8"/>
  <c r="E375" i="8" s="1"/>
  <c r="F375" i="8" s="1"/>
  <c r="D375" i="8"/>
  <c r="H439" i="8"/>
  <c r="G439" i="8"/>
  <c r="H447" i="8"/>
  <c r="G447" i="8"/>
  <c r="D447" i="8"/>
  <c r="E447" i="8" s="1"/>
  <c r="F447" i="8" s="1"/>
  <c r="E513" i="8"/>
  <c r="F513" i="8" s="1"/>
  <c r="E554" i="8"/>
  <c r="F554" i="8" s="1"/>
  <c r="D617" i="8"/>
  <c r="G617" i="8"/>
  <c r="H617" i="8"/>
  <c r="C617" i="8"/>
  <c r="E617" i="8" s="1"/>
  <c r="F617" i="8" s="1"/>
  <c r="E620" i="8"/>
  <c r="F620" i="8" s="1"/>
  <c r="H764" i="8"/>
  <c r="D764" i="8"/>
  <c r="E764" i="8" s="1"/>
  <c r="F764" i="8" s="1"/>
  <c r="G764" i="8"/>
  <c r="H768" i="8"/>
  <c r="G768" i="8"/>
  <c r="D768" i="8"/>
  <c r="C768" i="8"/>
  <c r="H780" i="8"/>
  <c r="G780" i="8"/>
  <c r="C780" i="8"/>
  <c r="E780" i="8" s="1"/>
  <c r="F780" i="8" s="1"/>
  <c r="F13" i="6"/>
  <c r="G60" i="8"/>
  <c r="H74" i="8"/>
  <c r="G74" i="8"/>
  <c r="G82" i="8"/>
  <c r="G89" i="8"/>
  <c r="D96" i="8"/>
  <c r="E96" i="8" s="1"/>
  <c r="F96" i="8" s="1"/>
  <c r="D98" i="8"/>
  <c r="E98" i="8" s="1"/>
  <c r="F98" i="8" s="1"/>
  <c r="D105" i="8"/>
  <c r="E105" i="8" s="1"/>
  <c r="F105" i="8" s="1"/>
  <c r="D107" i="8"/>
  <c r="G117" i="8"/>
  <c r="H117" i="8"/>
  <c r="H137" i="8"/>
  <c r="G137" i="8"/>
  <c r="D158" i="8"/>
  <c r="G167" i="8"/>
  <c r="H167" i="8"/>
  <c r="D167" i="8"/>
  <c r="E167" i="8" s="1"/>
  <c r="F167" i="8" s="1"/>
  <c r="G186" i="8"/>
  <c r="D186" i="8"/>
  <c r="G203" i="8"/>
  <c r="C203" i="8"/>
  <c r="E203" i="8" s="1"/>
  <c r="F203" i="8" s="1"/>
  <c r="H203" i="8"/>
  <c r="H207" i="8"/>
  <c r="G210" i="8"/>
  <c r="D210" i="8"/>
  <c r="H210" i="8"/>
  <c r="C210" i="8"/>
  <c r="E210" i="8" s="1"/>
  <c r="F210" i="8" s="1"/>
  <c r="D215" i="8"/>
  <c r="G235" i="8"/>
  <c r="G240" i="8"/>
  <c r="H263" i="8"/>
  <c r="G263" i="8"/>
  <c r="D263" i="8"/>
  <c r="H452" i="8"/>
  <c r="G452" i="8"/>
  <c r="D452" i="8"/>
  <c r="E535" i="8"/>
  <c r="F535" i="8" s="1"/>
  <c r="C538" i="8"/>
  <c r="H538" i="8"/>
  <c r="G538" i="8"/>
  <c r="D538" i="8"/>
  <c r="C576" i="8"/>
  <c r="E576" i="8" s="1"/>
  <c r="F576" i="8" s="1"/>
  <c r="H576" i="8"/>
  <c r="G576" i="8"/>
  <c r="D576" i="8"/>
  <c r="H744" i="8"/>
  <c r="G744" i="8"/>
  <c r="D744" i="8"/>
  <c r="C744" i="8"/>
  <c r="H43" i="8"/>
  <c r="G43" i="8"/>
  <c r="H45" i="8"/>
  <c r="G45" i="8"/>
  <c r="G52" i="8"/>
  <c r="D52" i="8"/>
  <c r="C94" i="8"/>
  <c r="E94" i="8" s="1"/>
  <c r="F94" i="8" s="1"/>
  <c r="C117" i="8"/>
  <c r="E117" i="8" s="1"/>
  <c r="F117" i="8" s="1"/>
  <c r="H127" i="8"/>
  <c r="G127" i="8"/>
  <c r="G129" i="8"/>
  <c r="H129" i="8"/>
  <c r="C137" i="8"/>
  <c r="E137" i="8" s="1"/>
  <c r="F137" i="8" s="1"/>
  <c r="C145" i="8"/>
  <c r="H145" i="8"/>
  <c r="G145" i="8"/>
  <c r="D145" i="8"/>
  <c r="H165" i="8"/>
  <c r="G165" i="8"/>
  <c r="C186" i="8"/>
  <c r="C201" i="8"/>
  <c r="H201" i="8"/>
  <c r="H235" i="8"/>
  <c r="E263" i="8"/>
  <c r="F263" i="8" s="1"/>
  <c r="D279" i="8"/>
  <c r="C279" i="8"/>
  <c r="E279" i="8" s="1"/>
  <c r="F279" i="8" s="1"/>
  <c r="H279" i="8"/>
  <c r="H285" i="8"/>
  <c r="G285" i="8"/>
  <c r="D291" i="8"/>
  <c r="C291" i="8"/>
  <c r="E303" i="8"/>
  <c r="F303" i="8" s="1"/>
  <c r="G344" i="8"/>
  <c r="C344" i="8"/>
  <c r="E344" i="8" s="1"/>
  <c r="F344" i="8" s="1"/>
  <c r="G426" i="8"/>
  <c r="C452" i="8"/>
  <c r="E452" i="8" s="1"/>
  <c r="F452" i="8" s="1"/>
  <c r="C527" i="8"/>
  <c r="G527" i="8"/>
  <c r="D527" i="8"/>
  <c r="D546" i="8"/>
  <c r="G546" i="8"/>
  <c r="C552" i="8"/>
  <c r="H552" i="8"/>
  <c r="G552" i="8"/>
  <c r="D552" i="8"/>
  <c r="C43" i="8"/>
  <c r="E43" i="8" s="1"/>
  <c r="F43" i="8" s="1"/>
  <c r="C45" i="8"/>
  <c r="E45" i="8" s="1"/>
  <c r="F45" i="8" s="1"/>
  <c r="H50" i="8"/>
  <c r="G50" i="8"/>
  <c r="C52" i="8"/>
  <c r="E52" i="8" s="1"/>
  <c r="F52" i="8" s="1"/>
  <c r="D83" i="8"/>
  <c r="C83" i="8"/>
  <c r="E129" i="8"/>
  <c r="F129" i="8" s="1"/>
  <c r="D137" i="8"/>
  <c r="G148" i="8"/>
  <c r="G162" i="8"/>
  <c r="D162" i="8"/>
  <c r="E162" i="8" s="1"/>
  <c r="F162" i="8" s="1"/>
  <c r="C165" i="8"/>
  <c r="E165" i="8" s="1"/>
  <c r="F165" i="8" s="1"/>
  <c r="E181" i="8"/>
  <c r="F181" i="8" s="1"/>
  <c r="D201" i="8"/>
  <c r="D236" i="8"/>
  <c r="E236" i="8" s="1"/>
  <c r="F236" i="8" s="1"/>
  <c r="H236" i="8"/>
  <c r="G236" i="8"/>
  <c r="E261" i="8"/>
  <c r="F261" i="8" s="1"/>
  <c r="G276" i="8"/>
  <c r="C276" i="8"/>
  <c r="E276" i="8" s="1"/>
  <c r="F276" i="8" s="1"/>
  <c r="C285" i="8"/>
  <c r="E285" i="8" s="1"/>
  <c r="F285" i="8" s="1"/>
  <c r="D344" i="8"/>
  <c r="H399" i="8"/>
  <c r="G399" i="8"/>
  <c r="D399" i="8"/>
  <c r="C399" i="8"/>
  <c r="H424" i="8"/>
  <c r="G424" i="8"/>
  <c r="C424" i="8"/>
  <c r="E424" i="8" s="1"/>
  <c r="F424" i="8" s="1"/>
  <c r="H426" i="8"/>
  <c r="D429" i="8"/>
  <c r="H429" i="8"/>
  <c r="G429" i="8"/>
  <c r="C429" i="8"/>
  <c r="H460" i="8"/>
  <c r="G460" i="8"/>
  <c r="D460" i="8"/>
  <c r="E460" i="8" s="1"/>
  <c r="F460" i="8" s="1"/>
  <c r="H484" i="8"/>
  <c r="G484" i="8"/>
  <c r="D484" i="8"/>
  <c r="H527" i="8"/>
  <c r="C546" i="8"/>
  <c r="E546" i="8" s="1"/>
  <c r="F546" i="8" s="1"/>
  <c r="D549" i="8"/>
  <c r="C549" i="8"/>
  <c r="D729" i="8"/>
  <c r="E729" i="8" s="1"/>
  <c r="F729" i="8" s="1"/>
  <c r="H729" i="8"/>
  <c r="G729" i="8"/>
  <c r="E799" i="8"/>
  <c r="F799" i="8" s="1"/>
  <c r="C829" i="8"/>
  <c r="G829" i="8"/>
  <c r="D829" i="8"/>
  <c r="E857" i="8"/>
  <c r="F857" i="8" s="1"/>
  <c r="E1008" i="8"/>
  <c r="F1008" i="8" s="1"/>
  <c r="E157" i="8"/>
  <c r="F157" i="8" s="1"/>
  <c r="C195" i="8"/>
  <c r="E195" i="8" s="1"/>
  <c r="F195" i="8" s="1"/>
  <c r="H195" i="8"/>
  <c r="H208" i="8"/>
  <c r="G208" i="8"/>
  <c r="E241" i="8"/>
  <c r="F241" i="8" s="1"/>
  <c r="D304" i="8"/>
  <c r="H304" i="8"/>
  <c r="G304" i="8"/>
  <c r="C304" i="8"/>
  <c r="E304" i="8" s="1"/>
  <c r="F304" i="8" s="1"/>
  <c r="E313" i="8"/>
  <c r="F313" i="8" s="1"/>
  <c r="D323" i="8"/>
  <c r="C323" i="8"/>
  <c r="H323" i="8"/>
  <c r="H333" i="8"/>
  <c r="D333" i="8"/>
  <c r="C333" i="8"/>
  <c r="G339" i="8"/>
  <c r="D339" i="8"/>
  <c r="H339" i="8"/>
  <c r="C339" i="8"/>
  <c r="E339" i="8" s="1"/>
  <c r="F339" i="8" s="1"/>
  <c r="G362" i="8"/>
  <c r="H362" i="8"/>
  <c r="D362" i="8"/>
  <c r="C362" i="8"/>
  <c r="G449" i="8"/>
  <c r="H449" i="8"/>
  <c r="D479" i="8"/>
  <c r="C479" i="8"/>
  <c r="E479" i="8" s="1"/>
  <c r="F479" i="8" s="1"/>
  <c r="G479" i="8"/>
  <c r="G482" i="8"/>
  <c r="H482" i="8"/>
  <c r="D482" i="8"/>
  <c r="E482" i="8" s="1"/>
  <c r="F482" i="8" s="1"/>
  <c r="E499" i="8"/>
  <c r="F499" i="8" s="1"/>
  <c r="H510" i="8"/>
  <c r="G510" i="8"/>
  <c r="D510" i="8"/>
  <c r="C510" i="8"/>
  <c r="D570" i="8"/>
  <c r="H570" i="8"/>
  <c r="C570" i="8"/>
  <c r="E570" i="8" s="1"/>
  <c r="F570" i="8" s="1"/>
  <c r="H602" i="8"/>
  <c r="G602" i="8"/>
  <c r="D602" i="8"/>
  <c r="C602" i="8"/>
  <c r="E602" i="8" s="1"/>
  <c r="F602" i="8" s="1"/>
  <c r="H704" i="8"/>
  <c r="G704" i="8"/>
  <c r="D704" i="8"/>
  <c r="D796" i="8"/>
  <c r="C796" i="8"/>
  <c r="H796" i="8"/>
  <c r="G796" i="8"/>
  <c r="G191" i="8"/>
  <c r="H191" i="8"/>
  <c r="H254" i="8"/>
  <c r="G254" i="8"/>
  <c r="E277" i="8"/>
  <c r="F277" i="8" s="1"/>
  <c r="H280" i="8"/>
  <c r="G280" i="8"/>
  <c r="C280" i="8"/>
  <c r="E280" i="8" s="1"/>
  <c r="F280" i="8" s="1"/>
  <c r="C366" i="8"/>
  <c r="E366" i="8" s="1"/>
  <c r="F366" i="8" s="1"/>
  <c r="G366" i="8"/>
  <c r="H382" i="8"/>
  <c r="G382" i="8"/>
  <c r="D395" i="8"/>
  <c r="G395" i="8"/>
  <c r="C395" i="8"/>
  <c r="E395" i="8" s="1"/>
  <c r="F395" i="8" s="1"/>
  <c r="H416" i="8"/>
  <c r="G416" i="8"/>
  <c r="D416" i="8"/>
  <c r="C416" i="8"/>
  <c r="E422" i="8"/>
  <c r="F422" i="8" s="1"/>
  <c r="H437" i="8"/>
  <c r="G437" i="8"/>
  <c r="D437" i="8"/>
  <c r="E437" i="8" s="1"/>
  <c r="F437" i="8" s="1"/>
  <c r="E475" i="8"/>
  <c r="F475" i="8" s="1"/>
  <c r="H496" i="8"/>
  <c r="G496" i="8"/>
  <c r="D496" i="8"/>
  <c r="H519" i="8"/>
  <c r="G519" i="8"/>
  <c r="D519" i="8"/>
  <c r="C519" i="8"/>
  <c r="E519" i="8" s="1"/>
  <c r="F519" i="8" s="1"/>
  <c r="H695" i="8"/>
  <c r="G695" i="8"/>
  <c r="D695" i="8"/>
  <c r="C695" i="8"/>
  <c r="E695" i="8" s="1"/>
  <c r="F695" i="8" s="1"/>
  <c r="E704" i="8"/>
  <c r="F704" i="8" s="1"/>
  <c r="H809" i="8"/>
  <c r="G809" i="8"/>
  <c r="D809" i="8"/>
  <c r="C809" i="8"/>
  <c r="H854" i="8"/>
  <c r="G854" i="8"/>
  <c r="D854" i="8"/>
  <c r="C854" i="8"/>
  <c r="C110" i="8"/>
  <c r="E110" i="8" s="1"/>
  <c r="F110" i="8" s="1"/>
  <c r="C112" i="8"/>
  <c r="E112" i="8" s="1"/>
  <c r="F112" i="8" s="1"/>
  <c r="C114" i="8"/>
  <c r="E114" i="8" s="1"/>
  <c r="F114" i="8" s="1"/>
  <c r="C172" i="8"/>
  <c r="E172" i="8" s="1"/>
  <c r="F172" i="8" s="1"/>
  <c r="C191" i="8"/>
  <c r="E191" i="8" s="1"/>
  <c r="F191" i="8" s="1"/>
  <c r="C204" i="8"/>
  <c r="E204" i="8" s="1"/>
  <c r="F204" i="8" s="1"/>
  <c r="C206" i="8"/>
  <c r="E206" i="8" s="1"/>
  <c r="F206" i="8" s="1"/>
  <c r="C221" i="8"/>
  <c r="E221" i="8" s="1"/>
  <c r="F221" i="8" s="1"/>
  <c r="C232" i="8"/>
  <c r="E232" i="8" s="1"/>
  <c r="F232" i="8" s="1"/>
  <c r="C234" i="8"/>
  <c r="E234" i="8" s="1"/>
  <c r="F234" i="8" s="1"/>
  <c r="D267" i="8"/>
  <c r="C267" i="8"/>
  <c r="D272" i="8"/>
  <c r="H272" i="8"/>
  <c r="G272" i="8"/>
  <c r="C272" i="8"/>
  <c r="E301" i="8"/>
  <c r="F301" i="8" s="1"/>
  <c r="H324" i="8"/>
  <c r="G324" i="8"/>
  <c r="D324" i="8"/>
  <c r="E324" i="8" s="1"/>
  <c r="F324" i="8" s="1"/>
  <c r="H334" i="8"/>
  <c r="G334" i="8"/>
  <c r="C382" i="8"/>
  <c r="E382" i="8" s="1"/>
  <c r="F382" i="8" s="1"/>
  <c r="D431" i="8"/>
  <c r="C431" i="8"/>
  <c r="E431" i="8" s="1"/>
  <c r="F431" i="8" s="1"/>
  <c r="H431" i="8"/>
  <c r="G431" i="8"/>
  <c r="G434" i="8"/>
  <c r="H434" i="8"/>
  <c r="C434" i="8"/>
  <c r="E434" i="8" s="1"/>
  <c r="F434" i="8" s="1"/>
  <c r="E463" i="8"/>
  <c r="F463" i="8" s="1"/>
  <c r="C496" i="8"/>
  <c r="H520" i="8"/>
  <c r="G520" i="8"/>
  <c r="C520" i="8"/>
  <c r="E520" i="8" s="1"/>
  <c r="F520" i="8" s="1"/>
  <c r="H541" i="8"/>
  <c r="D541" i="8"/>
  <c r="G541" i="8"/>
  <c r="C541" i="8"/>
  <c r="E541" i="8" s="1"/>
  <c r="F541" i="8" s="1"/>
  <c r="H692" i="8"/>
  <c r="G692" i="8"/>
  <c r="C692" i="8"/>
  <c r="E692" i="8" s="1"/>
  <c r="F692" i="8" s="1"/>
  <c r="C219" i="8"/>
  <c r="E219" i="8" s="1"/>
  <c r="F219" i="8" s="1"/>
  <c r="H219" i="8"/>
  <c r="D237" i="8"/>
  <c r="C237" i="8"/>
  <c r="H252" i="8"/>
  <c r="G252" i="8"/>
  <c r="H264" i="8"/>
  <c r="G264" i="8"/>
  <c r="D264" i="8"/>
  <c r="D296" i="8"/>
  <c r="G296" i="8"/>
  <c r="C296" i="8"/>
  <c r="E296" i="8" s="1"/>
  <c r="F296" i="8" s="1"/>
  <c r="E305" i="8"/>
  <c r="F305" i="8" s="1"/>
  <c r="E334" i="8"/>
  <c r="F334" i="8" s="1"/>
  <c r="D396" i="8"/>
  <c r="C396" i="8"/>
  <c r="E396" i="8" s="1"/>
  <c r="F396" i="8" s="1"/>
  <c r="H464" i="8"/>
  <c r="G464" i="8"/>
  <c r="C464" i="8"/>
  <c r="E464" i="8" s="1"/>
  <c r="F464" i="8" s="1"/>
  <c r="G473" i="8"/>
  <c r="D473" i="8"/>
  <c r="E473" i="8" s="1"/>
  <c r="F473" i="8" s="1"/>
  <c r="H480" i="8"/>
  <c r="G480" i="8"/>
  <c r="C480" i="8"/>
  <c r="E480" i="8" s="1"/>
  <c r="F480" i="8" s="1"/>
  <c r="E516" i="8"/>
  <c r="F516" i="8" s="1"/>
  <c r="G534" i="8"/>
  <c r="H534" i="8"/>
  <c r="D534" i="8"/>
  <c r="C534" i="8"/>
  <c r="H554" i="8"/>
  <c r="G554" i="8"/>
  <c r="D557" i="8"/>
  <c r="C557" i="8"/>
  <c r="G557" i="8"/>
  <c r="H557" i="8"/>
  <c r="E753" i="8"/>
  <c r="F753" i="8" s="1"/>
  <c r="G757" i="8"/>
  <c r="C757" i="8"/>
  <c r="E757" i="8" s="1"/>
  <c r="F757" i="8" s="1"/>
  <c r="H757" i="8"/>
  <c r="H790" i="8"/>
  <c r="G790" i="8"/>
  <c r="C790" i="8"/>
  <c r="E790" i="8" s="1"/>
  <c r="F790" i="8" s="1"/>
  <c r="D383" i="8"/>
  <c r="C383" i="8"/>
  <c r="E383" i="8" s="1"/>
  <c r="F383" i="8" s="1"/>
  <c r="H388" i="8"/>
  <c r="G388" i="8"/>
  <c r="D388" i="8"/>
  <c r="E388" i="8" s="1"/>
  <c r="F388" i="8" s="1"/>
  <c r="D444" i="8"/>
  <c r="C444" i="8"/>
  <c r="H444" i="8"/>
  <c r="G444" i="8"/>
  <c r="H463" i="8"/>
  <c r="G463" i="8"/>
  <c r="D463" i="8"/>
  <c r="H471" i="8"/>
  <c r="G471" i="8"/>
  <c r="G476" i="8"/>
  <c r="D476" i="8"/>
  <c r="E476" i="8" s="1"/>
  <c r="F476" i="8" s="1"/>
  <c r="H495" i="8"/>
  <c r="G495" i="8"/>
  <c r="D495" i="8"/>
  <c r="C495" i="8"/>
  <c r="H516" i="8"/>
  <c r="G516" i="8"/>
  <c r="H585" i="8"/>
  <c r="G585" i="8"/>
  <c r="E611" i="8"/>
  <c r="F611" i="8" s="1"/>
  <c r="H690" i="8"/>
  <c r="G690" i="8"/>
  <c r="H716" i="8"/>
  <c r="G716" i="8"/>
  <c r="D716" i="8"/>
  <c r="C716" i="8"/>
  <c r="G329" i="8"/>
  <c r="D329" i="8"/>
  <c r="D353" i="8"/>
  <c r="C353" i="8"/>
  <c r="E353" i="8" s="1"/>
  <c r="F353" i="8" s="1"/>
  <c r="H364" i="8"/>
  <c r="G364" i="8"/>
  <c r="H383" i="8"/>
  <c r="G386" i="8"/>
  <c r="H386" i="8"/>
  <c r="D386" i="8"/>
  <c r="E386" i="8" s="1"/>
  <c r="F386" i="8" s="1"/>
  <c r="D420" i="8"/>
  <c r="C420" i="8"/>
  <c r="E420" i="8" s="1"/>
  <c r="F420" i="8" s="1"/>
  <c r="H420" i="8"/>
  <c r="D467" i="8"/>
  <c r="E467" i="8" s="1"/>
  <c r="F467" i="8" s="1"/>
  <c r="H467" i="8"/>
  <c r="G467" i="8"/>
  <c r="H499" i="8"/>
  <c r="G499" i="8"/>
  <c r="D504" i="8"/>
  <c r="C504" i="8"/>
  <c r="E504" i="8" s="1"/>
  <c r="F504" i="8" s="1"/>
  <c r="D609" i="8"/>
  <c r="E609" i="8" s="1"/>
  <c r="F609" i="8" s="1"/>
  <c r="H609" i="8"/>
  <c r="E687" i="8"/>
  <c r="F687" i="8" s="1"/>
  <c r="E702" i="8"/>
  <c r="F702" i="8" s="1"/>
  <c r="D784" i="8"/>
  <c r="C784" i="8"/>
  <c r="E784" i="8" s="1"/>
  <c r="F784" i="8" s="1"/>
  <c r="H784" i="8"/>
  <c r="G784" i="8"/>
  <c r="E909" i="8"/>
  <c r="F909" i="8" s="1"/>
  <c r="H993" i="8"/>
  <c r="D993" i="8"/>
  <c r="G993" i="8"/>
  <c r="C993" i="8"/>
  <c r="E1004" i="8"/>
  <c r="F1004" i="8" s="1"/>
  <c r="H227" i="8"/>
  <c r="G227" i="8"/>
  <c r="D231" i="8"/>
  <c r="C231" i="8"/>
  <c r="E231" i="8" s="1"/>
  <c r="F231" i="8" s="1"/>
  <c r="D282" i="8"/>
  <c r="D292" i="8"/>
  <c r="E292" i="8" s="1"/>
  <c r="F292" i="8" s="1"/>
  <c r="H319" i="8"/>
  <c r="G319" i="8"/>
  <c r="D319" i="8"/>
  <c r="C319" i="8"/>
  <c r="E319" i="8" s="1"/>
  <c r="F319" i="8" s="1"/>
  <c r="G353" i="8"/>
  <c r="D364" i="8"/>
  <c r="E364" i="8" s="1"/>
  <c r="F364" i="8" s="1"/>
  <c r="D371" i="8"/>
  <c r="H371" i="8"/>
  <c r="G371" i="8"/>
  <c r="D400" i="8"/>
  <c r="E400" i="8" s="1"/>
  <c r="F400" i="8" s="1"/>
  <c r="H403" i="8"/>
  <c r="G403" i="8"/>
  <c r="G405" i="8"/>
  <c r="D408" i="8"/>
  <c r="C408" i="8"/>
  <c r="E408" i="8" s="1"/>
  <c r="F408" i="8" s="1"/>
  <c r="E435" i="8"/>
  <c r="F435" i="8" s="1"/>
  <c r="E451" i="8"/>
  <c r="F451" i="8" s="1"/>
  <c r="D461" i="8"/>
  <c r="C461" i="8"/>
  <c r="G477" i="8"/>
  <c r="D488" i="8"/>
  <c r="D499" i="8"/>
  <c r="H504" i="8"/>
  <c r="D512" i="8"/>
  <c r="H512" i="8"/>
  <c r="G512" i="8"/>
  <c r="E523" i="8"/>
  <c r="F523" i="8" s="1"/>
  <c r="G536" i="8"/>
  <c r="D536" i="8"/>
  <c r="E536" i="8" s="1"/>
  <c r="F536" i="8" s="1"/>
  <c r="H536" i="8"/>
  <c r="E542" i="8"/>
  <c r="F542" i="8" s="1"/>
  <c r="D561" i="8"/>
  <c r="C561" i="8"/>
  <c r="H561" i="8"/>
  <c r="G561" i="8"/>
  <c r="G580" i="8"/>
  <c r="H580" i="8"/>
  <c r="D616" i="8"/>
  <c r="C616" i="8"/>
  <c r="E616" i="8" s="1"/>
  <c r="F616" i="8" s="1"/>
  <c r="G680" i="8"/>
  <c r="H680" i="8"/>
  <c r="D680" i="8"/>
  <c r="C680" i="8"/>
  <c r="D777" i="8"/>
  <c r="G777" i="8"/>
  <c r="C777" i="8"/>
  <c r="H777" i="8"/>
  <c r="C838" i="8"/>
  <c r="H838" i="8"/>
  <c r="G838" i="8"/>
  <c r="D838" i="8"/>
  <c r="H939" i="8"/>
  <c r="D939" i="8"/>
  <c r="G939" i="8"/>
  <c r="C939" i="8"/>
  <c r="D974" i="8"/>
  <c r="C974" i="8"/>
  <c r="H974" i="8"/>
  <c r="G974" i="8"/>
  <c r="H239" i="8"/>
  <c r="G239" i="8"/>
  <c r="D243" i="8"/>
  <c r="C243" i="8"/>
  <c r="E243" i="8" s="1"/>
  <c r="F243" i="8" s="1"/>
  <c r="G284" i="8"/>
  <c r="H307" i="8"/>
  <c r="G307" i="8"/>
  <c r="D307" i="8"/>
  <c r="G327" i="8"/>
  <c r="D327" i="8"/>
  <c r="H329" i="8"/>
  <c r="D351" i="8"/>
  <c r="C351" i="8"/>
  <c r="E351" i="8" s="1"/>
  <c r="F351" i="8" s="1"/>
  <c r="H353" i="8"/>
  <c r="E392" i="8"/>
  <c r="F392" i="8" s="1"/>
  <c r="G394" i="8"/>
  <c r="E403" i="8"/>
  <c r="F403" i="8" s="1"/>
  <c r="H405" i="8"/>
  <c r="G420" i="8"/>
  <c r="H448" i="8"/>
  <c r="G448" i="8"/>
  <c r="D448" i="8"/>
  <c r="H477" i="8"/>
  <c r="C486" i="8"/>
  <c r="G486" i="8"/>
  <c r="H486" i="8"/>
  <c r="G488" i="8"/>
  <c r="D491" i="8"/>
  <c r="G491" i="8"/>
  <c r="C491" i="8"/>
  <c r="E512" i="8"/>
  <c r="F512" i="8" s="1"/>
  <c r="E580" i="8"/>
  <c r="F580" i="8" s="1"/>
  <c r="H591" i="8"/>
  <c r="G591" i="8"/>
  <c r="E594" i="8"/>
  <c r="F594" i="8" s="1"/>
  <c r="D597" i="8"/>
  <c r="C597" i="8"/>
  <c r="E597" i="8" s="1"/>
  <c r="F597" i="8" s="1"/>
  <c r="G609" i="8"/>
  <c r="G632" i="8"/>
  <c r="H632" i="8"/>
  <c r="D632" i="8"/>
  <c r="C632" i="8"/>
  <c r="D681" i="8"/>
  <c r="C681" i="8"/>
  <c r="H681" i="8"/>
  <c r="G681" i="8"/>
  <c r="C239" i="8"/>
  <c r="E239" i="8" s="1"/>
  <c r="F239" i="8" s="1"/>
  <c r="H251" i="8"/>
  <c r="G251" i="8"/>
  <c r="D255" i="8"/>
  <c r="C255" i="8"/>
  <c r="E255" i="8" s="1"/>
  <c r="F255" i="8" s="1"/>
  <c r="H282" i="8"/>
  <c r="H284" i="8"/>
  <c r="C307" i="8"/>
  <c r="E307" i="8" s="1"/>
  <c r="F307" i="8" s="1"/>
  <c r="D312" i="8"/>
  <c r="E312" i="8" s="1"/>
  <c r="F312" i="8" s="1"/>
  <c r="C317" i="8"/>
  <c r="E317" i="8" s="1"/>
  <c r="F317" i="8" s="1"/>
  <c r="C327" i="8"/>
  <c r="E327" i="8" s="1"/>
  <c r="F327" i="8" s="1"/>
  <c r="D335" i="8"/>
  <c r="C335" i="8"/>
  <c r="H335" i="8"/>
  <c r="C340" i="8"/>
  <c r="E340" i="8" s="1"/>
  <c r="F340" i="8" s="1"/>
  <c r="C358" i="8"/>
  <c r="E358" i="8" s="1"/>
  <c r="F358" i="8" s="1"/>
  <c r="D365" i="8"/>
  <c r="C365" i="8"/>
  <c r="E365" i="8" s="1"/>
  <c r="F365" i="8" s="1"/>
  <c r="G381" i="8"/>
  <c r="H394" i="8"/>
  <c r="D403" i="8"/>
  <c r="H408" i="8"/>
  <c r="D415" i="8"/>
  <c r="E415" i="8" s="1"/>
  <c r="F415" i="8" s="1"/>
  <c r="D418" i="8"/>
  <c r="H418" i="8"/>
  <c r="G418" i="8"/>
  <c r="C443" i="8"/>
  <c r="E443" i="8" s="1"/>
  <c r="F443" i="8" s="1"/>
  <c r="C448" i="8"/>
  <c r="E448" i="8" s="1"/>
  <c r="F448" i="8" s="1"/>
  <c r="H461" i="8"/>
  <c r="H465" i="8"/>
  <c r="G465" i="8"/>
  <c r="H478" i="8"/>
  <c r="G478" i="8"/>
  <c r="D486" i="8"/>
  <c r="H491" i="8"/>
  <c r="G497" i="8"/>
  <c r="H497" i="8"/>
  <c r="D497" i="8"/>
  <c r="E497" i="8" s="1"/>
  <c r="F497" i="8" s="1"/>
  <c r="D521" i="8"/>
  <c r="E521" i="8" s="1"/>
  <c r="F521" i="8" s="1"/>
  <c r="G521" i="8"/>
  <c r="H521" i="8"/>
  <c r="G526" i="8"/>
  <c r="D526" i="8"/>
  <c r="C526" i="8"/>
  <c r="D533" i="8"/>
  <c r="E533" i="8" s="1"/>
  <c r="F533" i="8" s="1"/>
  <c r="G533" i="8"/>
  <c r="D539" i="8"/>
  <c r="C539" i="8"/>
  <c r="E539" i="8" s="1"/>
  <c r="F539" i="8" s="1"/>
  <c r="H539" i="8"/>
  <c r="G548" i="8"/>
  <c r="D548" i="8"/>
  <c r="C548" i="8"/>
  <c r="E548" i="8" s="1"/>
  <c r="F548" i="8" s="1"/>
  <c r="C551" i="8"/>
  <c r="D551" i="8"/>
  <c r="D556" i="8"/>
  <c r="E556" i="8" s="1"/>
  <c r="F556" i="8" s="1"/>
  <c r="H574" i="8"/>
  <c r="G574" i="8"/>
  <c r="D574" i="8"/>
  <c r="E574" i="8" s="1"/>
  <c r="F574" i="8" s="1"/>
  <c r="D580" i="8"/>
  <c r="H589" i="8"/>
  <c r="G589" i="8"/>
  <c r="C591" i="8"/>
  <c r="E591" i="8" s="1"/>
  <c r="F591" i="8" s="1"/>
  <c r="H613" i="8"/>
  <c r="G613" i="8"/>
  <c r="D613" i="8"/>
  <c r="C613" i="8"/>
  <c r="E613" i="8" s="1"/>
  <c r="F613" i="8" s="1"/>
  <c r="H616" i="8"/>
  <c r="H753" i="8"/>
  <c r="G753" i="8"/>
  <c r="D753" i="8"/>
  <c r="D760" i="8"/>
  <c r="C760" i="8"/>
  <c r="E760" i="8" s="1"/>
  <c r="F760" i="8" s="1"/>
  <c r="H760" i="8"/>
  <c r="G760" i="8"/>
  <c r="H343" i="8"/>
  <c r="G343" i="8"/>
  <c r="D347" i="8"/>
  <c r="C347" i="8"/>
  <c r="E347" i="8" s="1"/>
  <c r="F347" i="8" s="1"/>
  <c r="C414" i="8"/>
  <c r="E414" i="8" s="1"/>
  <c r="F414" i="8" s="1"/>
  <c r="G414" i="8"/>
  <c r="E639" i="8"/>
  <c r="F639" i="8" s="1"/>
  <c r="D647" i="8"/>
  <c r="C647" i="8"/>
  <c r="H647" i="8"/>
  <c r="G647" i="8"/>
  <c r="H650" i="8"/>
  <c r="G650" i="8"/>
  <c r="D650" i="8"/>
  <c r="C650" i="8"/>
  <c r="E650" i="8" s="1"/>
  <c r="F650" i="8" s="1"/>
  <c r="D664" i="8"/>
  <c r="C664" i="8"/>
  <c r="D670" i="8"/>
  <c r="H670" i="8"/>
  <c r="G670" i="8"/>
  <c r="E722" i="8"/>
  <c r="F722" i="8" s="1"/>
  <c r="H794" i="8"/>
  <c r="G794" i="8"/>
  <c r="D794" i="8"/>
  <c r="C794" i="8"/>
  <c r="H830" i="8"/>
  <c r="G830" i="8"/>
  <c r="D830" i="8"/>
  <c r="C841" i="8"/>
  <c r="E841" i="8" s="1"/>
  <c r="F841" i="8" s="1"/>
  <c r="H841" i="8"/>
  <c r="G841" i="8"/>
  <c r="G975" i="8"/>
  <c r="C975" i="8"/>
  <c r="H975" i="8"/>
  <c r="G997" i="8"/>
  <c r="H997" i="8"/>
  <c r="D997" i="8"/>
  <c r="C997" i="8"/>
  <c r="E997" i="8" s="1"/>
  <c r="F997" i="8" s="1"/>
  <c r="E345" i="8"/>
  <c r="F345" i="8" s="1"/>
  <c r="H355" i="8"/>
  <c r="G355" i="8"/>
  <c r="D359" i="8"/>
  <c r="C359" i="8"/>
  <c r="G410" i="8"/>
  <c r="H410" i="8"/>
  <c r="H412" i="8"/>
  <c r="G412" i="8"/>
  <c r="E427" i="8"/>
  <c r="F427" i="8" s="1"/>
  <c r="D455" i="8"/>
  <c r="C455" i="8"/>
  <c r="E455" i="8" s="1"/>
  <c r="F455" i="8" s="1"/>
  <c r="G506" i="8"/>
  <c r="H506" i="8"/>
  <c r="E537" i="8"/>
  <c r="F537" i="8" s="1"/>
  <c r="E550" i="8"/>
  <c r="F550" i="8" s="1"/>
  <c r="G560" i="8"/>
  <c r="D560" i="8"/>
  <c r="E560" i="8" s="1"/>
  <c r="F560" i="8" s="1"/>
  <c r="D621" i="8"/>
  <c r="C621" i="8"/>
  <c r="E621" i="8" s="1"/>
  <c r="F621" i="8" s="1"/>
  <c r="H621" i="8"/>
  <c r="G621" i="8"/>
  <c r="D659" i="8"/>
  <c r="C659" i="8"/>
  <c r="E659" i="8" s="1"/>
  <c r="F659" i="8" s="1"/>
  <c r="H659" i="8"/>
  <c r="G659" i="8"/>
  <c r="E670" i="8"/>
  <c r="F670" i="8" s="1"/>
  <c r="H678" i="8"/>
  <c r="G678" i="8"/>
  <c r="D678" i="8"/>
  <c r="E731" i="8"/>
  <c r="F731" i="8" s="1"/>
  <c r="D765" i="8"/>
  <c r="G765" i="8"/>
  <c r="C765" i="8"/>
  <c r="E765" i="8" s="1"/>
  <c r="F765" i="8" s="1"/>
  <c r="E771" i="8"/>
  <c r="F771" i="8" s="1"/>
  <c r="H778" i="8"/>
  <c r="D778" i="8"/>
  <c r="C778" i="8"/>
  <c r="E778" i="8" s="1"/>
  <c r="F778" i="8" s="1"/>
  <c r="G778" i="8"/>
  <c r="C830" i="8"/>
  <c r="D841" i="8"/>
  <c r="H921" i="8"/>
  <c r="D921" i="8"/>
  <c r="G921" i="8"/>
  <c r="C921" i="8"/>
  <c r="E921" i="8" s="1"/>
  <c r="F921" i="8" s="1"/>
  <c r="G949" i="8"/>
  <c r="C949" i="8"/>
  <c r="H949" i="8"/>
  <c r="D949" i="8"/>
  <c r="D975" i="8"/>
  <c r="D372" i="8"/>
  <c r="C372" i="8"/>
  <c r="H423" i="8"/>
  <c r="G423" i="8"/>
  <c r="D468" i="8"/>
  <c r="C468" i="8"/>
  <c r="D545" i="8"/>
  <c r="G545" i="8"/>
  <c r="C545" i="8"/>
  <c r="E545" i="8" s="1"/>
  <c r="F545" i="8" s="1"/>
  <c r="D563" i="8"/>
  <c r="C563" i="8"/>
  <c r="E563" i="8" s="1"/>
  <c r="F563" i="8" s="1"/>
  <c r="D581" i="8"/>
  <c r="H581" i="8"/>
  <c r="G581" i="8"/>
  <c r="G596" i="8"/>
  <c r="D596" i="8"/>
  <c r="G608" i="8"/>
  <c r="D608" i="8"/>
  <c r="C608" i="8"/>
  <c r="E608" i="8" s="1"/>
  <c r="F608" i="8" s="1"/>
  <c r="H630" i="8"/>
  <c r="G630" i="8"/>
  <c r="D630" i="8"/>
  <c r="C630" i="8"/>
  <c r="E630" i="8" s="1"/>
  <c r="F630" i="8" s="1"/>
  <c r="E678" i="8"/>
  <c r="F678" i="8" s="1"/>
  <c r="G688" i="8"/>
  <c r="H688" i="8"/>
  <c r="D688" i="8"/>
  <c r="C688" i="8"/>
  <c r="H818" i="8"/>
  <c r="G818" i="8"/>
  <c r="D818" i="8"/>
  <c r="E818" i="8" s="1"/>
  <c r="F818" i="8" s="1"/>
  <c r="G961" i="8"/>
  <c r="C961" i="8"/>
  <c r="H961" i="8"/>
  <c r="D961" i="8"/>
  <c r="C419" i="8"/>
  <c r="E419" i="8" s="1"/>
  <c r="F419" i="8" s="1"/>
  <c r="C423" i="8"/>
  <c r="E423" i="8" s="1"/>
  <c r="F423" i="8" s="1"/>
  <c r="C438" i="8"/>
  <c r="E438" i="8" s="1"/>
  <c r="F438" i="8" s="1"/>
  <c r="G438" i="8"/>
  <c r="C453" i="8"/>
  <c r="E453" i="8" s="1"/>
  <c r="F453" i="8" s="1"/>
  <c r="G532" i="8"/>
  <c r="D532" i="8"/>
  <c r="C532" i="8"/>
  <c r="E532" i="8" s="1"/>
  <c r="F532" i="8" s="1"/>
  <c r="G572" i="8"/>
  <c r="D572" i="8"/>
  <c r="C572" i="8"/>
  <c r="E572" i="8" s="1"/>
  <c r="F572" i="8" s="1"/>
  <c r="H578" i="8"/>
  <c r="G578" i="8"/>
  <c r="C581" i="8"/>
  <c r="C596" i="8"/>
  <c r="E596" i="8" s="1"/>
  <c r="F596" i="8" s="1"/>
  <c r="H611" i="8"/>
  <c r="D611" i="8"/>
  <c r="C656" i="8"/>
  <c r="E656" i="8" s="1"/>
  <c r="F656" i="8" s="1"/>
  <c r="G711" i="8"/>
  <c r="H711" i="8"/>
  <c r="D711" i="8"/>
  <c r="C711" i="8"/>
  <c r="E711" i="8" s="1"/>
  <c r="F711" i="8" s="1"/>
  <c r="D737" i="8"/>
  <c r="C737" i="8"/>
  <c r="E737" i="8" s="1"/>
  <c r="F737" i="8" s="1"/>
  <c r="H737" i="8"/>
  <c r="D748" i="8"/>
  <c r="C748" i="8"/>
  <c r="H748" i="8"/>
  <c r="G748" i="8"/>
  <c r="G584" i="8"/>
  <c r="D584" i="8"/>
  <c r="C584" i="8"/>
  <c r="D593" i="8"/>
  <c r="E593" i="8" s="1"/>
  <c r="F593" i="8" s="1"/>
  <c r="G593" i="8"/>
  <c r="D635" i="8"/>
  <c r="C635" i="8"/>
  <c r="G635" i="8"/>
  <c r="G668" i="8"/>
  <c r="D668" i="8"/>
  <c r="C668" i="8"/>
  <c r="D683" i="8"/>
  <c r="C683" i="8"/>
  <c r="G699" i="8"/>
  <c r="H699" i="8"/>
  <c r="D699" i="8"/>
  <c r="E699" i="8" s="1"/>
  <c r="F699" i="8" s="1"/>
  <c r="D718" i="8"/>
  <c r="E718" i="8" s="1"/>
  <c r="F718" i="8" s="1"/>
  <c r="H718" i="8"/>
  <c r="H766" i="8"/>
  <c r="G766" i="8"/>
  <c r="E821" i="8"/>
  <c r="F821" i="8" s="1"/>
  <c r="D952" i="8"/>
  <c r="C952" i="8"/>
  <c r="G952" i="8"/>
  <c r="C971" i="8"/>
  <c r="G971" i="8"/>
  <c r="D971" i="8"/>
  <c r="H971" i="8"/>
  <c r="D555" i="8"/>
  <c r="C555" i="8"/>
  <c r="E555" i="8" s="1"/>
  <c r="F555" i="8" s="1"/>
  <c r="E582" i="8"/>
  <c r="F582" i="8" s="1"/>
  <c r="E598" i="8"/>
  <c r="F598" i="8" s="1"/>
  <c r="E610" i="8"/>
  <c r="F610" i="8" s="1"/>
  <c r="D713" i="8"/>
  <c r="C713" i="8"/>
  <c r="E713" i="8" s="1"/>
  <c r="F713" i="8" s="1"/>
  <c r="E741" i="8"/>
  <c r="F741" i="8" s="1"/>
  <c r="C755" i="8"/>
  <c r="H755" i="8"/>
  <c r="G755" i="8"/>
  <c r="D755" i="8"/>
  <c r="E785" i="8"/>
  <c r="F785" i="8" s="1"/>
  <c r="E803" i="8"/>
  <c r="F803" i="8" s="1"/>
  <c r="H812" i="8"/>
  <c r="G812" i="8"/>
  <c r="D812" i="8"/>
  <c r="E812" i="8" s="1"/>
  <c r="F812" i="8" s="1"/>
  <c r="G834" i="8"/>
  <c r="D834" i="8"/>
  <c r="H834" i="8"/>
  <c r="C834" i="8"/>
  <c r="E834" i="8" s="1"/>
  <c r="F834" i="8" s="1"/>
  <c r="E870" i="8"/>
  <c r="F870" i="8" s="1"/>
  <c r="G877" i="8"/>
  <c r="H877" i="8"/>
  <c r="D877" i="8"/>
  <c r="C877" i="8"/>
  <c r="C893" i="8"/>
  <c r="E893" i="8" s="1"/>
  <c r="F893" i="8" s="1"/>
  <c r="H893" i="8"/>
  <c r="G893" i="8"/>
  <c r="E562" i="8"/>
  <c r="F562" i="8" s="1"/>
  <c r="H615" i="8"/>
  <c r="G615" i="8"/>
  <c r="D615" i="8"/>
  <c r="E615" i="8" s="1"/>
  <c r="F615" i="8" s="1"/>
  <c r="D645" i="8"/>
  <c r="C645" i="8"/>
  <c r="E663" i="8"/>
  <c r="F663" i="8" s="1"/>
  <c r="H666" i="8"/>
  <c r="D666" i="8"/>
  <c r="E666" i="8" s="1"/>
  <c r="F666" i="8" s="1"/>
  <c r="D669" i="8"/>
  <c r="C669" i="8"/>
  <c r="E669" i="8" s="1"/>
  <c r="F669" i="8" s="1"/>
  <c r="H697" i="8"/>
  <c r="G697" i="8"/>
  <c r="D697" i="8"/>
  <c r="E697" i="8" s="1"/>
  <c r="F697" i="8" s="1"/>
  <c r="D730" i="8"/>
  <c r="E730" i="8" s="1"/>
  <c r="F730" i="8" s="1"/>
  <c r="H730" i="8"/>
  <c r="G730" i="8"/>
  <c r="E852" i="8"/>
  <c r="F852" i="8" s="1"/>
  <c r="E864" i="8"/>
  <c r="F864" i="8" s="1"/>
  <c r="C881" i="8"/>
  <c r="E881" i="8" s="1"/>
  <c r="F881" i="8" s="1"/>
  <c r="H881" i="8"/>
  <c r="E700" i="8"/>
  <c r="F700" i="8" s="1"/>
  <c r="H756" i="8"/>
  <c r="D756" i="8"/>
  <c r="E756" i="8" s="1"/>
  <c r="F756" i="8" s="1"/>
  <c r="C853" i="8"/>
  <c r="E853" i="8" s="1"/>
  <c r="F853" i="8" s="1"/>
  <c r="G853" i="8"/>
  <c r="D853" i="8"/>
  <c r="D916" i="8"/>
  <c r="E916" i="8" s="1"/>
  <c r="F916" i="8" s="1"/>
  <c r="H916" i="8"/>
  <c r="G916" i="8"/>
  <c r="E547" i="8"/>
  <c r="F547" i="8" s="1"/>
  <c r="D573" i="8"/>
  <c r="C573" i="8"/>
  <c r="E675" i="8"/>
  <c r="F675" i="8" s="1"/>
  <c r="H721" i="8"/>
  <c r="G721" i="8"/>
  <c r="H733" i="8"/>
  <c r="G733" i="8"/>
  <c r="D733" i="8"/>
  <c r="E733" i="8" s="1"/>
  <c r="F733" i="8" s="1"/>
  <c r="G751" i="8"/>
  <c r="H751" i="8"/>
  <c r="D751" i="8"/>
  <c r="C751" i="8"/>
  <c r="E769" i="8"/>
  <c r="F769" i="8" s="1"/>
  <c r="D772" i="8"/>
  <c r="C772" i="8"/>
  <c r="E772" i="8" s="1"/>
  <c r="F772" i="8" s="1"/>
  <c r="H772" i="8"/>
  <c r="G772" i="8"/>
  <c r="G787" i="8"/>
  <c r="D787" i="8"/>
  <c r="C787" i="8"/>
  <c r="E793" i="8"/>
  <c r="F793" i="8" s="1"/>
  <c r="G891" i="8"/>
  <c r="D891" i="8"/>
  <c r="C891" i="8"/>
  <c r="H891" i="8"/>
  <c r="G943" i="8"/>
  <c r="C943" i="8"/>
  <c r="H943" i="8"/>
  <c r="D943" i="8"/>
  <c r="D958" i="8"/>
  <c r="C958" i="8"/>
  <c r="E958" i="8" s="1"/>
  <c r="F958" i="8" s="1"/>
  <c r="H958" i="8"/>
  <c r="G958" i="8"/>
  <c r="D569" i="8"/>
  <c r="E569" i="8" s="1"/>
  <c r="F569" i="8" s="1"/>
  <c r="G569" i="8"/>
  <c r="E586" i="8"/>
  <c r="F586" i="8" s="1"/>
  <c r="D633" i="8"/>
  <c r="C633" i="8"/>
  <c r="E714" i="8"/>
  <c r="F714" i="8" s="1"/>
  <c r="E723" i="8"/>
  <c r="F723" i="8" s="1"/>
  <c r="G763" i="8"/>
  <c r="D763" i="8"/>
  <c r="C763" i="8"/>
  <c r="E782" i="8"/>
  <c r="F782" i="8" s="1"/>
  <c r="G814" i="8"/>
  <c r="H814" i="8"/>
  <c r="D814" i="8"/>
  <c r="E814" i="8" s="1"/>
  <c r="F814" i="8" s="1"/>
  <c r="H828" i="8"/>
  <c r="G828" i="8"/>
  <c r="D828" i="8"/>
  <c r="H851" i="8"/>
  <c r="G851" i="8"/>
  <c r="D851" i="8"/>
  <c r="E851" i="8" s="1"/>
  <c r="F851" i="8" s="1"/>
  <c r="G883" i="8"/>
  <c r="H883" i="8"/>
  <c r="C899" i="8"/>
  <c r="E899" i="8" s="1"/>
  <c r="F899" i="8" s="1"/>
  <c r="H899" i="8"/>
  <c r="D944" i="8"/>
  <c r="C944" i="8"/>
  <c r="E944" i="8" s="1"/>
  <c r="F944" i="8" s="1"/>
  <c r="E651" i="8"/>
  <c r="F651" i="8" s="1"/>
  <c r="D671" i="8"/>
  <c r="C671" i="8"/>
  <c r="H728" i="8"/>
  <c r="G728" i="8"/>
  <c r="G746" i="8"/>
  <c r="D746" i="8"/>
  <c r="E746" i="8" s="1"/>
  <c r="F746" i="8" s="1"/>
  <c r="G749" i="8"/>
  <c r="D749" i="8"/>
  <c r="H788" i="8"/>
  <c r="G788" i="8"/>
  <c r="D808" i="8"/>
  <c r="C808" i="8"/>
  <c r="G808" i="8"/>
  <c r="G811" i="8"/>
  <c r="D811" i="8"/>
  <c r="E811" i="8" s="1"/>
  <c r="F811" i="8" s="1"/>
  <c r="E820" i="8"/>
  <c r="F820" i="8" s="1"/>
  <c r="E828" i="8"/>
  <c r="F828" i="8" s="1"/>
  <c r="H909" i="8"/>
  <c r="D909" i="8"/>
  <c r="G909" i="8"/>
  <c r="H927" i="8"/>
  <c r="D927" i="8"/>
  <c r="E927" i="8" s="1"/>
  <c r="F927" i="8" s="1"/>
  <c r="H999" i="8"/>
  <c r="D999" i="8"/>
  <c r="E999" i="8" s="1"/>
  <c r="F999" i="8" s="1"/>
  <c r="G999" i="8"/>
  <c r="H625" i="8"/>
  <c r="G625" i="8"/>
  <c r="D629" i="8"/>
  <c r="C629" i="8"/>
  <c r="H637" i="8"/>
  <c r="G637" i="8"/>
  <c r="D641" i="8"/>
  <c r="C641" i="8"/>
  <c r="H649" i="8"/>
  <c r="G649" i="8"/>
  <c r="D653" i="8"/>
  <c r="C653" i="8"/>
  <c r="H661" i="8"/>
  <c r="G661" i="8"/>
  <c r="D665" i="8"/>
  <c r="C665" i="8"/>
  <c r="H673" i="8"/>
  <c r="G673" i="8"/>
  <c r="D677" i="8"/>
  <c r="C677" i="8"/>
  <c r="H685" i="8"/>
  <c r="G685" i="8"/>
  <c r="D689" i="8"/>
  <c r="C689" i="8"/>
  <c r="E783" i="8"/>
  <c r="F783" i="8" s="1"/>
  <c r="H807" i="8"/>
  <c r="G807" i="8"/>
  <c r="G913" i="8"/>
  <c r="H913" i="8"/>
  <c r="D913" i="8"/>
  <c r="D946" i="8"/>
  <c r="C946" i="8"/>
  <c r="E946" i="8" s="1"/>
  <c r="F946" i="8" s="1"/>
  <c r="H946" i="8"/>
  <c r="D950" i="8"/>
  <c r="C950" i="8"/>
  <c r="H950" i="8"/>
  <c r="G950" i="8"/>
  <c r="C625" i="8"/>
  <c r="E625" i="8" s="1"/>
  <c r="F625" i="8" s="1"/>
  <c r="C637" i="8"/>
  <c r="E637" i="8" s="1"/>
  <c r="F637" i="8" s="1"/>
  <c r="C649" i="8"/>
  <c r="E649" i="8" s="1"/>
  <c r="F649" i="8" s="1"/>
  <c r="C661" i="8"/>
  <c r="E661" i="8" s="1"/>
  <c r="F661" i="8" s="1"/>
  <c r="C673" i="8"/>
  <c r="E673" i="8" s="1"/>
  <c r="F673" i="8" s="1"/>
  <c r="C685" i="8"/>
  <c r="E685" i="8" s="1"/>
  <c r="F685" i="8" s="1"/>
  <c r="D725" i="8"/>
  <c r="C725" i="8"/>
  <c r="H742" i="8"/>
  <c r="G742" i="8"/>
  <c r="G775" i="8"/>
  <c r="D775" i="8"/>
  <c r="C775" i="8"/>
  <c r="E775" i="8" s="1"/>
  <c r="F775" i="8" s="1"/>
  <c r="C807" i="8"/>
  <c r="E807" i="8" s="1"/>
  <c r="F807" i="8" s="1"/>
  <c r="E810" i="8"/>
  <c r="F810" i="8" s="1"/>
  <c r="E813" i="8"/>
  <c r="F813" i="8" s="1"/>
  <c r="H839" i="8"/>
  <c r="G839" i="8"/>
  <c r="C839" i="8"/>
  <c r="E839" i="8" s="1"/>
  <c r="F839" i="8" s="1"/>
  <c r="G858" i="8"/>
  <c r="D858" i="8"/>
  <c r="H858" i="8"/>
  <c r="C858" i="8"/>
  <c r="E858" i="8" s="1"/>
  <c r="F858" i="8" s="1"/>
  <c r="E866" i="8"/>
  <c r="F866" i="8" s="1"/>
  <c r="C869" i="8"/>
  <c r="E869" i="8" s="1"/>
  <c r="F869" i="8" s="1"/>
  <c r="G869" i="8"/>
  <c r="D869" i="8"/>
  <c r="E890" i="8"/>
  <c r="F890" i="8" s="1"/>
  <c r="E894" i="8"/>
  <c r="F894" i="8" s="1"/>
  <c r="C897" i="8"/>
  <c r="C913" i="8"/>
  <c r="C935" i="8"/>
  <c r="E935" i="8" s="1"/>
  <c r="F935" i="8" s="1"/>
  <c r="H935" i="8"/>
  <c r="C938" i="8"/>
  <c r="E938" i="8" s="1"/>
  <c r="F938" i="8" s="1"/>
  <c r="G946" i="8"/>
  <c r="G963" i="8"/>
  <c r="C963" i="8"/>
  <c r="E963" i="8" s="1"/>
  <c r="F963" i="8" s="1"/>
  <c r="H963" i="8"/>
  <c r="D963" i="8"/>
  <c r="C1007" i="8"/>
  <c r="E1007" i="8" s="1"/>
  <c r="F1007" i="8" s="1"/>
  <c r="H1007" i="8"/>
  <c r="G1007" i="8"/>
  <c r="D1007" i="8"/>
  <c r="H1011" i="8"/>
  <c r="G1011" i="8"/>
  <c r="C1011" i="8"/>
  <c r="E1011" i="8" s="1"/>
  <c r="F1011" i="8" s="1"/>
  <c r="H1019" i="8"/>
  <c r="C1019" i="8"/>
  <c r="E1019" i="8" s="1"/>
  <c r="F1019" i="8" s="1"/>
  <c r="G1019" i="8"/>
  <c r="D1019" i="8"/>
  <c r="H740" i="8"/>
  <c r="G740" i="8"/>
  <c r="E770" i="8"/>
  <c r="F770" i="8" s="1"/>
  <c r="D789" i="8"/>
  <c r="G789" i="8"/>
  <c r="C789" i="8"/>
  <c r="E789" i="8" s="1"/>
  <c r="F789" i="8" s="1"/>
  <c r="H792" i="8"/>
  <c r="G792" i="8"/>
  <c r="E797" i="8"/>
  <c r="F797" i="8" s="1"/>
  <c r="H816" i="8"/>
  <c r="G816" i="8"/>
  <c r="D816" i="8"/>
  <c r="E827" i="8"/>
  <c r="F827" i="8" s="1"/>
  <c r="H873" i="8"/>
  <c r="G873" i="8"/>
  <c r="H879" i="8"/>
  <c r="G879" i="8"/>
  <c r="C879" i="8"/>
  <c r="E879" i="8" s="1"/>
  <c r="F879" i="8" s="1"/>
  <c r="D897" i="8"/>
  <c r="G938" i="8"/>
  <c r="C977" i="8"/>
  <c r="E977" i="8" s="1"/>
  <c r="F977" i="8" s="1"/>
  <c r="G977" i="8"/>
  <c r="D977" i="8"/>
  <c r="E816" i="8"/>
  <c r="F816" i="8" s="1"/>
  <c r="G846" i="8"/>
  <c r="D846" i="8"/>
  <c r="H846" i="8"/>
  <c r="H852" i="8"/>
  <c r="G852" i="8"/>
  <c r="D852" i="8"/>
  <c r="E873" i="8"/>
  <c r="F873" i="8" s="1"/>
  <c r="E885" i="8"/>
  <c r="F885" i="8" s="1"/>
  <c r="E910" i="8"/>
  <c r="F910" i="8" s="1"/>
  <c r="G955" i="8"/>
  <c r="C955" i="8"/>
  <c r="E955" i="8" s="1"/>
  <c r="F955" i="8" s="1"/>
  <c r="G799" i="8"/>
  <c r="D799" i="8"/>
  <c r="E801" i="8"/>
  <c r="F801" i="8" s="1"/>
  <c r="H842" i="8"/>
  <c r="G842" i="8"/>
  <c r="G895" i="8"/>
  <c r="H895" i="8"/>
  <c r="D910" i="8"/>
  <c r="H910" i="8"/>
  <c r="C929" i="8"/>
  <c r="E929" i="8" s="1"/>
  <c r="F929" i="8" s="1"/>
  <c r="H929" i="8"/>
  <c r="H1005" i="8"/>
  <c r="G1005" i="8"/>
  <c r="C1005" i="8"/>
  <c r="E1005" i="8" s="1"/>
  <c r="F1005" i="8" s="1"/>
  <c r="E1025" i="8"/>
  <c r="F1025" i="8" s="1"/>
  <c r="D761" i="8"/>
  <c r="E761" i="8" s="1"/>
  <c r="F761" i="8" s="1"/>
  <c r="D773" i="8"/>
  <c r="E773" i="8" s="1"/>
  <c r="F773" i="8" s="1"/>
  <c r="D785" i="8"/>
  <c r="D797" i="8"/>
  <c r="C826" i="8"/>
  <c r="E826" i="8" s="1"/>
  <c r="F826" i="8" s="1"/>
  <c r="H826" i="8"/>
  <c r="G826" i="8"/>
  <c r="D842" i="8"/>
  <c r="E842" i="8" s="1"/>
  <c r="F842" i="8" s="1"/>
  <c r="D922" i="8"/>
  <c r="H922" i="8"/>
  <c r="G922" i="8"/>
  <c r="C922" i="8"/>
  <c r="C953" i="8"/>
  <c r="G953" i="8"/>
  <c r="D953" i="8"/>
  <c r="H953" i="8"/>
  <c r="C1013" i="8"/>
  <c r="H1013" i="8"/>
  <c r="G1013" i="8"/>
  <c r="D1013" i="8"/>
  <c r="H799" i="8"/>
  <c r="E806" i="8"/>
  <c r="F806" i="8" s="1"/>
  <c r="D817" i="8"/>
  <c r="E817" i="8" s="1"/>
  <c r="F817" i="8" s="1"/>
  <c r="D826" i="8"/>
  <c r="H832" i="8"/>
  <c r="G832" i="8"/>
  <c r="C850" i="8"/>
  <c r="E850" i="8" s="1"/>
  <c r="F850" i="8" s="1"/>
  <c r="H850" i="8"/>
  <c r="G850" i="8"/>
  <c r="H856" i="8"/>
  <c r="G856" i="8"/>
  <c r="E889" i="8"/>
  <c r="F889" i="8" s="1"/>
  <c r="G907" i="8"/>
  <c r="H907" i="8"/>
  <c r="D907" i="8"/>
  <c r="E907" i="8" s="1"/>
  <c r="F907" i="8" s="1"/>
  <c r="H915" i="8"/>
  <c r="D915" i="8"/>
  <c r="C926" i="8"/>
  <c r="E926" i="8" s="1"/>
  <c r="F926" i="8" s="1"/>
  <c r="G929" i="8"/>
  <c r="H933" i="8"/>
  <c r="D933" i="8"/>
  <c r="G933" i="8"/>
  <c r="C947" i="8"/>
  <c r="E947" i="8" s="1"/>
  <c r="F947" i="8" s="1"/>
  <c r="G947" i="8"/>
  <c r="D947" i="8"/>
  <c r="G957" i="8"/>
  <c r="C957" i="8"/>
  <c r="E957" i="8" s="1"/>
  <c r="F957" i="8" s="1"/>
  <c r="D964" i="8"/>
  <c r="C964" i="8"/>
  <c r="E964" i="8" s="1"/>
  <c r="F964" i="8" s="1"/>
  <c r="H964" i="8"/>
  <c r="G964" i="8"/>
  <c r="G797" i="8"/>
  <c r="H804" i="8"/>
  <c r="G804" i="8"/>
  <c r="G822" i="8"/>
  <c r="D822" i="8"/>
  <c r="E822" i="8" s="1"/>
  <c r="F822" i="8" s="1"/>
  <c r="H822" i="8"/>
  <c r="E832" i="8"/>
  <c r="F832" i="8" s="1"/>
  <c r="H840" i="8"/>
  <c r="G840" i="8"/>
  <c r="E856" i="8"/>
  <c r="F856" i="8" s="1"/>
  <c r="E861" i="8"/>
  <c r="F861" i="8" s="1"/>
  <c r="E872" i="8"/>
  <c r="F872" i="8" s="1"/>
  <c r="C875" i="8"/>
  <c r="E875" i="8" s="1"/>
  <c r="F875" i="8" s="1"/>
  <c r="H875" i="8"/>
  <c r="G875" i="8"/>
  <c r="E901" i="8"/>
  <c r="F901" i="8" s="1"/>
  <c r="E915" i="8"/>
  <c r="F915" i="8" s="1"/>
  <c r="G926" i="8"/>
  <c r="C933" i="8"/>
  <c r="C941" i="8"/>
  <c r="E941" i="8" s="1"/>
  <c r="F941" i="8" s="1"/>
  <c r="H941" i="8"/>
  <c r="D957" i="8"/>
  <c r="D968" i="8"/>
  <c r="C968" i="8"/>
  <c r="E968" i="8" s="1"/>
  <c r="F968" i="8" s="1"/>
  <c r="C995" i="8"/>
  <c r="E995" i="8" s="1"/>
  <c r="F995" i="8" s="1"/>
  <c r="H995" i="8"/>
  <c r="E1006" i="8"/>
  <c r="F1006" i="8" s="1"/>
  <c r="C1010" i="8"/>
  <c r="E1010" i="8" s="1"/>
  <c r="F1010" i="8" s="1"/>
  <c r="C1016" i="8"/>
  <c r="E1016" i="8" s="1"/>
  <c r="F1016" i="8" s="1"/>
  <c r="E882" i="8"/>
  <c r="F882" i="8" s="1"/>
  <c r="E900" i="8"/>
  <c r="F900" i="8" s="1"/>
  <c r="G925" i="8"/>
  <c r="H925" i="8"/>
  <c r="D925" i="8"/>
  <c r="E925" i="8" s="1"/>
  <c r="F925" i="8" s="1"/>
  <c r="G945" i="8"/>
  <c r="C945" i="8"/>
  <c r="E945" i="8" s="1"/>
  <c r="F945" i="8" s="1"/>
  <c r="D956" i="8"/>
  <c r="C956" i="8"/>
  <c r="E956" i="8" s="1"/>
  <c r="F956" i="8" s="1"/>
  <c r="C959" i="8"/>
  <c r="E959" i="8" s="1"/>
  <c r="F959" i="8" s="1"/>
  <c r="G959" i="8"/>
  <c r="D959" i="8"/>
  <c r="G967" i="8"/>
  <c r="C967" i="8"/>
  <c r="E967" i="8" s="1"/>
  <c r="F967" i="8" s="1"/>
  <c r="D970" i="8"/>
  <c r="C970" i="8"/>
  <c r="G991" i="8"/>
  <c r="H991" i="8"/>
  <c r="D991" i="8"/>
  <c r="E991" i="8" s="1"/>
  <c r="F991" i="8" s="1"/>
  <c r="D1006" i="8"/>
  <c r="G1006" i="8"/>
  <c r="D1012" i="8"/>
  <c r="E1012" i="8" s="1"/>
  <c r="F1012" i="8" s="1"/>
  <c r="G1012" i="8"/>
  <c r="E867" i="8"/>
  <c r="F867" i="8" s="1"/>
  <c r="C911" i="8"/>
  <c r="H911" i="8"/>
  <c r="G931" i="8"/>
  <c r="H931" i="8"/>
  <c r="D931" i="8"/>
  <c r="G1003" i="8"/>
  <c r="H1003" i="8"/>
  <c r="C1003" i="8"/>
  <c r="G1009" i="8"/>
  <c r="H1009" i="8"/>
  <c r="C1009" i="8"/>
  <c r="E1009" i="8" s="1"/>
  <c r="F1009" i="8" s="1"/>
  <c r="D1018" i="8"/>
  <c r="C1018" i="8"/>
  <c r="H1018" i="8"/>
  <c r="G1023" i="8"/>
  <c r="D1023" i="8"/>
  <c r="C1023" i="8"/>
  <c r="E1023" i="8" s="1"/>
  <c r="F1023" i="8" s="1"/>
  <c r="C865" i="8"/>
  <c r="D889" i="8"/>
  <c r="C903" i="8"/>
  <c r="E903" i="8" s="1"/>
  <c r="F903" i="8" s="1"/>
  <c r="C908" i="8"/>
  <c r="E908" i="8" s="1"/>
  <c r="F908" i="8" s="1"/>
  <c r="D911" i="8"/>
  <c r="C917" i="8"/>
  <c r="E917" i="8" s="1"/>
  <c r="F917" i="8" s="1"/>
  <c r="H917" i="8"/>
  <c r="G928" i="8"/>
  <c r="C931" i="8"/>
  <c r="C934" i="8"/>
  <c r="E934" i="8" s="1"/>
  <c r="F934" i="8" s="1"/>
  <c r="G937" i="8"/>
  <c r="H937" i="8"/>
  <c r="D937" i="8"/>
  <c r="G951" i="8"/>
  <c r="C951" i="8"/>
  <c r="G956" i="8"/>
  <c r="D962" i="8"/>
  <c r="C962" i="8"/>
  <c r="E962" i="8" s="1"/>
  <c r="F962" i="8" s="1"/>
  <c r="C965" i="8"/>
  <c r="E965" i="8" s="1"/>
  <c r="F965" i="8" s="1"/>
  <c r="G965" i="8"/>
  <c r="D965" i="8"/>
  <c r="G970" i="8"/>
  <c r="G973" i="8"/>
  <c r="C973" i="8"/>
  <c r="D976" i="8"/>
  <c r="C976" i="8"/>
  <c r="E976" i="8" s="1"/>
  <c r="F976" i="8" s="1"/>
  <c r="C1001" i="8"/>
  <c r="H1001" i="8"/>
  <c r="D1003" i="8"/>
  <c r="D1009" i="8"/>
  <c r="D863" i="8"/>
  <c r="E863" i="8" s="1"/>
  <c r="F863" i="8" s="1"/>
  <c r="D865" i="8"/>
  <c r="E876" i="8"/>
  <c r="F876" i="8" s="1"/>
  <c r="D887" i="8"/>
  <c r="E887" i="8" s="1"/>
  <c r="F887" i="8" s="1"/>
  <c r="E896" i="8"/>
  <c r="F896" i="8" s="1"/>
  <c r="G908" i="8"/>
  <c r="C914" i="8"/>
  <c r="E914" i="8" s="1"/>
  <c r="F914" i="8" s="1"/>
  <c r="D917" i="8"/>
  <c r="C923" i="8"/>
  <c r="E923" i="8" s="1"/>
  <c r="F923" i="8" s="1"/>
  <c r="H923" i="8"/>
  <c r="H928" i="8"/>
  <c r="G934" i="8"/>
  <c r="C937" i="8"/>
  <c r="E937" i="8" s="1"/>
  <c r="F937" i="8" s="1"/>
  <c r="C940" i="8"/>
  <c r="E940" i="8" s="1"/>
  <c r="F940" i="8" s="1"/>
  <c r="H945" i="8"/>
  <c r="D951" i="8"/>
  <c r="H956" i="8"/>
  <c r="H959" i="8"/>
  <c r="H967" i="8"/>
  <c r="H970" i="8"/>
  <c r="D973" i="8"/>
  <c r="E985" i="8"/>
  <c r="F985" i="8" s="1"/>
  <c r="D1001" i="8"/>
  <c r="E1015" i="8"/>
  <c r="F1015" i="8" s="1"/>
  <c r="H1023" i="8"/>
  <c r="G1024" i="8"/>
  <c r="C45" i="1" l="1"/>
  <c r="G54" i="2"/>
  <c r="I54" i="2" s="1"/>
  <c r="M54" i="2" s="1"/>
  <c r="P54" i="2"/>
  <c r="Q54" i="2" s="1"/>
  <c r="P959" i="2"/>
  <c r="Q959" i="2" s="1"/>
  <c r="G959" i="2"/>
  <c r="I959" i="2" s="1"/>
  <c r="M959" i="2" s="1"/>
  <c r="G498" i="2"/>
  <c r="I498" i="2" s="1"/>
  <c r="M498" i="2" s="1"/>
  <c r="P779" i="2"/>
  <c r="Q779" i="2" s="1"/>
  <c r="G779" i="2"/>
  <c r="I779" i="2" s="1"/>
  <c r="M779" i="2" s="1"/>
  <c r="P465" i="2"/>
  <c r="Q465" i="2" s="1"/>
  <c r="G465" i="2"/>
  <c r="I465" i="2" s="1"/>
  <c r="M465" i="2" s="1"/>
  <c r="P827" i="2"/>
  <c r="Q827" i="2" s="1"/>
  <c r="G827" i="2"/>
  <c r="I827" i="2" s="1"/>
  <c r="M827" i="2" s="1"/>
  <c r="G815" i="2"/>
  <c r="I815" i="2" s="1"/>
  <c r="M815" i="2" s="1"/>
  <c r="O996" i="2"/>
  <c r="F996" i="2"/>
  <c r="O666" i="2"/>
  <c r="G805" i="2"/>
  <c r="I805" i="2" s="1"/>
  <c r="M805" i="2" s="1"/>
  <c r="P805" i="2"/>
  <c r="Q805" i="2" s="1"/>
  <c r="F721" i="2"/>
  <c r="P969" i="2"/>
  <c r="Q969" i="2" s="1"/>
  <c r="G969" i="2"/>
  <c r="I969" i="2" s="1"/>
  <c r="M969" i="2" s="1"/>
  <c r="P908" i="2"/>
  <c r="Q908" i="2" s="1"/>
  <c r="G908" i="2"/>
  <c r="I908" i="2" s="1"/>
  <c r="G816" i="2"/>
  <c r="I816" i="2" s="1"/>
  <c r="M816" i="2" s="1"/>
  <c r="G962" i="2"/>
  <c r="I962" i="2" s="1"/>
  <c r="M962" i="2" s="1"/>
  <c r="P962" i="2"/>
  <c r="Q962" i="2" s="1"/>
  <c r="G818" i="2"/>
  <c r="I818" i="2" s="1"/>
  <c r="M818" i="2" s="1"/>
  <c r="P818" i="2"/>
  <c r="Q818" i="2" s="1"/>
  <c r="P545" i="2"/>
  <c r="Q545" i="2" s="1"/>
  <c r="G545" i="2"/>
  <c r="I545" i="2" s="1"/>
  <c r="O470" i="2"/>
  <c r="F470" i="2"/>
  <c r="L239" i="2"/>
  <c r="N239" i="2"/>
  <c r="O135" i="2"/>
  <c r="G992" i="2"/>
  <c r="I992" i="2" s="1"/>
  <c r="P992" i="2"/>
  <c r="Q992" i="2" s="1"/>
  <c r="G940" i="2"/>
  <c r="I940" i="2" s="1"/>
  <c r="M940" i="2" s="1"/>
  <c r="P940" i="2"/>
  <c r="Q940" i="2" s="1"/>
  <c r="L887" i="2"/>
  <c r="N887" i="2"/>
  <c r="M632" i="2"/>
  <c r="P781" i="2"/>
  <c r="Q781" i="2" s="1"/>
  <c r="G781" i="2"/>
  <c r="I781" i="2" s="1"/>
  <c r="O602" i="2"/>
  <c r="F602" i="2"/>
  <c r="G669" i="2"/>
  <c r="I669" i="2" s="1"/>
  <c r="M669" i="2" s="1"/>
  <c r="G429" i="2"/>
  <c r="I429" i="2" s="1"/>
  <c r="M429" i="2" s="1"/>
  <c r="P429" i="2"/>
  <c r="Q429" i="2" s="1"/>
  <c r="G402" i="2"/>
  <c r="I402" i="2" s="1"/>
  <c r="M402" i="2" s="1"/>
  <c r="P402" i="2"/>
  <c r="Q402" i="2" s="1"/>
  <c r="P522" i="2"/>
  <c r="Q522" i="2" s="1"/>
  <c r="G522" i="2"/>
  <c r="I522" i="2" s="1"/>
  <c r="G382" i="2"/>
  <c r="I382" i="2" s="1"/>
  <c r="P382" i="2"/>
  <c r="Q382" i="2" s="1"/>
  <c r="F281" i="2"/>
  <c r="O281" i="2"/>
  <c r="P77" i="2"/>
  <c r="Q77" i="2" s="1"/>
  <c r="G77" i="2"/>
  <c r="I77" i="2" s="1"/>
  <c r="M77" i="2" s="1"/>
  <c r="N703" i="2"/>
  <c r="M451" i="2"/>
  <c r="O120" i="2"/>
  <c r="F120" i="2"/>
  <c r="L754" i="2"/>
  <c r="N754" i="2"/>
  <c r="P295" i="2"/>
  <c r="Q295" i="2" s="1"/>
  <c r="G295" i="2"/>
  <c r="I295" i="2" s="1"/>
  <c r="N201" i="2"/>
  <c r="G428" i="2"/>
  <c r="I428" i="2" s="1"/>
  <c r="P428" i="2"/>
  <c r="Q428" i="2" s="1"/>
  <c r="G521" i="2"/>
  <c r="I521" i="2" s="1"/>
  <c r="P521" i="2"/>
  <c r="Q521" i="2" s="1"/>
  <c r="G339" i="2"/>
  <c r="I339" i="2" s="1"/>
  <c r="M339" i="2" s="1"/>
  <c r="P339" i="2"/>
  <c r="Q339" i="2" s="1"/>
  <c r="G103" i="2"/>
  <c r="I103" i="2" s="1"/>
  <c r="P103" i="2"/>
  <c r="Q103" i="2" s="1"/>
  <c r="G79" i="2"/>
  <c r="I79" i="2" s="1"/>
  <c r="M79" i="2" s="1"/>
  <c r="N210" i="2"/>
  <c r="E551" i="8"/>
  <c r="F551" i="8" s="1"/>
  <c r="L254" i="2"/>
  <c r="M254" i="2" s="1"/>
  <c r="N254" i="2"/>
  <c r="P257" i="2"/>
  <c r="Q257" i="2" s="1"/>
  <c r="G257" i="2"/>
  <c r="I257" i="2" s="1"/>
  <c r="P507" i="2"/>
  <c r="Q507" i="2" s="1"/>
  <c r="G507" i="2"/>
  <c r="I507" i="2" s="1"/>
  <c r="L68" i="2"/>
  <c r="N68" i="2"/>
  <c r="E755" i="8"/>
  <c r="F755" i="8" s="1"/>
  <c r="E949" i="8"/>
  <c r="F949" i="8" s="1"/>
  <c r="E1001" i="8"/>
  <c r="F1001" i="8" s="1"/>
  <c r="E951" i="8"/>
  <c r="F951" i="8" s="1"/>
  <c r="E1003" i="8"/>
  <c r="F1003" i="8" s="1"/>
  <c r="E950" i="8"/>
  <c r="F950" i="8" s="1"/>
  <c r="E689" i="8"/>
  <c r="F689" i="8" s="1"/>
  <c r="E653" i="8"/>
  <c r="F653" i="8" s="1"/>
  <c r="E671" i="8"/>
  <c r="F671" i="8" s="1"/>
  <c r="E584" i="8"/>
  <c r="F584" i="8" s="1"/>
  <c r="E794" i="8"/>
  <c r="F794" i="8" s="1"/>
  <c r="E557" i="8"/>
  <c r="F557" i="8" s="1"/>
  <c r="E272" i="8"/>
  <c r="F272" i="8" s="1"/>
  <c r="E399" i="8"/>
  <c r="F399" i="8" s="1"/>
  <c r="E145" i="8"/>
  <c r="F145" i="8" s="1"/>
  <c r="E67" i="8"/>
  <c r="F67" i="8" s="1"/>
  <c r="E111" i="8"/>
  <c r="F111" i="8" s="1"/>
  <c r="E623" i="8"/>
  <c r="F623" i="8" s="1"/>
  <c r="E492" i="8"/>
  <c r="F492" i="8" s="1"/>
  <c r="E69" i="8"/>
  <c r="F69" i="8" s="1"/>
  <c r="E28" i="8"/>
  <c r="F28" i="8" s="1"/>
  <c r="E454" i="8"/>
  <c r="F454" i="8" s="1"/>
  <c r="E1017" i="8"/>
  <c r="F1017" i="8" s="1"/>
  <c r="O815" i="2"/>
  <c r="P815" i="2" s="1"/>
  <c r="Q815" i="2" s="1"/>
  <c r="G968" i="2"/>
  <c r="I968" i="2" s="1"/>
  <c r="P968" i="2"/>
  <c r="Q968" i="2" s="1"/>
  <c r="F851" i="2"/>
  <c r="G765" i="2"/>
  <c r="I765" i="2" s="1"/>
  <c r="M765" i="2" s="1"/>
  <c r="P765" i="2"/>
  <c r="Q765" i="2" s="1"/>
  <c r="G804" i="2"/>
  <c r="I804" i="2" s="1"/>
  <c r="M804" i="2" s="1"/>
  <c r="P804" i="2"/>
  <c r="Q804" i="2" s="1"/>
  <c r="P650" i="2"/>
  <c r="Q650" i="2" s="1"/>
  <c r="G650" i="2"/>
  <c r="I650" i="2" s="1"/>
  <c r="C11" i="10"/>
  <c r="F11" i="10" s="1"/>
  <c r="C37" i="1"/>
  <c r="M852" i="2"/>
  <c r="N717" i="2"/>
  <c r="P672" i="2"/>
  <c r="Q672" i="2" s="1"/>
  <c r="G672" i="2"/>
  <c r="I672" i="2" s="1"/>
  <c r="O551" i="2"/>
  <c r="F551" i="2"/>
  <c r="P551" i="2" s="1"/>
  <c r="Q551" i="2" s="1"/>
  <c r="L383" i="2"/>
  <c r="N383" i="2"/>
  <c r="P239" i="2"/>
  <c r="Q239" i="2" s="1"/>
  <c r="G239" i="2"/>
  <c r="I239" i="2" s="1"/>
  <c r="N705" i="2"/>
  <c r="M706" i="2"/>
  <c r="M539" i="2"/>
  <c r="G490" i="2"/>
  <c r="I490" i="2" s="1"/>
  <c r="M490" i="2" s="1"/>
  <c r="P490" i="2"/>
  <c r="Q490" i="2" s="1"/>
  <c r="L485" i="2"/>
  <c r="N485" i="2"/>
  <c r="N748" i="2"/>
  <c r="O669" i="2"/>
  <c r="F669" i="2"/>
  <c r="P669" i="2" s="1"/>
  <c r="Q669" i="2" s="1"/>
  <c r="G515" i="2"/>
  <c r="I515" i="2" s="1"/>
  <c r="M515" i="2" s="1"/>
  <c r="P515" i="2"/>
  <c r="Q515" i="2" s="1"/>
  <c r="F764" i="2"/>
  <c r="P667" i="2"/>
  <c r="Q667" i="2" s="1"/>
  <c r="P685" i="2"/>
  <c r="Q685" i="2" s="1"/>
  <c r="G685" i="2"/>
  <c r="I685" i="2" s="1"/>
  <c r="M685" i="2" s="1"/>
  <c r="O634" i="2"/>
  <c r="F634" i="2"/>
  <c r="O498" i="2"/>
  <c r="P498" i="2" s="1"/>
  <c r="Q498" i="2" s="1"/>
  <c r="F853" i="2"/>
  <c r="G853" i="2" s="1"/>
  <c r="I853" i="2" s="1"/>
  <c r="M853" i="2" s="1"/>
  <c r="N781" i="2"/>
  <c r="O380" i="2"/>
  <c r="F380" i="2"/>
  <c r="P324" i="2"/>
  <c r="Q324" i="2" s="1"/>
  <c r="G324" i="2"/>
  <c r="I324" i="2" s="1"/>
  <c r="M324" i="2" s="1"/>
  <c r="P158" i="2"/>
  <c r="Q158" i="2" s="1"/>
  <c r="G158" i="2"/>
  <c r="I158" i="2" s="1"/>
  <c r="P625" i="2"/>
  <c r="Q625" i="2" s="1"/>
  <c r="G625" i="2"/>
  <c r="I625" i="2" s="1"/>
  <c r="F238" i="2"/>
  <c r="P935" i="2"/>
  <c r="Q935" i="2" s="1"/>
  <c r="F739" i="2"/>
  <c r="P739" i="2" s="1"/>
  <c r="Q739" i="2" s="1"/>
  <c r="L459" i="2"/>
  <c r="N459" i="2"/>
  <c r="M404" i="2"/>
  <c r="F588" i="2"/>
  <c r="L422" i="2"/>
  <c r="N422" i="2"/>
  <c r="N1002" i="2"/>
  <c r="I905" i="2"/>
  <c r="M905" i="2" s="1"/>
  <c r="N919" i="2"/>
  <c r="M630" i="2"/>
  <c r="N622" i="2"/>
  <c r="P578" i="2"/>
  <c r="Q578" i="2" s="1"/>
  <c r="G578" i="2"/>
  <c r="I578" i="2" s="1"/>
  <c r="P752" i="2"/>
  <c r="Q752" i="2" s="1"/>
  <c r="G68" i="2"/>
  <c r="I68" i="2" s="1"/>
  <c r="P68" i="2"/>
  <c r="Q68" i="2" s="1"/>
  <c r="N29" i="2"/>
  <c r="L29" i="2"/>
  <c r="F468" i="2"/>
  <c r="G310" i="2"/>
  <c r="I310" i="2" s="1"/>
  <c r="P310" i="2"/>
  <c r="Q310" i="2" s="1"/>
  <c r="M295" i="2"/>
  <c r="P435" i="2"/>
  <c r="Q435" i="2" s="1"/>
  <c r="G435" i="2"/>
  <c r="I435" i="2" s="1"/>
  <c r="M435" i="2" s="1"/>
  <c r="N123" i="2"/>
  <c r="F392" i="2"/>
  <c r="G44" i="2"/>
  <c r="I44" i="2" s="1"/>
  <c r="M44" i="2" s="1"/>
  <c r="P44" i="2"/>
  <c r="Q44" i="2" s="1"/>
  <c r="N224" i="2"/>
  <c r="P494" i="2"/>
  <c r="Q494" i="2" s="1"/>
  <c r="G494" i="2"/>
  <c r="I494" i="2" s="1"/>
  <c r="M494" i="2" s="1"/>
  <c r="P451" i="2"/>
  <c r="Q451" i="2" s="1"/>
  <c r="G451" i="2"/>
  <c r="I451" i="2" s="1"/>
  <c r="N180" i="2"/>
  <c r="G165" i="2"/>
  <c r="I165" i="2" s="1"/>
  <c r="P165" i="2"/>
  <c r="Q165" i="2" s="1"/>
  <c r="E58" i="8"/>
  <c r="F58" i="8" s="1"/>
  <c r="P812" i="2"/>
  <c r="Q812" i="2" s="1"/>
  <c r="M919" i="2"/>
  <c r="L672" i="2"/>
  <c r="N672" i="2"/>
  <c r="L545" i="2"/>
  <c r="N545" i="2"/>
  <c r="G470" i="2"/>
  <c r="I470" i="2" s="1"/>
  <c r="M470" i="2" s="1"/>
  <c r="P470" i="2"/>
  <c r="Q470" i="2" s="1"/>
  <c r="P383" i="2"/>
  <c r="Q383" i="2" s="1"/>
  <c r="G383" i="2"/>
  <c r="I383" i="2" s="1"/>
  <c r="I987" i="2"/>
  <c r="M987" i="2" s="1"/>
  <c r="G706" i="2"/>
  <c r="I706" i="2" s="1"/>
  <c r="P706" i="2"/>
  <c r="Q706" i="2" s="1"/>
  <c r="P799" i="2"/>
  <c r="Q799" i="2" s="1"/>
  <c r="G799" i="2"/>
  <c r="I799" i="2" s="1"/>
  <c r="P615" i="2"/>
  <c r="Q615" i="2" s="1"/>
  <c r="G615" i="2"/>
  <c r="I615" i="2" s="1"/>
  <c r="M615" i="2" s="1"/>
  <c r="L574" i="2"/>
  <c r="M574" i="2" s="1"/>
  <c r="N574" i="2"/>
  <c r="P504" i="2"/>
  <c r="Q504" i="2" s="1"/>
  <c r="G504" i="2"/>
  <c r="I504" i="2" s="1"/>
  <c r="M504" i="2" s="1"/>
  <c r="G764" i="2"/>
  <c r="I764" i="2" s="1"/>
  <c r="M764" i="2" s="1"/>
  <c r="P764" i="2"/>
  <c r="Q764" i="2" s="1"/>
  <c r="L410" i="2"/>
  <c r="N410" i="2"/>
  <c r="O323" i="2"/>
  <c r="F323" i="2"/>
  <c r="P323" i="2" s="1"/>
  <c r="Q323" i="2" s="1"/>
  <c r="L242" i="2"/>
  <c r="N242" i="2"/>
  <c r="O26" i="2"/>
  <c r="F26" i="2"/>
  <c r="N573" i="2"/>
  <c r="P444" i="2"/>
  <c r="Q444" i="2" s="1"/>
  <c r="G444" i="2"/>
  <c r="I444" i="2" s="1"/>
  <c r="M444" i="2" s="1"/>
  <c r="G260" i="2"/>
  <c r="I260" i="2" s="1"/>
  <c r="M260" i="2" s="1"/>
  <c r="G235" i="2"/>
  <c r="I235" i="2" s="1"/>
  <c r="M235" i="2" s="1"/>
  <c r="P235" i="2"/>
  <c r="Q235" i="2" s="1"/>
  <c r="G448" i="2"/>
  <c r="I448" i="2" s="1"/>
  <c r="M448" i="2" s="1"/>
  <c r="P448" i="2"/>
  <c r="Q448" i="2" s="1"/>
  <c r="N23" i="2"/>
  <c r="N260" i="2"/>
  <c r="G153" i="2"/>
  <c r="I153" i="2" s="1"/>
  <c r="M153" i="2" s="1"/>
  <c r="P153" i="2"/>
  <c r="Q153" i="2" s="1"/>
  <c r="O105" i="2"/>
  <c r="F105" i="2"/>
  <c r="F503" i="2"/>
  <c r="F561" i="2"/>
  <c r="N295" i="2"/>
  <c r="N539" i="2"/>
  <c r="P693" i="2"/>
  <c r="Q693" i="2" s="1"/>
  <c r="P568" i="2"/>
  <c r="Q568" i="2" s="1"/>
  <c r="G98" i="2"/>
  <c r="I98" i="2" s="1"/>
  <c r="P98" i="2"/>
  <c r="Q98" i="2" s="1"/>
  <c r="N179" i="2"/>
  <c r="P611" i="2"/>
  <c r="Q611" i="2" s="1"/>
  <c r="O32" i="2"/>
  <c r="M336" i="2"/>
  <c r="P137" i="2"/>
  <c r="Q137" i="2" s="1"/>
  <c r="P174" i="2"/>
  <c r="Q174" i="2" s="1"/>
  <c r="G174" i="2"/>
  <c r="I174" i="2" s="1"/>
  <c r="M174" i="2" s="1"/>
  <c r="N541" i="2"/>
  <c r="O443" i="2"/>
  <c r="G53" i="2"/>
  <c r="I53" i="2" s="1"/>
  <c r="P53" i="2"/>
  <c r="Q53" i="2" s="1"/>
  <c r="P277" i="2"/>
  <c r="Q277" i="2" s="1"/>
  <c r="G277" i="2"/>
  <c r="I277" i="2" s="1"/>
  <c r="M277" i="2" s="1"/>
  <c r="M197" i="2"/>
  <c r="P825" i="2"/>
  <c r="Q825" i="2" s="1"/>
  <c r="G825" i="2"/>
  <c r="I825" i="2" s="1"/>
  <c r="M825" i="2" s="1"/>
  <c r="G135" i="2"/>
  <c r="I135" i="2" s="1"/>
  <c r="M135" i="2" s="1"/>
  <c r="P135" i="2"/>
  <c r="Q135" i="2" s="1"/>
  <c r="L597" i="2"/>
  <c r="N597" i="2"/>
  <c r="P856" i="2"/>
  <c r="Q856" i="2" s="1"/>
  <c r="G856" i="2"/>
  <c r="I856" i="2" s="1"/>
  <c r="G538" i="2"/>
  <c r="I538" i="2" s="1"/>
  <c r="P538" i="2"/>
  <c r="Q538" i="2" s="1"/>
  <c r="P127" i="2"/>
  <c r="Q127" i="2" s="1"/>
  <c r="G127" i="2"/>
  <c r="I127" i="2" s="1"/>
  <c r="M127" i="2" s="1"/>
  <c r="G221" i="2"/>
  <c r="I221" i="2" s="1"/>
  <c r="P221" i="2"/>
  <c r="Q221" i="2" s="1"/>
  <c r="G85" i="2"/>
  <c r="I85" i="2" s="1"/>
  <c r="M85" i="2" s="1"/>
  <c r="P85" i="2"/>
  <c r="Q85" i="2" s="1"/>
  <c r="E943" i="8"/>
  <c r="F943" i="8" s="1"/>
  <c r="E538" i="8"/>
  <c r="F538" i="8" s="1"/>
  <c r="E865" i="8"/>
  <c r="F865" i="8" s="1"/>
  <c r="E725" i="8"/>
  <c r="F725" i="8" s="1"/>
  <c r="E808" i="8"/>
  <c r="F808" i="8" s="1"/>
  <c r="E633" i="8"/>
  <c r="F633" i="8" s="1"/>
  <c r="E573" i="8"/>
  <c r="F573" i="8" s="1"/>
  <c r="E971" i="8"/>
  <c r="F971" i="8" s="1"/>
  <c r="E683" i="8"/>
  <c r="F683" i="8" s="1"/>
  <c r="E468" i="8"/>
  <c r="F468" i="8" s="1"/>
  <c r="E335" i="8"/>
  <c r="F335" i="8" s="1"/>
  <c r="E486" i="8"/>
  <c r="F486" i="8" s="1"/>
  <c r="E333" i="8"/>
  <c r="F333" i="8" s="1"/>
  <c r="E744" i="8"/>
  <c r="F744" i="8" s="1"/>
  <c r="E256" i="8"/>
  <c r="F256" i="8" s="1"/>
  <c r="E169" i="8"/>
  <c r="F169" i="8" s="1"/>
  <c r="E300" i="8"/>
  <c r="F300" i="8" s="1"/>
  <c r="E121" i="8"/>
  <c r="F121" i="8" s="1"/>
  <c r="E592" i="8"/>
  <c r="F592" i="8" s="1"/>
  <c r="E268" i="8"/>
  <c r="F268" i="8" s="1"/>
  <c r="E133" i="8"/>
  <c r="F133" i="8" s="1"/>
  <c r="E179" i="8"/>
  <c r="F179" i="8" s="1"/>
  <c r="E115" i="8"/>
  <c r="F115" i="8" s="1"/>
  <c r="E86" i="8"/>
  <c r="F86" i="8" s="1"/>
  <c r="E171" i="8"/>
  <c r="F171" i="8" s="1"/>
  <c r="E65" i="8"/>
  <c r="F65" i="8" s="1"/>
  <c r="E59" i="8"/>
  <c r="F59" i="8" s="1"/>
  <c r="G702" i="2"/>
  <c r="I702" i="2" s="1"/>
  <c r="M702" i="2" s="1"/>
  <c r="P702" i="2"/>
  <c r="Q702" i="2" s="1"/>
  <c r="P661" i="2"/>
  <c r="Q661" i="2" s="1"/>
  <c r="G661" i="2"/>
  <c r="I661" i="2" s="1"/>
  <c r="M661" i="2" s="1"/>
  <c r="N988" i="2"/>
  <c r="E146" i="5"/>
  <c r="E137" i="5"/>
  <c r="E294" i="5"/>
  <c r="E456" i="5"/>
  <c r="E92" i="5"/>
  <c r="E83" i="5"/>
  <c r="E191" i="5"/>
  <c r="E29" i="5"/>
  <c r="E59" i="5"/>
  <c r="E121" i="5"/>
  <c r="E302" i="5"/>
  <c r="E374" i="5"/>
  <c r="E446" i="5"/>
  <c r="E518" i="5"/>
  <c r="O878" i="2"/>
  <c r="F878" i="2"/>
  <c r="G803" i="2"/>
  <c r="I803" i="2" s="1"/>
  <c r="P803" i="2"/>
  <c r="Q803" i="2" s="1"/>
  <c r="G948" i="2"/>
  <c r="I948" i="2" s="1"/>
  <c r="M948" i="2" s="1"/>
  <c r="P948" i="2"/>
  <c r="Q948" i="2" s="1"/>
  <c r="N869" i="2"/>
  <c r="N804" i="2"/>
  <c r="M650" i="2"/>
  <c r="L610" i="2"/>
  <c r="M610" i="2" s="1"/>
  <c r="N610" i="2"/>
  <c r="G550" i="2"/>
  <c r="I550" i="2" s="1"/>
  <c r="M550" i="2" s="1"/>
  <c r="P550" i="2"/>
  <c r="Q550" i="2" s="1"/>
  <c r="P539" i="2"/>
  <c r="Q539" i="2" s="1"/>
  <c r="G539" i="2"/>
  <c r="I539" i="2" s="1"/>
  <c r="F363" i="2"/>
  <c r="O363" i="2"/>
  <c r="G90" i="2"/>
  <c r="I90" i="2" s="1"/>
  <c r="M90" i="2" s="1"/>
  <c r="P90" i="2"/>
  <c r="Q90" i="2" s="1"/>
  <c r="F836" i="2"/>
  <c r="N913" i="2"/>
  <c r="O887" i="2"/>
  <c r="P614" i="2"/>
  <c r="Q614" i="2" s="1"/>
  <c r="G614" i="2"/>
  <c r="I614" i="2" s="1"/>
  <c r="P955" i="2"/>
  <c r="Q955" i="2" s="1"/>
  <c r="P802" i="2"/>
  <c r="Q802" i="2" s="1"/>
  <c r="G802" i="2"/>
  <c r="I802" i="2" s="1"/>
  <c r="M802" i="2" s="1"/>
  <c r="P694" i="2"/>
  <c r="Q694" i="2" s="1"/>
  <c r="G694" i="2"/>
  <c r="I694" i="2" s="1"/>
  <c r="P591" i="2"/>
  <c r="Q591" i="2" s="1"/>
  <c r="G591" i="2"/>
  <c r="I591" i="2" s="1"/>
  <c r="M591" i="2" s="1"/>
  <c r="N839" i="2"/>
  <c r="P850" i="2"/>
  <c r="Q850" i="2" s="1"/>
  <c r="G850" i="2"/>
  <c r="I850" i="2" s="1"/>
  <c r="F526" i="2"/>
  <c r="O526" i="2"/>
  <c r="G533" i="2"/>
  <c r="I533" i="2" s="1"/>
  <c r="G387" i="2"/>
  <c r="I387" i="2" s="1"/>
  <c r="M387" i="2" s="1"/>
  <c r="P387" i="2"/>
  <c r="Q387" i="2" s="1"/>
  <c r="O459" i="2"/>
  <c r="F459" i="2"/>
  <c r="P410" i="2"/>
  <c r="Q410" i="2" s="1"/>
  <c r="G410" i="2"/>
  <c r="I410" i="2" s="1"/>
  <c r="M500" i="2"/>
  <c r="P643" i="2"/>
  <c r="Q643" i="2" s="1"/>
  <c r="P588" i="2"/>
  <c r="Q588" i="2" s="1"/>
  <c r="G588" i="2"/>
  <c r="I588" i="2" s="1"/>
  <c r="M588" i="2" s="1"/>
  <c r="G519" i="2"/>
  <c r="I519" i="2" s="1"/>
  <c r="P519" i="2"/>
  <c r="Q519" i="2" s="1"/>
  <c r="G104" i="2"/>
  <c r="I104" i="2" s="1"/>
  <c r="M104" i="2" s="1"/>
  <c r="P104" i="2"/>
  <c r="Q104" i="2" s="1"/>
  <c r="M23" i="2"/>
  <c r="N654" i="2"/>
  <c r="F401" i="2"/>
  <c r="L315" i="2"/>
  <c r="N315" i="2"/>
  <c r="M725" i="2"/>
  <c r="G630" i="2"/>
  <c r="I630" i="2" s="1"/>
  <c r="P630" i="2"/>
  <c r="Q630" i="2" s="1"/>
  <c r="P350" i="2"/>
  <c r="Q350" i="2" s="1"/>
  <c r="P120" i="2"/>
  <c r="Q120" i="2" s="1"/>
  <c r="G120" i="2"/>
  <c r="I120" i="2" s="1"/>
  <c r="M120" i="2" s="1"/>
  <c r="O329" i="2"/>
  <c r="F329" i="2"/>
  <c r="P393" i="2"/>
  <c r="Q393" i="2" s="1"/>
  <c r="G393" i="2"/>
  <c r="I393" i="2" s="1"/>
  <c r="M393" i="2" s="1"/>
  <c r="G269" i="2"/>
  <c r="I269" i="2" s="1"/>
  <c r="M269" i="2" s="1"/>
  <c r="P269" i="2"/>
  <c r="Q269" i="2" s="1"/>
  <c r="P188" i="2"/>
  <c r="Q188" i="2" s="1"/>
  <c r="G188" i="2"/>
  <c r="I188" i="2" s="1"/>
  <c r="G72" i="2"/>
  <c r="I72" i="2" s="1"/>
  <c r="P72" i="2"/>
  <c r="Q72" i="2" s="1"/>
  <c r="N248" i="2"/>
  <c r="P27" i="2"/>
  <c r="Q27" i="2" s="1"/>
  <c r="G27" i="2"/>
  <c r="I27" i="2" s="1"/>
  <c r="N534" i="2"/>
  <c r="I242" i="2"/>
  <c r="N30" i="2"/>
  <c r="P699" i="2"/>
  <c r="Q699" i="2" s="1"/>
  <c r="G699" i="2"/>
  <c r="I699" i="2" s="1"/>
  <c r="P147" i="2"/>
  <c r="Q147" i="2" s="1"/>
  <c r="G147" i="2"/>
  <c r="I147" i="2" s="1"/>
  <c r="F477" i="2"/>
  <c r="P309" i="2"/>
  <c r="Q309" i="2" s="1"/>
  <c r="G122" i="2"/>
  <c r="I122" i="2" s="1"/>
  <c r="M122" i="2" s="1"/>
  <c r="P122" i="2"/>
  <c r="Q122" i="2" s="1"/>
  <c r="G347" i="2"/>
  <c r="I347" i="2" s="1"/>
  <c r="P347" i="2"/>
  <c r="Q347" i="2" s="1"/>
  <c r="G371" i="2"/>
  <c r="I371" i="2" s="1"/>
  <c r="P371" i="2"/>
  <c r="Q371" i="2" s="1"/>
  <c r="P462" i="2"/>
  <c r="Q462" i="2" s="1"/>
  <c r="G462" i="2"/>
  <c r="I462" i="2" s="1"/>
  <c r="E838" i="8"/>
  <c r="F838" i="8" s="1"/>
  <c r="E953" i="8"/>
  <c r="F953" i="8" s="1"/>
  <c r="E29" i="8"/>
  <c r="F29" i="8" s="1"/>
  <c r="C17" i="8" s="1"/>
  <c r="F923" i="2"/>
  <c r="O923" i="2"/>
  <c r="L820" i="2"/>
  <c r="M820" i="2" s="1"/>
  <c r="N820" i="2"/>
  <c r="F702" i="2"/>
  <c r="O702" i="2"/>
  <c r="G723" i="2"/>
  <c r="I723" i="2" s="1"/>
  <c r="M723" i="2" s="1"/>
  <c r="P723" i="2"/>
  <c r="Q723" i="2" s="1"/>
  <c r="L482" i="2"/>
  <c r="N482" i="2"/>
  <c r="E50" i="5"/>
  <c r="P956" i="2"/>
  <c r="Q956" i="2" s="1"/>
  <c r="L878" i="2"/>
  <c r="N878" i="2"/>
  <c r="N847" i="2"/>
  <c r="L803" i="2"/>
  <c r="M803" i="2" s="1"/>
  <c r="N803" i="2"/>
  <c r="L763" i="2"/>
  <c r="N763" i="2"/>
  <c r="G975" i="2"/>
  <c r="I975" i="2" s="1"/>
  <c r="M975" i="2" s="1"/>
  <c r="M913" i="2"/>
  <c r="P536" i="2"/>
  <c r="Q536" i="2" s="1"/>
  <c r="G536" i="2"/>
  <c r="I536" i="2" s="1"/>
  <c r="M536" i="2" s="1"/>
  <c r="G489" i="2"/>
  <c r="I489" i="2" s="1"/>
  <c r="M489" i="2" s="1"/>
  <c r="P489" i="2"/>
  <c r="Q489" i="2" s="1"/>
  <c r="G845" i="2"/>
  <c r="I845" i="2" s="1"/>
  <c r="P845" i="2"/>
  <c r="Q845" i="2" s="1"/>
  <c r="P673" i="2"/>
  <c r="Q673" i="2" s="1"/>
  <c r="G673" i="2"/>
  <c r="I673" i="2" s="1"/>
  <c r="P479" i="2"/>
  <c r="Q479" i="2" s="1"/>
  <c r="G479" i="2"/>
  <c r="I479" i="2" s="1"/>
  <c r="M479" i="2" s="1"/>
  <c r="P776" i="2"/>
  <c r="Q776" i="2" s="1"/>
  <c r="G776" i="2"/>
  <c r="I776" i="2" s="1"/>
  <c r="M319" i="2"/>
  <c r="P500" i="2"/>
  <c r="Q500" i="2" s="1"/>
  <c r="G500" i="2"/>
  <c r="I500" i="2" s="1"/>
  <c r="O391" i="2"/>
  <c r="F391" i="2"/>
  <c r="G351" i="2"/>
  <c r="I351" i="2" s="1"/>
  <c r="M351" i="2" s="1"/>
  <c r="P351" i="2"/>
  <c r="Q351" i="2" s="1"/>
  <c r="G23" i="2"/>
  <c r="I23" i="2" s="1"/>
  <c r="P23" i="2"/>
  <c r="Q23" i="2" s="1"/>
  <c r="P677" i="2"/>
  <c r="Q677" i="2" s="1"/>
  <c r="G677" i="2"/>
  <c r="I677" i="2" s="1"/>
  <c r="M654" i="2"/>
  <c r="G552" i="2"/>
  <c r="I552" i="2" s="1"/>
  <c r="M552" i="2" s="1"/>
  <c r="P552" i="2"/>
  <c r="Q552" i="2" s="1"/>
  <c r="G243" i="2"/>
  <c r="I243" i="2" s="1"/>
  <c r="M243" i="2" s="1"/>
  <c r="P243" i="2"/>
  <c r="Q243" i="2" s="1"/>
  <c r="O290" i="2"/>
  <c r="L98" i="2"/>
  <c r="N98" i="2"/>
  <c r="M248" i="2"/>
  <c r="M62" i="2"/>
  <c r="M30" i="2"/>
  <c r="G305" i="2"/>
  <c r="I305" i="2" s="1"/>
  <c r="P305" i="2"/>
  <c r="Q305" i="2" s="1"/>
  <c r="F901" i="2"/>
  <c r="O901" i="2"/>
  <c r="E961" i="8"/>
  <c r="F961" i="8" s="1"/>
  <c r="E458" i="8"/>
  <c r="F458" i="8" s="1"/>
  <c r="E973" i="8"/>
  <c r="F973" i="8" s="1"/>
  <c r="E913" i="8"/>
  <c r="F913" i="8" s="1"/>
  <c r="E777" i="8"/>
  <c r="F777" i="8" s="1"/>
  <c r="E159" i="8"/>
  <c r="F159" i="8" s="1"/>
  <c r="E970" i="8"/>
  <c r="F970" i="8" s="1"/>
  <c r="E922" i="8"/>
  <c r="F922" i="8" s="1"/>
  <c r="E897" i="8"/>
  <c r="F897" i="8" s="1"/>
  <c r="E677" i="8"/>
  <c r="F677" i="8" s="1"/>
  <c r="E641" i="8"/>
  <c r="F641" i="8" s="1"/>
  <c r="E891" i="8"/>
  <c r="F891" i="8" s="1"/>
  <c r="E751" i="8"/>
  <c r="F751" i="8" s="1"/>
  <c r="E952" i="8"/>
  <c r="F952" i="8" s="1"/>
  <c r="E668" i="8"/>
  <c r="F668" i="8" s="1"/>
  <c r="E688" i="8"/>
  <c r="F688" i="8" s="1"/>
  <c r="E975" i="8"/>
  <c r="F975" i="8" s="1"/>
  <c r="E647" i="8"/>
  <c r="F647" i="8" s="1"/>
  <c r="E974" i="8"/>
  <c r="F974" i="8" s="1"/>
  <c r="E561" i="8"/>
  <c r="F561" i="8" s="1"/>
  <c r="E534" i="8"/>
  <c r="F534" i="8" s="1"/>
  <c r="E267" i="8"/>
  <c r="F267" i="8" s="1"/>
  <c r="E854" i="8"/>
  <c r="F854" i="8" s="1"/>
  <c r="E796" i="8"/>
  <c r="F796" i="8" s="1"/>
  <c r="E510" i="8"/>
  <c r="F510" i="8" s="1"/>
  <c r="E429" i="8"/>
  <c r="F429" i="8" s="1"/>
  <c r="E201" i="8"/>
  <c r="F201" i="8" s="1"/>
  <c r="E377" i="8"/>
  <c r="F377" i="8" s="1"/>
  <c r="E199" i="8"/>
  <c r="F199" i="8" s="1"/>
  <c r="E64" i="8"/>
  <c r="F64" i="8" s="1"/>
  <c r="E35" i="8"/>
  <c r="F35" i="8" s="1"/>
  <c r="E212" i="8"/>
  <c r="F212" i="8" s="1"/>
  <c r="E84" i="8"/>
  <c r="F84" i="8" s="1"/>
  <c r="E646" i="8"/>
  <c r="F646" i="8" s="1"/>
  <c r="E143" i="8"/>
  <c r="F143" i="8" s="1"/>
  <c r="E368" i="8"/>
  <c r="F368" i="8" s="1"/>
  <c r="E336" i="8"/>
  <c r="F336" i="8" s="1"/>
  <c r="O956" i="2"/>
  <c r="G792" i="2"/>
  <c r="I792" i="2" s="1"/>
  <c r="M792" i="2" s="1"/>
  <c r="P792" i="2"/>
  <c r="Q792" i="2" s="1"/>
  <c r="N931" i="2"/>
  <c r="L931" i="2"/>
  <c r="F960" i="2"/>
  <c r="G820" i="2"/>
  <c r="I820" i="2" s="1"/>
  <c r="P820" i="2"/>
  <c r="Q820" i="2" s="1"/>
  <c r="O773" i="2"/>
  <c r="F773" i="2"/>
  <c r="P722" i="2"/>
  <c r="Q722" i="2" s="1"/>
  <c r="G722" i="2"/>
  <c r="I722" i="2" s="1"/>
  <c r="M722" i="2" s="1"/>
  <c r="P482" i="2"/>
  <c r="Q482" i="2" s="1"/>
  <c r="G482" i="2"/>
  <c r="I482" i="2" s="1"/>
  <c r="E195" i="5"/>
  <c r="E420" i="5"/>
  <c r="K3" i="5"/>
  <c r="E111" i="5"/>
  <c r="E269" i="5"/>
  <c r="E417" i="5"/>
  <c r="E272" i="5"/>
  <c r="E380" i="5"/>
  <c r="E416" i="5"/>
  <c r="G947" i="2"/>
  <c r="I947" i="2" s="1"/>
  <c r="P947" i="2"/>
  <c r="Q947" i="2" s="1"/>
  <c r="G938" i="2"/>
  <c r="I938" i="2" s="1"/>
  <c r="M938" i="2" s="1"/>
  <c r="N948" i="2"/>
  <c r="P900" i="2"/>
  <c r="Q900" i="2" s="1"/>
  <c r="G900" i="2"/>
  <c r="I900" i="2" s="1"/>
  <c r="M900" i="2" s="1"/>
  <c r="L751" i="2"/>
  <c r="N751" i="2"/>
  <c r="G768" i="2"/>
  <c r="I768" i="2" s="1"/>
  <c r="P768" i="2"/>
  <c r="Q768" i="2" s="1"/>
  <c r="G860" i="2"/>
  <c r="I860" i="2" s="1"/>
  <c r="M860" i="2" s="1"/>
  <c r="L528" i="2"/>
  <c r="M528" i="2" s="1"/>
  <c r="N528" i="2"/>
  <c r="G466" i="2"/>
  <c r="I466" i="2" s="1"/>
  <c r="M466" i="2" s="1"/>
  <c r="P466" i="2"/>
  <c r="Q466" i="2" s="1"/>
  <c r="P797" i="2"/>
  <c r="Q797" i="2" s="1"/>
  <c r="G797" i="2"/>
  <c r="I797" i="2" s="1"/>
  <c r="M797" i="2" s="1"/>
  <c r="G687" i="2"/>
  <c r="I687" i="2" s="1"/>
  <c r="M687" i="2" s="1"/>
  <c r="P687" i="2"/>
  <c r="Q687" i="2" s="1"/>
  <c r="M614" i="2"/>
  <c r="O991" i="2"/>
  <c r="F991" i="2"/>
  <c r="G984" i="2"/>
  <c r="I984" i="2" s="1"/>
  <c r="M984" i="2" s="1"/>
  <c r="P984" i="2"/>
  <c r="Q984" i="2" s="1"/>
  <c r="I693" i="2"/>
  <c r="P561" i="2"/>
  <c r="Q561" i="2" s="1"/>
  <c r="G561" i="2"/>
  <c r="I561" i="2" s="1"/>
  <c r="M561" i="2" s="1"/>
  <c r="M859" i="2"/>
  <c r="M483" i="2"/>
  <c r="I932" i="2"/>
  <c r="M932" i="2" s="1"/>
  <c r="F799" i="2"/>
  <c r="L419" i="2"/>
  <c r="N419" i="2"/>
  <c r="F982" i="2"/>
  <c r="P932" i="2"/>
  <c r="Q932" i="2" s="1"/>
  <c r="P771" i="2"/>
  <c r="Q771" i="2" s="1"/>
  <c r="F675" i="2"/>
  <c r="G838" i="2"/>
  <c r="I838" i="2" s="1"/>
  <c r="P838" i="2"/>
  <c r="Q838" i="2" s="1"/>
  <c r="P788" i="2"/>
  <c r="Q788" i="2" s="1"/>
  <c r="G788" i="2"/>
  <c r="I788" i="2" s="1"/>
  <c r="M845" i="2"/>
  <c r="G452" i="2"/>
  <c r="I452" i="2" s="1"/>
  <c r="P452" i="2"/>
  <c r="Q452" i="2" s="1"/>
  <c r="G406" i="2"/>
  <c r="I406" i="2" s="1"/>
  <c r="M406" i="2" s="1"/>
  <c r="P406" i="2"/>
  <c r="Q406" i="2" s="1"/>
  <c r="M370" i="2"/>
  <c r="G288" i="2"/>
  <c r="I288" i="2" s="1"/>
  <c r="M288" i="2" s="1"/>
  <c r="P288" i="2"/>
  <c r="Q288" i="2" s="1"/>
  <c r="G236" i="2"/>
  <c r="I236" i="2" s="1"/>
  <c r="M236" i="2" s="1"/>
  <c r="P236" i="2"/>
  <c r="Q236" i="2" s="1"/>
  <c r="F868" i="2"/>
  <c r="N319" i="2"/>
  <c r="P233" i="2"/>
  <c r="Q233" i="2" s="1"/>
  <c r="G233" i="2"/>
  <c r="I233" i="2" s="1"/>
  <c r="M233" i="2" s="1"/>
  <c r="O178" i="2"/>
  <c r="F178" i="2"/>
  <c r="G178" i="2" s="1"/>
  <c r="I178" i="2" s="1"/>
  <c r="M178" i="2" s="1"/>
  <c r="L22" i="2"/>
  <c r="M22" i="2" s="1"/>
  <c r="N22" i="2"/>
  <c r="M1002" i="2"/>
  <c r="P376" i="2"/>
  <c r="Q376" i="2" s="1"/>
  <c r="P725" i="2"/>
  <c r="Q725" i="2" s="1"/>
  <c r="N276" i="2"/>
  <c r="P99" i="2"/>
  <c r="Q99" i="2" s="1"/>
  <c r="G99" i="2"/>
  <c r="I99" i="2" s="1"/>
  <c r="N859" i="2"/>
  <c r="G279" i="2"/>
  <c r="I279" i="2" s="1"/>
  <c r="P279" i="2"/>
  <c r="Q279" i="2" s="1"/>
  <c r="P609" i="2"/>
  <c r="Q609" i="2" s="1"/>
  <c r="G609" i="2"/>
  <c r="I609" i="2" s="1"/>
  <c r="G302" i="2"/>
  <c r="I302" i="2" s="1"/>
  <c r="M302" i="2" s="1"/>
  <c r="P302" i="2"/>
  <c r="Q302" i="2" s="1"/>
  <c r="G742" i="2"/>
  <c r="I742" i="2" s="1"/>
  <c r="P742" i="2"/>
  <c r="Q742" i="2" s="1"/>
  <c r="F629" i="2"/>
  <c r="L96" i="2"/>
  <c r="N96" i="2"/>
  <c r="G683" i="2"/>
  <c r="I683" i="2" s="1"/>
  <c r="M683" i="2" s="1"/>
  <c r="P683" i="2"/>
  <c r="Q683" i="2" s="1"/>
  <c r="P731" i="2"/>
  <c r="Q731" i="2" s="1"/>
  <c r="G731" i="2"/>
  <c r="I731" i="2" s="1"/>
  <c r="M731" i="2" s="1"/>
  <c r="N17" i="2"/>
  <c r="P242" i="2"/>
  <c r="Q242" i="2" s="1"/>
  <c r="F203" i="2"/>
  <c r="G203" i="2" s="1"/>
  <c r="I203" i="2" s="1"/>
  <c r="M203" i="2" s="1"/>
  <c r="P84" i="2"/>
  <c r="Q84" i="2" s="1"/>
  <c r="G84" i="2"/>
  <c r="I84" i="2" s="1"/>
  <c r="M84" i="2" s="1"/>
  <c r="G1000" i="2"/>
  <c r="I1000" i="2" s="1"/>
  <c r="M1000" i="2" s="1"/>
  <c r="P1000" i="2"/>
  <c r="Q1000" i="2" s="1"/>
  <c r="G496" i="2"/>
  <c r="I496" i="2" s="1"/>
  <c r="M496" i="2" s="1"/>
  <c r="P496" i="2"/>
  <c r="Q496" i="2" s="1"/>
  <c r="L35" i="2"/>
  <c r="N35" i="2"/>
  <c r="E527" i="8"/>
  <c r="F527" i="8" s="1"/>
  <c r="E186" i="8"/>
  <c r="F186" i="8" s="1"/>
  <c r="E102" i="8"/>
  <c r="F102" i="8" s="1"/>
  <c r="E490" i="8"/>
  <c r="F490" i="8" s="1"/>
  <c r="G951" i="2"/>
  <c r="I951" i="2" s="1"/>
  <c r="M951" i="2" s="1"/>
  <c r="P951" i="2"/>
  <c r="Q951" i="2" s="1"/>
  <c r="P787" i="2"/>
  <c r="Q787" i="2" s="1"/>
  <c r="G787" i="2"/>
  <c r="I787" i="2" s="1"/>
  <c r="P891" i="2"/>
  <c r="Q891" i="2" s="1"/>
  <c r="G811" i="2"/>
  <c r="I811" i="2" s="1"/>
  <c r="P811" i="2"/>
  <c r="Q811" i="2" s="1"/>
  <c r="P763" i="2"/>
  <c r="Q763" i="2" s="1"/>
  <c r="G763" i="2"/>
  <c r="I763" i="2" s="1"/>
  <c r="G720" i="2"/>
  <c r="I720" i="2" s="1"/>
  <c r="M720" i="2" s="1"/>
  <c r="P720" i="2"/>
  <c r="Q720" i="2" s="1"/>
  <c r="E41" i="5"/>
  <c r="E122" i="5"/>
  <c r="E101" i="5"/>
  <c r="E218" i="5"/>
  <c r="E268" i="5"/>
  <c r="L947" i="2"/>
  <c r="M947" i="2" s="1"/>
  <c r="N947" i="2"/>
  <c r="M868" i="2"/>
  <c r="O784" i="2"/>
  <c r="F784" i="2"/>
  <c r="P656" i="2"/>
  <c r="Q656" i="2" s="1"/>
  <c r="G656" i="2"/>
  <c r="I656" i="2" s="1"/>
  <c r="M656" i="2" s="1"/>
  <c r="L935" i="2"/>
  <c r="M935" i="2" s="1"/>
  <c r="N935" i="2"/>
  <c r="P857" i="2"/>
  <c r="Q857" i="2" s="1"/>
  <c r="G857" i="2"/>
  <c r="I857" i="2" s="1"/>
  <c r="M857" i="2" s="1"/>
  <c r="P549" i="2"/>
  <c r="Q549" i="2" s="1"/>
  <c r="L884" i="2"/>
  <c r="M884" i="2" s="1"/>
  <c r="N884" i="2"/>
  <c r="G756" i="2"/>
  <c r="I756" i="2" s="1"/>
  <c r="M756" i="2" s="1"/>
  <c r="P756" i="2"/>
  <c r="Q756" i="2" s="1"/>
  <c r="M693" i="2"/>
  <c r="L577" i="2"/>
  <c r="N577" i="2"/>
  <c r="P924" i="2"/>
  <c r="Q924" i="2" s="1"/>
  <c r="G924" i="2"/>
  <c r="I924" i="2" s="1"/>
  <c r="M924" i="2" s="1"/>
  <c r="G439" i="2"/>
  <c r="I439" i="2" s="1"/>
  <c r="M439" i="2" s="1"/>
  <c r="P439" i="2"/>
  <c r="Q439" i="2" s="1"/>
  <c r="P398" i="2"/>
  <c r="Q398" i="2" s="1"/>
  <c r="G398" i="2"/>
  <c r="I398" i="2" s="1"/>
  <c r="M398" i="2" s="1"/>
  <c r="G577" i="2"/>
  <c r="I577" i="2" s="1"/>
  <c r="G509" i="2"/>
  <c r="I509" i="2" s="1"/>
  <c r="P509" i="2"/>
  <c r="Q509" i="2" s="1"/>
  <c r="L673" i="2"/>
  <c r="M673" i="2" s="1"/>
  <c r="N673" i="2"/>
  <c r="M230" i="2"/>
  <c r="L143" i="2"/>
  <c r="N143" i="2"/>
  <c r="F840" i="2"/>
  <c r="N269" i="2"/>
  <c r="N497" i="2"/>
  <c r="P441" i="2"/>
  <c r="Q441" i="2" s="1"/>
  <c r="G441" i="2"/>
  <c r="I441" i="2" s="1"/>
  <c r="M441" i="2" s="1"/>
  <c r="M350" i="2"/>
  <c r="G341" i="2"/>
  <c r="I341" i="2" s="1"/>
  <c r="M341" i="2" s="1"/>
  <c r="P341" i="2"/>
  <c r="Q341" i="2" s="1"/>
  <c r="I309" i="2"/>
  <c r="M309" i="2" s="1"/>
  <c r="F332" i="2"/>
  <c r="P839" i="2"/>
  <c r="Q839" i="2" s="1"/>
  <c r="I322" i="2"/>
  <c r="M322" i="2" s="1"/>
  <c r="M218" i="2"/>
  <c r="G150" i="2"/>
  <c r="I150" i="2" s="1"/>
  <c r="M150" i="2" s="1"/>
  <c r="P150" i="2"/>
  <c r="Q150" i="2" s="1"/>
  <c r="P360" i="2"/>
  <c r="Q360" i="2" s="1"/>
  <c r="G360" i="2"/>
  <c r="I360" i="2" s="1"/>
  <c r="M609" i="2"/>
  <c r="N67" i="2"/>
  <c r="P134" i="2"/>
  <c r="Q134" i="2" s="1"/>
  <c r="G134" i="2"/>
  <c r="I134" i="2" s="1"/>
  <c r="M134" i="2" s="1"/>
  <c r="P60" i="2"/>
  <c r="Q60" i="2" s="1"/>
  <c r="G60" i="2"/>
  <c r="I60" i="2" s="1"/>
  <c r="M60" i="2" s="1"/>
  <c r="L14" i="2"/>
  <c r="N14" i="2"/>
  <c r="F43" i="2"/>
  <c r="O43" i="2"/>
  <c r="G392" i="2"/>
  <c r="I392" i="2" s="1"/>
  <c r="P392" i="2"/>
  <c r="Q392" i="2" s="1"/>
  <c r="P560" i="2"/>
  <c r="Q560" i="2" s="1"/>
  <c r="G6" i="2"/>
  <c r="I6" i="2" s="1"/>
  <c r="M6" i="2" s="1"/>
  <c r="G197" i="2"/>
  <c r="I197" i="2" s="1"/>
  <c r="P197" i="2"/>
  <c r="Q197" i="2" s="1"/>
  <c r="N257" i="2"/>
  <c r="G61" i="2"/>
  <c r="I61" i="2" s="1"/>
  <c r="M61" i="2" s="1"/>
  <c r="P61" i="2"/>
  <c r="Q61" i="2" s="1"/>
  <c r="G949" i="2"/>
  <c r="I949" i="2" s="1"/>
  <c r="M949" i="2" s="1"/>
  <c r="P949" i="2"/>
  <c r="Q949" i="2" s="1"/>
  <c r="G317" i="2"/>
  <c r="I317" i="2" s="1"/>
  <c r="M317" i="2" s="1"/>
  <c r="P317" i="2"/>
  <c r="Q317" i="2" s="1"/>
  <c r="M7" i="2"/>
  <c r="E1013" i="8"/>
  <c r="F1013" i="8" s="1"/>
  <c r="E829" i="8"/>
  <c r="F829" i="8" s="1"/>
  <c r="E628" i="8"/>
  <c r="F628" i="8" s="1"/>
  <c r="E123" i="8"/>
  <c r="F123" i="8" s="1"/>
  <c r="E316" i="8"/>
  <c r="F316" i="8" s="1"/>
  <c r="E150" i="8"/>
  <c r="F150" i="8" s="1"/>
  <c r="E931" i="8"/>
  <c r="F931" i="8" s="1"/>
  <c r="E933" i="8"/>
  <c r="F933" i="8" s="1"/>
  <c r="E877" i="8"/>
  <c r="F877" i="8" s="1"/>
  <c r="E748" i="8"/>
  <c r="F748" i="8" s="1"/>
  <c r="E372" i="8"/>
  <c r="F372" i="8" s="1"/>
  <c r="E359" i="8"/>
  <c r="F359" i="8" s="1"/>
  <c r="E681" i="8"/>
  <c r="F681" i="8" s="1"/>
  <c r="E939" i="8"/>
  <c r="F939" i="8" s="1"/>
  <c r="E680" i="8"/>
  <c r="F680" i="8" s="1"/>
  <c r="E461" i="8"/>
  <c r="F461" i="8" s="1"/>
  <c r="E237" i="8"/>
  <c r="F237" i="8" s="1"/>
  <c r="E362" i="8"/>
  <c r="F362" i="8" s="1"/>
  <c r="E323" i="8"/>
  <c r="F323" i="8" s="1"/>
  <c r="E549" i="8"/>
  <c r="F549" i="8" s="1"/>
  <c r="E552" i="8"/>
  <c r="F552" i="8" s="1"/>
  <c r="E291" i="8"/>
  <c r="F291" i="8" s="1"/>
  <c r="E657" i="8"/>
  <c r="F657" i="8" s="1"/>
  <c r="E367" i="8"/>
  <c r="F367" i="8" s="1"/>
  <c r="E844" i="8"/>
  <c r="F844" i="8" s="1"/>
  <c r="E180" i="8"/>
  <c r="F180" i="8" s="1"/>
  <c r="E299" i="8"/>
  <c r="F299" i="8" s="1"/>
  <c r="E131" i="8"/>
  <c r="F131" i="8" s="1"/>
  <c r="E407" i="8"/>
  <c r="F407" i="8" s="1"/>
  <c r="E242" i="8"/>
  <c r="F242" i="8" s="1"/>
  <c r="O911" i="2"/>
  <c r="P911" i="2" s="1"/>
  <c r="Q911" i="2" s="1"/>
  <c r="N686" i="2"/>
  <c r="P983" i="2"/>
  <c r="Q983" i="2" s="1"/>
  <c r="G983" i="2"/>
  <c r="I983" i="2" s="1"/>
  <c r="M983" i="2" s="1"/>
  <c r="I955" i="2"/>
  <c r="P718" i="2"/>
  <c r="Q718" i="2" s="1"/>
  <c r="G718" i="2"/>
  <c r="I718" i="2" s="1"/>
  <c r="M718" i="2" s="1"/>
  <c r="G868" i="2"/>
  <c r="I868" i="2" s="1"/>
  <c r="P868" i="2"/>
  <c r="Q868" i="2" s="1"/>
  <c r="G841" i="2"/>
  <c r="I841" i="2" s="1"/>
  <c r="M841" i="2" s="1"/>
  <c r="P841" i="2"/>
  <c r="Q841" i="2" s="1"/>
  <c r="O973" i="2"/>
  <c r="L904" i="2"/>
  <c r="M904" i="2" s="1"/>
  <c r="N904" i="2"/>
  <c r="P833" i="2"/>
  <c r="Q833" i="2" s="1"/>
  <c r="G833" i="2"/>
  <c r="I833" i="2" s="1"/>
  <c r="M833" i="2" s="1"/>
  <c r="P638" i="2"/>
  <c r="Q638" i="2" s="1"/>
  <c r="G638" i="2"/>
  <c r="I638" i="2" s="1"/>
  <c r="P587" i="2"/>
  <c r="Q587" i="2" s="1"/>
  <c r="G587" i="2"/>
  <c r="I587" i="2" s="1"/>
  <c r="M587" i="2" s="1"/>
  <c r="O549" i="2"/>
  <c r="F884" i="2"/>
  <c r="P780" i="2"/>
  <c r="Q780" i="2" s="1"/>
  <c r="G780" i="2"/>
  <c r="I780" i="2" s="1"/>
  <c r="M780" i="2" s="1"/>
  <c r="P826" i="2"/>
  <c r="Q826" i="2" s="1"/>
  <c r="G826" i="2"/>
  <c r="I826" i="2" s="1"/>
  <c r="M826" i="2" s="1"/>
  <c r="F755" i="2"/>
  <c r="G755" i="2" s="1"/>
  <c r="I755" i="2" s="1"/>
  <c r="M755" i="2" s="1"/>
  <c r="O755" i="2"/>
  <c r="M835" i="2"/>
  <c r="L677" i="2"/>
  <c r="N677" i="2"/>
  <c r="P414" i="2"/>
  <c r="Q414" i="2" s="1"/>
  <c r="G414" i="2"/>
  <c r="I414" i="2" s="1"/>
  <c r="M414" i="2" s="1"/>
  <c r="G914" i="2"/>
  <c r="I914" i="2" s="1"/>
  <c r="M914" i="2" s="1"/>
  <c r="P914" i="2"/>
  <c r="Q914" i="2" s="1"/>
  <c r="N758" i="2"/>
  <c r="G930" i="2"/>
  <c r="I930" i="2" s="1"/>
  <c r="M930" i="2" s="1"/>
  <c r="M776" i="2"/>
  <c r="G143" i="2"/>
  <c r="I143" i="2" s="1"/>
  <c r="P143" i="2"/>
  <c r="Q143" i="2" s="1"/>
  <c r="F899" i="2"/>
  <c r="N732" i="2"/>
  <c r="M596" i="2"/>
  <c r="P648" i="2"/>
  <c r="Q648" i="2" s="1"/>
  <c r="L382" i="2"/>
  <c r="M382" i="2" s="1"/>
  <c r="N382" i="2"/>
  <c r="M257" i="2"/>
  <c r="P703" i="2"/>
  <c r="Q703" i="2" s="1"/>
  <c r="G703" i="2"/>
  <c r="I703" i="2" s="1"/>
  <c r="P1002" i="2"/>
  <c r="Q1002" i="2" s="1"/>
  <c r="G1002" i="2"/>
  <c r="I1002" i="2" s="1"/>
  <c r="O20" i="2"/>
  <c r="F674" i="2"/>
  <c r="G674" i="2" s="1"/>
  <c r="I674" i="2" s="1"/>
  <c r="M674" i="2" s="1"/>
  <c r="M586" i="2"/>
  <c r="N757" i="2"/>
  <c r="P332" i="2"/>
  <c r="Q332" i="2" s="1"/>
  <c r="G332" i="2"/>
  <c r="I332" i="2" s="1"/>
  <c r="M275" i="2"/>
  <c r="G929" i="2"/>
  <c r="I929" i="2" s="1"/>
  <c r="M929" i="2" s="1"/>
  <c r="P929" i="2"/>
  <c r="Q929" i="2" s="1"/>
  <c r="P237" i="2"/>
  <c r="Q237" i="2" s="1"/>
  <c r="F162" i="2"/>
  <c r="G162" i="2" s="1"/>
  <c r="I162" i="2" s="1"/>
  <c r="M162" i="2" s="1"/>
  <c r="O162" i="2"/>
  <c r="P293" i="2"/>
  <c r="Q293" i="2" s="1"/>
  <c r="G293" i="2"/>
  <c r="I293" i="2" s="1"/>
  <c r="M293" i="2" s="1"/>
  <c r="P219" i="2"/>
  <c r="Q219" i="2" s="1"/>
  <c r="G219" i="2"/>
  <c r="I219" i="2" s="1"/>
  <c r="M219" i="2" s="1"/>
  <c r="F154" i="2"/>
  <c r="N230" i="2"/>
  <c r="F386" i="2"/>
  <c r="G118" i="2"/>
  <c r="I118" i="2" s="1"/>
  <c r="P118" i="2"/>
  <c r="Q118" i="2" s="1"/>
  <c r="M53" i="2"/>
  <c r="F8" i="2"/>
  <c r="G8" i="2" s="1"/>
  <c r="I8" i="2" s="1"/>
  <c r="M8" i="2" s="1"/>
  <c r="P340" i="2"/>
  <c r="Q340" i="2" s="1"/>
  <c r="N558" i="2"/>
  <c r="E871" i="8"/>
  <c r="F871" i="8" s="1"/>
  <c r="N202" i="2"/>
  <c r="G994" i="2"/>
  <c r="I994" i="2" s="1"/>
  <c r="P994" i="2"/>
  <c r="Q994" i="2" s="1"/>
  <c r="G327" i="2"/>
  <c r="I327" i="2" s="1"/>
  <c r="M327" i="2" s="1"/>
  <c r="E1018" i="8"/>
  <c r="F1018" i="8" s="1"/>
  <c r="E911" i="8"/>
  <c r="F911" i="8" s="1"/>
  <c r="E581" i="8"/>
  <c r="F581" i="8" s="1"/>
  <c r="E830" i="8"/>
  <c r="F830" i="8" s="1"/>
  <c r="E526" i="8"/>
  <c r="F526" i="8" s="1"/>
  <c r="E716" i="8"/>
  <c r="F716" i="8" s="1"/>
  <c r="E495" i="8"/>
  <c r="F495" i="8" s="1"/>
  <c r="E416" i="8"/>
  <c r="F416" i="8" s="1"/>
  <c r="E768" i="8"/>
  <c r="F768" i="8" s="1"/>
  <c r="E302" i="8"/>
  <c r="F302" i="8" s="1"/>
  <c r="E235" i="8"/>
  <c r="F235" i="8" s="1"/>
  <c r="E849" i="8"/>
  <c r="F849" i="8" s="1"/>
  <c r="E503" i="8"/>
  <c r="F503" i="8" s="1"/>
  <c r="E579" i="8"/>
  <c r="F579" i="8" s="1"/>
  <c r="E348" i="8"/>
  <c r="F348" i="8" s="1"/>
  <c r="G936" i="2"/>
  <c r="I936" i="2" s="1"/>
  <c r="M936" i="2" s="1"/>
  <c r="P936" i="2"/>
  <c r="Q936" i="2" s="1"/>
  <c r="F767" i="2"/>
  <c r="O767" i="2"/>
  <c r="P965" i="2"/>
  <c r="Q965" i="2" s="1"/>
  <c r="G965" i="2"/>
  <c r="I965" i="2" s="1"/>
  <c r="M965" i="2" s="1"/>
  <c r="P875" i="2"/>
  <c r="Q875" i="2" s="1"/>
  <c r="P726" i="2"/>
  <c r="Q726" i="2" s="1"/>
  <c r="G726" i="2"/>
  <c r="I726" i="2" s="1"/>
  <c r="M726" i="2" s="1"/>
  <c r="F888" i="2"/>
  <c r="O888" i="2"/>
  <c r="L811" i="2"/>
  <c r="N811" i="2"/>
  <c r="P749" i="2"/>
  <c r="Q749" i="2" s="1"/>
  <c r="G749" i="2"/>
  <c r="I749" i="2" s="1"/>
  <c r="M749" i="2" s="1"/>
  <c r="P416" i="2"/>
  <c r="Q416" i="2" s="1"/>
  <c r="G416" i="2"/>
  <c r="I416" i="2" s="1"/>
  <c r="M416" i="2" s="1"/>
  <c r="E448" i="5"/>
  <c r="E249" i="5"/>
  <c r="E493" i="5"/>
  <c r="E38" i="5"/>
  <c r="E62" i="5"/>
  <c r="E128" i="5"/>
  <c r="E459" i="5"/>
  <c r="E209" i="5"/>
  <c r="E281" i="5"/>
  <c r="E317" i="5"/>
  <c r="E353" i="5"/>
  <c r="E389" i="5"/>
  <c r="E425" i="5"/>
  <c r="E497" i="5"/>
  <c r="H26" i="3"/>
  <c r="E56" i="1" s="1"/>
  <c r="G879" i="2"/>
  <c r="I879" i="2" s="1"/>
  <c r="M879" i="2" s="1"/>
  <c r="P879" i="2"/>
  <c r="Q879" i="2" s="1"/>
  <c r="O928" i="2"/>
  <c r="F928" i="2"/>
  <c r="P871" i="2"/>
  <c r="Q871" i="2" s="1"/>
  <c r="G871" i="2"/>
  <c r="I871" i="2" s="1"/>
  <c r="F863" i="2"/>
  <c r="O863" i="2"/>
  <c r="L566" i="2"/>
  <c r="M566" i="2" s="1"/>
  <c r="N566" i="2"/>
  <c r="M521" i="2"/>
  <c r="P486" i="2"/>
  <c r="Q486" i="2" s="1"/>
  <c r="G486" i="2"/>
  <c r="I486" i="2" s="1"/>
  <c r="M486" i="2" s="1"/>
  <c r="F925" i="2"/>
  <c r="G925" i="2" s="1"/>
  <c r="I925" i="2" s="1"/>
  <c r="M925" i="2" s="1"/>
  <c r="P437" i="2"/>
  <c r="Q437" i="2" s="1"/>
  <c r="G437" i="2"/>
  <c r="I437" i="2" s="1"/>
  <c r="O89" i="2"/>
  <c r="F89" i="2"/>
  <c r="P753" i="2"/>
  <c r="Q753" i="2" s="1"/>
  <c r="G753" i="2"/>
  <c r="I753" i="2" s="1"/>
  <c r="M753" i="2" s="1"/>
  <c r="F573" i="2"/>
  <c r="F430" i="2"/>
  <c r="G430" i="2" s="1"/>
  <c r="I430" i="2" s="1"/>
  <c r="M430" i="2" s="1"/>
  <c r="P495" i="2"/>
  <c r="Q495" i="2" s="1"/>
  <c r="P640" i="2"/>
  <c r="Q640" i="2" s="1"/>
  <c r="G640" i="2"/>
  <c r="I640" i="2" s="1"/>
  <c r="M640" i="2" s="1"/>
  <c r="G434" i="2"/>
  <c r="I434" i="2" s="1"/>
  <c r="M434" i="2" s="1"/>
  <c r="P348" i="2"/>
  <c r="Q348" i="2" s="1"/>
  <c r="G348" i="2"/>
  <c r="I348" i="2" s="1"/>
  <c r="M348" i="2" s="1"/>
  <c r="L182" i="2"/>
  <c r="M182" i="2" s="1"/>
  <c r="N182" i="2"/>
  <c r="N775" i="2"/>
  <c r="N725" i="2"/>
  <c r="N706" i="2"/>
  <c r="G372" i="2"/>
  <c r="I372" i="2" s="1"/>
  <c r="M372" i="2" s="1"/>
  <c r="G151" i="2"/>
  <c r="I151" i="2" s="1"/>
  <c r="M151" i="2" s="1"/>
  <c r="P151" i="2"/>
  <c r="Q151" i="2" s="1"/>
  <c r="I226" i="2"/>
  <c r="G384" i="2"/>
  <c r="I384" i="2" s="1"/>
  <c r="M384" i="2" s="1"/>
  <c r="P384" i="2"/>
  <c r="Q384" i="2" s="1"/>
  <c r="M518" i="2"/>
  <c r="P82" i="2"/>
  <c r="Q82" i="2" s="1"/>
  <c r="M202" i="2"/>
  <c r="M355" i="2"/>
  <c r="N66" i="2"/>
  <c r="P508" i="2"/>
  <c r="Q508" i="2" s="1"/>
  <c r="G508" i="2"/>
  <c r="I508" i="2" s="1"/>
  <c r="M508" i="2" s="1"/>
  <c r="M305" i="2"/>
  <c r="F10" i="2"/>
  <c r="F74" i="2"/>
  <c r="P74" i="2" s="1"/>
  <c r="Q74" i="2" s="1"/>
  <c r="M703" i="2"/>
  <c r="G858" i="2"/>
  <c r="I858" i="2" s="1"/>
  <c r="M858" i="2" s="1"/>
  <c r="P858" i="2"/>
  <c r="Q858" i="2" s="1"/>
  <c r="E665" i="8"/>
  <c r="F665" i="8" s="1"/>
  <c r="E629" i="8"/>
  <c r="F629" i="8" s="1"/>
  <c r="E763" i="8"/>
  <c r="F763" i="8" s="1"/>
  <c r="E787" i="8"/>
  <c r="F787" i="8" s="1"/>
  <c r="E645" i="8"/>
  <c r="F645" i="8" s="1"/>
  <c r="E635" i="8"/>
  <c r="F635" i="8" s="1"/>
  <c r="E664" i="8"/>
  <c r="F664" i="8" s="1"/>
  <c r="E632" i="8"/>
  <c r="F632" i="8" s="1"/>
  <c r="E491" i="8"/>
  <c r="F491" i="8" s="1"/>
  <c r="E993" i="8"/>
  <c r="F993" i="8" s="1"/>
  <c r="E444" i="8"/>
  <c r="F444" i="8" s="1"/>
  <c r="E496" i="8"/>
  <c r="F496" i="8" s="1"/>
  <c r="E809" i="8"/>
  <c r="F809" i="8" s="1"/>
  <c r="E83" i="8"/>
  <c r="F83" i="8" s="1"/>
  <c r="E543" i="8"/>
  <c r="F543" i="8" s="1"/>
  <c r="E55" i="8"/>
  <c r="F55" i="8" s="1"/>
  <c r="E322" i="8"/>
  <c r="F322" i="8" s="1"/>
  <c r="E225" i="8"/>
  <c r="F225" i="8" s="1"/>
  <c r="G985" i="2"/>
  <c r="I985" i="2" s="1"/>
  <c r="M985" i="2" s="1"/>
  <c r="P985" i="2"/>
  <c r="Q985" i="2" s="1"/>
  <c r="L772" i="2"/>
  <c r="N772" i="2"/>
  <c r="N626" i="2"/>
  <c r="L997" i="2"/>
  <c r="N997" i="2"/>
  <c r="N955" i="2"/>
  <c r="L955" i="2"/>
  <c r="L542" i="2"/>
  <c r="N542" i="2"/>
  <c r="E283" i="5"/>
  <c r="E244" i="5"/>
  <c r="E222" i="5"/>
  <c r="E284" i="5"/>
  <c r="E392" i="5"/>
  <c r="E500" i="5"/>
  <c r="F26" i="3"/>
  <c r="E54" i="1" s="1"/>
  <c r="N828" i="2"/>
  <c r="N973" i="2"/>
  <c r="P898" i="2"/>
  <c r="Q898" i="2" s="1"/>
  <c r="G898" i="2"/>
  <c r="I898" i="2" s="1"/>
  <c r="G738" i="2"/>
  <c r="I738" i="2" s="1"/>
  <c r="M738" i="2" s="1"/>
  <c r="G821" i="2"/>
  <c r="I821" i="2" s="1"/>
  <c r="M821" i="2" s="1"/>
  <c r="P740" i="2"/>
  <c r="Q740" i="2" s="1"/>
  <c r="G531" i="2"/>
  <c r="I531" i="2" s="1"/>
  <c r="M531" i="2" s="1"/>
  <c r="P531" i="2"/>
  <c r="Q531" i="2" s="1"/>
  <c r="M781" i="2"/>
  <c r="G566" i="2"/>
  <c r="I566" i="2" s="1"/>
  <c r="P566" i="2"/>
  <c r="Q566" i="2" s="1"/>
  <c r="G526" i="2"/>
  <c r="I526" i="2" s="1"/>
  <c r="P526" i="2"/>
  <c r="Q526" i="2" s="1"/>
  <c r="N850" i="2"/>
  <c r="I488" i="2"/>
  <c r="M488" i="2" s="1"/>
  <c r="M838" i="2"/>
  <c r="P715" i="2"/>
  <c r="Q715" i="2" s="1"/>
  <c r="P440" i="2"/>
  <c r="Q440" i="2" s="1"/>
  <c r="G440" i="2"/>
  <c r="I440" i="2" s="1"/>
  <c r="M440" i="2" s="1"/>
  <c r="F751" i="2"/>
  <c r="P751" i="2" s="1"/>
  <c r="Q751" i="2" s="1"/>
  <c r="G866" i="2"/>
  <c r="I866" i="2" s="1"/>
  <c r="M866" i="2" s="1"/>
  <c r="M87" i="2"/>
  <c r="G211" i="2"/>
  <c r="I211" i="2" s="1"/>
  <c r="M211" i="2" s="1"/>
  <c r="P211" i="2"/>
  <c r="Q211" i="2" s="1"/>
  <c r="G785" i="2"/>
  <c r="I785" i="2" s="1"/>
  <c r="M785" i="2" s="1"/>
  <c r="P785" i="2"/>
  <c r="Q785" i="2" s="1"/>
  <c r="P728" i="2"/>
  <c r="Q728" i="2" s="1"/>
  <c r="G728" i="2"/>
  <c r="I728" i="2" s="1"/>
  <c r="M728" i="2" s="1"/>
  <c r="P284" i="2"/>
  <c r="Q284" i="2" s="1"/>
  <c r="G284" i="2"/>
  <c r="I284" i="2" s="1"/>
  <c r="M284" i="2" s="1"/>
  <c r="G971" i="2"/>
  <c r="I971" i="2" s="1"/>
  <c r="M971" i="2" s="1"/>
  <c r="P476" i="2"/>
  <c r="Q476" i="2" s="1"/>
  <c r="G476" i="2"/>
  <c r="I476" i="2" s="1"/>
  <c r="O111" i="2"/>
  <c r="P111" i="2" s="1"/>
  <c r="Q111" i="2" s="1"/>
  <c r="F772" i="2"/>
  <c r="N690" i="2"/>
  <c r="G179" i="2"/>
  <c r="I179" i="2" s="1"/>
  <c r="M179" i="2" s="1"/>
  <c r="P179" i="2"/>
  <c r="Q179" i="2" s="1"/>
  <c r="M461" i="2"/>
  <c r="G270" i="2"/>
  <c r="I270" i="2" s="1"/>
  <c r="P270" i="2"/>
  <c r="Q270" i="2" s="1"/>
  <c r="G436" i="2"/>
  <c r="I436" i="2" s="1"/>
  <c r="M436" i="2" s="1"/>
  <c r="P436" i="2"/>
  <c r="Q436" i="2" s="1"/>
  <c r="N738" i="2"/>
  <c r="P194" i="2"/>
  <c r="Q194" i="2" s="1"/>
  <c r="G194" i="2"/>
  <c r="I194" i="2" s="1"/>
  <c r="M194" i="2" s="1"/>
  <c r="P282" i="2"/>
  <c r="Q282" i="2" s="1"/>
  <c r="F209" i="2"/>
  <c r="P209" i="2" s="1"/>
  <c r="Q209" i="2" s="1"/>
  <c r="N218" i="2"/>
  <c r="P138" i="2"/>
  <c r="Q138" i="2" s="1"/>
  <c r="G138" i="2"/>
  <c r="I138" i="2" s="1"/>
  <c r="F618" i="2"/>
  <c r="P618" i="2" s="1"/>
  <c r="Q618" i="2" s="1"/>
  <c r="G222" i="2"/>
  <c r="I222" i="2" s="1"/>
  <c r="P65" i="2"/>
  <c r="Q65" i="2" s="1"/>
  <c r="G65" i="2"/>
  <c r="I65" i="2" s="1"/>
  <c r="M65" i="2" s="1"/>
  <c r="N470" i="2"/>
  <c r="F294" i="2"/>
  <c r="G294" i="2" s="1"/>
  <c r="I294" i="2" s="1"/>
  <c r="M294" i="2" s="1"/>
  <c r="O294" i="2"/>
  <c r="G19" i="2"/>
  <c r="I19" i="2" s="1"/>
  <c r="M19" i="2" s="1"/>
  <c r="P19" i="2"/>
  <c r="Q19" i="2" s="1"/>
  <c r="F66" i="2"/>
  <c r="P66" i="2" s="1"/>
  <c r="Q66" i="2" s="1"/>
  <c r="O66" i="2"/>
  <c r="F494" i="2"/>
  <c r="P186" i="2"/>
  <c r="Q186" i="2" s="1"/>
  <c r="G911" i="2"/>
  <c r="I911" i="2" s="1"/>
  <c r="M911" i="2" s="1"/>
  <c r="P772" i="2"/>
  <c r="Q772" i="2" s="1"/>
  <c r="G772" i="2"/>
  <c r="I772" i="2" s="1"/>
  <c r="P666" i="2"/>
  <c r="Q666" i="2" s="1"/>
  <c r="G666" i="2"/>
  <c r="I666" i="2" s="1"/>
  <c r="M666" i="2" s="1"/>
  <c r="L916" i="2"/>
  <c r="N916" i="2"/>
  <c r="P878" i="2"/>
  <c r="Q878" i="2" s="1"/>
  <c r="G878" i="2"/>
  <c r="I878" i="2" s="1"/>
  <c r="M828" i="2"/>
  <c r="P743" i="2"/>
  <c r="Q743" i="2" s="1"/>
  <c r="G743" i="2"/>
  <c r="I743" i="2" s="1"/>
  <c r="M743" i="2" s="1"/>
  <c r="P973" i="2"/>
  <c r="Q973" i="2" s="1"/>
  <c r="G973" i="2"/>
  <c r="I973" i="2" s="1"/>
  <c r="M973" i="2" s="1"/>
  <c r="L890" i="2"/>
  <c r="N890" i="2"/>
  <c r="P155" i="2"/>
  <c r="Q155" i="2" s="1"/>
  <c r="G155" i="2"/>
  <c r="I155" i="2" s="1"/>
  <c r="N881" i="2"/>
  <c r="I855" i="2"/>
  <c r="N940" i="2"/>
  <c r="P823" i="2"/>
  <c r="Q823" i="2" s="1"/>
  <c r="G823" i="2"/>
  <c r="I823" i="2" s="1"/>
  <c r="N632" i="2"/>
  <c r="P734" i="2"/>
  <c r="Q734" i="2" s="1"/>
  <c r="G734" i="2"/>
  <c r="I734" i="2" s="1"/>
  <c r="L540" i="2"/>
  <c r="M540" i="2" s="1"/>
  <c r="N540" i="2"/>
  <c r="I883" i="2"/>
  <c r="M883" i="2" s="1"/>
  <c r="M850" i="2"/>
  <c r="F758" i="2"/>
  <c r="F893" i="2"/>
  <c r="O893" i="2"/>
  <c r="P195" i="2"/>
  <c r="Q195" i="2" s="1"/>
  <c r="G195" i="2"/>
  <c r="I195" i="2" s="1"/>
  <c r="M195" i="2" s="1"/>
  <c r="P747" i="2"/>
  <c r="Q747" i="2" s="1"/>
  <c r="G933" i="2"/>
  <c r="I933" i="2" s="1"/>
  <c r="M933" i="2" s="1"/>
  <c r="P933" i="2"/>
  <c r="Q933" i="2" s="1"/>
  <c r="P87" i="2"/>
  <c r="Q87" i="2" s="1"/>
  <c r="G87" i="2"/>
  <c r="I87" i="2" s="1"/>
  <c r="P210" i="2"/>
  <c r="Q210" i="2" s="1"/>
  <c r="G210" i="2"/>
  <c r="I210" i="2" s="1"/>
  <c r="M210" i="2" s="1"/>
  <c r="G635" i="2"/>
  <c r="I635" i="2" s="1"/>
  <c r="M635" i="2" s="1"/>
  <c r="P635" i="2"/>
  <c r="Q635" i="2" s="1"/>
  <c r="G283" i="2"/>
  <c r="I283" i="2" s="1"/>
  <c r="M283" i="2" s="1"/>
  <c r="P283" i="2"/>
  <c r="Q283" i="2" s="1"/>
  <c r="M538" i="2"/>
  <c r="G315" i="2"/>
  <c r="I315" i="2" s="1"/>
  <c r="P315" i="2"/>
  <c r="Q315" i="2" s="1"/>
  <c r="F920" i="2"/>
  <c r="P920" i="2" s="1"/>
  <c r="Q920" i="2" s="1"/>
  <c r="M507" i="2"/>
  <c r="G514" i="2"/>
  <c r="I514" i="2" s="1"/>
  <c r="M514" i="2" s="1"/>
  <c r="P514" i="2"/>
  <c r="Q514" i="2" s="1"/>
  <c r="F78" i="2"/>
  <c r="F101" i="2"/>
  <c r="G278" i="2"/>
  <c r="I278" i="2" s="1"/>
  <c r="M278" i="2" s="1"/>
  <c r="P278" i="2"/>
  <c r="Q278" i="2" s="1"/>
  <c r="N333" i="2"/>
  <c r="G582" i="2"/>
  <c r="I582" i="2" s="1"/>
  <c r="M582" i="2" s="1"/>
  <c r="P582" i="2"/>
  <c r="Q582" i="2" s="1"/>
  <c r="I306" i="2"/>
  <c r="G7" i="2"/>
  <c r="I7" i="2" s="1"/>
  <c r="P7" i="2"/>
  <c r="Q7" i="2" s="1"/>
  <c r="F763" i="2"/>
  <c r="G576" i="2"/>
  <c r="I576" i="2" s="1"/>
  <c r="P576" i="2"/>
  <c r="Q576" i="2" s="1"/>
  <c r="O222" i="2"/>
  <c r="P222" i="2" s="1"/>
  <c r="Q222" i="2" s="1"/>
  <c r="G69" i="2"/>
  <c r="I69" i="2" s="1"/>
  <c r="M69" i="2" s="1"/>
  <c r="P69" i="2"/>
  <c r="Q69" i="2" s="1"/>
  <c r="G255" i="2"/>
  <c r="I255" i="2" s="1"/>
  <c r="M255" i="2" s="1"/>
  <c r="M5" i="2"/>
  <c r="G942" i="2"/>
  <c r="I942" i="2" s="1"/>
  <c r="M942" i="2" s="1"/>
  <c r="P141" i="2"/>
  <c r="Q141" i="2" s="1"/>
  <c r="G141" i="2"/>
  <c r="I141" i="2" s="1"/>
  <c r="N275" i="2"/>
  <c r="P101" i="2"/>
  <c r="Q101" i="2" s="1"/>
  <c r="G101" i="2"/>
  <c r="I101" i="2" s="1"/>
  <c r="M101" i="2" s="1"/>
  <c r="G420" i="2"/>
  <c r="I420" i="2" s="1"/>
  <c r="M420" i="2" s="1"/>
  <c r="P420" i="2"/>
  <c r="Q420" i="2" s="1"/>
  <c r="F278" i="2"/>
  <c r="N246" i="2"/>
  <c r="G754" i="2"/>
  <c r="I754" i="2" s="1"/>
  <c r="P754" i="2"/>
  <c r="Q754" i="2" s="1"/>
  <c r="P543" i="2"/>
  <c r="Q543" i="2" s="1"/>
  <c r="G543" i="2"/>
  <c r="I543" i="2" s="1"/>
  <c r="M543" i="2" s="1"/>
  <c r="M310" i="2"/>
  <c r="F297" i="2"/>
  <c r="P362" i="2"/>
  <c r="Q362" i="2" s="1"/>
  <c r="G362" i="2"/>
  <c r="I362" i="2" s="1"/>
  <c r="G329" i="2"/>
  <c r="I329" i="2" s="1"/>
  <c r="P329" i="2"/>
  <c r="Q329" i="2" s="1"/>
  <c r="F106" i="2"/>
  <c r="N166" i="2"/>
  <c r="P829" i="2"/>
  <c r="Q829" i="2" s="1"/>
  <c r="G829" i="2"/>
  <c r="I829" i="2" s="1"/>
  <c r="M829" i="2" s="1"/>
  <c r="N609" i="2"/>
  <c r="G55" i="2"/>
  <c r="I55" i="2" s="1"/>
  <c r="M55" i="2" s="1"/>
  <c r="P55" i="2"/>
  <c r="Q55" i="2" s="1"/>
  <c r="F742" i="2"/>
  <c r="I274" i="2"/>
  <c r="M274" i="2" s="1"/>
  <c r="N140" i="2"/>
  <c r="G200" i="2"/>
  <c r="I200" i="2" s="1"/>
  <c r="M200" i="2" s="1"/>
  <c r="P200" i="2"/>
  <c r="Q200" i="2" s="1"/>
  <c r="N629" i="2"/>
  <c r="G307" i="2"/>
  <c r="I307" i="2" s="1"/>
  <c r="M307" i="2" s="1"/>
  <c r="P307" i="2"/>
  <c r="Q307" i="2" s="1"/>
  <c r="M187" i="2"/>
  <c r="P837" i="2"/>
  <c r="Q837" i="2" s="1"/>
  <c r="P619" i="2"/>
  <c r="Q619" i="2" s="1"/>
  <c r="G619" i="2"/>
  <c r="I619" i="2" s="1"/>
  <c r="M619" i="2" s="1"/>
  <c r="P518" i="2"/>
  <c r="Q518" i="2" s="1"/>
  <c r="G518" i="2"/>
  <c r="I518" i="2" s="1"/>
  <c r="M386" i="2"/>
  <c r="F339" i="2"/>
  <c r="G266" i="2"/>
  <c r="I266" i="2" s="1"/>
  <c r="P266" i="2"/>
  <c r="Q266" i="2" s="1"/>
  <c r="N525" i="2"/>
  <c r="F15" i="2"/>
  <c r="P15" i="2" s="1"/>
  <c r="Q15" i="2" s="1"/>
  <c r="G541" i="2"/>
  <c r="I541" i="2" s="1"/>
  <c r="M541" i="2" s="1"/>
  <c r="P443" i="2"/>
  <c r="Q443" i="2" s="1"/>
  <c r="G443" i="2"/>
  <c r="I443" i="2" s="1"/>
  <c r="G367" i="2"/>
  <c r="I367" i="2" s="1"/>
  <c r="P367" i="2"/>
  <c r="Q367" i="2" s="1"/>
  <c r="M367" i="2"/>
  <c r="F272" i="2"/>
  <c r="G272" i="2" s="1"/>
  <c r="I272" i="2" s="1"/>
  <c r="M272" i="2" s="1"/>
  <c r="N7" i="2"/>
  <c r="F126" i="2"/>
  <c r="P126" i="2" s="1"/>
  <c r="Q126" i="2" s="1"/>
  <c r="L72" i="2"/>
  <c r="M72" i="2" s="1"/>
  <c r="N72" i="2"/>
  <c r="G251" i="2"/>
  <c r="I251" i="2" s="1"/>
  <c r="M251" i="2" s="1"/>
  <c r="P251" i="2"/>
  <c r="Q251" i="2" s="1"/>
  <c r="M83" i="2"/>
  <c r="G180" i="2"/>
  <c r="I180" i="2" s="1"/>
  <c r="M180" i="2" s="1"/>
  <c r="P180" i="2"/>
  <c r="Q180" i="2" s="1"/>
  <c r="M629" i="2"/>
  <c r="P528" i="2"/>
  <c r="Q528" i="2" s="1"/>
  <c r="F449" i="2"/>
  <c r="G449" i="2" s="1"/>
  <c r="I449" i="2" s="1"/>
  <c r="M449" i="2" s="1"/>
  <c r="F266" i="2"/>
  <c r="P525" i="2"/>
  <c r="Q525" i="2" s="1"/>
  <c r="G525" i="2"/>
  <c r="I525" i="2" s="1"/>
  <c r="M525" i="2" s="1"/>
  <c r="G356" i="2"/>
  <c r="I356" i="2" s="1"/>
  <c r="M356" i="2" s="1"/>
  <c r="P356" i="2"/>
  <c r="Q356" i="2" s="1"/>
  <c r="G62" i="2"/>
  <c r="I62" i="2" s="1"/>
  <c r="P62" i="2"/>
  <c r="Q62" i="2" s="1"/>
  <c r="I185" i="2"/>
  <c r="M185" i="2" s="1"/>
  <c r="M425" i="2"/>
  <c r="I276" i="2"/>
  <c r="M276" i="2" s="1"/>
  <c r="G224" i="2"/>
  <c r="I224" i="2" s="1"/>
  <c r="M224" i="2" s="1"/>
  <c r="P224" i="2"/>
  <c r="Q224" i="2" s="1"/>
  <c r="N137" i="2"/>
  <c r="G17" i="2"/>
  <c r="I17" i="2" s="1"/>
  <c r="M17" i="2" s="1"/>
  <c r="P17" i="2"/>
  <c r="Q17" i="2" s="1"/>
  <c r="M994" i="2"/>
  <c r="N494" i="2"/>
  <c r="M141" i="2"/>
  <c r="M102" i="2"/>
  <c r="P931" i="2"/>
  <c r="Q931" i="2" s="1"/>
  <c r="G931" i="2"/>
  <c r="I931" i="2" s="1"/>
  <c r="O832" i="2"/>
  <c r="F832" i="2"/>
  <c r="N787" i="2"/>
  <c r="L787" i="2"/>
  <c r="M787" i="2" s="1"/>
  <c r="N883" i="2"/>
  <c r="M972" i="2"/>
  <c r="P916" i="2"/>
  <c r="Q916" i="2" s="1"/>
  <c r="G916" i="2"/>
  <c r="I916" i="2" s="1"/>
  <c r="F831" i="2"/>
  <c r="E110" i="5"/>
  <c r="E349" i="5"/>
  <c r="E394" i="5"/>
  <c r="E412" i="5"/>
  <c r="E134" i="5"/>
  <c r="E71" i="5"/>
  <c r="E252" i="5"/>
  <c r="E192" i="5"/>
  <c r="E430" i="5"/>
  <c r="E327" i="5"/>
  <c r="E212" i="5"/>
  <c r="E278" i="5"/>
  <c r="E314" i="5"/>
  <c r="E350" i="5"/>
  <c r="E386" i="5"/>
  <c r="E422" i="5"/>
  <c r="E458" i="5"/>
  <c r="E494" i="5"/>
  <c r="E26" i="3"/>
  <c r="E53" i="1" s="1"/>
  <c r="N938" i="2"/>
  <c r="N900" i="2"/>
  <c r="N863" i="2"/>
  <c r="N794" i="2"/>
  <c r="M648" i="2"/>
  <c r="P506" i="2"/>
  <c r="Q506" i="2" s="1"/>
  <c r="G506" i="2"/>
  <c r="I506" i="2" s="1"/>
  <c r="M506" i="2" s="1"/>
  <c r="F999" i="2"/>
  <c r="G904" i="2"/>
  <c r="I904" i="2" s="1"/>
  <c r="P904" i="2"/>
  <c r="Q904" i="2" s="1"/>
  <c r="F795" i="2"/>
  <c r="G795" i="2" s="1"/>
  <c r="I795" i="2" s="1"/>
  <c r="M795" i="2" s="1"/>
  <c r="M662" i="2"/>
  <c r="G467" i="2"/>
  <c r="I467" i="2" s="1"/>
  <c r="M467" i="2" s="1"/>
  <c r="P467" i="2"/>
  <c r="Q467" i="2" s="1"/>
  <c r="F979" i="2"/>
  <c r="G979" i="2" s="1"/>
  <c r="I979" i="2" s="1"/>
  <c r="M979" i="2" s="1"/>
  <c r="P887" i="2"/>
  <c r="Q887" i="2" s="1"/>
  <c r="G887" i="2"/>
  <c r="I887" i="2" s="1"/>
  <c r="N614" i="2"/>
  <c r="M856" i="2"/>
  <c r="M724" i="2"/>
  <c r="N562" i="2"/>
  <c r="O491" i="2"/>
  <c r="F491" i="2"/>
  <c r="G491" i="2" s="1"/>
  <c r="I491" i="2" s="1"/>
  <c r="M491" i="2" s="1"/>
  <c r="P485" i="2"/>
  <c r="Q485" i="2" s="1"/>
  <c r="G485" i="2"/>
  <c r="I485" i="2" s="1"/>
  <c r="F880" i="2"/>
  <c r="P748" i="2"/>
  <c r="Q748" i="2" s="1"/>
  <c r="G748" i="2"/>
  <c r="I748" i="2" s="1"/>
  <c r="M748" i="2" s="1"/>
  <c r="N669" i="2"/>
  <c r="M437" i="2"/>
  <c r="F407" i="2"/>
  <c r="G407" i="2" s="1"/>
  <c r="I407" i="2" s="1"/>
  <c r="M407" i="2" s="1"/>
  <c r="O407" i="2"/>
  <c r="N764" i="2"/>
  <c r="P419" i="2"/>
  <c r="Q419" i="2" s="1"/>
  <c r="G419" i="2"/>
  <c r="I419" i="2" s="1"/>
  <c r="M982" i="2"/>
  <c r="F649" i="2"/>
  <c r="P649" i="2" s="1"/>
  <c r="Q649" i="2" s="1"/>
  <c r="F601" i="2"/>
  <c r="G601" i="2" s="1"/>
  <c r="I601" i="2" s="1"/>
  <c r="M601" i="2" s="1"/>
  <c r="P628" i="2"/>
  <c r="Q628" i="2" s="1"/>
  <c r="M533" i="2"/>
  <c r="N776" i="2"/>
  <c r="E701" i="8"/>
  <c r="F701" i="8" s="1"/>
  <c r="I847" i="2"/>
  <c r="M847" i="2" s="1"/>
  <c r="G471" i="2"/>
  <c r="I471" i="2" s="1"/>
  <c r="M471" i="2" s="1"/>
  <c r="P471" i="2"/>
  <c r="Q471" i="2" s="1"/>
  <c r="P430" i="2"/>
  <c r="Q430" i="2" s="1"/>
  <c r="P291" i="2"/>
  <c r="Q291" i="2" s="1"/>
  <c r="G291" i="2"/>
  <c r="I291" i="2" s="1"/>
  <c r="M291" i="2" s="1"/>
  <c r="M270" i="2"/>
  <c r="P240" i="2"/>
  <c r="Q240" i="2" s="1"/>
  <c r="G240" i="2"/>
  <c r="I240" i="2" s="1"/>
  <c r="M240" i="2" s="1"/>
  <c r="P48" i="2"/>
  <c r="Q48" i="2" s="1"/>
  <c r="G48" i="2"/>
  <c r="I48" i="2" s="1"/>
  <c r="M48" i="2" s="1"/>
  <c r="G183" i="2"/>
  <c r="I183" i="2" s="1"/>
  <c r="M183" i="2" s="1"/>
  <c r="P183" i="2"/>
  <c r="Q183" i="2" s="1"/>
  <c r="N800" i="2"/>
  <c r="P573" i="2"/>
  <c r="Q573" i="2" s="1"/>
  <c r="G573" i="2"/>
  <c r="I573" i="2" s="1"/>
  <c r="M573" i="2" s="1"/>
  <c r="M452" i="2"/>
  <c r="N785" i="2"/>
  <c r="M158" i="2"/>
  <c r="M347" i="2"/>
  <c r="M111" i="2"/>
  <c r="G654" i="2"/>
  <c r="I654" i="2" s="1"/>
  <c r="P654" i="2"/>
  <c r="Q654" i="2" s="1"/>
  <c r="G586" i="2"/>
  <c r="I586" i="2" s="1"/>
  <c r="P586" i="2"/>
  <c r="Q586" i="2" s="1"/>
  <c r="F761" i="2"/>
  <c r="G622" i="2"/>
  <c r="I622" i="2" s="1"/>
  <c r="M622" i="2" s="1"/>
  <c r="P622" i="2"/>
  <c r="Q622" i="2" s="1"/>
  <c r="M578" i="2"/>
  <c r="M371" i="2"/>
  <c r="G275" i="2"/>
  <c r="I275" i="2" s="1"/>
  <c r="P275" i="2"/>
  <c r="Q275" i="2" s="1"/>
  <c r="G227" i="2"/>
  <c r="I227" i="2" s="1"/>
  <c r="M227" i="2" s="1"/>
  <c r="P227" i="2"/>
  <c r="Q227" i="2" s="1"/>
  <c r="P413" i="2"/>
  <c r="Q413" i="2" s="1"/>
  <c r="G413" i="2"/>
  <c r="I413" i="2" s="1"/>
  <c r="P105" i="2"/>
  <c r="Q105" i="2" s="1"/>
  <c r="G105" i="2"/>
  <c r="I105" i="2" s="1"/>
  <c r="M105" i="2" s="1"/>
  <c r="P35" i="2"/>
  <c r="Q35" i="2" s="1"/>
  <c r="G35" i="2"/>
  <c r="I35" i="2" s="1"/>
  <c r="F952" i="2"/>
  <c r="N543" i="2"/>
  <c r="I461" i="2"/>
  <c r="I370" i="2"/>
  <c r="N488" i="2"/>
  <c r="N389" i="2"/>
  <c r="M362" i="2"/>
  <c r="M329" i="2"/>
  <c r="P639" i="2"/>
  <c r="Q639" i="2" s="1"/>
  <c r="G639" i="2"/>
  <c r="I639" i="2" s="1"/>
  <c r="F581" i="2"/>
  <c r="G581" i="2" s="1"/>
  <c r="I581" i="2" s="1"/>
  <c r="M581" i="2" s="1"/>
  <c r="M428" i="2"/>
  <c r="P308" i="2"/>
  <c r="Q308" i="2" s="1"/>
  <c r="F166" i="2"/>
  <c r="F298" i="2"/>
  <c r="G298" i="2" s="1"/>
  <c r="I298" i="2" s="1"/>
  <c r="M298" i="2" s="1"/>
  <c r="G364" i="2"/>
  <c r="I364" i="2" s="1"/>
  <c r="M364" i="2" s="1"/>
  <c r="P161" i="2"/>
  <c r="Q161" i="2" s="1"/>
  <c r="G161" i="2"/>
  <c r="I161" i="2" s="1"/>
  <c r="M161" i="2" s="1"/>
  <c r="P140" i="2"/>
  <c r="Q140" i="2" s="1"/>
  <c r="G140" i="2"/>
  <c r="I140" i="2" s="1"/>
  <c r="M140" i="2" s="1"/>
  <c r="G33" i="2"/>
  <c r="I33" i="2" s="1"/>
  <c r="M33" i="2" s="1"/>
  <c r="P33" i="2"/>
  <c r="Q33" i="2" s="1"/>
  <c r="L126" i="2"/>
  <c r="N126" i="2"/>
  <c r="N746" i="2"/>
  <c r="G83" i="2"/>
  <c r="I83" i="2" s="1"/>
  <c r="P83" i="2"/>
  <c r="Q83" i="2" s="1"/>
  <c r="G71" i="2"/>
  <c r="I71" i="2" s="1"/>
  <c r="M71" i="2" s="1"/>
  <c r="P71" i="2"/>
  <c r="Q71" i="2" s="1"/>
  <c r="P409" i="2"/>
  <c r="Q409" i="2" s="1"/>
  <c r="N131" i="2"/>
  <c r="N518" i="2"/>
  <c r="N307" i="2"/>
  <c r="P8" i="2"/>
  <c r="Q8" i="2" s="1"/>
  <c r="P119" i="2"/>
  <c r="Q119" i="2" s="1"/>
  <c r="G119" i="2"/>
  <c r="I119" i="2" s="1"/>
  <c r="M119" i="2" s="1"/>
  <c r="N728" i="2"/>
  <c r="N339" i="2"/>
  <c r="G43" i="2"/>
  <c r="I43" i="2" s="1"/>
  <c r="M43" i="2" s="1"/>
  <c r="P43" i="2"/>
  <c r="Q43" i="2" s="1"/>
  <c r="M392" i="2"/>
  <c r="N222" i="2"/>
  <c r="N163" i="2"/>
  <c r="F107" i="2"/>
  <c r="G107" i="2" s="1"/>
  <c r="I107" i="2" s="1"/>
  <c r="M107" i="2" s="1"/>
  <c r="G92" i="2"/>
  <c r="I92" i="2" s="1"/>
  <c r="M92" i="2" s="1"/>
  <c r="P92" i="2"/>
  <c r="Q92" i="2" s="1"/>
  <c r="N62" i="2"/>
  <c r="F129" i="2"/>
  <c r="G129" i="2" s="1"/>
  <c r="I129" i="2" s="1"/>
  <c r="M129" i="2" s="1"/>
  <c r="M221" i="2"/>
  <c r="F541" i="2"/>
  <c r="P541" i="2" s="1"/>
  <c r="Q541" i="2" s="1"/>
  <c r="N453" i="2"/>
  <c r="N70" i="2"/>
  <c r="I705" i="2"/>
  <c r="M705" i="2" s="1"/>
  <c r="M368" i="2"/>
  <c r="G94" i="2"/>
  <c r="I94" i="2" s="1"/>
  <c r="M94" i="2" s="1"/>
  <c r="G206" i="2"/>
  <c r="I206" i="2" s="1"/>
  <c r="M206" i="2" s="1"/>
  <c r="P206" i="2"/>
  <c r="Q206" i="2" s="1"/>
  <c r="G64" i="2"/>
  <c r="I64" i="2" s="1"/>
  <c r="M64" i="2" s="1"/>
  <c r="N272" i="2"/>
  <c r="N197" i="2"/>
  <c r="F122" i="2"/>
  <c r="G66" i="2"/>
  <c r="I66" i="2" s="1"/>
  <c r="M66" i="2" s="1"/>
  <c r="G10" i="2"/>
  <c r="I10" i="2" s="1"/>
  <c r="M10" i="2" s="1"/>
  <c r="P10" i="2"/>
  <c r="Q10" i="2" s="1"/>
  <c r="G102" i="2"/>
  <c r="I102" i="2" s="1"/>
  <c r="P102" i="2"/>
  <c r="Q102" i="2" s="1"/>
  <c r="N374" i="2"/>
  <c r="N119" i="2"/>
  <c r="N437" i="2"/>
  <c r="G41" i="2"/>
  <c r="I41" i="2" s="1"/>
  <c r="P41" i="2"/>
  <c r="Q41" i="2" s="1"/>
  <c r="F976" i="2"/>
  <c r="O976" i="2"/>
  <c r="P896" i="2"/>
  <c r="Q896" i="2" s="1"/>
  <c r="G896" i="2"/>
  <c r="I896" i="2" s="1"/>
  <c r="M896" i="2" s="1"/>
  <c r="G988" i="2"/>
  <c r="I988" i="2" s="1"/>
  <c r="M988" i="2" s="1"/>
  <c r="P988" i="2"/>
  <c r="Q988" i="2" s="1"/>
  <c r="P769" i="2"/>
  <c r="Q769" i="2" s="1"/>
  <c r="G769" i="2"/>
  <c r="I769" i="2" s="1"/>
  <c r="M769" i="2" s="1"/>
  <c r="G862" i="2"/>
  <c r="I862" i="2" s="1"/>
  <c r="M862" i="2" s="1"/>
  <c r="P862" i="2"/>
  <c r="Q862" i="2" s="1"/>
  <c r="P824" i="2"/>
  <c r="Q824" i="2" s="1"/>
  <c r="G824" i="2"/>
  <c r="I824" i="2" s="1"/>
  <c r="M824" i="2" s="1"/>
  <c r="P542" i="2"/>
  <c r="Q542" i="2" s="1"/>
  <c r="G542" i="2"/>
  <c r="I542" i="2" s="1"/>
  <c r="E227" i="5"/>
  <c r="E277" i="5"/>
  <c r="E295" i="5"/>
  <c r="E216" i="5"/>
  <c r="E197" i="5"/>
  <c r="E47" i="5"/>
  <c r="E44" i="5"/>
  <c r="E89" i="5"/>
  <c r="E203" i="5"/>
  <c r="E51" i="5"/>
  <c r="E330" i="5"/>
  <c r="E253" i="5"/>
  <c r="E219" i="5"/>
  <c r="E454" i="5"/>
  <c r="E287" i="5"/>
  <c r="E323" i="5"/>
  <c r="E359" i="5"/>
  <c r="E395" i="5"/>
  <c r="E431" i="5"/>
  <c r="E467" i="5"/>
  <c r="G25" i="3"/>
  <c r="D55" i="1" s="1"/>
  <c r="M968" i="2"/>
  <c r="G927" i="2"/>
  <c r="I927" i="2" s="1"/>
  <c r="M927" i="2" s="1"/>
  <c r="G783" i="2"/>
  <c r="I783" i="2" s="1"/>
  <c r="M783" i="2" s="1"/>
  <c r="P919" i="2"/>
  <c r="Q919" i="2" s="1"/>
  <c r="F745" i="2"/>
  <c r="G745" i="2" s="1"/>
  <c r="I745" i="2" s="1"/>
  <c r="M745" i="2" s="1"/>
  <c r="G594" i="2"/>
  <c r="I594" i="2" s="1"/>
  <c r="M594" i="2" s="1"/>
  <c r="P594" i="2"/>
  <c r="Q594" i="2" s="1"/>
  <c r="G580" i="2"/>
  <c r="I580" i="2" s="1"/>
  <c r="M580" i="2" s="1"/>
  <c r="P580" i="2"/>
  <c r="Q580" i="2" s="1"/>
  <c r="M548" i="2"/>
  <c r="O464" i="2"/>
  <c r="F464" i="2"/>
  <c r="M898" i="2"/>
  <c r="P881" i="2"/>
  <c r="Q881" i="2" s="1"/>
  <c r="G881" i="2"/>
  <c r="I881" i="2" s="1"/>
  <c r="M881" i="2" s="1"/>
  <c r="F760" i="2"/>
  <c r="G760" i="2" s="1"/>
  <c r="I760" i="2" s="1"/>
  <c r="M760" i="2" s="1"/>
  <c r="G913" i="2"/>
  <c r="I913" i="2" s="1"/>
  <c r="P913" i="2"/>
  <c r="Q913" i="2" s="1"/>
  <c r="P939" i="2"/>
  <c r="Q939" i="2" s="1"/>
  <c r="M796" i="2"/>
  <c r="G565" i="2"/>
  <c r="I565" i="2" s="1"/>
  <c r="M565" i="2" s="1"/>
  <c r="P565" i="2"/>
  <c r="Q565" i="2" s="1"/>
  <c r="F450" i="2"/>
  <c r="F737" i="2"/>
  <c r="G737" i="2" s="1"/>
  <c r="I737" i="2" s="1"/>
  <c r="M737" i="2" s="1"/>
  <c r="G574" i="2"/>
  <c r="I574" i="2" s="1"/>
  <c r="P574" i="2"/>
  <c r="Q574" i="2" s="1"/>
  <c r="N454" i="2"/>
  <c r="M799" i="2"/>
  <c r="G758" i="2"/>
  <c r="I758" i="2" s="1"/>
  <c r="M758" i="2" s="1"/>
  <c r="P758" i="2"/>
  <c r="Q758" i="2" s="1"/>
  <c r="G649" i="2"/>
  <c r="I649" i="2" s="1"/>
  <c r="M649" i="2" s="1"/>
  <c r="F572" i="2"/>
  <c r="G540" i="2"/>
  <c r="I540" i="2" s="1"/>
  <c r="P540" i="2"/>
  <c r="Q540" i="2" s="1"/>
  <c r="P401" i="2"/>
  <c r="Q401" i="2" s="1"/>
  <c r="G401" i="2"/>
  <c r="I401" i="2" s="1"/>
  <c r="N747" i="2"/>
  <c r="P689" i="2"/>
  <c r="Q689" i="2" s="1"/>
  <c r="G675" i="2"/>
  <c r="I675" i="2" s="1"/>
  <c r="M675" i="2" s="1"/>
  <c r="P675" i="2"/>
  <c r="Q675" i="2" s="1"/>
  <c r="M621" i="2"/>
  <c r="G710" i="2"/>
  <c r="I710" i="2" s="1"/>
  <c r="P710" i="2"/>
  <c r="Q710" i="2" s="1"/>
  <c r="F598" i="2"/>
  <c r="G176" i="2"/>
  <c r="I176" i="2" s="1"/>
  <c r="M176" i="2" s="1"/>
  <c r="P176" i="2"/>
  <c r="Q176" i="2" s="1"/>
  <c r="L27" i="2"/>
  <c r="M27" i="2" s="1"/>
  <c r="N27" i="2"/>
  <c r="G786" i="2"/>
  <c r="I786" i="2" s="1"/>
  <c r="M786" i="2" s="1"/>
  <c r="F612" i="2"/>
  <c r="G262" i="2"/>
  <c r="I262" i="2" s="1"/>
  <c r="M262" i="2" s="1"/>
  <c r="G191" i="2"/>
  <c r="I191" i="2" s="1"/>
  <c r="M191" i="2" s="1"/>
  <c r="P191" i="2"/>
  <c r="Q191" i="2" s="1"/>
  <c r="N372" i="2"/>
  <c r="P290" i="2"/>
  <c r="Q290" i="2" s="1"/>
  <c r="G290" i="2"/>
  <c r="I290" i="2" s="1"/>
  <c r="F263" i="2"/>
  <c r="P263" i="2" s="1"/>
  <c r="Q263" i="2" s="1"/>
  <c r="G730" i="2"/>
  <c r="I730" i="2" s="1"/>
  <c r="M730" i="2" s="1"/>
  <c r="P730" i="2"/>
  <c r="Q730" i="2" s="1"/>
  <c r="P627" i="2"/>
  <c r="Q627" i="2" s="1"/>
  <c r="G627" i="2"/>
  <c r="I627" i="2" s="1"/>
  <c r="M627" i="2" s="1"/>
  <c r="I493" i="2"/>
  <c r="M493" i="2" s="1"/>
  <c r="P668" i="2"/>
  <c r="Q668" i="2" s="1"/>
  <c r="G668" i="2"/>
  <c r="I668" i="2" s="1"/>
  <c r="F603" i="2"/>
  <c r="P422" i="2"/>
  <c r="Q422" i="2" s="1"/>
  <c r="G422" i="2"/>
  <c r="I422" i="2" s="1"/>
  <c r="P110" i="2"/>
  <c r="Q110" i="2" s="1"/>
  <c r="G110" i="2"/>
  <c r="I110" i="2" s="1"/>
  <c r="M110" i="2" s="1"/>
  <c r="G20" i="2"/>
  <c r="I20" i="2" s="1"/>
  <c r="M20" i="2" s="1"/>
  <c r="P20" i="2"/>
  <c r="Q20" i="2" s="1"/>
  <c r="G744" i="2"/>
  <c r="I744" i="2" s="1"/>
  <c r="M744" i="2" s="1"/>
  <c r="G690" i="2"/>
  <c r="I690" i="2" s="1"/>
  <c r="M690" i="2" s="1"/>
  <c r="P690" i="2"/>
  <c r="Q690" i="2" s="1"/>
  <c r="N630" i="2"/>
  <c r="N519" i="2"/>
  <c r="G342" i="2"/>
  <c r="I342" i="2" s="1"/>
  <c r="M342" i="2" s="1"/>
  <c r="P342" i="2"/>
  <c r="Q342" i="2" s="1"/>
  <c r="N370" i="2"/>
  <c r="N303" i="2"/>
  <c r="N929" i="2"/>
  <c r="P338" i="2"/>
  <c r="Q338" i="2" s="1"/>
  <c r="G338" i="2"/>
  <c r="I338" i="2" s="1"/>
  <c r="P267" i="2"/>
  <c r="Q267" i="2" s="1"/>
  <c r="G218" i="2"/>
  <c r="I218" i="2" s="1"/>
  <c r="P218" i="2"/>
  <c r="Q218" i="2" s="1"/>
  <c r="G139" i="2"/>
  <c r="I139" i="2" s="1"/>
  <c r="M139" i="2" s="1"/>
  <c r="P139" i="2"/>
  <c r="Q139" i="2" s="1"/>
  <c r="G29" i="2"/>
  <c r="I29" i="2" s="1"/>
  <c r="P29" i="2"/>
  <c r="Q29" i="2" s="1"/>
  <c r="N99" i="2"/>
  <c r="L99" i="2"/>
  <c r="M99" i="2" s="1"/>
  <c r="G468" i="2"/>
  <c r="I468" i="2" s="1"/>
  <c r="M468" i="2" s="1"/>
  <c r="P468" i="2"/>
  <c r="Q468" i="2" s="1"/>
  <c r="F267" i="2"/>
  <c r="G267" i="2" s="1"/>
  <c r="I267" i="2" s="1"/>
  <c r="M267" i="2" s="1"/>
  <c r="N653" i="2"/>
  <c r="N290" i="2"/>
  <c r="G207" i="2"/>
  <c r="I207" i="2" s="1"/>
  <c r="P808" i="2"/>
  <c r="Q808" i="2" s="1"/>
  <c r="G808" i="2"/>
  <c r="I808" i="2" s="1"/>
  <c r="M808" i="2" s="1"/>
  <c r="N433" i="2"/>
  <c r="F375" i="2"/>
  <c r="G375" i="2" s="1"/>
  <c r="I375" i="2" s="1"/>
  <c r="M375" i="2" s="1"/>
  <c r="M168" i="2"/>
  <c r="G132" i="2"/>
  <c r="I132" i="2" s="1"/>
  <c r="P132" i="2"/>
  <c r="Q132" i="2" s="1"/>
  <c r="P708" i="2"/>
  <c r="Q708" i="2" s="1"/>
  <c r="G708" i="2"/>
  <c r="I708" i="2" s="1"/>
  <c r="F481" i="2"/>
  <c r="N151" i="2"/>
  <c r="M480" i="2"/>
  <c r="M296" i="2"/>
  <c r="G944" i="2"/>
  <c r="I944" i="2" s="1"/>
  <c r="P944" i="2"/>
  <c r="Q944" i="2" s="1"/>
  <c r="P704" i="2"/>
  <c r="Q704" i="2" s="1"/>
  <c r="G704" i="2"/>
  <c r="I704" i="2" s="1"/>
  <c r="M704" i="2" s="1"/>
  <c r="G156" i="2"/>
  <c r="I156" i="2" s="1"/>
  <c r="M156" i="2" s="1"/>
  <c r="P156" i="2"/>
  <c r="Q156" i="2" s="1"/>
  <c r="G123" i="2"/>
  <c r="I123" i="2" s="1"/>
  <c r="M123" i="2" s="1"/>
  <c r="P123" i="2"/>
  <c r="Q123" i="2" s="1"/>
  <c r="F173" i="2"/>
  <c r="G534" i="2"/>
  <c r="I534" i="2" s="1"/>
  <c r="M534" i="2" s="1"/>
  <c r="P534" i="2"/>
  <c r="Q534" i="2" s="1"/>
  <c r="F409" i="2"/>
  <c r="G409" i="2" s="1"/>
  <c r="I409" i="2" s="1"/>
  <c r="M409" i="2" s="1"/>
  <c r="G943" i="2"/>
  <c r="I943" i="2" s="1"/>
  <c r="M943" i="2" s="1"/>
  <c r="G629" i="2"/>
  <c r="I629" i="2" s="1"/>
  <c r="P629" i="2"/>
  <c r="Q629" i="2" s="1"/>
  <c r="G478" i="2"/>
  <c r="I478" i="2" s="1"/>
  <c r="M478" i="2" s="1"/>
  <c r="P478" i="2"/>
  <c r="Q478" i="2" s="1"/>
  <c r="I254" i="2"/>
  <c r="I34" i="2"/>
  <c r="M34" i="2" s="1"/>
  <c r="G18" i="2"/>
  <c r="I18" i="2" s="1"/>
  <c r="M18" i="2" s="1"/>
  <c r="P18" i="2"/>
  <c r="Q18" i="2" s="1"/>
  <c r="F252" i="2"/>
  <c r="M138" i="2"/>
  <c r="N43" i="2"/>
  <c r="M266" i="2"/>
  <c r="P30" i="2"/>
  <c r="Q30" i="2" s="1"/>
  <c r="G30" i="2"/>
  <c r="I30" i="2" s="1"/>
  <c r="M699" i="2"/>
  <c r="P453" i="2"/>
  <c r="Q453" i="2" s="1"/>
  <c r="G453" i="2"/>
  <c r="I453" i="2" s="1"/>
  <c r="M453" i="2" s="1"/>
  <c r="G600" i="2"/>
  <c r="I600" i="2" s="1"/>
  <c r="M600" i="2" s="1"/>
  <c r="G70" i="2"/>
  <c r="I70" i="2" s="1"/>
  <c r="M70" i="2" s="1"/>
  <c r="P70" i="2"/>
  <c r="Q70" i="2" s="1"/>
  <c r="N5" i="2"/>
  <c r="P571" i="2"/>
  <c r="Q571" i="2" s="1"/>
  <c r="G571" i="2"/>
  <c r="I571" i="2" s="1"/>
  <c r="N548" i="2"/>
  <c r="G223" i="2"/>
  <c r="I223" i="2" s="1"/>
  <c r="M223" i="2" s="1"/>
  <c r="P223" i="2"/>
  <c r="Q223" i="2" s="1"/>
  <c r="N458" i="2"/>
  <c r="N421" i="2"/>
  <c r="G63" i="2"/>
  <c r="I63" i="2" s="1"/>
  <c r="M63" i="2" s="1"/>
  <c r="P63" i="2"/>
  <c r="Q63" i="2" s="1"/>
  <c r="G314" i="2"/>
  <c r="I314" i="2" s="1"/>
  <c r="P314" i="2"/>
  <c r="Q314" i="2" s="1"/>
  <c r="P39" i="2"/>
  <c r="Q39" i="2" s="1"/>
  <c r="F644" i="2"/>
  <c r="P644" i="2" s="1"/>
  <c r="Q644" i="2" s="1"/>
  <c r="M474" i="2"/>
  <c r="G328" i="2"/>
  <c r="I328" i="2" s="1"/>
  <c r="M328" i="2" s="1"/>
  <c r="P328" i="2"/>
  <c r="Q328" i="2" s="1"/>
  <c r="N305" i="2"/>
  <c r="F128" i="2"/>
  <c r="G128" i="2" s="1"/>
  <c r="I128" i="2" s="1"/>
  <c r="M128" i="2" s="1"/>
  <c r="F6" i="2"/>
  <c r="P6" i="2" s="1"/>
  <c r="Q6" i="2" s="1"/>
  <c r="N50" i="2"/>
  <c r="N74" i="2"/>
  <c r="E309" i="8"/>
  <c r="F309" i="8" s="1"/>
  <c r="E189" i="8"/>
  <c r="F189" i="8" s="1"/>
  <c r="E41" i="8"/>
  <c r="F41" i="8" s="1"/>
  <c r="M892" i="2"/>
  <c r="P976" i="2"/>
  <c r="Q976" i="2" s="1"/>
  <c r="G976" i="2"/>
  <c r="I976" i="2" s="1"/>
  <c r="M976" i="2" s="1"/>
  <c r="M964" i="2"/>
  <c r="F891" i="2"/>
  <c r="G891" i="2" s="1"/>
  <c r="I891" i="2" s="1"/>
  <c r="M891" i="2" s="1"/>
  <c r="M819" i="2"/>
  <c r="M590" i="2"/>
  <c r="G876" i="2"/>
  <c r="I876" i="2" s="1"/>
  <c r="M876" i="2" s="1"/>
  <c r="P876" i="2"/>
  <c r="Q876" i="2" s="1"/>
  <c r="M908" i="2"/>
  <c r="L413" i="2"/>
  <c r="M413" i="2" s="1"/>
  <c r="N413" i="2"/>
  <c r="E213" i="5"/>
  <c r="E211" i="5"/>
  <c r="E182" i="5"/>
  <c r="E438" i="5"/>
  <c r="E80" i="5"/>
  <c r="E140" i="5"/>
  <c r="E188" i="5"/>
  <c r="E351" i="5"/>
  <c r="E484" i="5"/>
  <c r="E257" i="5"/>
  <c r="E510" i="5"/>
  <c r="E251" i="5"/>
  <c r="E441" i="5"/>
  <c r="E465" i="5"/>
  <c r="E290" i="5"/>
  <c r="E326" i="5"/>
  <c r="E362" i="5"/>
  <c r="E398" i="5"/>
  <c r="E434" i="5"/>
  <c r="E470" i="5"/>
  <c r="E506" i="5"/>
  <c r="F25" i="3"/>
  <c r="D54" i="1" s="1"/>
  <c r="N968" i="2"/>
  <c r="F927" i="2"/>
  <c r="P927" i="2" s="1"/>
  <c r="Q927" i="2" s="1"/>
  <c r="N824" i="2"/>
  <c r="F783" i="2"/>
  <c r="P783" i="2" s="1"/>
  <c r="Q783" i="2" s="1"/>
  <c r="N749" i="2"/>
  <c r="G794" i="2"/>
  <c r="I794" i="2" s="1"/>
  <c r="M794" i="2" s="1"/>
  <c r="P655" i="2"/>
  <c r="Q655" i="2" s="1"/>
  <c r="G655" i="2"/>
  <c r="I655" i="2" s="1"/>
  <c r="M655" i="2" s="1"/>
  <c r="P645" i="2"/>
  <c r="Q645" i="2" s="1"/>
  <c r="G645" i="2"/>
  <c r="I645" i="2" s="1"/>
  <c r="M446" i="2"/>
  <c r="G997" i="2"/>
  <c r="I997" i="2" s="1"/>
  <c r="N844" i="2"/>
  <c r="G872" i="2"/>
  <c r="I872" i="2" s="1"/>
  <c r="M872" i="2" s="1"/>
  <c r="P872" i="2"/>
  <c r="Q872" i="2" s="1"/>
  <c r="G830" i="2"/>
  <c r="I830" i="2" s="1"/>
  <c r="M830" i="2" s="1"/>
  <c r="P830" i="2"/>
  <c r="Q830" i="2" s="1"/>
  <c r="N638" i="2"/>
  <c r="M509" i="2"/>
  <c r="O318" i="2"/>
  <c r="P318" i="2" s="1"/>
  <c r="Q318" i="2" s="1"/>
  <c r="M992" i="2"/>
  <c r="G806" i="2"/>
  <c r="I806" i="2" s="1"/>
  <c r="M806" i="2" s="1"/>
  <c r="P806" i="2"/>
  <c r="Q806" i="2" s="1"/>
  <c r="O738" i="2"/>
  <c r="P738" i="2" s="1"/>
  <c r="Q738" i="2" s="1"/>
  <c r="G642" i="2"/>
  <c r="I642" i="2" s="1"/>
  <c r="M642" i="2" s="1"/>
  <c r="P642" i="2"/>
  <c r="Q642" i="2" s="1"/>
  <c r="G835" i="2"/>
  <c r="I835" i="2" s="1"/>
  <c r="P835" i="2"/>
  <c r="Q835" i="2" s="1"/>
  <c r="G796" i="2"/>
  <c r="I796" i="2" s="1"/>
  <c r="P796" i="2"/>
  <c r="Q796" i="2" s="1"/>
  <c r="G950" i="2"/>
  <c r="I950" i="2" s="1"/>
  <c r="M950" i="2" s="1"/>
  <c r="P950" i="2"/>
  <c r="Q950" i="2" s="1"/>
  <c r="P848" i="2"/>
  <c r="Q848" i="2" s="1"/>
  <c r="G848" i="2"/>
  <c r="I848" i="2" s="1"/>
  <c r="F759" i="2"/>
  <c r="M522" i="2"/>
  <c r="I967" i="2"/>
  <c r="N752" i="2"/>
  <c r="P607" i="2"/>
  <c r="Q607" i="2" s="1"/>
  <c r="G607" i="2"/>
  <c r="I607" i="2" s="1"/>
  <c r="M607" i="2" s="1"/>
  <c r="P572" i="2"/>
  <c r="Q572" i="2" s="1"/>
  <c r="G572" i="2"/>
  <c r="I572" i="2" s="1"/>
  <c r="M572" i="2" s="1"/>
  <c r="G445" i="2"/>
  <c r="I445" i="2" s="1"/>
  <c r="M445" i="2" s="1"/>
  <c r="P445" i="2"/>
  <c r="Q445" i="2" s="1"/>
  <c r="P982" i="2"/>
  <c r="Q982" i="2" s="1"/>
  <c r="G982" i="2"/>
  <c r="I982" i="2" s="1"/>
  <c r="F877" i="2"/>
  <c r="G877" i="2" s="1"/>
  <c r="I877" i="2" s="1"/>
  <c r="M877" i="2" s="1"/>
  <c r="P727" i="2"/>
  <c r="Q727" i="2" s="1"/>
  <c r="F864" i="2"/>
  <c r="N740" i="2"/>
  <c r="N734" i="2"/>
  <c r="F689" i="2"/>
  <c r="G689" i="2" s="1"/>
  <c r="I689" i="2" s="1"/>
  <c r="M689" i="2" s="1"/>
  <c r="F667" i="2"/>
  <c r="G667" i="2" s="1"/>
  <c r="I667" i="2" s="1"/>
  <c r="M667" i="2" s="1"/>
  <c r="P893" i="2"/>
  <c r="Q893" i="2" s="1"/>
  <c r="G893" i="2"/>
  <c r="I893" i="2" s="1"/>
  <c r="M893" i="2" s="1"/>
  <c r="F809" i="2"/>
  <c r="P809" i="2" s="1"/>
  <c r="Q809" i="2" s="1"/>
  <c r="P159" i="2"/>
  <c r="Q159" i="2" s="1"/>
  <c r="G159" i="2"/>
  <c r="I159" i="2" s="1"/>
  <c r="M159" i="2" s="1"/>
  <c r="N698" i="2"/>
  <c r="N915" i="2"/>
  <c r="N462" i="2"/>
  <c r="P426" i="2"/>
  <c r="Q426" i="2" s="1"/>
  <c r="F390" i="2"/>
  <c r="G321" i="2"/>
  <c r="I321" i="2" s="1"/>
  <c r="M321" i="2" s="1"/>
  <c r="P321" i="2"/>
  <c r="Q321" i="2" s="1"/>
  <c r="F234" i="2"/>
  <c r="P234" i="2" s="1"/>
  <c r="Q234" i="2" s="1"/>
  <c r="F114" i="2"/>
  <c r="M228" i="2"/>
  <c r="M709" i="2"/>
  <c r="P695" i="2"/>
  <c r="Q695" i="2" s="1"/>
  <c r="G287" i="2"/>
  <c r="I287" i="2" s="1"/>
  <c r="M287" i="2" s="1"/>
  <c r="P287" i="2"/>
  <c r="Q287" i="2" s="1"/>
  <c r="M510" i="2"/>
  <c r="N434" i="2"/>
  <c r="P345" i="2"/>
  <c r="Q345" i="2" s="1"/>
  <c r="G345" i="2"/>
  <c r="I345" i="2" s="1"/>
  <c r="M345" i="2" s="1"/>
  <c r="M47" i="2"/>
  <c r="F744" i="2"/>
  <c r="P744" i="2" s="1"/>
  <c r="Q744" i="2" s="1"/>
  <c r="N624" i="2"/>
  <c r="F342" i="2"/>
  <c r="N215" i="2"/>
  <c r="G894" i="2"/>
  <c r="I894" i="2" s="1"/>
  <c r="M894" i="2" s="1"/>
  <c r="F757" i="2"/>
  <c r="G757" i="2" s="1"/>
  <c r="I757" i="2" s="1"/>
  <c r="M757" i="2" s="1"/>
  <c r="M617" i="2"/>
  <c r="P547" i="2"/>
  <c r="Q547" i="2" s="1"/>
  <c r="G547" i="2"/>
  <c r="I547" i="2" s="1"/>
  <c r="M547" i="2" s="1"/>
  <c r="G303" i="2"/>
  <c r="I303" i="2" s="1"/>
  <c r="M303" i="2" s="1"/>
  <c r="P303" i="2"/>
  <c r="Q303" i="2" s="1"/>
  <c r="P249" i="2"/>
  <c r="Q249" i="2" s="1"/>
  <c r="N132" i="2"/>
  <c r="P733" i="2"/>
  <c r="Q733" i="2" s="1"/>
  <c r="G733" i="2"/>
  <c r="I733" i="2" s="1"/>
  <c r="N503" i="2"/>
  <c r="I418" i="2"/>
  <c r="M418" i="2" s="1"/>
  <c r="N359" i="2"/>
  <c r="M639" i="2"/>
  <c r="F312" i="2"/>
  <c r="F207" i="2"/>
  <c r="P207" i="2" s="1"/>
  <c r="Q207" i="2" s="1"/>
  <c r="M306" i="2"/>
  <c r="M198" i="2"/>
  <c r="G168" i="2"/>
  <c r="I168" i="2" s="1"/>
  <c r="P168" i="2"/>
  <c r="Q168" i="2" s="1"/>
  <c r="F555" i="2"/>
  <c r="N476" i="2"/>
  <c r="N146" i="2"/>
  <c r="F680" i="2"/>
  <c r="P680" i="2" s="1"/>
  <c r="Q680" i="2" s="1"/>
  <c r="M360" i="2"/>
  <c r="F245" i="2"/>
  <c r="F944" i="2"/>
  <c r="F843" i="2"/>
  <c r="G843" i="2" s="1"/>
  <c r="I843" i="2" s="1"/>
  <c r="M843" i="2" s="1"/>
  <c r="F123" i="2"/>
  <c r="N83" i="2"/>
  <c r="N63" i="2"/>
  <c r="P746" i="2"/>
  <c r="Q746" i="2" s="1"/>
  <c r="G746" i="2"/>
  <c r="I746" i="2" s="1"/>
  <c r="M746" i="2" s="1"/>
  <c r="G38" i="2"/>
  <c r="I38" i="2" s="1"/>
  <c r="M38" i="2" s="1"/>
  <c r="P38" i="2"/>
  <c r="Q38" i="2" s="1"/>
  <c r="N173" i="2"/>
  <c r="E932" i="8"/>
  <c r="F932" i="8" s="1"/>
  <c r="F311" i="2"/>
  <c r="F394" i="2"/>
  <c r="G394" i="2" s="1"/>
  <c r="I394" i="2" s="1"/>
  <c r="M394" i="2" s="1"/>
  <c r="F365" i="2"/>
  <c r="G365" i="2" s="1"/>
  <c r="I365" i="2" s="1"/>
  <c r="M365" i="2" s="1"/>
  <c r="P167" i="2"/>
  <c r="Q167" i="2" s="1"/>
  <c r="G167" i="2"/>
  <c r="I167" i="2" s="1"/>
  <c r="M167" i="2" s="1"/>
  <c r="N103" i="2"/>
  <c r="P5" i="2"/>
  <c r="Q5" i="2" s="1"/>
  <c r="G5" i="2"/>
  <c r="I5" i="2" s="1"/>
  <c r="F330" i="2"/>
  <c r="P330" i="2" s="1"/>
  <c r="Q330" i="2" s="1"/>
  <c r="F59" i="2"/>
  <c r="P59" i="2" s="1"/>
  <c r="Q59" i="2" s="1"/>
  <c r="G438" i="2"/>
  <c r="I438" i="2" s="1"/>
  <c r="M438" i="2" s="1"/>
  <c r="P438" i="2"/>
  <c r="Q438" i="2" s="1"/>
  <c r="N32" i="2"/>
  <c r="G96" i="2"/>
  <c r="I96" i="2" s="1"/>
  <c r="P96" i="2"/>
  <c r="Q96" i="2" s="1"/>
  <c r="M31" i="2"/>
  <c r="G326" i="2"/>
  <c r="I326" i="2" s="1"/>
  <c r="M326" i="2" s="1"/>
  <c r="P326" i="2"/>
  <c r="Q326" i="2" s="1"/>
  <c r="N128" i="2"/>
  <c r="F39" i="2"/>
  <c r="G39" i="2" s="1"/>
  <c r="I39" i="2" s="1"/>
  <c r="M39" i="2" s="1"/>
  <c r="F335" i="2"/>
  <c r="P335" i="2" s="1"/>
  <c r="Q335" i="2" s="1"/>
  <c r="N147" i="2"/>
  <c r="P892" i="2"/>
  <c r="Q892" i="2" s="1"/>
  <c r="G892" i="2"/>
  <c r="I892" i="2" s="1"/>
  <c r="G964" i="2"/>
  <c r="I964" i="2" s="1"/>
  <c r="P964" i="2"/>
  <c r="Q964" i="2" s="1"/>
  <c r="L967" i="2"/>
  <c r="M967" i="2" s="1"/>
  <c r="N967" i="2"/>
  <c r="G937" i="2"/>
  <c r="I937" i="2" s="1"/>
  <c r="M937" i="2" s="1"/>
  <c r="P937" i="2"/>
  <c r="Q937" i="2" s="1"/>
  <c r="M793" i="2"/>
  <c r="P682" i="2"/>
  <c r="Q682" i="2" s="1"/>
  <c r="E33" i="5"/>
  <c r="E104" i="5"/>
  <c r="E513" i="5"/>
  <c r="E65" i="5"/>
  <c r="E131" i="5"/>
  <c r="E179" i="5"/>
  <c r="E286" i="5"/>
  <c r="E39" i="5"/>
  <c r="E113" i="5"/>
  <c r="E266" i="5"/>
  <c r="E499" i="5"/>
  <c r="E232" i="5"/>
  <c r="E293" i="5"/>
  <c r="E329" i="5"/>
  <c r="E365" i="5"/>
  <c r="E401" i="5"/>
  <c r="E437" i="5"/>
  <c r="E473" i="5"/>
  <c r="G26" i="3"/>
  <c r="E55" i="1" s="1"/>
  <c r="P928" i="2"/>
  <c r="Q928" i="2" s="1"/>
  <c r="G928" i="2"/>
  <c r="I928" i="2" s="1"/>
  <c r="M928" i="2" s="1"/>
  <c r="M871" i="2"/>
  <c r="P784" i="2"/>
  <c r="Q784" i="2" s="1"/>
  <c r="G784" i="2"/>
  <c r="I784" i="2" s="1"/>
  <c r="M784" i="2" s="1"/>
  <c r="L645" i="2"/>
  <c r="N645" i="2"/>
  <c r="P446" i="2"/>
  <c r="Q446" i="2" s="1"/>
  <c r="G446" i="2"/>
  <c r="I446" i="2" s="1"/>
  <c r="N976" i="2"/>
  <c r="P813" i="2"/>
  <c r="Q813" i="2" s="1"/>
  <c r="G813" i="2"/>
  <c r="I813" i="2" s="1"/>
  <c r="M813" i="2" s="1"/>
  <c r="G770" i="2"/>
  <c r="I770" i="2" s="1"/>
  <c r="M770" i="2" s="1"/>
  <c r="P770" i="2"/>
  <c r="Q770" i="2" s="1"/>
  <c r="M638" i="2"/>
  <c r="N579" i="2"/>
  <c r="L579" i="2"/>
  <c r="P546" i="2"/>
  <c r="Q546" i="2" s="1"/>
  <c r="G546" i="2"/>
  <c r="I546" i="2" s="1"/>
  <c r="M546" i="2" s="1"/>
  <c r="P760" i="2"/>
  <c r="Q760" i="2" s="1"/>
  <c r="F714" i="2"/>
  <c r="G714" i="2" s="1"/>
  <c r="I714" i="2" s="1"/>
  <c r="M714" i="2" s="1"/>
  <c r="F608" i="2"/>
  <c r="N892" i="2"/>
  <c r="G530" i="2"/>
  <c r="I530" i="2" s="1"/>
  <c r="M530" i="2" s="1"/>
  <c r="P530" i="2"/>
  <c r="Q530" i="2" s="1"/>
  <c r="M980" i="2"/>
  <c r="M848" i="2"/>
  <c r="G789" i="2"/>
  <c r="I789" i="2" s="1"/>
  <c r="M789" i="2" s="1"/>
  <c r="P789" i="2"/>
  <c r="Q789" i="2" s="1"/>
  <c r="G895" i="2"/>
  <c r="I895" i="2" s="1"/>
  <c r="M895" i="2" s="1"/>
  <c r="P895" i="2"/>
  <c r="Q895" i="2" s="1"/>
  <c r="G880" i="2"/>
  <c r="I880" i="2" s="1"/>
  <c r="M880" i="2" s="1"/>
  <c r="P880" i="2"/>
  <c r="Q880" i="2" s="1"/>
  <c r="M752" i="2"/>
  <c r="P732" i="2"/>
  <c r="Q732" i="2" s="1"/>
  <c r="G732" i="2"/>
  <c r="I732" i="2" s="1"/>
  <c r="M732" i="2" s="1"/>
  <c r="F537" i="2"/>
  <c r="P537" i="2" s="1"/>
  <c r="Q537" i="2" s="1"/>
  <c r="L401" i="2"/>
  <c r="N401" i="2"/>
  <c r="M734" i="2"/>
  <c r="M554" i="2"/>
  <c r="P972" i="2"/>
  <c r="Q972" i="2" s="1"/>
  <c r="I790" i="2"/>
  <c r="M790" i="2" s="1"/>
  <c r="N710" i="2"/>
  <c r="P527" i="2"/>
  <c r="Q527" i="2" s="1"/>
  <c r="G527" i="2"/>
  <c r="I527" i="2" s="1"/>
  <c r="M527" i="2" s="1"/>
  <c r="N845" i="2"/>
  <c r="M698" i="2"/>
  <c r="G800" i="2"/>
  <c r="I800" i="2" s="1"/>
  <c r="M800" i="2" s="1"/>
  <c r="P800" i="2"/>
  <c r="Q800" i="2" s="1"/>
  <c r="M678" i="2"/>
  <c r="M462" i="2"/>
  <c r="M354" i="2"/>
  <c r="P189" i="2"/>
  <c r="Q189" i="2" s="1"/>
  <c r="G189" i="2"/>
  <c r="I189" i="2" s="1"/>
  <c r="M189" i="2" s="1"/>
  <c r="P606" i="2"/>
  <c r="Q606" i="2" s="1"/>
  <c r="G606" i="2"/>
  <c r="I606" i="2" s="1"/>
  <c r="M606" i="2" s="1"/>
  <c r="I548" i="2"/>
  <c r="M290" i="2"/>
  <c r="G263" i="2"/>
  <c r="I263" i="2" s="1"/>
  <c r="M263" i="2" s="1"/>
  <c r="N227" i="2"/>
  <c r="N663" i="2"/>
  <c r="P603" i="2"/>
  <c r="Q603" i="2" s="1"/>
  <c r="G603" i="2"/>
  <c r="I603" i="2" s="1"/>
  <c r="M476" i="2"/>
  <c r="O434" i="2"/>
  <c r="P434" i="2" s="1"/>
  <c r="Q434" i="2" s="1"/>
  <c r="G391" i="2"/>
  <c r="I391" i="2" s="1"/>
  <c r="M391" i="2" s="1"/>
  <c r="P391" i="2"/>
  <c r="Q391" i="2" s="1"/>
  <c r="L285" i="2"/>
  <c r="M285" i="2" s="1"/>
  <c r="N285" i="2"/>
  <c r="P47" i="2"/>
  <c r="Q47" i="2" s="1"/>
  <c r="G47" i="2"/>
  <c r="I47" i="2" s="1"/>
  <c r="M624" i="2"/>
  <c r="N871" i="2"/>
  <c r="M338" i="2"/>
  <c r="F171" i="2"/>
  <c r="P50" i="2"/>
  <c r="Q50" i="2" s="1"/>
  <c r="G50" i="2"/>
  <c r="I50" i="2" s="1"/>
  <c r="N733" i="2"/>
  <c r="N533" i="2"/>
  <c r="O359" i="2"/>
  <c r="P359" i="2" s="1"/>
  <c r="Q359" i="2" s="1"/>
  <c r="F225" i="2"/>
  <c r="P637" i="2"/>
  <c r="Q637" i="2" s="1"/>
  <c r="G637" i="2"/>
  <c r="I637" i="2" s="1"/>
  <c r="M637" i="2" s="1"/>
  <c r="M299" i="2"/>
  <c r="O260" i="2"/>
  <c r="P260" i="2" s="1"/>
  <c r="Q260" i="2" s="1"/>
  <c r="G175" i="2"/>
  <c r="I175" i="2" s="1"/>
  <c r="M175" i="2" s="1"/>
  <c r="F146" i="2"/>
  <c r="P952" i="2"/>
  <c r="Q952" i="2" s="1"/>
  <c r="G952" i="2"/>
  <c r="I952" i="2" s="1"/>
  <c r="M952" i="2" s="1"/>
  <c r="N501" i="2"/>
  <c r="G433" i="2"/>
  <c r="I433" i="2" s="1"/>
  <c r="P433" i="2"/>
  <c r="Q433" i="2" s="1"/>
  <c r="N375" i="2"/>
  <c r="G331" i="2"/>
  <c r="I331" i="2" s="1"/>
  <c r="P331" i="2"/>
  <c r="Q331" i="2" s="1"/>
  <c r="G225" i="2"/>
  <c r="I225" i="2" s="1"/>
  <c r="M225" i="2" s="1"/>
  <c r="P225" i="2"/>
  <c r="Q225" i="2" s="1"/>
  <c r="M132" i="2"/>
  <c r="M708" i="2"/>
  <c r="N555" i="2"/>
  <c r="F791" i="2"/>
  <c r="F447" i="2"/>
  <c r="N944" i="2"/>
  <c r="N161" i="2"/>
  <c r="N111" i="2"/>
  <c r="P148" i="2"/>
  <c r="Q148" i="2" s="1"/>
  <c r="P248" i="2"/>
  <c r="Q248" i="2" s="1"/>
  <c r="G248" i="2"/>
  <c r="I248" i="2" s="1"/>
  <c r="M115" i="2"/>
  <c r="G599" i="2"/>
  <c r="I599" i="2" s="1"/>
  <c r="M599" i="2" s="1"/>
  <c r="P599" i="2"/>
  <c r="Q599" i="2" s="1"/>
  <c r="F42" i="2"/>
  <c r="G42" i="2" s="1"/>
  <c r="I42" i="2" s="1"/>
  <c r="M42" i="2" s="1"/>
  <c r="N26" i="2"/>
  <c r="G386" i="2"/>
  <c r="I386" i="2" s="1"/>
  <c r="P386" i="2"/>
  <c r="Q386" i="2" s="1"/>
  <c r="N365" i="2"/>
  <c r="G252" i="2"/>
  <c r="I252" i="2" s="1"/>
  <c r="M252" i="2" s="1"/>
  <c r="P252" i="2"/>
  <c r="Q252" i="2" s="1"/>
  <c r="P95" i="2"/>
  <c r="Q95" i="2" s="1"/>
  <c r="G95" i="2"/>
  <c r="I95" i="2" s="1"/>
  <c r="M95" i="2" s="1"/>
  <c r="P58" i="2"/>
  <c r="Q58" i="2" s="1"/>
  <c r="M576" i="2"/>
  <c r="G186" i="2"/>
  <c r="I186" i="2" s="1"/>
  <c r="M186" i="2" s="1"/>
  <c r="G142" i="2"/>
  <c r="I142" i="2" s="1"/>
  <c r="M142" i="2" s="1"/>
  <c r="P142" i="2"/>
  <c r="Q142" i="2" s="1"/>
  <c r="M103" i="2"/>
  <c r="M82" i="2"/>
  <c r="P56" i="2"/>
  <c r="Q56" i="2" s="1"/>
  <c r="G56" i="2"/>
  <c r="I56" i="2" s="1"/>
  <c r="M56" i="2" s="1"/>
  <c r="N152" i="2"/>
  <c r="F3" i="2"/>
  <c r="M571" i="2"/>
  <c r="P294" i="2"/>
  <c r="Q294" i="2" s="1"/>
  <c r="N59" i="2"/>
  <c r="G330" i="2"/>
  <c r="I330" i="2" s="1"/>
  <c r="M330" i="2" s="1"/>
  <c r="G425" i="2"/>
  <c r="I425" i="2" s="1"/>
  <c r="P425" i="2"/>
  <c r="Q425" i="2" s="1"/>
  <c r="F421" i="2"/>
  <c r="G421" i="2" s="1"/>
  <c r="I421" i="2" s="1"/>
  <c r="M421" i="2" s="1"/>
  <c r="P524" i="2"/>
  <c r="Q524" i="2" s="1"/>
  <c r="G524" i="2"/>
  <c r="I524" i="2" s="1"/>
  <c r="M524" i="2" s="1"/>
  <c r="G368" i="2"/>
  <c r="I368" i="2" s="1"/>
  <c r="P368" i="2"/>
  <c r="Q368" i="2" s="1"/>
  <c r="I271" i="2"/>
  <c r="M271" i="2" s="1"/>
  <c r="F149" i="2"/>
  <c r="P149" i="2" s="1"/>
  <c r="Q149" i="2" s="1"/>
  <c r="E456" i="8"/>
  <c r="F456" i="8" s="1"/>
  <c r="G170" i="2"/>
  <c r="I170" i="2" s="1"/>
  <c r="M170" i="2" s="1"/>
  <c r="P170" i="2"/>
  <c r="Q170" i="2" s="1"/>
  <c r="N110" i="2"/>
  <c r="M147" i="2"/>
  <c r="P886" i="2"/>
  <c r="Q886" i="2" s="1"/>
  <c r="G886" i="2"/>
  <c r="I886" i="2" s="1"/>
  <c r="M886" i="2" s="1"/>
  <c r="G807" i="2"/>
  <c r="I807" i="2" s="1"/>
  <c r="M807" i="2" s="1"/>
  <c r="P807" i="2"/>
  <c r="Q807" i="2" s="1"/>
  <c r="P926" i="2"/>
  <c r="Q926" i="2" s="1"/>
  <c r="G926" i="2"/>
  <c r="I926" i="2" s="1"/>
  <c r="M926" i="2" s="1"/>
  <c r="G889" i="2"/>
  <c r="I889" i="2" s="1"/>
  <c r="M889" i="2" s="1"/>
  <c r="P889" i="2"/>
  <c r="Q889" i="2" s="1"/>
  <c r="O766" i="2"/>
  <c r="F766" i="2"/>
  <c r="P766" i="2" s="1"/>
  <c r="Q766" i="2" s="1"/>
  <c r="C25" i="3"/>
  <c r="D51" i="1" s="1"/>
  <c r="L823" i="2"/>
  <c r="M823" i="2" s="1"/>
  <c r="N823" i="2"/>
  <c r="G793" i="2"/>
  <c r="I793" i="2" s="1"/>
  <c r="P793" i="2"/>
  <c r="Q793" i="2" s="1"/>
  <c r="M729" i="2"/>
  <c r="E367" i="5"/>
  <c r="E246" i="5"/>
  <c r="E20" i="5"/>
  <c r="E189" i="5"/>
  <c r="E107" i="5"/>
  <c r="E226" i="5"/>
  <c r="E358" i="5"/>
  <c r="E340" i="5"/>
  <c r="E504" i="5"/>
  <c r="E267" i="5"/>
  <c r="E296" i="5"/>
  <c r="E368" i="5"/>
  <c r="E440" i="5"/>
  <c r="E476" i="5"/>
  <c r="E512" i="5"/>
  <c r="D26" i="3"/>
  <c r="E52" i="1" s="1"/>
  <c r="G910" i="2"/>
  <c r="I910" i="2" s="1"/>
  <c r="M910" i="2" s="1"/>
  <c r="P910" i="2"/>
  <c r="Q910" i="2" s="1"/>
  <c r="G888" i="2"/>
  <c r="I888" i="2" s="1"/>
  <c r="M888" i="2" s="1"/>
  <c r="P888" i="2"/>
  <c r="Q888" i="2" s="1"/>
  <c r="L855" i="2"/>
  <c r="M855" i="2" s="1"/>
  <c r="N855" i="2"/>
  <c r="M653" i="2"/>
  <c r="M643" i="2"/>
  <c r="G593" i="2"/>
  <c r="I593" i="2" s="1"/>
  <c r="M593" i="2" s="1"/>
  <c r="P593" i="2"/>
  <c r="Q593" i="2" s="1"/>
  <c r="M903" i="2"/>
  <c r="G844" i="2"/>
  <c r="I844" i="2" s="1"/>
  <c r="M844" i="2" s="1"/>
  <c r="P844" i="2"/>
  <c r="Q844" i="2" s="1"/>
  <c r="P953" i="2"/>
  <c r="Q953" i="2" s="1"/>
  <c r="G953" i="2"/>
  <c r="I953" i="2" s="1"/>
  <c r="P579" i="2"/>
  <c r="Q579" i="2" s="1"/>
  <c r="G579" i="2"/>
  <c r="I579" i="2" s="1"/>
  <c r="L473" i="2"/>
  <c r="M473" i="2" s="1"/>
  <c r="N473" i="2"/>
  <c r="P11" i="2"/>
  <c r="Q11" i="2" s="1"/>
  <c r="G11" i="2"/>
  <c r="I11" i="2" s="1"/>
  <c r="M11" i="2" s="1"/>
  <c r="F797" i="2"/>
  <c r="F826" i="2"/>
  <c r="G989" i="2"/>
  <c r="I989" i="2" s="1"/>
  <c r="P989" i="2"/>
  <c r="Q989" i="2" s="1"/>
  <c r="P977" i="2"/>
  <c r="Q977" i="2" s="1"/>
  <c r="G977" i="2"/>
  <c r="I977" i="2" s="1"/>
  <c r="M977" i="2" s="1"/>
  <c r="M563" i="2"/>
  <c r="F941" i="2"/>
  <c r="P941" i="2" s="1"/>
  <c r="Q941" i="2" s="1"/>
  <c r="L694" i="2"/>
  <c r="M694" i="2" s="1"/>
  <c r="N694" i="2"/>
  <c r="N895" i="2"/>
  <c r="I828" i="2"/>
  <c r="G653" i="2"/>
  <c r="I653" i="2" s="1"/>
  <c r="N398" i="2"/>
  <c r="P613" i="2"/>
  <c r="Q613" i="2" s="1"/>
  <c r="G613" i="2"/>
  <c r="I613" i="2" s="1"/>
  <c r="M613" i="2" s="1"/>
  <c r="G455" i="2"/>
  <c r="I455" i="2" s="1"/>
  <c r="M455" i="2" s="1"/>
  <c r="P455" i="2"/>
  <c r="Q455" i="2" s="1"/>
  <c r="P399" i="2"/>
  <c r="Q399" i="2" s="1"/>
  <c r="G399" i="2"/>
  <c r="I399" i="2" s="1"/>
  <c r="M399" i="2" s="1"/>
  <c r="F970" i="2"/>
  <c r="P970" i="2" s="1"/>
  <c r="Q970" i="2" s="1"/>
  <c r="F727" i="2"/>
  <c r="G727" i="2" s="1"/>
  <c r="I727" i="2" s="1"/>
  <c r="M727" i="2" s="1"/>
  <c r="G554" i="2"/>
  <c r="I554" i="2" s="1"/>
  <c r="P554" i="2"/>
  <c r="Q554" i="2" s="1"/>
  <c r="M788" i="2"/>
  <c r="M710" i="2"/>
  <c r="G570" i="2"/>
  <c r="I570" i="2" s="1"/>
  <c r="M570" i="2" s="1"/>
  <c r="P570" i="2"/>
  <c r="Q570" i="2" s="1"/>
  <c r="P447" i="2"/>
  <c r="Q447" i="2" s="1"/>
  <c r="G447" i="2"/>
  <c r="I447" i="2" s="1"/>
  <c r="M447" i="2" s="1"/>
  <c r="P915" i="2"/>
  <c r="Q915" i="2" s="1"/>
  <c r="G678" i="2"/>
  <c r="I678" i="2" s="1"/>
  <c r="P678" i="2"/>
  <c r="Q678" i="2" s="1"/>
  <c r="M389" i="2"/>
  <c r="P320" i="2"/>
  <c r="Q320" i="2" s="1"/>
  <c r="G320" i="2"/>
  <c r="I320" i="2" s="1"/>
  <c r="M320" i="2" s="1"/>
  <c r="M741" i="2"/>
  <c r="M625" i="2"/>
  <c r="P289" i="2"/>
  <c r="Q289" i="2" s="1"/>
  <c r="M226" i="2"/>
  <c r="G663" i="2"/>
  <c r="I663" i="2" s="1"/>
  <c r="M663" i="2" s="1"/>
  <c r="P663" i="2"/>
  <c r="Q663" i="2" s="1"/>
  <c r="G510" i="2"/>
  <c r="I510" i="2" s="1"/>
  <c r="P510" i="2"/>
  <c r="Q510" i="2" s="1"/>
  <c r="N350" i="2"/>
  <c r="P344" i="2"/>
  <c r="Q344" i="2" s="1"/>
  <c r="G344" i="2"/>
  <c r="I344" i="2" s="1"/>
  <c r="M344" i="2" s="1"/>
  <c r="G231" i="2"/>
  <c r="I231" i="2" s="1"/>
  <c r="M231" i="2" s="1"/>
  <c r="P231" i="2"/>
  <c r="Q231" i="2" s="1"/>
  <c r="M519" i="2"/>
  <c r="P624" i="2"/>
  <c r="Q624" i="2" s="1"/>
  <c r="G624" i="2"/>
  <c r="I624" i="2" s="1"/>
  <c r="N461" i="2"/>
  <c r="M458" i="2"/>
  <c r="F246" i="2"/>
  <c r="P246" i="2" s="1"/>
  <c r="Q246" i="2" s="1"/>
  <c r="L207" i="2"/>
  <c r="M207" i="2" s="1"/>
  <c r="N207" i="2"/>
  <c r="G86" i="2"/>
  <c r="I86" i="2" s="1"/>
  <c r="M86" i="2" s="1"/>
  <c r="P86" i="2"/>
  <c r="Q86" i="2" s="1"/>
  <c r="M733" i="2"/>
  <c r="G670" i="2"/>
  <c r="I670" i="2" s="1"/>
  <c r="M670" i="2" s="1"/>
  <c r="P670" i="2"/>
  <c r="Q670" i="2" s="1"/>
  <c r="G513" i="2"/>
  <c r="I513" i="2" s="1"/>
  <c r="M513" i="2" s="1"/>
  <c r="M503" i="2"/>
  <c r="G411" i="2"/>
  <c r="I411" i="2" s="1"/>
  <c r="M411" i="2" s="1"/>
  <c r="P411" i="2"/>
  <c r="Q411" i="2" s="1"/>
  <c r="M359" i="2"/>
  <c r="I553" i="2"/>
  <c r="M553" i="2" s="1"/>
  <c r="F333" i="2"/>
  <c r="P333" i="2" s="1"/>
  <c r="Q333" i="2" s="1"/>
  <c r="P299" i="2"/>
  <c r="Q299" i="2" s="1"/>
  <c r="G299" i="2"/>
  <c r="I299" i="2" s="1"/>
  <c r="G144" i="2"/>
  <c r="I144" i="2" s="1"/>
  <c r="M144" i="2" s="1"/>
  <c r="P144" i="2"/>
  <c r="Q144" i="2" s="1"/>
  <c r="M433" i="2"/>
  <c r="P198" i="2"/>
  <c r="Q198" i="2" s="1"/>
  <c r="F432" i="2"/>
  <c r="G432" i="2" s="1"/>
  <c r="I432" i="2" s="1"/>
  <c r="M432" i="2" s="1"/>
  <c r="P595" i="2"/>
  <c r="Q595" i="2" s="1"/>
  <c r="G595" i="2"/>
  <c r="I595" i="2" s="1"/>
  <c r="M595" i="2" s="1"/>
  <c r="P296" i="2"/>
  <c r="Q296" i="2" s="1"/>
  <c r="G296" i="2"/>
  <c r="I296" i="2" s="1"/>
  <c r="M944" i="2"/>
  <c r="N704" i="2"/>
  <c r="P589" i="2"/>
  <c r="Q589" i="2" s="1"/>
  <c r="G589" i="2"/>
  <c r="I589" i="2" s="1"/>
  <c r="M589" i="2" s="1"/>
  <c r="F417" i="2"/>
  <c r="P417" i="2" s="1"/>
  <c r="Q417" i="2" s="1"/>
  <c r="M222" i="2"/>
  <c r="P81" i="2"/>
  <c r="Q81" i="2" s="1"/>
  <c r="G81" i="2"/>
  <c r="I81" i="2" s="1"/>
  <c r="M81" i="2" s="1"/>
  <c r="G14" i="2"/>
  <c r="I14" i="2" s="1"/>
  <c r="P14" i="2"/>
  <c r="Q14" i="2" s="1"/>
  <c r="F366" i="2"/>
  <c r="G366" i="2" s="1"/>
  <c r="I366" i="2" s="1"/>
  <c r="M366" i="2" s="1"/>
  <c r="G202" i="2"/>
  <c r="I202" i="2" s="1"/>
  <c r="P202" i="2"/>
  <c r="Q202" i="2" s="1"/>
  <c r="G217" i="2"/>
  <c r="I217" i="2" s="1"/>
  <c r="M217" i="2" s="1"/>
  <c r="P73" i="2"/>
  <c r="Q73" i="2" s="1"/>
  <c r="N386" i="2"/>
  <c r="P306" i="2"/>
  <c r="Q306" i="2" s="1"/>
  <c r="M870" i="2"/>
  <c r="N53" i="2"/>
  <c r="P22" i="2"/>
  <c r="Q22" i="2" s="1"/>
  <c r="P152" i="2"/>
  <c r="Q152" i="2" s="1"/>
  <c r="G152" i="2"/>
  <c r="I152" i="2" s="1"/>
  <c r="M152" i="2" s="1"/>
  <c r="F398" i="2"/>
  <c r="P9" i="2"/>
  <c r="Q9" i="2" s="1"/>
  <c r="G9" i="2"/>
  <c r="I9" i="2" s="1"/>
  <c r="M9" i="2" s="1"/>
  <c r="F512" i="2"/>
  <c r="P512" i="2" s="1"/>
  <c r="Q512" i="2" s="1"/>
  <c r="F75" i="2"/>
  <c r="G75" i="2" s="1"/>
  <c r="I75" i="2" s="1"/>
  <c r="M75" i="2" s="1"/>
  <c r="M443" i="2"/>
  <c r="F94" i="2"/>
  <c r="P94" i="2" s="1"/>
  <c r="Q94" i="2" s="1"/>
  <c r="P32" i="2"/>
  <c r="Q32" i="2" s="1"/>
  <c r="G32" i="2"/>
  <c r="I32" i="2" s="1"/>
  <c r="M32" i="2" s="1"/>
  <c r="N452" i="2"/>
  <c r="G24" i="2"/>
  <c r="I24" i="2" s="1"/>
  <c r="M24" i="2" s="1"/>
  <c r="G12" i="2"/>
  <c r="I12" i="2" s="1"/>
  <c r="M12" i="2" s="1"/>
  <c r="P832" i="2"/>
  <c r="Q832" i="2" s="1"/>
  <c r="G832" i="2"/>
  <c r="I832" i="2" s="1"/>
  <c r="M832" i="2" s="1"/>
  <c r="G996" i="2"/>
  <c r="I996" i="2" s="1"/>
  <c r="M996" i="2" s="1"/>
  <c r="P996" i="2"/>
  <c r="Q996" i="2" s="1"/>
  <c r="M963" i="2"/>
  <c r="P917" i="2"/>
  <c r="Q917" i="2" s="1"/>
  <c r="G899" i="2"/>
  <c r="I899" i="2" s="1"/>
  <c r="M899" i="2" s="1"/>
  <c r="P899" i="2"/>
  <c r="Q899" i="2" s="1"/>
  <c r="E200" i="5"/>
  <c r="E185" i="5"/>
  <c r="E186" i="5"/>
  <c r="E125" i="5"/>
  <c r="E86" i="5"/>
  <c r="E236" i="5"/>
  <c r="E98" i="5"/>
  <c r="E152" i="5"/>
  <c r="E224" i="5"/>
  <c r="E262" i="5"/>
  <c r="E388" i="5"/>
  <c r="E520" i="5"/>
  <c r="E245" i="5"/>
  <c r="E490" i="5"/>
  <c r="E299" i="5"/>
  <c r="E335" i="5"/>
  <c r="E371" i="5"/>
  <c r="E407" i="5"/>
  <c r="E443" i="5"/>
  <c r="E479" i="5"/>
  <c r="E515" i="5"/>
  <c r="E25" i="3"/>
  <c r="D53" i="1" s="1"/>
  <c r="P851" i="2"/>
  <c r="Q851" i="2" s="1"/>
  <c r="G851" i="2"/>
  <c r="I851" i="2" s="1"/>
  <c r="M851" i="2" s="1"/>
  <c r="M768" i="2"/>
  <c r="N722" i="2"/>
  <c r="N964" i="2"/>
  <c r="P869" i="2"/>
  <c r="Q869" i="2" s="1"/>
  <c r="G869" i="2"/>
  <c r="I869" i="2" s="1"/>
  <c r="M869" i="2" s="1"/>
  <c r="O717" i="2"/>
  <c r="F717" i="2"/>
  <c r="N643" i="2"/>
  <c r="N972" i="2"/>
  <c r="G837" i="2"/>
  <c r="I837" i="2" s="1"/>
  <c r="M837" i="2" s="1"/>
  <c r="L953" i="2"/>
  <c r="N953" i="2"/>
  <c r="G907" i="2"/>
  <c r="I907" i="2" s="1"/>
  <c r="M907" i="2" s="1"/>
  <c r="P907" i="2"/>
  <c r="Q907" i="2" s="1"/>
  <c r="P620" i="2"/>
  <c r="Q620" i="2" s="1"/>
  <c r="G620" i="2"/>
  <c r="I620" i="2" s="1"/>
  <c r="M620" i="2" s="1"/>
  <c r="M155" i="2"/>
  <c r="G884" i="2"/>
  <c r="I884" i="2" s="1"/>
  <c r="P884" i="2"/>
  <c r="Q884" i="2" s="1"/>
  <c r="N872" i="2"/>
  <c r="G836" i="2"/>
  <c r="I836" i="2" s="1"/>
  <c r="M836" i="2" s="1"/>
  <c r="P836" i="2"/>
  <c r="Q836" i="2" s="1"/>
  <c r="F890" i="2"/>
  <c r="P890" i="2" s="1"/>
  <c r="Q890" i="2" s="1"/>
  <c r="P714" i="2"/>
  <c r="Q714" i="2" s="1"/>
  <c r="P597" i="2"/>
  <c r="Q597" i="2" s="1"/>
  <c r="G597" i="2"/>
  <c r="I597" i="2" s="1"/>
  <c r="M989" i="2"/>
  <c r="F939" i="2"/>
  <c r="G939" i="2" s="1"/>
  <c r="I939" i="2" s="1"/>
  <c r="M939" i="2" s="1"/>
  <c r="N835" i="2"/>
  <c r="P583" i="2"/>
  <c r="Q583" i="2" s="1"/>
  <c r="G583" i="2"/>
  <c r="I583" i="2" s="1"/>
  <c r="M583" i="2" s="1"/>
  <c r="P563" i="2"/>
  <c r="Q563" i="2" s="1"/>
  <c r="G563" i="2"/>
  <c r="I563" i="2" s="1"/>
  <c r="G980" i="2"/>
  <c r="I980" i="2" s="1"/>
  <c r="P980" i="2"/>
  <c r="Q980" i="2" s="1"/>
  <c r="M740" i="2"/>
  <c r="G1001" i="2"/>
  <c r="I1001" i="2" s="1"/>
  <c r="M1001" i="2" s="1"/>
  <c r="P1001" i="2"/>
  <c r="Q1001" i="2" s="1"/>
  <c r="P946" i="2"/>
  <c r="Q946" i="2" s="1"/>
  <c r="G946" i="2"/>
  <c r="I946" i="2" s="1"/>
  <c r="M946" i="2" s="1"/>
  <c r="P604" i="2"/>
  <c r="Q604" i="2" s="1"/>
  <c r="G604" i="2"/>
  <c r="I604" i="2" s="1"/>
  <c r="M604" i="2" s="1"/>
  <c r="F445" i="2"/>
  <c r="I934" i="2"/>
  <c r="M934" i="2" s="1"/>
  <c r="G864" i="2"/>
  <c r="I864" i="2" s="1"/>
  <c r="M864" i="2" s="1"/>
  <c r="P864" i="2"/>
  <c r="Q864" i="2" s="1"/>
  <c r="G739" i="2"/>
  <c r="I739" i="2" s="1"/>
  <c r="M739" i="2" s="1"/>
  <c r="F558" i="2"/>
  <c r="G558" i="2" s="1"/>
  <c r="I558" i="2" s="1"/>
  <c r="M558" i="2" s="1"/>
  <c r="M526" i="2"/>
  <c r="N970" i="2"/>
  <c r="N864" i="2"/>
  <c r="F782" i="2"/>
  <c r="P782" i="2" s="1"/>
  <c r="Q782" i="2" s="1"/>
  <c r="N667" i="2"/>
  <c r="F613" i="2"/>
  <c r="F505" i="2"/>
  <c r="G505" i="2" s="1"/>
  <c r="I505" i="2" s="1"/>
  <c r="M505" i="2" s="1"/>
  <c r="P377" i="2"/>
  <c r="Q377" i="2" s="1"/>
  <c r="G377" i="2"/>
  <c r="I377" i="2" s="1"/>
  <c r="M377" i="2" s="1"/>
  <c r="N155" i="2"/>
  <c r="M2" i="2"/>
  <c r="N853" i="2"/>
  <c r="F915" i="2"/>
  <c r="G915" i="2" s="1"/>
  <c r="I915" i="2" s="1"/>
  <c r="M915" i="2" s="1"/>
  <c r="N603" i="2"/>
  <c r="L603" i="2"/>
  <c r="O354" i="2"/>
  <c r="P354" i="2" s="1"/>
  <c r="Q354" i="2" s="1"/>
  <c r="G319" i="2"/>
  <c r="I319" i="2" s="1"/>
  <c r="P319" i="2"/>
  <c r="Q319" i="2" s="1"/>
  <c r="F258" i="2"/>
  <c r="P258" i="2" s="1"/>
  <c r="Q258" i="2" s="1"/>
  <c r="P215" i="2"/>
  <c r="Q215" i="2" s="1"/>
  <c r="G215" i="2"/>
  <c r="I215" i="2" s="1"/>
  <c r="M215" i="2" s="1"/>
  <c r="N907" i="2"/>
  <c r="N625" i="2"/>
  <c r="M332" i="2"/>
  <c r="F262" i="2"/>
  <c r="P262" i="2" s="1"/>
  <c r="Q262" i="2" s="1"/>
  <c r="G238" i="2"/>
  <c r="I238" i="2" s="1"/>
  <c r="M238" i="2" s="1"/>
  <c r="P238" i="2"/>
  <c r="Q238" i="2" s="1"/>
  <c r="N500" i="2"/>
  <c r="M405" i="2"/>
  <c r="M388" i="2"/>
  <c r="N563" i="2"/>
  <c r="F865" i="2"/>
  <c r="G865" i="2" s="1"/>
  <c r="I865" i="2" s="1"/>
  <c r="M865" i="2" s="1"/>
  <c r="N744" i="2"/>
  <c r="F679" i="2"/>
  <c r="M668" i="2"/>
  <c r="F584" i="2"/>
  <c r="P584" i="2" s="1"/>
  <c r="Q584" i="2" s="1"/>
  <c r="M633" i="2"/>
  <c r="N507" i="2"/>
  <c r="N263" i="2"/>
  <c r="N943" i="2"/>
  <c r="G458" i="2"/>
  <c r="I458" i="2" s="1"/>
  <c r="P458" i="2"/>
  <c r="Q458" i="2" s="1"/>
  <c r="N310" i="2"/>
  <c r="P131" i="2"/>
  <c r="Q131" i="2" s="1"/>
  <c r="M50" i="2"/>
  <c r="F513" i="2"/>
  <c r="P513" i="2" s="1"/>
  <c r="Q513" i="2" s="1"/>
  <c r="P503" i="2"/>
  <c r="Q503" i="2" s="1"/>
  <c r="G503" i="2"/>
  <c r="I503" i="2" s="1"/>
  <c r="N411" i="2"/>
  <c r="G359" i="2"/>
  <c r="I359" i="2" s="1"/>
  <c r="M165" i="2"/>
  <c r="N297" i="2"/>
  <c r="G249" i="2"/>
  <c r="I249" i="2" s="1"/>
  <c r="M249" i="2" s="1"/>
  <c r="N171" i="2"/>
  <c r="F557" i="2"/>
  <c r="F501" i="2"/>
  <c r="M331" i="2"/>
  <c r="N154" i="2"/>
  <c r="G106" i="2"/>
  <c r="I106" i="2" s="1"/>
  <c r="M106" i="2" s="1"/>
  <c r="P106" i="2"/>
  <c r="Q106" i="2" s="1"/>
  <c r="M279" i="2"/>
  <c r="M188" i="2"/>
  <c r="P395" i="2"/>
  <c r="Q395" i="2" s="1"/>
  <c r="G395" i="2"/>
  <c r="I395" i="2" s="1"/>
  <c r="M395" i="2" s="1"/>
  <c r="G91" i="2"/>
  <c r="I91" i="2" s="1"/>
  <c r="M91" i="2" s="1"/>
  <c r="P91" i="2"/>
  <c r="Q91" i="2" s="1"/>
  <c r="M742" i="2"/>
  <c r="N648" i="2"/>
  <c r="N478" i="2"/>
  <c r="G311" i="2"/>
  <c r="I311" i="2" s="1"/>
  <c r="M311" i="2" s="1"/>
  <c r="P311" i="2"/>
  <c r="Q311" i="2" s="1"/>
  <c r="F131" i="2"/>
  <c r="G131" i="2" s="1"/>
  <c r="I131" i="2" s="1"/>
  <c r="M131" i="2" s="1"/>
  <c r="N354" i="2"/>
  <c r="M118" i="2"/>
  <c r="G336" i="2"/>
  <c r="I336" i="2" s="1"/>
  <c r="P336" i="2"/>
  <c r="Q336" i="2" s="1"/>
  <c r="G163" i="2"/>
  <c r="I163" i="2" s="1"/>
  <c r="M163" i="2" s="1"/>
  <c r="P163" i="2"/>
  <c r="Q163" i="2" s="1"/>
  <c r="G74" i="2"/>
  <c r="I74" i="2" s="1"/>
  <c r="M74" i="2" s="1"/>
  <c r="G51" i="2"/>
  <c r="I51" i="2" s="1"/>
  <c r="M51" i="2" s="1"/>
  <c r="P51" i="2"/>
  <c r="Q51" i="2" s="1"/>
  <c r="N84" i="2"/>
  <c r="M657" i="2"/>
  <c r="G567" i="2"/>
  <c r="I567" i="2" s="1"/>
  <c r="M567" i="2" s="1"/>
  <c r="P567" i="2"/>
  <c r="Q567" i="2" s="1"/>
  <c r="N443" i="2"/>
  <c r="N330" i="2"/>
  <c r="N425" i="2"/>
  <c r="N524" i="2"/>
  <c r="M314" i="2"/>
  <c r="P160" i="2"/>
  <c r="Q160" i="2" s="1"/>
  <c r="G160" i="2"/>
  <c r="I160" i="2" s="1"/>
  <c r="M160" i="2" s="1"/>
  <c r="M93" i="2"/>
  <c r="G374" i="2"/>
  <c r="I374" i="2" s="1"/>
  <c r="M374" i="2" s="1"/>
  <c r="P374" i="2"/>
  <c r="Q374" i="2" s="1"/>
  <c r="N326" i="2"/>
  <c r="G250" i="2"/>
  <c r="I250" i="2" s="1"/>
  <c r="M250" i="2" s="1"/>
  <c r="P250" i="2"/>
  <c r="Q250" i="2" s="1"/>
  <c r="N206" i="2"/>
  <c r="N95" i="2"/>
  <c r="G4" i="2"/>
  <c r="I4" i="2" s="1"/>
  <c r="M4" i="2" s="1"/>
  <c r="M41" i="2"/>
  <c r="G59" i="2" l="1"/>
  <c r="I59" i="2" s="1"/>
  <c r="M59" i="2" s="1"/>
  <c r="G501" i="2"/>
  <c r="I501" i="2" s="1"/>
  <c r="M501" i="2" s="1"/>
  <c r="P501" i="2"/>
  <c r="Q501" i="2" s="1"/>
  <c r="P757" i="2"/>
  <c r="Q757" i="2" s="1"/>
  <c r="P717" i="2"/>
  <c r="Q717" i="2" s="1"/>
  <c r="G717" i="2"/>
  <c r="I717" i="2" s="1"/>
  <c r="M717" i="2" s="1"/>
  <c r="P791" i="2"/>
  <c r="Q791" i="2" s="1"/>
  <c r="G791" i="2"/>
  <c r="I791" i="2" s="1"/>
  <c r="M791" i="2" s="1"/>
  <c r="M579" i="2"/>
  <c r="M645" i="2"/>
  <c r="G114" i="2"/>
  <c r="I114" i="2" s="1"/>
  <c r="M114" i="2" s="1"/>
  <c r="P114" i="2"/>
  <c r="Q114" i="2" s="1"/>
  <c r="G512" i="2"/>
  <c r="I512" i="2" s="1"/>
  <c r="M512" i="2" s="1"/>
  <c r="G15" i="2"/>
  <c r="I15" i="2" s="1"/>
  <c r="M15" i="2" s="1"/>
  <c r="G246" i="2"/>
  <c r="I246" i="2" s="1"/>
  <c r="M246" i="2" s="1"/>
  <c r="G417" i="2"/>
  <c r="I417" i="2" s="1"/>
  <c r="M417" i="2" s="1"/>
  <c r="P925" i="2"/>
  <c r="Q925" i="2" s="1"/>
  <c r="M811" i="2"/>
  <c r="P432" i="2"/>
  <c r="Q432" i="2" s="1"/>
  <c r="M677" i="2"/>
  <c r="M577" i="2"/>
  <c r="G890" i="2"/>
  <c r="I890" i="2" s="1"/>
  <c r="M890" i="2" s="1"/>
  <c r="P755" i="2"/>
  <c r="Q755" i="2" s="1"/>
  <c r="G941" i="2"/>
  <c r="I941" i="2" s="1"/>
  <c r="M941" i="2" s="1"/>
  <c r="P459" i="2"/>
  <c r="Q459" i="2" s="1"/>
  <c r="G459" i="2"/>
  <c r="I459" i="2" s="1"/>
  <c r="P979" i="2"/>
  <c r="Q979" i="2" s="1"/>
  <c r="M597" i="2"/>
  <c r="P795" i="2"/>
  <c r="Q795" i="2" s="1"/>
  <c r="P601" i="2"/>
  <c r="Q601" i="2" s="1"/>
  <c r="M383" i="2"/>
  <c r="P178" i="2"/>
  <c r="Q178" i="2" s="1"/>
  <c r="P557" i="2"/>
  <c r="Q557" i="2" s="1"/>
  <c r="G557" i="2"/>
  <c r="I557" i="2" s="1"/>
  <c r="M557" i="2" s="1"/>
  <c r="P421" i="2"/>
  <c r="Q421" i="2" s="1"/>
  <c r="G312" i="2"/>
  <c r="I312" i="2" s="1"/>
  <c r="M312" i="2" s="1"/>
  <c r="P312" i="2"/>
  <c r="Q312" i="2" s="1"/>
  <c r="P999" i="2"/>
  <c r="Q999" i="2" s="1"/>
  <c r="G999" i="2"/>
  <c r="I999" i="2" s="1"/>
  <c r="M999" i="2" s="1"/>
  <c r="P394" i="2"/>
  <c r="Q394" i="2" s="1"/>
  <c r="P297" i="2"/>
  <c r="Q297" i="2" s="1"/>
  <c r="G297" i="2"/>
  <c r="I297" i="2" s="1"/>
  <c r="M297" i="2" s="1"/>
  <c r="P128" i="2"/>
  <c r="Q128" i="2" s="1"/>
  <c r="M96" i="2"/>
  <c r="P581" i="2"/>
  <c r="Q581" i="2" s="1"/>
  <c r="P960" i="2"/>
  <c r="Q960" i="2" s="1"/>
  <c r="G960" i="2"/>
  <c r="I960" i="2" s="1"/>
  <c r="M960" i="2" s="1"/>
  <c r="G26" i="2"/>
  <c r="I26" i="2" s="1"/>
  <c r="M26" i="2" s="1"/>
  <c r="P26" i="2"/>
  <c r="Q26" i="2" s="1"/>
  <c r="P558" i="2"/>
  <c r="Q558" i="2" s="1"/>
  <c r="P3" i="2"/>
  <c r="Q3" i="2" s="1"/>
  <c r="G3" i="2"/>
  <c r="I3" i="2" s="1"/>
  <c r="G146" i="2"/>
  <c r="I146" i="2" s="1"/>
  <c r="M146" i="2" s="1"/>
  <c r="P146" i="2"/>
  <c r="Q146" i="2" s="1"/>
  <c r="G782" i="2"/>
  <c r="I782" i="2" s="1"/>
  <c r="M782" i="2" s="1"/>
  <c r="M916" i="2"/>
  <c r="M997" i="2"/>
  <c r="M14" i="2"/>
  <c r="P674" i="2"/>
  <c r="Q674" i="2" s="1"/>
  <c r="M931" i="2"/>
  <c r="P129" i="2"/>
  <c r="Q129" i="2" s="1"/>
  <c r="P853" i="2"/>
  <c r="Q853" i="2" s="1"/>
  <c r="G751" i="2"/>
  <c r="I751" i="2" s="1"/>
  <c r="M751" i="2" s="1"/>
  <c r="M485" i="2"/>
  <c r="P679" i="2"/>
  <c r="Q679" i="2" s="1"/>
  <c r="G679" i="2"/>
  <c r="I679" i="2" s="1"/>
  <c r="M679" i="2" s="1"/>
  <c r="P171" i="2"/>
  <c r="Q171" i="2" s="1"/>
  <c r="G171" i="2"/>
  <c r="I171" i="2" s="1"/>
  <c r="M171" i="2" s="1"/>
  <c r="G335" i="2"/>
  <c r="I335" i="2" s="1"/>
  <c r="M335" i="2" s="1"/>
  <c r="G612" i="2"/>
  <c r="I612" i="2" s="1"/>
  <c r="M612" i="2" s="1"/>
  <c r="P612" i="2"/>
  <c r="Q612" i="2" s="1"/>
  <c r="G154" i="2"/>
  <c r="I154" i="2" s="1"/>
  <c r="M154" i="2" s="1"/>
  <c r="P154" i="2"/>
  <c r="Q154" i="2" s="1"/>
  <c r="P375" i="2"/>
  <c r="Q375" i="2" s="1"/>
  <c r="G258" i="2"/>
  <c r="I258" i="2" s="1"/>
  <c r="M258" i="2" s="1"/>
  <c r="G380" i="2"/>
  <c r="I380" i="2" s="1"/>
  <c r="M380" i="2" s="1"/>
  <c r="P380" i="2"/>
  <c r="Q380" i="2" s="1"/>
  <c r="G970" i="2"/>
  <c r="I970" i="2" s="1"/>
  <c r="M970" i="2" s="1"/>
  <c r="P721" i="2"/>
  <c r="Q721" i="2" s="1"/>
  <c r="G721" i="2"/>
  <c r="I721" i="2" s="1"/>
  <c r="M721" i="2" s="1"/>
  <c r="G608" i="2"/>
  <c r="I608" i="2" s="1"/>
  <c r="M608" i="2" s="1"/>
  <c r="P608" i="2"/>
  <c r="Q608" i="2" s="1"/>
  <c r="P390" i="2"/>
  <c r="Q390" i="2" s="1"/>
  <c r="G390" i="2"/>
  <c r="I390" i="2" s="1"/>
  <c r="M390" i="2" s="1"/>
  <c r="G173" i="2"/>
  <c r="I173" i="2" s="1"/>
  <c r="M173" i="2" s="1"/>
  <c r="P173" i="2"/>
  <c r="Q173" i="2" s="1"/>
  <c r="P464" i="2"/>
  <c r="Q464" i="2" s="1"/>
  <c r="G464" i="2"/>
  <c r="I464" i="2" s="1"/>
  <c r="M464" i="2" s="1"/>
  <c r="P761" i="2"/>
  <c r="Q761" i="2" s="1"/>
  <c r="G761" i="2"/>
  <c r="I761" i="2" s="1"/>
  <c r="M761" i="2" s="1"/>
  <c r="G831" i="2"/>
  <c r="I831" i="2" s="1"/>
  <c r="M831" i="2" s="1"/>
  <c r="P831" i="2"/>
  <c r="Q831" i="2" s="1"/>
  <c r="M878" i="2"/>
  <c r="P923" i="2"/>
  <c r="Q923" i="2" s="1"/>
  <c r="G923" i="2"/>
  <c r="I923" i="2" s="1"/>
  <c r="M923" i="2" s="1"/>
  <c r="M242" i="2"/>
  <c r="M459" i="2"/>
  <c r="M887" i="2"/>
  <c r="C16" i="8"/>
  <c r="G680" i="2"/>
  <c r="I680" i="2" s="1"/>
  <c r="M680" i="2" s="1"/>
  <c r="M419" i="2"/>
  <c r="G991" i="2"/>
  <c r="I991" i="2" s="1"/>
  <c r="M991" i="2" s="1"/>
  <c r="P991" i="2"/>
  <c r="Q991" i="2" s="1"/>
  <c r="C12" i="5"/>
  <c r="G766" i="2"/>
  <c r="I766" i="2" s="1"/>
  <c r="M766" i="2" s="1"/>
  <c r="P745" i="2"/>
  <c r="Q745" i="2" s="1"/>
  <c r="G618" i="2"/>
  <c r="I618" i="2" s="1"/>
  <c r="M618" i="2" s="1"/>
  <c r="G920" i="2"/>
  <c r="I920" i="2" s="1"/>
  <c r="M920" i="2" s="1"/>
  <c r="P737" i="2"/>
  <c r="Q737" i="2" s="1"/>
  <c r="P272" i="2"/>
  <c r="Q272" i="2" s="1"/>
  <c r="P865" i="2"/>
  <c r="Q865" i="2" s="1"/>
  <c r="M98" i="2"/>
  <c r="G477" i="2"/>
  <c r="I477" i="2" s="1"/>
  <c r="M477" i="2" s="1"/>
  <c r="P477" i="2"/>
  <c r="Q477" i="2" s="1"/>
  <c r="M315" i="2"/>
  <c r="G234" i="2"/>
  <c r="I234" i="2" s="1"/>
  <c r="M234" i="2" s="1"/>
  <c r="P407" i="2"/>
  <c r="Q407" i="2" s="1"/>
  <c r="M545" i="2"/>
  <c r="G333" i="2"/>
  <c r="I333" i="2" s="1"/>
  <c r="M333" i="2" s="1"/>
  <c r="M754" i="2"/>
  <c r="P281" i="2"/>
  <c r="Q281" i="2" s="1"/>
  <c r="G281" i="2"/>
  <c r="I281" i="2" s="1"/>
  <c r="M281" i="2" s="1"/>
  <c r="G555" i="2"/>
  <c r="I555" i="2" s="1"/>
  <c r="M555" i="2" s="1"/>
  <c r="P555" i="2"/>
  <c r="Q555" i="2" s="1"/>
  <c r="M35" i="2"/>
  <c r="G363" i="2"/>
  <c r="I363" i="2" s="1"/>
  <c r="M363" i="2" s="1"/>
  <c r="P363" i="2"/>
  <c r="Q363" i="2" s="1"/>
  <c r="G149" i="2"/>
  <c r="I149" i="2" s="1"/>
  <c r="M149" i="2" s="1"/>
  <c r="M953" i="2"/>
  <c r="G126" i="2"/>
  <c r="I126" i="2" s="1"/>
  <c r="G166" i="2"/>
  <c r="I166" i="2" s="1"/>
  <c r="M166" i="2" s="1"/>
  <c r="P166" i="2"/>
  <c r="Q166" i="2" s="1"/>
  <c r="P505" i="2"/>
  <c r="Q505" i="2" s="1"/>
  <c r="G78" i="2"/>
  <c r="I78" i="2" s="1"/>
  <c r="M78" i="2" s="1"/>
  <c r="P78" i="2"/>
  <c r="Q78" i="2" s="1"/>
  <c r="G840" i="2"/>
  <c r="I840" i="2" s="1"/>
  <c r="M840" i="2" s="1"/>
  <c r="P840" i="2"/>
  <c r="Q840" i="2" s="1"/>
  <c r="G323" i="2"/>
  <c r="I323" i="2" s="1"/>
  <c r="M323" i="2" s="1"/>
  <c r="M482" i="2"/>
  <c r="P449" i="2"/>
  <c r="Q449" i="2" s="1"/>
  <c r="M410" i="2"/>
  <c r="G551" i="2"/>
  <c r="I551" i="2" s="1"/>
  <c r="M551" i="2" s="1"/>
  <c r="P634" i="2"/>
  <c r="Q634" i="2" s="1"/>
  <c r="G634" i="2"/>
  <c r="I634" i="2" s="1"/>
  <c r="M634" i="2" s="1"/>
  <c r="P491" i="2"/>
  <c r="Q491" i="2" s="1"/>
  <c r="P366" i="2"/>
  <c r="Q366" i="2" s="1"/>
  <c r="G481" i="2"/>
  <c r="I481" i="2" s="1"/>
  <c r="M481" i="2" s="1"/>
  <c r="P481" i="2"/>
  <c r="Q481" i="2" s="1"/>
  <c r="P42" i="2"/>
  <c r="Q42" i="2" s="1"/>
  <c r="G537" i="2"/>
  <c r="I537" i="2" s="1"/>
  <c r="M537" i="2" s="1"/>
  <c r="P89" i="2"/>
  <c r="Q89" i="2" s="1"/>
  <c r="G89" i="2"/>
  <c r="I89" i="2" s="1"/>
  <c r="M89" i="2" s="1"/>
  <c r="G863" i="2"/>
  <c r="I863" i="2" s="1"/>
  <c r="M863" i="2" s="1"/>
  <c r="P863" i="2"/>
  <c r="Q863" i="2" s="1"/>
  <c r="G767" i="2"/>
  <c r="I767" i="2" s="1"/>
  <c r="M767" i="2" s="1"/>
  <c r="P767" i="2"/>
  <c r="Q767" i="2" s="1"/>
  <c r="P75" i="2"/>
  <c r="Q75" i="2" s="1"/>
  <c r="P843" i="2"/>
  <c r="Q843" i="2" s="1"/>
  <c r="G209" i="2"/>
  <c r="I209" i="2" s="1"/>
  <c r="M209" i="2" s="1"/>
  <c r="G773" i="2"/>
  <c r="I773" i="2" s="1"/>
  <c r="M773" i="2" s="1"/>
  <c r="P773" i="2"/>
  <c r="Q773" i="2" s="1"/>
  <c r="P203" i="2"/>
  <c r="Q203" i="2" s="1"/>
  <c r="M68" i="2"/>
  <c r="M772" i="2"/>
  <c r="G584" i="2"/>
  <c r="I584" i="2" s="1"/>
  <c r="M584" i="2" s="1"/>
  <c r="P107" i="2"/>
  <c r="Q107" i="2" s="1"/>
  <c r="P365" i="2"/>
  <c r="Q365" i="2" s="1"/>
  <c r="M126" i="2"/>
  <c r="M542" i="2"/>
  <c r="P298" i="2"/>
  <c r="Q298" i="2" s="1"/>
  <c r="M143" i="2"/>
  <c r="G901" i="2"/>
  <c r="I901" i="2" s="1"/>
  <c r="M901" i="2" s="1"/>
  <c r="P901" i="2"/>
  <c r="Q901" i="2" s="1"/>
  <c r="G809" i="2"/>
  <c r="I809" i="2" s="1"/>
  <c r="M809" i="2" s="1"/>
  <c r="G644" i="2"/>
  <c r="I644" i="2" s="1"/>
  <c r="M644" i="2" s="1"/>
  <c r="P877" i="2"/>
  <c r="Q877" i="2" s="1"/>
  <c r="M29" i="2"/>
  <c r="P162" i="2"/>
  <c r="Q162" i="2" s="1"/>
  <c r="G602" i="2"/>
  <c r="I602" i="2" s="1"/>
  <c r="M602" i="2" s="1"/>
  <c r="P602" i="2"/>
  <c r="Q602" i="2" s="1"/>
  <c r="M603" i="2"/>
  <c r="M401" i="2"/>
  <c r="G245" i="2"/>
  <c r="I245" i="2" s="1"/>
  <c r="M245" i="2" s="1"/>
  <c r="P245" i="2"/>
  <c r="Q245" i="2" s="1"/>
  <c r="G759" i="2"/>
  <c r="I759" i="2" s="1"/>
  <c r="M759" i="2" s="1"/>
  <c r="P759" i="2"/>
  <c r="Q759" i="2" s="1"/>
  <c r="P598" i="2"/>
  <c r="Q598" i="2" s="1"/>
  <c r="G598" i="2"/>
  <c r="I598" i="2" s="1"/>
  <c r="M598" i="2" s="1"/>
  <c r="G450" i="2"/>
  <c r="I450" i="2" s="1"/>
  <c r="M450" i="2" s="1"/>
  <c r="P450" i="2"/>
  <c r="Q450" i="2" s="1"/>
  <c r="M955" i="2"/>
  <c r="M763" i="2"/>
  <c r="M672" i="2"/>
  <c r="M422" i="2"/>
  <c r="M239" i="2"/>
  <c r="C15" i="10" l="1"/>
  <c r="F15" i="10" s="1"/>
  <c r="J3" i="5"/>
  <c r="J2" i="5"/>
  <c r="M3" i="2"/>
  <c r="C33" i="1"/>
  <c r="C10" i="10" l="1"/>
  <c r="F10" i="10" s="1"/>
  <c r="C46" i="1"/>
  <c r="C39" i="1"/>
  <c r="I16" i="1" s="1"/>
  <c r="C32" i="1"/>
  <c r="C9" i="10" l="1"/>
  <c r="F9" i="10" s="1"/>
  <c r="C35" i="1"/>
  <c r="C34" i="1"/>
  <c r="C41" i="1"/>
  <c r="C38" i="1"/>
</calcChain>
</file>

<file path=xl/sharedStrings.xml><?xml version="1.0" encoding="utf-8"?>
<sst xmlns="http://schemas.openxmlformats.org/spreadsheetml/2006/main" count="281" uniqueCount="259">
  <si>
    <t>How much control should an AI agent carry, and where do you stop? This workbook computes the turning points.</t>
  </si>
  <si>
    <t>the dial</t>
  </si>
  <si>
    <t>calculated automatically</t>
  </si>
  <si>
    <t>key results</t>
  </si>
  <si>
    <t>Attack campaigns per year (lambda)</t>
  </si>
  <si>
    <t>Baseline success prob. per campaign (q0)</t>
  </si>
  <si>
    <t>Loss per successful campaign (L0)</t>
  </si>
  <si>
    <t>Max review effectiveness (h_max)</t>
  </si>
  <si>
    <t>THE DIAL</t>
  </si>
  <si>
    <t>RESULTS (calculated automatically - nothing to change below)</t>
  </si>
  <si>
    <t>SCENARIO PRESETS (live from the Examples sheet)</t>
  </si>
  <si>
    <t>Transcribe a preset's inputs on the Examples sheet into the blue cells above. Turning points shown here update automatically.</t>
  </si>
  <si>
    <t>Blue columns are inputs; rows 20-26 are live per scenario. Transcribe a column into the Dashboard to explore it.</t>
  </si>
  <si>
    <t>parameter</t>
  </si>
  <si>
    <t>lambda</t>
  </si>
  <si>
    <t>q0</t>
  </si>
  <si>
    <t>L0</t>
  </si>
  <si>
    <t>gamma</t>
  </si>
  <si>
    <t>c</t>
  </si>
  <si>
    <t>tau</t>
  </si>
  <si>
    <t>h_max</t>
  </si>
  <si>
    <t>kappa_d</t>
  </si>
  <si>
    <t>v0</t>
  </si>
  <si>
    <t>Ac</t>
  </si>
  <si>
    <t>s</t>
  </si>
  <si>
    <t>D1</t>
  </si>
  <si>
    <t>B0</t>
  </si>
  <si>
    <t>R0 (baseline expected loss)</t>
  </si>
  <si>
    <t>k = c + tau</t>
  </si>
  <si>
    <t>q-only closed-form interior?</t>
  </si>
  <si>
    <t>z* closed form (q-only)</t>
  </si>
  <si>
    <t>all-in share at closed-form z*</t>
  </si>
  <si>
    <t>welfare-optimal z (full model)</t>
  </si>
  <si>
    <t>realized-risk min z (full model)</t>
  </si>
  <si>
    <t>inputs (blue)</t>
  </si>
  <si>
    <t>Common-mode dependence ceiling</t>
  </si>
  <si>
    <t>per-layer failure prob q</t>
  </si>
  <si>
    <t>GL-Agent | Publication simulator v1.0</t>
  </si>
  <si>
    <t>Synthetic scenarios • 7 September 2026 • no empirical calibration</t>
  </si>
  <si>
    <t>Editable input</t>
  </si>
  <si>
    <t>INPUTS • annual units • blue cells are editable</t>
  </si>
  <si>
    <t>Fatigue</t>
  </si>
  <si>
    <t>Detection</t>
  </si>
  <si>
    <t>h</t>
  </si>
  <si>
    <t>Defence productivity γ (per unit x)</t>
  </si>
  <si>
    <t>h derivative</t>
  </si>
  <si>
    <t>Cash-cost slope c (currency/year per x)</t>
  </si>
  <si>
    <t>Risk derivative</t>
  </si>
  <si>
    <t>Utility-tax slope τ (currency/year per x)</t>
  </si>
  <si>
    <t>Welfare derivative</t>
  </si>
  <si>
    <t>Input validity</t>
  </si>
  <si>
    <t>Detection responsiveness κ_d (per unit x)</t>
  </si>
  <si>
    <t>Deploy vs outside option</t>
  </si>
  <si>
    <t>Alert-load slope v₀ (alerts/year per x)</t>
  </si>
  <si>
    <t>Review capacity A_c (alerts/year)</t>
  </si>
  <si>
    <t>Fatigue smoothness s (alerts/year)</t>
  </si>
  <si>
    <t>Displacement coefficient d (currency/year per x²)</t>
  </si>
  <si>
    <t>Baseline delivered benefit B₀ (currency/year)</t>
  </si>
  <si>
    <t>Control intensity x (0–10)</t>
  </si>
  <si>
    <t>Baseline attack loss R₀</t>
  </si>
  <si>
    <t>All-in slope k = c + τ</t>
  </si>
  <si>
    <t>q-only solution</t>
  </si>
  <si>
    <t>q-only optimal intensity</t>
  </si>
  <si>
    <t>q-only optimized residual risk</t>
  </si>
  <si>
    <t>Full-model welfare optimum (0.01 grid)</t>
  </si>
  <si>
    <t>Full-model global risk minimum (0.01 grid)</t>
  </si>
  <si>
    <t>Attack loss at welfare optimum</t>
  </si>
  <si>
    <t>Displacement at welfare optimum</t>
  </si>
  <si>
    <t>q-only all-in burden / R₀</t>
  </si>
  <si>
    <t>Conditional 1/e check</t>
  </si>
  <si>
    <t>Full-model burden / R₀ (not bounded by 1/e)</t>
  </si>
  <si>
    <t>Maximum welfare on grid</t>
  </si>
  <si>
    <t>Outside option (non-deployment)</t>
  </si>
  <si>
    <t>Search-range diagnostic</t>
  </si>
  <si>
    <t>Welfare at selected x</t>
  </si>
  <si>
    <t>Total risk at selected x</t>
  </si>
  <si>
    <t>Marginal welfare at selected x</t>
  </si>
  <si>
    <t>Marginal risk at selected x</t>
  </si>
  <si>
    <t>Selected-point interpretation</t>
  </si>
  <si>
    <t>Synthetic preset</t>
  </si>
  <si>
    <t>R₀</t>
  </si>
  <si>
    <t>x welfare</t>
  </si>
  <si>
    <t>x risk</t>
  </si>
  <si>
    <t>Evidence status</t>
  </si>
  <si>
    <t>Summarization</t>
  </si>
  <si>
    <t>Illustrative only</t>
  </si>
  <si>
    <t>MCP DevOps</t>
  </si>
  <si>
    <t>Finance</t>
  </si>
  <si>
    <t>Drafting</t>
  </si>
  <si>
    <t>High-loss / smooth</t>
  </si>
  <si>
    <t>High-loss / steep</t>
  </si>
  <si>
    <t>Intensity x</t>
  </si>
  <si>
    <t>q(x)</t>
  </si>
  <si>
    <t>Alerts / year</t>
  </si>
  <si>
    <t>Detection ceiling</t>
  </si>
  <si>
    <t>Fatigue factor</t>
  </si>
  <si>
    <t>Prevented fraction h</t>
  </si>
  <si>
    <t>Attack loss / year</t>
  </si>
  <si>
    <t>Displacement increment</t>
  </si>
  <si>
    <t>Total risk / year</t>
  </si>
  <si>
    <t>Cash cost / year</t>
  </si>
  <si>
    <t>Utility tax / year</t>
  </si>
  <si>
    <t>Delivered benefit</t>
  </si>
  <si>
    <t>Welfare / year</t>
  </si>
  <si>
    <t>All-in burden</t>
  </si>
  <si>
    <t>Synthetic scenario presets — not estimates of the named sectors</t>
  </si>
  <si>
    <t>Summarization welfare</t>
  </si>
  <si>
    <t>Summarization risk</t>
  </si>
  <si>
    <t>MCP DevOps welfare</t>
  </si>
  <si>
    <t>MCP DevOps risk</t>
  </si>
  <si>
    <t>Finance welfare</t>
  </si>
  <si>
    <t>Finance risk</t>
  </si>
  <si>
    <t>Drafting welfare</t>
  </si>
  <si>
    <t>Drafting risk</t>
  </si>
  <si>
    <t>High-loss / smooth welfare</t>
  </si>
  <si>
    <t>High-loss / smooth risk</t>
  </si>
  <si>
    <t>High-loss / steep welfare</t>
  </si>
  <si>
    <t>High-loss / steep risk</t>
  </si>
  <si>
    <t>Durability-adjusted avoided loss</t>
  </si>
  <si>
    <t>Synthetic constant-exposure example. Gross values exclude control costs. One time unit is one year.</t>
  </si>
  <si>
    <t>Initial efficacy ε₁</t>
  </si>
  <si>
    <t>Decay rate δ₁ (per year)</t>
  </si>
  <si>
    <t>Initial efficacy ε₂</t>
  </si>
  <si>
    <t>Decay rate δ₂ (per year)</t>
  </si>
  <si>
    <t>Continuous discount rate r (per year)</t>
  </si>
  <si>
    <t>First positive grid horizon at which control 2 wins</t>
  </si>
  <si>
    <t>Control 1 infinite-horizon gross value</t>
  </si>
  <si>
    <t>Control 2 infinite-horizon gross value</t>
  </si>
  <si>
    <t>Horizon T (years)</t>
  </si>
  <si>
    <t>Gross value: control 1</t>
  </si>
  <si>
    <t>Gross value: control 2</t>
  </si>
  <si>
    <t>Control 2 wins</t>
  </si>
  <si>
    <t>Fixed attack distribution and equal per-layer failure probabilities. β is a mixture index, not a measured causal share.</t>
  </si>
  <si>
    <t>Dependence-mixture index β (0–1)</t>
  </si>
  <si>
    <t>Asymptotic improvement (0 &lt; q &lt; 1)</t>
  </si>
  <si>
    <t>Layers n</t>
  </si>
  <si>
    <t>Joint failure Qₙ</t>
  </si>
  <si>
    <t>Total improvement q/Qₙ</t>
  </si>
  <si>
    <t>Ceiling</t>
  </si>
  <si>
    <t>Incremental improvement</t>
  </si>
  <si>
    <t>GL-Agent v1.0 | Read before using the simulator</t>
  </si>
  <si>
    <t>Status</t>
  </si>
  <si>
    <t>This is a deterministic sensitivity simulator for a theoretical preprint. Every numeric preset is synthetic. It is not an empirically calibrated risk estimator or a security certification.</t>
  </si>
  <si>
    <t>Start here</t>
  </si>
  <si>
    <t>Use Dashboard C9:C21 to set annual input assumptions, then C24 for control intensity. Read C32:C46 and inspect the full curves. Input health appears in I15. Do not interpret invalid inputs.</t>
  </si>
  <si>
    <t>Meaning of x</t>
  </si>
  <si>
    <t>The scalar x follows one declared control path. It is not a universal security score or a ranking of all possible architectures.</t>
  </si>
  <si>
    <t>Accounting</t>
  </si>
  <si>
    <t>W = B₀ − (c + τ)x − R_total. The legacy family uses R_total = attack loss + d x². BoundedMigration instead mixes governed and substitute risk; it does not add displacement twice.</t>
  </si>
  <si>
    <t>Units</t>
  </si>
  <si>
    <t>Loss, benefit and cash inputs are currency per year or currency per event as labelled. x is dimensionless. λ, alert load and capacity are annual rates. Durability δ and r use inverse years, not unspecified adaptation cycles.</t>
  </si>
  <si>
    <t>Original default</t>
  </si>
  <si>
    <t>The supplied workbook default is R₀ = 400,000 with s = 600. Its welfare and risk optima are approximately 1.446 and 2.057. Baseline welfare is positive. Older narrative values 2.6 and 5.7 apply to the separate high-loss smooth preset.</t>
  </si>
  <si>
    <t>High-loss illustrations</t>
  </si>
  <si>
    <t>Examples G and H use R₀ = 2,000,000 and s = 600 or 250. The steep case has two local welfare maxima near 2.024 and 4.852. The first, not the second, is globally better.</t>
  </si>
  <si>
    <t>Grid versus calculus</t>
  </si>
  <si>
    <t>Curves and ScenarioCurves use x = 0…10 in steps of 0.01. Ties select the first grid point. Reference Python locates derivative roots separately. An upper-edge optimum requires a wider search. Stationarity alone does not establish global optimality.</t>
  </si>
  <si>
    <t>Marginal signals</t>
  </si>
  <si>
    <t>The dashboard uses analytic derivatives at the selected x. Rising workload or falling intervention effectiveness alone is not proof that total risk is rising. Compare all terms in R′.</t>
  </si>
  <si>
    <t>1/e scope</t>
  </si>
  <si>
    <t>The bound applies to an optimized exponential q-only family with the stated burden assumptions. It is not a bound on the full fatigue/displacement model. The corner residual risk is R₀, not k/γ.</t>
  </si>
  <si>
    <t>Bounded migration</t>
  </si>
  <si>
    <t>This sheet implements the paper’s exact governed-share model with σ = exp(−ρx). Its analytical formula assumes r₀,U,γ,ρ &gt; 0. The interpretation of migration as more hazardous additionally assumes U ≥ r₀.</t>
  </si>
  <si>
    <t>Durability</t>
  </si>
  <si>
    <t>Values are gross discounted avoided loss under constant baseline exposure. Direct costs, capability tax and refresh costs must be added for a net investment comparison. The default crossover is about 0.619 years; it is not a universal ordering of control types.</t>
  </si>
  <si>
    <t>Dependence</t>
  </si>
  <si>
    <t>Stacking assumes a fixed common-shock mixture and equal 0 &lt; q &lt; 1. β is a normalized excess-joint-failure index. Correlation alone does not eliminate submodularity. Shared attack difficulty can confound its interpretation.</t>
  </si>
  <si>
    <t>Uncertainty</t>
  </si>
  <si>
    <t>These sheets do not estimate λ, L, migration, prevented loss or attacker adaptation from observations. Use the paper’s measurement protocol and report ranges. Synthetic presets named after sectors are not sector estimates.</t>
  </si>
  <si>
    <t>Authority and recovery</t>
  </si>
  <si>
    <t>The q/L/h classification depends on a fixed event boundary. h must represent a loss-weighted prevented fraction; detection alone is not prevented loss. Authority controls may affect both probability and severity.</t>
  </si>
  <si>
    <t>Publication provenance</t>
  </si>
  <si>
    <t>Prepared from GL-Agent simulator(2).xlsx. Formula ranges were explicitly rebuilt for portable recalculation; the default inputs and four original scenario presets were retained. Two high-loss presets, bounded migration and verification were added.</t>
  </si>
  <si>
    <t>Reproducibility</t>
  </si>
  <si>
    <t>The companion Python script and parameters.json independently reproduce the equations, continuous extrema, synthetic CSVs and theorem checks. Verification compares current workbook calculations with fixed default reference values; changed inputs may require rerunning the reference.</t>
  </si>
  <si>
    <t>Limitations</t>
  </si>
  <si>
    <t>Adversarial hazards only. No empirical infusion corpus or field experiment is included. Model fit, causal effects, catastrophic admissibility and practical control effectiveness remain to be tested.</t>
  </si>
  <si>
    <t>Licensing and deposit</t>
  </si>
  <si>
    <t>A repository DOI and distribution licence are to be chosen by the author at deposit. No DOI or publication status is implied by this file.</t>
  </si>
  <si>
    <t>Author</t>
  </si>
  <si>
    <t>Matthias Muhlert | Independent Researcher | matthias@muhlert.eu | ORCID 0009-0006-3640-7779 | 7 September 2026</t>
  </si>
  <si>
    <t>Bounded migration: risk can reverse without unbounded displacement</t>
  </si>
  <si>
    <t>Synthetic theorem illustration. Governed share σ = exp(−ρx). R_G is the risk if the whole workload stayed governed; R_total mixes governed and substitute usage exactly once.</t>
  </si>
  <si>
    <t>Input or output</t>
  </si>
  <si>
    <t>Value</t>
  </si>
  <si>
    <t>Full-workload baseline governed risk r₀</t>
  </si>
  <si>
    <t>Full-workload substitute risk U</t>
  </si>
  <si>
    <t>Governed-risk reduction rate γ</t>
  </si>
  <si>
    <t>Migration responsiveness ρ</t>
  </si>
  <si>
    <t>All-in cost slope k</t>
  </si>
  <si>
    <t>Baseline delivered benefit B₀</t>
  </si>
  <si>
    <t>Analytical global risk minimum x_R</t>
  </si>
  <si>
    <t>Grid global risk minimum (0.01)</t>
  </si>
  <si>
    <t>Grid welfare optimum (0.01)</t>
  </si>
  <si>
    <t>Initial risk-reduction benefit</t>
  </si>
  <si>
    <t>Welfare at zero control</t>
  </si>
  <si>
    <t>Asymptotic total risk</t>
  </si>
  <si>
    <t>Initial direction</t>
  </si>
  <si>
    <t>Closed-form input domain</t>
  </si>
  <si>
    <t>Governed share σ</t>
  </si>
  <si>
    <t>Full-workload R_G</t>
  </si>
  <si>
    <t>Mixed total risk</t>
  </si>
  <si>
    <t>Welfare</t>
  </si>
  <si>
    <t>Item</t>
  </si>
  <si>
    <t>Provenance / use</t>
  </si>
  <si>
    <t>Source</t>
  </si>
  <si>
    <t>All numeric presets</t>
  </si>
  <si>
    <t>Synthetic assumptions; first four presets and Dashboard inputs retained from supplied workbook</t>
  </si>
  <si>
    <t>GL-Agent simulator(2).xlsx; no empirical data</t>
  </si>
  <si>
    <t>GL model</t>
  </si>
  <si>
    <t>Theoretical lineage; conditional investment result</t>
  </si>
  <si>
    <t>https://doi.org/10.1145/581271.581274</t>
  </si>
  <si>
    <t>Dynamic extension</t>
  </si>
  <si>
    <t>Depreciation and dynamic economics</t>
  </si>
  <si>
    <t>https://doi.org/10.1111/risa.13713</t>
  </si>
  <si>
    <t>AI deployment and investment</t>
  </si>
  <si>
    <t>Closest conceptual comparator</t>
  </si>
  <si>
    <t>https://arxiv.org/abs/2604.23058</t>
  </si>
  <si>
    <t>Security–fidelity</t>
  </si>
  <si>
    <t>Evidence for measuring both channels, not calibration here</t>
  </si>
  <si>
    <t>https://arxiv.org/abs/2606.30783</t>
  </si>
  <si>
    <t>MCP baseline</t>
  </si>
  <si>
    <t>Versioned authorization specification</t>
  </si>
  <si>
    <t>https://modelcontextprotocol.io/specification/2025-11-25/basic/authorization</t>
  </si>
  <si>
    <t>Submodular maximization</t>
  </si>
  <si>
    <t>Conditions on greedy guarantees</t>
  </si>
  <si>
    <t>https://doi.org/10.1007/BF01588971</t>
  </si>
  <si>
    <t>Paper and supplement</t>
  </si>
  <si>
    <t>Muhlert, GL-Agent, version 1.0; DOI not yet assigned</t>
  </si>
  <si>
    <t>Companion preprint and gl_agent_reference.py</t>
  </si>
  <si>
    <t>Deterministic verification | default-parameter regression checks</t>
  </si>
  <si>
    <t>PASS verifies implementation, not empirical validity. Default regression rows can change when inputs change.</t>
  </si>
  <si>
    <t>Check</t>
  </si>
  <si>
    <t>Workbook result</t>
  </si>
  <si>
    <t>Reference result</t>
  </si>
  <si>
    <t>Tolerance</t>
  </si>
  <si>
    <t>Interpretation</t>
  </si>
  <si>
    <t>Dashboard accounting</t>
  </si>
  <si>
    <t>Identity for selected dial</t>
  </si>
  <si>
    <t>Baseline R₀</t>
  </si>
  <si>
    <t>Default reference</t>
  </si>
  <si>
    <t>q-only corner/interior residual</t>
  </si>
  <si>
    <t>Full-model x welfare (grid)</t>
  </si>
  <si>
    <t>0.01 grid, default</t>
  </si>
  <si>
    <t>Full-model x risk (grid)</t>
  </si>
  <si>
    <t>q-only 1/e excess</t>
  </si>
  <si>
    <t>Restricted family only</t>
  </si>
  <si>
    <t>Stacking Q₂</t>
  </si>
  <si>
    <t>q = β = 0.1</t>
  </si>
  <si>
    <t>Bounded analytical x_R</t>
  </si>
  <si>
    <t>New theorem default</t>
  </si>
  <si>
    <t>Bounded accounting at x = 0</t>
  </si>
  <si>
    <t>Mixture identity</t>
  </si>
  <si>
    <t>Durability crossover grid</t>
  </si>
  <si>
    <t>First positive winning point</t>
  </si>
  <si>
    <t>Steep first welfare peak is higher</t>
  </si>
  <si>
    <t>Grid comparison near the two local peaks</t>
  </si>
  <si>
    <t>Dashboard input validity</t>
  </si>
  <si>
    <t>Domain check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</si>
</sst>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
    <numFmt numFmtId="166" formatCode="0.000"/>
    <numFmt numFmtId="167" formatCode="0.0"/>
    <numFmt numFmtId="168" formatCode="0.0000"/>
    <numFmt numFmtId="169" formatCode="#,##0.00;[Red]\(#,##0.00\)"/>
    <numFmt numFmtId="170" formatCode="0.000000"/>
  </numFmts>
  <fonts count="16" x14ac:knownFonts="1">
    <font>
      <sz val="11"/>
      <color rgb="FF000000"/>
      <name val="Calibri"/>
    </font>
    <font>
      <b/>
      <sz val="16"/>
      <color rgb="FF2E7D74"/>
      <name val="Cambria"/>
    </font>
    <font>
      <i/>
      <sz val="11"/>
      <color rgb="FF808080"/>
      <name val="Cambria"/>
    </font>
    <font>
      <b/>
      <sz val="10"/>
      <name val="Cambria"/>
    </font>
    <font>
      <b/>
      <sz val="11"/>
      <color rgb="FF1F4E79"/>
      <name val="Cambria"/>
    </font>
    <font>
      <b/>
      <sz val="11"/>
      <name val="Cambria"/>
    </font>
    <font>
      <b/>
      <sz val="11"/>
      <color rgb="FF2E7D74"/>
      <name val="Cambria"/>
    </font>
    <font>
      <b/>
      <sz val="14"/>
      <color rgb="FF1F4E79"/>
      <name val="Cambria"/>
    </font>
    <font>
      <b/>
      <sz val="11"/>
      <color rgb="FFFFFFFF"/>
      <name val="Cambria"/>
    </font>
    <font>
      <b/>
      <sz val="11"/>
      <color rgb="FF548235"/>
      <name val="Cambria"/>
    </font>
    <font>
      <sz val="11"/>
      <color rgb="FF548235"/>
      <name val="Cambria"/>
    </font>
    <font>
      <b/>
      <sz val="14"/>
      <color rgb="FF2E7D74"/>
      <name val="Cambria"/>
    </font>
    <font>
      <sz val="11"/>
      <color rgb="FF1F4E79"/>
      <name val="Cambria"/>
    </font>
    <font>
      <b/>
      <sz val="11"/>
      <color rgb="FFFFFFFF"/>
      <name val="Calibri"/>
    </font>
    <font>
      <b/>
      <sz val="11"/>
      <color rgb="FF17365D"/>
      <name val="Calibri"/>
    </font>
    <font>
      <b/>
      <sz val="16"/>
      <color rgb="FFFFFFFF"/>
      <name val="Cambria"/>
    </font>
  </fonts>
  <fills count="8">
    <fill>
      <patternFill patternType="none"/>
    </fill>
    <fill>
      <patternFill patternType="gray125"/>
    </fill>
    <fill>
      <patternFill patternType="solid">
        <fgColor rgb="FFDCE9F7"/>
      </patternFill>
    </fill>
    <fill>
      <patternFill patternType="solid">
        <fgColor rgb="FFFFF2CC"/>
      </patternFill>
    </fill>
    <fill>
      <patternFill patternType="solid">
        <fgColor rgb="FFE2EFDA"/>
      </patternFill>
    </fill>
    <fill>
      <patternFill patternType="solid">
        <fgColor rgb="FF17365D"/>
      </patternFill>
    </fill>
    <fill>
      <patternFill patternType="solid">
        <fgColor rgb="FFDCE9F8"/>
      </patternFill>
    </fill>
    <fill>
      <patternFill patternType="solid">
        <fgColor rgb="FFE4EFDC"/>
      </patternFill>
    </fill>
  </fills>
  <borders count="3">
    <border>
      <left/>
      <right/>
      <top/>
      <bottom/>
      <diagonal/>
    </border>
    <border>
      <left/>
      <right/>
      <top/>
      <bottom style="thin">
        <color rgb="FFBBBBBB"/>
      </bottom>
      <diagonal/>
    </border>
    <border>
      <left/>
      <right/>
      <top/>
      <bottom style="medium">
        <color rgb="FF2E7D74"/>
      </bottom>
      <diagonal/>
    </border>
  </borders>
  <cellStyleXfs count="1">
    <xf numFmtId="0" fontId="0" fillId="0" borderId="0"/>
  </cellStyleXfs>
  <cellXfs count="63">
    <xf numFmtId="0" fontId="0" fillId="0" borderId="0" xfId="0"/>
    <xf numFmtId="0" fontId="2" fillId="0" borderId="0" xfId="0" applyFont="1"/>
    <xf numFmtId="0" fontId="6" fillId="0" borderId="0" xfId="0" applyFont="1"/>
    <xf numFmtId="0" fontId="5" fillId="0" borderId="0" xfId="0" applyFont="1" applyAlignment="1">
      <alignment wrapText="1"/>
    </xf>
    <xf numFmtId="2" fontId="0" fillId="0" borderId="0" xfId="0" applyNumberFormat="1"/>
    <xf numFmtId="166" fontId="0" fillId="0" borderId="0" xfId="0" applyNumberFormat="1"/>
    <xf numFmtId="0" fontId="8" fillId="5" borderId="0" xfId="0" applyFont="1" applyFill="1" applyAlignment="1">
      <alignment wrapText="1"/>
    </xf>
    <xf numFmtId="0" fontId="13" fillId="5" borderId="0" xfId="0" applyFont="1" applyFill="1" applyAlignment="1">
      <alignment wrapText="1"/>
    </xf>
    <xf numFmtId="169" fontId="0" fillId="0" borderId="0" xfId="0" applyNumberFormat="1"/>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4" fillId="2" borderId="0" xfId="0" applyFont="1" applyFill="1" applyAlignment="1">
      <alignment horizontal="center" wrapText="1"/>
    </xf>
    <xf numFmtId="0" fontId="0" fillId="3" borderId="0" xfId="0" applyFill="1" applyAlignment="1">
      <alignment horizontal="center" wrapText="1"/>
    </xf>
    <xf numFmtId="0" fontId="5" fillId="0" borderId="0" xfId="0" applyFont="1" applyAlignment="1">
      <alignment horizontal="center" wrapText="1"/>
    </xf>
    <xf numFmtId="0" fontId="0" fillId="4" borderId="0" xfId="0" applyFill="1" applyAlignment="1">
      <alignment horizontal="center" wrapText="1"/>
    </xf>
    <xf numFmtId="3" fontId="4" fillId="2" borderId="1" xfId="0" applyNumberFormat="1" applyFont="1" applyFill="1" applyBorder="1" applyAlignment="1">
      <alignment wrapText="1"/>
    </xf>
    <xf numFmtId="164" fontId="4" fillId="2" borderId="1" xfId="0" applyNumberFormat="1" applyFont="1" applyFill="1" applyBorder="1" applyAlignment="1">
      <alignment wrapText="1"/>
    </xf>
    <xf numFmtId="165" fontId="4" fillId="2" borderId="1" xfId="0" applyNumberFormat="1" applyFont="1" applyFill="1" applyBorder="1" applyAlignment="1">
      <alignment wrapText="1"/>
    </xf>
    <xf numFmtId="2" fontId="4" fillId="2" borderId="1" xfId="0" applyNumberFormat="1" applyFont="1" applyFill="1" applyBorder="1" applyAlignment="1">
      <alignment wrapText="1"/>
    </xf>
    <xf numFmtId="0" fontId="6" fillId="0" borderId="0" xfId="0" applyFont="1" applyAlignment="1">
      <alignment wrapText="1"/>
    </xf>
    <xf numFmtId="2" fontId="7" fillId="3" borderId="2" xfId="0" applyNumberFormat="1" applyFont="1" applyFill="1" applyBorder="1" applyAlignment="1">
      <alignment wrapText="1"/>
    </xf>
    <xf numFmtId="2" fontId="5" fillId="4" borderId="0" xfId="0" applyNumberFormat="1" applyFont="1" applyFill="1" applyAlignment="1">
      <alignment wrapText="1"/>
    </xf>
    <xf numFmtId="166" fontId="0" fillId="0" borderId="0" xfId="0" applyNumberFormat="1" applyAlignment="1">
      <alignment wrapText="1"/>
    </xf>
    <xf numFmtId="0" fontId="8" fillId="5" borderId="0" xfId="0" applyFont="1" applyFill="1" applyAlignment="1">
      <alignment vertical="top" wrapText="1"/>
    </xf>
    <xf numFmtId="3" fontId="12" fillId="6" borderId="0" xfId="0" applyNumberFormat="1" applyFont="1" applyFill="1" applyAlignment="1">
      <alignment wrapText="1"/>
    </xf>
    <xf numFmtId="0" fontId="0" fillId="6" borderId="0" xfId="0" applyFill="1" applyAlignment="1">
      <alignment wrapText="1"/>
    </xf>
    <xf numFmtId="164" fontId="12" fillId="6" borderId="0" xfId="0" applyNumberFormat="1" applyFont="1" applyFill="1" applyAlignment="1">
      <alignment wrapText="1"/>
    </xf>
    <xf numFmtId="165" fontId="12" fillId="6" borderId="0" xfId="0" applyNumberFormat="1" applyFont="1" applyFill="1" applyAlignment="1">
      <alignment wrapText="1"/>
    </xf>
    <xf numFmtId="2" fontId="12" fillId="6" borderId="0" xfId="0" applyNumberFormat="1" applyFont="1" applyFill="1" applyAlignment="1">
      <alignment wrapText="1"/>
    </xf>
    <xf numFmtId="165" fontId="0" fillId="0" borderId="0" xfId="0" applyNumberFormat="1" applyAlignment="1">
      <alignment wrapText="1"/>
    </xf>
    <xf numFmtId="2" fontId="0" fillId="0" borderId="0" xfId="0" applyNumberFormat="1" applyAlignment="1">
      <alignment wrapText="1"/>
    </xf>
    <xf numFmtId="2" fontId="0" fillId="4" borderId="0" xfId="0" applyNumberFormat="1" applyFill="1" applyAlignment="1">
      <alignment wrapText="1"/>
    </xf>
    <xf numFmtId="4" fontId="0" fillId="0" borderId="0" xfId="0" applyNumberFormat="1"/>
    <xf numFmtId="10" fontId="0" fillId="0" borderId="0" xfId="0" applyNumberFormat="1" applyAlignment="1">
      <alignment wrapText="1"/>
    </xf>
    <xf numFmtId="0" fontId="9" fillId="0" borderId="0" xfId="0" applyFont="1" applyAlignment="1">
      <alignment wrapText="1"/>
    </xf>
    <xf numFmtId="2" fontId="10" fillId="0" borderId="0" xfId="0" applyNumberFormat="1" applyFont="1" applyAlignment="1">
      <alignment wrapText="1"/>
    </xf>
    <xf numFmtId="3" fontId="10" fillId="0" borderId="0" xfId="0" applyNumberFormat="1" applyFont="1" applyAlignment="1">
      <alignment wrapText="1"/>
    </xf>
    <xf numFmtId="3" fontId="0" fillId="0" borderId="0" xfId="0" applyNumberFormat="1" applyAlignment="1">
      <alignment wrapText="1"/>
    </xf>
    <xf numFmtId="2" fontId="4" fillId="2" borderId="0" xfId="0" applyNumberFormat="1" applyFont="1" applyFill="1" applyAlignment="1">
      <alignment wrapText="1"/>
    </xf>
    <xf numFmtId="167" fontId="5" fillId="4" borderId="0" xfId="0" applyNumberFormat="1" applyFont="1" applyFill="1" applyAlignment="1">
      <alignment wrapText="1"/>
    </xf>
    <xf numFmtId="170" fontId="0" fillId="0" borderId="0" xfId="0" applyNumberFormat="1"/>
    <xf numFmtId="0" fontId="0" fillId="7" borderId="0" xfId="0" applyFill="1" applyAlignment="1">
      <alignment wrapText="1"/>
    </xf>
    <xf numFmtId="168" fontId="0" fillId="7" borderId="0" xfId="0" applyNumberFormat="1" applyFill="1" applyAlignment="1">
      <alignment wrapText="1"/>
    </xf>
    <xf numFmtId="0" fontId="14" fillId="7" borderId="0" xfId="0" applyFont="1" applyFill="1" applyAlignment="1">
      <alignment vertical="top" wrapText="1"/>
    </xf>
    <xf numFmtId="0" fontId="14" fillId="7" borderId="0" xfId="0" applyFont="1" applyFill="1" applyAlignment="1">
      <alignment wrapText="1"/>
    </xf>
    <xf numFmtId="170" fontId="0" fillId="0" borderId="0" xfId="0" applyNumberFormat="1" applyAlignment="1">
      <alignment wrapText="1"/>
    </xf>
    <xf numFmtId="0" fontId="0" fillId="0" borderId="0" xfId="0" applyAlignment="1">
      <alignment vertical="center" wrapText="1"/>
    </xf>
    <xf numFmtId="165" fontId="5" fillId="0" borderId="0" xfId="0" applyNumberFormat="1" applyFont="1" applyAlignment="1">
      <alignment vertical="center" wrapText="1"/>
    </xf>
    <xf numFmtId="0" fontId="5" fillId="0" borderId="0" xfId="0" applyFont="1" applyAlignment="1">
      <alignment vertical="center" wrapText="1"/>
    </xf>
    <xf numFmtId="2" fontId="5" fillId="0" borderId="0" xfId="0" applyNumberFormat="1" applyFont="1" applyAlignment="1">
      <alignment vertical="center" wrapText="1"/>
    </xf>
    <xf numFmtId="2" fontId="5" fillId="4" borderId="0" xfId="0" applyNumberFormat="1" applyFont="1" applyFill="1" applyAlignment="1">
      <alignment vertical="center" wrapText="1"/>
    </xf>
    <xf numFmtId="10" fontId="5" fillId="0" borderId="0" xfId="0" applyNumberFormat="1" applyFont="1" applyAlignment="1">
      <alignment vertical="center" wrapText="1"/>
    </xf>
    <xf numFmtId="3" fontId="5" fillId="0" borderId="0" xfId="0" applyNumberFormat="1" applyFont="1" applyAlignment="1">
      <alignment vertical="center" wrapText="1"/>
    </xf>
    <xf numFmtId="3" fontId="0" fillId="6" borderId="0" xfId="0" applyNumberFormat="1" applyFill="1" applyAlignment="1">
      <alignment wrapText="1"/>
    </xf>
    <xf numFmtId="3" fontId="0" fillId="7" borderId="0" xfId="0" applyNumberFormat="1" applyFill="1" applyAlignment="1">
      <alignment wrapText="1"/>
    </xf>
    <xf numFmtId="0" fontId="15" fillId="5" borderId="0" xfId="0" applyFont="1" applyFill="1" applyAlignment="1">
      <alignment wrapText="1"/>
    </xf>
    <xf numFmtId="0" fontId="1" fillId="0" borderId="0" xfId="0" applyFont="1"/>
    <xf numFmtId="0" fontId="11" fillId="0" borderId="0" xfId="0" applyFont="1"/>
    <xf numFmtId="0" fontId="11" fillId="0" borderId="0" xfId="0" applyFont="1" applyAlignment="1">
      <alignment wrapText="1"/>
    </xf>
    <xf numFmtId="0" fontId="14" fillId="0" borderId="0" xfId="0" applyFont="1"/>
    <xf numFmtId="0" fontId="0" fillId="0" borderId="0" xfId="0" applyAlignment="1">
      <alignment wrapText="1"/>
    </xf>
    <xf numFmtId="0" fontId="0" fillId="0" borderId="0" xfId="0"/>
  </cellXfs>
  <cellStyles count="1">
    <cellStyle name="Standard"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BBBBBB"/>
      <rgbColor rgb="FF808080"/>
      <rgbColor rgb="FF9999FF"/>
      <rgbColor rgb="FFC0504D"/>
      <rgbColor rgb="FFFFF2CC"/>
      <rgbColor rgb="FFDCE9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70AD47"/>
      <rgbColor rgb="FFFFCC00"/>
      <rgbColor rgb="FFFF9900"/>
      <rgbColor rgb="FFFF6600"/>
      <rgbColor rgb="FF2F5597"/>
      <rgbColor rgb="FF878787"/>
      <rgbColor rgb="FF003366"/>
      <rgbColor rgb="FF2E7D74"/>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autoTitleDeleted val="1"/>
    <c:plotArea>
      <c:layout/>
      <c:lineChart>
        <c:grouping val="standard"/>
        <c:varyColors val="1"/>
        <c:ser>
          <c:idx val="0"/>
          <c:order val="0"/>
          <c:tx>
            <c:v>Welfare</c:v>
          </c:tx>
          <c:marker>
            <c:symbol val="none"/>
          </c:marker>
          <c:cat>
            <c:numRef>
              <c:f>Curves!$A$2:$A$1002</c:f>
              <c:numCache>
                <c:formatCode>0.000</c:formatCode>
                <c:ptCount val="1001"/>
                <c:pt idx="0">
                  <c:v>0</c:v>
                </c:pt>
                <c:pt idx="1">
                  <c:v>0.01</c:v>
                </c:pt>
                <c:pt idx="2">
                  <c:v>0.02</c:v>
                </c:pt>
                <c:pt idx="3">
                  <c:v>0.03</c:v>
                </c:pt>
                <c:pt idx="4">
                  <c:v>0.04</c:v>
                </c:pt>
                <c:pt idx="5">
                  <c:v>0.05</c:v>
                </c:pt>
                <c:pt idx="6">
                  <c:v>0.06</c:v>
                </c:pt>
                <c:pt idx="7">
                  <c:v>7.0000000000000007E-2</c:v>
                </c:pt>
                <c:pt idx="8">
                  <c:v>0.08</c:v>
                </c:pt>
                <c:pt idx="9">
                  <c:v>0.09</c:v>
                </c:pt>
                <c:pt idx="10">
                  <c:v>0.1</c:v>
                </c:pt>
                <c:pt idx="11">
                  <c:v>0.11</c:v>
                </c:pt>
                <c:pt idx="12">
                  <c:v>0.12</c:v>
                </c:pt>
                <c:pt idx="13">
                  <c:v>0.13</c:v>
                </c:pt>
                <c:pt idx="14">
                  <c:v>0.14000000000000001</c:v>
                </c:pt>
                <c:pt idx="15">
                  <c:v>0.15</c:v>
                </c:pt>
                <c:pt idx="16">
                  <c:v>0.16</c:v>
                </c:pt>
                <c:pt idx="17">
                  <c:v>0.17</c:v>
                </c:pt>
                <c:pt idx="18">
                  <c:v>0.18</c:v>
                </c:pt>
                <c:pt idx="19">
                  <c:v>0.19</c:v>
                </c:pt>
                <c:pt idx="20">
                  <c:v>0.2</c:v>
                </c:pt>
                <c:pt idx="21">
                  <c:v>0.21</c:v>
                </c:pt>
                <c:pt idx="22">
                  <c:v>0.22</c:v>
                </c:pt>
                <c:pt idx="23">
                  <c:v>0.23</c:v>
                </c:pt>
                <c:pt idx="24">
                  <c:v>0.24</c:v>
                </c:pt>
                <c:pt idx="25">
                  <c:v>0.25</c:v>
                </c:pt>
                <c:pt idx="26">
                  <c:v>0.26</c:v>
                </c:pt>
                <c:pt idx="27">
                  <c:v>0.27</c:v>
                </c:pt>
                <c:pt idx="28">
                  <c:v>0.28000000000000003</c:v>
                </c:pt>
                <c:pt idx="29">
                  <c:v>0.28999999999999998</c:v>
                </c:pt>
                <c:pt idx="30">
                  <c:v>0.3</c:v>
                </c:pt>
                <c:pt idx="31">
                  <c:v>0.31</c:v>
                </c:pt>
                <c:pt idx="32">
                  <c:v>0.32</c:v>
                </c:pt>
                <c:pt idx="33">
                  <c:v>0.33</c:v>
                </c:pt>
                <c:pt idx="34">
                  <c:v>0.34</c:v>
                </c:pt>
                <c:pt idx="35">
                  <c:v>0.35</c:v>
                </c:pt>
                <c:pt idx="36">
                  <c:v>0.36</c:v>
                </c:pt>
                <c:pt idx="37">
                  <c:v>0.37</c:v>
                </c:pt>
                <c:pt idx="38">
                  <c:v>0.38</c:v>
                </c:pt>
                <c:pt idx="39">
                  <c:v>0.39</c:v>
                </c:pt>
                <c:pt idx="40">
                  <c:v>0.4</c:v>
                </c:pt>
                <c:pt idx="41">
                  <c:v>0.41</c:v>
                </c:pt>
                <c:pt idx="42">
                  <c:v>0.42</c:v>
                </c:pt>
                <c:pt idx="43">
                  <c:v>0.43</c:v>
                </c:pt>
                <c:pt idx="44">
                  <c:v>0.44</c:v>
                </c:pt>
                <c:pt idx="45">
                  <c:v>0.45</c:v>
                </c:pt>
                <c:pt idx="46">
                  <c:v>0.46</c:v>
                </c:pt>
                <c:pt idx="47">
                  <c:v>0.47</c:v>
                </c:pt>
                <c:pt idx="48">
                  <c:v>0.48</c:v>
                </c:pt>
                <c:pt idx="49">
                  <c:v>0.49</c:v>
                </c:pt>
                <c:pt idx="50">
                  <c:v>0.5</c:v>
                </c:pt>
                <c:pt idx="51">
                  <c:v>0.51</c:v>
                </c:pt>
                <c:pt idx="52">
                  <c:v>0.52</c:v>
                </c:pt>
                <c:pt idx="53">
                  <c:v>0.53</c:v>
                </c:pt>
                <c:pt idx="54">
                  <c:v>0.54</c:v>
                </c:pt>
                <c:pt idx="55">
                  <c:v>0.55000000000000004</c:v>
                </c:pt>
                <c:pt idx="56">
                  <c:v>0.56000000000000005</c:v>
                </c:pt>
                <c:pt idx="57">
                  <c:v>0.56999999999999995</c:v>
                </c:pt>
                <c:pt idx="58">
                  <c:v>0.57999999999999996</c:v>
                </c:pt>
                <c:pt idx="59">
                  <c:v>0.59</c:v>
                </c:pt>
                <c:pt idx="60">
                  <c:v>0.6</c:v>
                </c:pt>
                <c:pt idx="61">
                  <c:v>0.61</c:v>
                </c:pt>
                <c:pt idx="62">
                  <c:v>0.62</c:v>
                </c:pt>
                <c:pt idx="63">
                  <c:v>0.63</c:v>
                </c:pt>
                <c:pt idx="64">
                  <c:v>0.64</c:v>
                </c:pt>
                <c:pt idx="65">
                  <c:v>0.65</c:v>
                </c:pt>
                <c:pt idx="66">
                  <c:v>0.66</c:v>
                </c:pt>
                <c:pt idx="67">
                  <c:v>0.67</c:v>
                </c:pt>
                <c:pt idx="68">
                  <c:v>0.68</c:v>
                </c:pt>
                <c:pt idx="69">
                  <c:v>0.69</c:v>
                </c:pt>
                <c:pt idx="70">
                  <c:v>0.7</c:v>
                </c:pt>
                <c:pt idx="71">
                  <c:v>0.71</c:v>
                </c:pt>
                <c:pt idx="72">
                  <c:v>0.72</c:v>
                </c:pt>
                <c:pt idx="73">
                  <c:v>0.73</c:v>
                </c:pt>
                <c:pt idx="74">
                  <c:v>0.74</c:v>
                </c:pt>
                <c:pt idx="75">
                  <c:v>0.75</c:v>
                </c:pt>
                <c:pt idx="76">
                  <c:v>0.76</c:v>
                </c:pt>
                <c:pt idx="77">
                  <c:v>0.77</c:v>
                </c:pt>
                <c:pt idx="78">
                  <c:v>0.78</c:v>
                </c:pt>
                <c:pt idx="79">
                  <c:v>0.79</c:v>
                </c:pt>
                <c:pt idx="80">
                  <c:v>0.8</c:v>
                </c:pt>
                <c:pt idx="81">
                  <c:v>0.81</c:v>
                </c:pt>
                <c:pt idx="82">
                  <c:v>0.82</c:v>
                </c:pt>
                <c:pt idx="83">
                  <c:v>0.83</c:v>
                </c:pt>
                <c:pt idx="84">
                  <c:v>0.84</c:v>
                </c:pt>
                <c:pt idx="85">
                  <c:v>0.85</c:v>
                </c:pt>
                <c:pt idx="86">
                  <c:v>0.86</c:v>
                </c:pt>
                <c:pt idx="87">
                  <c:v>0.87</c:v>
                </c:pt>
                <c:pt idx="88">
                  <c:v>0.88</c:v>
                </c:pt>
                <c:pt idx="89">
                  <c:v>0.89</c:v>
                </c:pt>
                <c:pt idx="90">
                  <c:v>0.9</c:v>
                </c:pt>
                <c:pt idx="91">
                  <c:v>0.91</c:v>
                </c:pt>
                <c:pt idx="92">
                  <c:v>0.92</c:v>
                </c:pt>
                <c:pt idx="93">
                  <c:v>0.93</c:v>
                </c:pt>
                <c:pt idx="94">
                  <c:v>0.94</c:v>
                </c:pt>
                <c:pt idx="95">
                  <c:v>0.95</c:v>
                </c:pt>
                <c:pt idx="96">
                  <c:v>0.96</c:v>
                </c:pt>
                <c:pt idx="97">
                  <c:v>0.97</c:v>
                </c:pt>
                <c:pt idx="98">
                  <c:v>0.98</c:v>
                </c:pt>
                <c:pt idx="99">
                  <c:v>0.99</c:v>
                </c:pt>
                <c:pt idx="100">
                  <c:v>1</c:v>
                </c:pt>
                <c:pt idx="101">
                  <c:v>1.01</c:v>
                </c:pt>
                <c:pt idx="102">
                  <c:v>1.02</c:v>
                </c:pt>
                <c:pt idx="103">
                  <c:v>1.03</c:v>
                </c:pt>
                <c:pt idx="104">
                  <c:v>1.04</c:v>
                </c:pt>
                <c:pt idx="105">
                  <c:v>1.05</c:v>
                </c:pt>
                <c:pt idx="106">
                  <c:v>1.06</c:v>
                </c:pt>
                <c:pt idx="107">
                  <c:v>1.07</c:v>
                </c:pt>
                <c:pt idx="108">
                  <c:v>1.08</c:v>
                </c:pt>
                <c:pt idx="109">
                  <c:v>1.0900000000000001</c:v>
                </c:pt>
                <c:pt idx="110">
                  <c:v>1.1000000000000001</c:v>
                </c:pt>
                <c:pt idx="111">
                  <c:v>1.1100000000000001</c:v>
                </c:pt>
                <c:pt idx="112">
                  <c:v>1.1200000000000001</c:v>
                </c:pt>
                <c:pt idx="113">
                  <c:v>1.1299999999999999</c:v>
                </c:pt>
                <c:pt idx="114">
                  <c:v>1.1399999999999999</c:v>
                </c:pt>
                <c:pt idx="115">
                  <c:v>1.1499999999999999</c:v>
                </c:pt>
                <c:pt idx="116">
                  <c:v>1.1599999999999999</c:v>
                </c:pt>
                <c:pt idx="117">
                  <c:v>1.17</c:v>
                </c:pt>
                <c:pt idx="118">
                  <c:v>1.18</c:v>
                </c:pt>
                <c:pt idx="119">
                  <c:v>1.19</c:v>
                </c:pt>
                <c:pt idx="120">
                  <c:v>1.2</c:v>
                </c:pt>
                <c:pt idx="121">
                  <c:v>1.21</c:v>
                </c:pt>
                <c:pt idx="122">
                  <c:v>1.22</c:v>
                </c:pt>
                <c:pt idx="123">
                  <c:v>1.23</c:v>
                </c:pt>
                <c:pt idx="124">
                  <c:v>1.24</c:v>
                </c:pt>
                <c:pt idx="125">
                  <c:v>1.25</c:v>
                </c:pt>
                <c:pt idx="126">
                  <c:v>1.26</c:v>
                </c:pt>
                <c:pt idx="127">
                  <c:v>1.27</c:v>
                </c:pt>
                <c:pt idx="128">
                  <c:v>1.28</c:v>
                </c:pt>
                <c:pt idx="129">
                  <c:v>1.29</c:v>
                </c:pt>
                <c:pt idx="130">
                  <c:v>1.3</c:v>
                </c:pt>
                <c:pt idx="131">
                  <c:v>1.31</c:v>
                </c:pt>
                <c:pt idx="132">
                  <c:v>1.32</c:v>
                </c:pt>
                <c:pt idx="133">
                  <c:v>1.33</c:v>
                </c:pt>
                <c:pt idx="134">
                  <c:v>1.34</c:v>
                </c:pt>
                <c:pt idx="135">
                  <c:v>1.35</c:v>
                </c:pt>
                <c:pt idx="136">
                  <c:v>1.36</c:v>
                </c:pt>
                <c:pt idx="137">
                  <c:v>1.37</c:v>
                </c:pt>
                <c:pt idx="138">
                  <c:v>1.38</c:v>
                </c:pt>
                <c:pt idx="139">
                  <c:v>1.39</c:v>
                </c:pt>
                <c:pt idx="140">
                  <c:v>1.4</c:v>
                </c:pt>
                <c:pt idx="141">
                  <c:v>1.41</c:v>
                </c:pt>
                <c:pt idx="142">
                  <c:v>1.42</c:v>
                </c:pt>
                <c:pt idx="143">
                  <c:v>1.43</c:v>
                </c:pt>
                <c:pt idx="144">
                  <c:v>1.44</c:v>
                </c:pt>
                <c:pt idx="145">
                  <c:v>1.45</c:v>
                </c:pt>
                <c:pt idx="146">
                  <c:v>1.46</c:v>
                </c:pt>
                <c:pt idx="147">
                  <c:v>1.47</c:v>
                </c:pt>
                <c:pt idx="148">
                  <c:v>1.48</c:v>
                </c:pt>
                <c:pt idx="149">
                  <c:v>1.49</c:v>
                </c:pt>
                <c:pt idx="150">
                  <c:v>1.5</c:v>
                </c:pt>
                <c:pt idx="151">
                  <c:v>1.51</c:v>
                </c:pt>
                <c:pt idx="152">
                  <c:v>1.52</c:v>
                </c:pt>
                <c:pt idx="153">
                  <c:v>1.53</c:v>
                </c:pt>
                <c:pt idx="154">
                  <c:v>1.54</c:v>
                </c:pt>
                <c:pt idx="155">
                  <c:v>1.55</c:v>
                </c:pt>
                <c:pt idx="156">
                  <c:v>1.56</c:v>
                </c:pt>
                <c:pt idx="157">
                  <c:v>1.57</c:v>
                </c:pt>
                <c:pt idx="158">
                  <c:v>1.58</c:v>
                </c:pt>
                <c:pt idx="159">
                  <c:v>1.59</c:v>
                </c:pt>
                <c:pt idx="160">
                  <c:v>1.6</c:v>
                </c:pt>
                <c:pt idx="161">
                  <c:v>1.61</c:v>
                </c:pt>
                <c:pt idx="162">
                  <c:v>1.62</c:v>
                </c:pt>
                <c:pt idx="163">
                  <c:v>1.63</c:v>
                </c:pt>
                <c:pt idx="164">
                  <c:v>1.64</c:v>
                </c:pt>
                <c:pt idx="165">
                  <c:v>1.65</c:v>
                </c:pt>
                <c:pt idx="166">
                  <c:v>1.66</c:v>
                </c:pt>
                <c:pt idx="167">
                  <c:v>1.67</c:v>
                </c:pt>
                <c:pt idx="168">
                  <c:v>1.68</c:v>
                </c:pt>
                <c:pt idx="169">
                  <c:v>1.69</c:v>
                </c:pt>
                <c:pt idx="170">
                  <c:v>1.7</c:v>
                </c:pt>
                <c:pt idx="171">
                  <c:v>1.71</c:v>
                </c:pt>
                <c:pt idx="172">
                  <c:v>1.72</c:v>
                </c:pt>
                <c:pt idx="173">
                  <c:v>1.73</c:v>
                </c:pt>
                <c:pt idx="174">
                  <c:v>1.74</c:v>
                </c:pt>
                <c:pt idx="175">
                  <c:v>1.75</c:v>
                </c:pt>
                <c:pt idx="176">
                  <c:v>1.76</c:v>
                </c:pt>
                <c:pt idx="177">
                  <c:v>1.77</c:v>
                </c:pt>
                <c:pt idx="178">
                  <c:v>1.78</c:v>
                </c:pt>
                <c:pt idx="179">
                  <c:v>1.79</c:v>
                </c:pt>
                <c:pt idx="180">
                  <c:v>1.8</c:v>
                </c:pt>
                <c:pt idx="181">
                  <c:v>1.81</c:v>
                </c:pt>
                <c:pt idx="182">
                  <c:v>1.82</c:v>
                </c:pt>
                <c:pt idx="183">
                  <c:v>1.83</c:v>
                </c:pt>
                <c:pt idx="184">
                  <c:v>1.84</c:v>
                </c:pt>
                <c:pt idx="185">
                  <c:v>1.85</c:v>
                </c:pt>
                <c:pt idx="186">
                  <c:v>1.86</c:v>
                </c:pt>
                <c:pt idx="187">
                  <c:v>1.87</c:v>
                </c:pt>
                <c:pt idx="188">
                  <c:v>1.88</c:v>
                </c:pt>
                <c:pt idx="189">
                  <c:v>1.89</c:v>
                </c:pt>
                <c:pt idx="190">
                  <c:v>1.9</c:v>
                </c:pt>
                <c:pt idx="191">
                  <c:v>1.91</c:v>
                </c:pt>
                <c:pt idx="192">
                  <c:v>1.92</c:v>
                </c:pt>
                <c:pt idx="193">
                  <c:v>1.93</c:v>
                </c:pt>
                <c:pt idx="194">
                  <c:v>1.94</c:v>
                </c:pt>
                <c:pt idx="195">
                  <c:v>1.95</c:v>
                </c:pt>
                <c:pt idx="196">
                  <c:v>1.96</c:v>
                </c:pt>
                <c:pt idx="197">
                  <c:v>1.97</c:v>
                </c:pt>
                <c:pt idx="198">
                  <c:v>1.98</c:v>
                </c:pt>
                <c:pt idx="199">
                  <c:v>1.99</c:v>
                </c:pt>
                <c:pt idx="200">
                  <c:v>2</c:v>
                </c:pt>
                <c:pt idx="201">
                  <c:v>2.0099999999999998</c:v>
                </c:pt>
                <c:pt idx="202">
                  <c:v>2.02</c:v>
                </c:pt>
                <c:pt idx="203">
                  <c:v>2.0299999999999998</c:v>
                </c:pt>
                <c:pt idx="204">
                  <c:v>2.04</c:v>
                </c:pt>
                <c:pt idx="205">
                  <c:v>2.0499999999999998</c:v>
                </c:pt>
                <c:pt idx="206">
                  <c:v>2.06</c:v>
                </c:pt>
                <c:pt idx="207">
                  <c:v>2.0699999999999998</c:v>
                </c:pt>
                <c:pt idx="208">
                  <c:v>2.08</c:v>
                </c:pt>
                <c:pt idx="209">
                  <c:v>2.09</c:v>
                </c:pt>
                <c:pt idx="210">
                  <c:v>2.1</c:v>
                </c:pt>
                <c:pt idx="211">
                  <c:v>2.11</c:v>
                </c:pt>
                <c:pt idx="212">
                  <c:v>2.12</c:v>
                </c:pt>
                <c:pt idx="213">
                  <c:v>2.13</c:v>
                </c:pt>
                <c:pt idx="214">
                  <c:v>2.14</c:v>
                </c:pt>
                <c:pt idx="215">
                  <c:v>2.15</c:v>
                </c:pt>
                <c:pt idx="216">
                  <c:v>2.16</c:v>
                </c:pt>
                <c:pt idx="217">
                  <c:v>2.17</c:v>
                </c:pt>
                <c:pt idx="218">
                  <c:v>2.1800000000000002</c:v>
                </c:pt>
                <c:pt idx="219">
                  <c:v>2.19</c:v>
                </c:pt>
                <c:pt idx="220">
                  <c:v>2.2000000000000002</c:v>
                </c:pt>
                <c:pt idx="221">
                  <c:v>2.21</c:v>
                </c:pt>
                <c:pt idx="222">
                  <c:v>2.2200000000000002</c:v>
                </c:pt>
                <c:pt idx="223">
                  <c:v>2.23</c:v>
                </c:pt>
                <c:pt idx="224">
                  <c:v>2.2400000000000002</c:v>
                </c:pt>
                <c:pt idx="225">
                  <c:v>2.25</c:v>
                </c:pt>
                <c:pt idx="226">
                  <c:v>2.2599999999999998</c:v>
                </c:pt>
                <c:pt idx="227">
                  <c:v>2.27</c:v>
                </c:pt>
                <c:pt idx="228">
                  <c:v>2.2799999999999998</c:v>
                </c:pt>
                <c:pt idx="229">
                  <c:v>2.29</c:v>
                </c:pt>
                <c:pt idx="230">
                  <c:v>2.2999999999999998</c:v>
                </c:pt>
                <c:pt idx="231">
                  <c:v>2.31</c:v>
                </c:pt>
                <c:pt idx="232">
                  <c:v>2.3199999999999998</c:v>
                </c:pt>
                <c:pt idx="233">
                  <c:v>2.33</c:v>
                </c:pt>
                <c:pt idx="234">
                  <c:v>2.34</c:v>
                </c:pt>
                <c:pt idx="235">
                  <c:v>2.35</c:v>
                </c:pt>
                <c:pt idx="236">
                  <c:v>2.36</c:v>
                </c:pt>
                <c:pt idx="237">
                  <c:v>2.37</c:v>
                </c:pt>
                <c:pt idx="238">
                  <c:v>2.38</c:v>
                </c:pt>
                <c:pt idx="239">
                  <c:v>2.39</c:v>
                </c:pt>
                <c:pt idx="240">
                  <c:v>2.4</c:v>
                </c:pt>
                <c:pt idx="241">
                  <c:v>2.41</c:v>
                </c:pt>
                <c:pt idx="242">
                  <c:v>2.42</c:v>
                </c:pt>
                <c:pt idx="243">
                  <c:v>2.4300000000000002</c:v>
                </c:pt>
                <c:pt idx="244">
                  <c:v>2.44</c:v>
                </c:pt>
                <c:pt idx="245">
                  <c:v>2.4500000000000002</c:v>
                </c:pt>
                <c:pt idx="246">
                  <c:v>2.46</c:v>
                </c:pt>
                <c:pt idx="247">
                  <c:v>2.4700000000000002</c:v>
                </c:pt>
                <c:pt idx="248">
                  <c:v>2.48</c:v>
                </c:pt>
                <c:pt idx="249">
                  <c:v>2.4900000000000002</c:v>
                </c:pt>
                <c:pt idx="250">
                  <c:v>2.5</c:v>
                </c:pt>
                <c:pt idx="251">
                  <c:v>2.5099999999999998</c:v>
                </c:pt>
                <c:pt idx="252">
                  <c:v>2.52</c:v>
                </c:pt>
                <c:pt idx="253">
                  <c:v>2.5299999999999998</c:v>
                </c:pt>
                <c:pt idx="254">
                  <c:v>2.54</c:v>
                </c:pt>
                <c:pt idx="255">
                  <c:v>2.5499999999999998</c:v>
                </c:pt>
                <c:pt idx="256">
                  <c:v>2.56</c:v>
                </c:pt>
                <c:pt idx="257">
                  <c:v>2.57</c:v>
                </c:pt>
                <c:pt idx="258">
                  <c:v>2.58</c:v>
                </c:pt>
                <c:pt idx="259">
                  <c:v>2.59</c:v>
                </c:pt>
                <c:pt idx="260">
                  <c:v>2.6</c:v>
                </c:pt>
                <c:pt idx="261">
                  <c:v>2.61</c:v>
                </c:pt>
                <c:pt idx="262">
                  <c:v>2.62</c:v>
                </c:pt>
                <c:pt idx="263">
                  <c:v>2.63</c:v>
                </c:pt>
                <c:pt idx="264">
                  <c:v>2.64</c:v>
                </c:pt>
                <c:pt idx="265">
                  <c:v>2.65</c:v>
                </c:pt>
                <c:pt idx="266">
                  <c:v>2.66</c:v>
                </c:pt>
                <c:pt idx="267">
                  <c:v>2.67</c:v>
                </c:pt>
                <c:pt idx="268">
                  <c:v>2.68</c:v>
                </c:pt>
                <c:pt idx="269">
                  <c:v>2.69</c:v>
                </c:pt>
                <c:pt idx="270">
                  <c:v>2.7</c:v>
                </c:pt>
                <c:pt idx="271">
                  <c:v>2.71</c:v>
                </c:pt>
                <c:pt idx="272">
                  <c:v>2.72</c:v>
                </c:pt>
                <c:pt idx="273">
                  <c:v>2.73</c:v>
                </c:pt>
                <c:pt idx="274">
                  <c:v>2.74</c:v>
                </c:pt>
                <c:pt idx="275">
                  <c:v>2.75</c:v>
                </c:pt>
                <c:pt idx="276">
                  <c:v>2.76</c:v>
                </c:pt>
                <c:pt idx="277">
                  <c:v>2.77</c:v>
                </c:pt>
                <c:pt idx="278">
                  <c:v>2.78</c:v>
                </c:pt>
                <c:pt idx="279">
                  <c:v>2.79</c:v>
                </c:pt>
                <c:pt idx="280">
                  <c:v>2.8</c:v>
                </c:pt>
                <c:pt idx="281">
                  <c:v>2.81</c:v>
                </c:pt>
                <c:pt idx="282">
                  <c:v>2.82</c:v>
                </c:pt>
                <c:pt idx="283">
                  <c:v>2.83</c:v>
                </c:pt>
                <c:pt idx="284">
                  <c:v>2.84</c:v>
                </c:pt>
                <c:pt idx="285">
                  <c:v>2.85</c:v>
                </c:pt>
                <c:pt idx="286">
                  <c:v>2.86</c:v>
                </c:pt>
                <c:pt idx="287">
                  <c:v>2.87</c:v>
                </c:pt>
                <c:pt idx="288">
                  <c:v>2.88</c:v>
                </c:pt>
                <c:pt idx="289">
                  <c:v>2.89</c:v>
                </c:pt>
                <c:pt idx="290">
                  <c:v>2.9</c:v>
                </c:pt>
                <c:pt idx="291">
                  <c:v>2.91</c:v>
                </c:pt>
                <c:pt idx="292">
                  <c:v>2.92</c:v>
                </c:pt>
                <c:pt idx="293">
                  <c:v>2.93</c:v>
                </c:pt>
                <c:pt idx="294">
                  <c:v>2.94</c:v>
                </c:pt>
                <c:pt idx="295">
                  <c:v>2.95</c:v>
                </c:pt>
                <c:pt idx="296">
                  <c:v>2.96</c:v>
                </c:pt>
                <c:pt idx="297">
                  <c:v>2.97</c:v>
                </c:pt>
                <c:pt idx="298">
                  <c:v>2.98</c:v>
                </c:pt>
                <c:pt idx="299">
                  <c:v>2.99</c:v>
                </c:pt>
                <c:pt idx="300">
                  <c:v>3</c:v>
                </c:pt>
                <c:pt idx="301">
                  <c:v>3.01</c:v>
                </c:pt>
                <c:pt idx="302">
                  <c:v>3.02</c:v>
                </c:pt>
                <c:pt idx="303">
                  <c:v>3.03</c:v>
                </c:pt>
                <c:pt idx="304">
                  <c:v>3.04</c:v>
                </c:pt>
                <c:pt idx="305">
                  <c:v>3.05</c:v>
                </c:pt>
                <c:pt idx="306">
                  <c:v>3.06</c:v>
                </c:pt>
                <c:pt idx="307">
                  <c:v>3.07</c:v>
                </c:pt>
                <c:pt idx="308">
                  <c:v>3.08</c:v>
                </c:pt>
                <c:pt idx="309">
                  <c:v>3.09</c:v>
                </c:pt>
                <c:pt idx="310">
                  <c:v>3.1</c:v>
                </c:pt>
                <c:pt idx="311">
                  <c:v>3.11</c:v>
                </c:pt>
                <c:pt idx="312">
                  <c:v>3.12</c:v>
                </c:pt>
                <c:pt idx="313">
                  <c:v>3.13</c:v>
                </c:pt>
                <c:pt idx="314">
                  <c:v>3.14</c:v>
                </c:pt>
                <c:pt idx="315">
                  <c:v>3.15</c:v>
                </c:pt>
                <c:pt idx="316">
                  <c:v>3.16</c:v>
                </c:pt>
                <c:pt idx="317">
                  <c:v>3.17</c:v>
                </c:pt>
                <c:pt idx="318">
                  <c:v>3.18</c:v>
                </c:pt>
                <c:pt idx="319">
                  <c:v>3.19</c:v>
                </c:pt>
                <c:pt idx="320">
                  <c:v>3.2</c:v>
                </c:pt>
                <c:pt idx="321">
                  <c:v>3.21</c:v>
                </c:pt>
                <c:pt idx="322">
                  <c:v>3.22</c:v>
                </c:pt>
                <c:pt idx="323">
                  <c:v>3.23</c:v>
                </c:pt>
                <c:pt idx="324">
                  <c:v>3.24</c:v>
                </c:pt>
                <c:pt idx="325">
                  <c:v>3.25</c:v>
                </c:pt>
                <c:pt idx="326">
                  <c:v>3.26</c:v>
                </c:pt>
                <c:pt idx="327">
                  <c:v>3.27</c:v>
                </c:pt>
                <c:pt idx="328">
                  <c:v>3.28</c:v>
                </c:pt>
                <c:pt idx="329">
                  <c:v>3.29</c:v>
                </c:pt>
                <c:pt idx="330">
                  <c:v>3.3</c:v>
                </c:pt>
                <c:pt idx="331">
                  <c:v>3.31</c:v>
                </c:pt>
                <c:pt idx="332">
                  <c:v>3.32</c:v>
                </c:pt>
                <c:pt idx="333">
                  <c:v>3.33</c:v>
                </c:pt>
                <c:pt idx="334">
                  <c:v>3.34</c:v>
                </c:pt>
                <c:pt idx="335">
                  <c:v>3.35</c:v>
                </c:pt>
                <c:pt idx="336">
                  <c:v>3.36</c:v>
                </c:pt>
                <c:pt idx="337">
                  <c:v>3.37</c:v>
                </c:pt>
                <c:pt idx="338">
                  <c:v>3.38</c:v>
                </c:pt>
                <c:pt idx="339">
                  <c:v>3.39</c:v>
                </c:pt>
                <c:pt idx="340">
                  <c:v>3.4</c:v>
                </c:pt>
                <c:pt idx="341">
                  <c:v>3.41</c:v>
                </c:pt>
                <c:pt idx="342">
                  <c:v>3.42</c:v>
                </c:pt>
                <c:pt idx="343">
                  <c:v>3.43</c:v>
                </c:pt>
                <c:pt idx="344">
                  <c:v>3.44</c:v>
                </c:pt>
                <c:pt idx="345">
                  <c:v>3.45</c:v>
                </c:pt>
                <c:pt idx="346">
                  <c:v>3.46</c:v>
                </c:pt>
                <c:pt idx="347">
                  <c:v>3.47</c:v>
                </c:pt>
                <c:pt idx="348">
                  <c:v>3.48</c:v>
                </c:pt>
                <c:pt idx="349">
                  <c:v>3.49</c:v>
                </c:pt>
                <c:pt idx="350">
                  <c:v>3.5</c:v>
                </c:pt>
                <c:pt idx="351">
                  <c:v>3.51</c:v>
                </c:pt>
                <c:pt idx="352">
                  <c:v>3.52</c:v>
                </c:pt>
                <c:pt idx="353">
                  <c:v>3.53</c:v>
                </c:pt>
                <c:pt idx="354">
                  <c:v>3.54</c:v>
                </c:pt>
                <c:pt idx="355">
                  <c:v>3.55</c:v>
                </c:pt>
                <c:pt idx="356">
                  <c:v>3.56</c:v>
                </c:pt>
                <c:pt idx="357">
                  <c:v>3.57</c:v>
                </c:pt>
                <c:pt idx="358">
                  <c:v>3.58</c:v>
                </c:pt>
                <c:pt idx="359">
                  <c:v>3.59</c:v>
                </c:pt>
                <c:pt idx="360">
                  <c:v>3.6</c:v>
                </c:pt>
                <c:pt idx="361">
                  <c:v>3.61</c:v>
                </c:pt>
                <c:pt idx="362">
                  <c:v>3.62</c:v>
                </c:pt>
                <c:pt idx="363">
                  <c:v>3.63</c:v>
                </c:pt>
                <c:pt idx="364">
                  <c:v>3.64</c:v>
                </c:pt>
                <c:pt idx="365">
                  <c:v>3.65</c:v>
                </c:pt>
                <c:pt idx="366">
                  <c:v>3.66</c:v>
                </c:pt>
                <c:pt idx="367">
                  <c:v>3.67</c:v>
                </c:pt>
                <c:pt idx="368">
                  <c:v>3.68</c:v>
                </c:pt>
                <c:pt idx="369">
                  <c:v>3.69</c:v>
                </c:pt>
                <c:pt idx="370">
                  <c:v>3.7</c:v>
                </c:pt>
                <c:pt idx="371">
                  <c:v>3.71</c:v>
                </c:pt>
                <c:pt idx="372">
                  <c:v>3.72</c:v>
                </c:pt>
                <c:pt idx="373">
                  <c:v>3.73</c:v>
                </c:pt>
                <c:pt idx="374">
                  <c:v>3.74</c:v>
                </c:pt>
                <c:pt idx="375">
                  <c:v>3.75</c:v>
                </c:pt>
                <c:pt idx="376">
                  <c:v>3.76</c:v>
                </c:pt>
                <c:pt idx="377">
                  <c:v>3.77</c:v>
                </c:pt>
                <c:pt idx="378">
                  <c:v>3.78</c:v>
                </c:pt>
                <c:pt idx="379">
                  <c:v>3.79</c:v>
                </c:pt>
                <c:pt idx="380">
                  <c:v>3.8</c:v>
                </c:pt>
                <c:pt idx="381">
                  <c:v>3.81</c:v>
                </c:pt>
                <c:pt idx="382">
                  <c:v>3.82</c:v>
                </c:pt>
                <c:pt idx="383">
                  <c:v>3.83</c:v>
                </c:pt>
                <c:pt idx="384">
                  <c:v>3.84</c:v>
                </c:pt>
                <c:pt idx="385">
                  <c:v>3.85</c:v>
                </c:pt>
                <c:pt idx="386">
                  <c:v>3.86</c:v>
                </c:pt>
                <c:pt idx="387">
                  <c:v>3.87</c:v>
                </c:pt>
                <c:pt idx="388">
                  <c:v>3.88</c:v>
                </c:pt>
                <c:pt idx="389">
                  <c:v>3.89</c:v>
                </c:pt>
                <c:pt idx="390">
                  <c:v>3.9</c:v>
                </c:pt>
                <c:pt idx="391">
                  <c:v>3.91</c:v>
                </c:pt>
                <c:pt idx="392">
                  <c:v>3.92</c:v>
                </c:pt>
                <c:pt idx="393">
                  <c:v>3.93</c:v>
                </c:pt>
                <c:pt idx="394">
                  <c:v>3.94</c:v>
                </c:pt>
                <c:pt idx="395">
                  <c:v>3.95</c:v>
                </c:pt>
                <c:pt idx="396">
                  <c:v>3.96</c:v>
                </c:pt>
                <c:pt idx="397">
                  <c:v>3.97</c:v>
                </c:pt>
                <c:pt idx="398">
                  <c:v>3.98</c:v>
                </c:pt>
                <c:pt idx="399">
                  <c:v>3.99</c:v>
                </c:pt>
                <c:pt idx="400">
                  <c:v>4</c:v>
                </c:pt>
                <c:pt idx="401">
                  <c:v>4.01</c:v>
                </c:pt>
                <c:pt idx="402">
                  <c:v>4.0199999999999996</c:v>
                </c:pt>
                <c:pt idx="403">
                  <c:v>4.03</c:v>
                </c:pt>
                <c:pt idx="404">
                  <c:v>4.04</c:v>
                </c:pt>
                <c:pt idx="405">
                  <c:v>4.05</c:v>
                </c:pt>
                <c:pt idx="406">
                  <c:v>4.0599999999999996</c:v>
                </c:pt>
                <c:pt idx="407">
                  <c:v>4.07</c:v>
                </c:pt>
                <c:pt idx="408">
                  <c:v>4.08</c:v>
                </c:pt>
                <c:pt idx="409">
                  <c:v>4.09</c:v>
                </c:pt>
                <c:pt idx="410">
                  <c:v>4.0999999999999996</c:v>
                </c:pt>
                <c:pt idx="411">
                  <c:v>4.1100000000000003</c:v>
                </c:pt>
                <c:pt idx="412">
                  <c:v>4.12</c:v>
                </c:pt>
                <c:pt idx="413">
                  <c:v>4.13</c:v>
                </c:pt>
                <c:pt idx="414">
                  <c:v>4.1399999999999997</c:v>
                </c:pt>
                <c:pt idx="415">
                  <c:v>4.1500000000000004</c:v>
                </c:pt>
                <c:pt idx="416">
                  <c:v>4.16</c:v>
                </c:pt>
                <c:pt idx="417">
                  <c:v>4.17</c:v>
                </c:pt>
                <c:pt idx="418">
                  <c:v>4.18</c:v>
                </c:pt>
                <c:pt idx="419">
                  <c:v>4.1900000000000004</c:v>
                </c:pt>
                <c:pt idx="420">
                  <c:v>4.2</c:v>
                </c:pt>
                <c:pt idx="421">
                  <c:v>4.21</c:v>
                </c:pt>
                <c:pt idx="422">
                  <c:v>4.22</c:v>
                </c:pt>
                <c:pt idx="423">
                  <c:v>4.2300000000000004</c:v>
                </c:pt>
                <c:pt idx="424">
                  <c:v>4.24</c:v>
                </c:pt>
                <c:pt idx="425">
                  <c:v>4.25</c:v>
                </c:pt>
                <c:pt idx="426">
                  <c:v>4.26</c:v>
                </c:pt>
                <c:pt idx="427">
                  <c:v>4.2699999999999996</c:v>
                </c:pt>
                <c:pt idx="428">
                  <c:v>4.28</c:v>
                </c:pt>
                <c:pt idx="429">
                  <c:v>4.29</c:v>
                </c:pt>
                <c:pt idx="430">
                  <c:v>4.3</c:v>
                </c:pt>
                <c:pt idx="431">
                  <c:v>4.3099999999999996</c:v>
                </c:pt>
                <c:pt idx="432">
                  <c:v>4.32</c:v>
                </c:pt>
                <c:pt idx="433">
                  <c:v>4.33</c:v>
                </c:pt>
                <c:pt idx="434">
                  <c:v>4.34</c:v>
                </c:pt>
                <c:pt idx="435">
                  <c:v>4.3499999999999996</c:v>
                </c:pt>
                <c:pt idx="436">
                  <c:v>4.3600000000000003</c:v>
                </c:pt>
                <c:pt idx="437">
                  <c:v>4.37</c:v>
                </c:pt>
                <c:pt idx="438">
                  <c:v>4.38</c:v>
                </c:pt>
                <c:pt idx="439">
                  <c:v>4.3899999999999997</c:v>
                </c:pt>
                <c:pt idx="440">
                  <c:v>4.4000000000000004</c:v>
                </c:pt>
                <c:pt idx="441">
                  <c:v>4.41</c:v>
                </c:pt>
                <c:pt idx="442">
                  <c:v>4.42</c:v>
                </c:pt>
                <c:pt idx="443">
                  <c:v>4.43</c:v>
                </c:pt>
                <c:pt idx="444">
                  <c:v>4.4400000000000004</c:v>
                </c:pt>
                <c:pt idx="445">
                  <c:v>4.45</c:v>
                </c:pt>
                <c:pt idx="446">
                  <c:v>4.46</c:v>
                </c:pt>
                <c:pt idx="447">
                  <c:v>4.47</c:v>
                </c:pt>
                <c:pt idx="448">
                  <c:v>4.4800000000000004</c:v>
                </c:pt>
                <c:pt idx="449">
                  <c:v>4.49</c:v>
                </c:pt>
                <c:pt idx="450">
                  <c:v>4.5</c:v>
                </c:pt>
                <c:pt idx="451">
                  <c:v>4.51</c:v>
                </c:pt>
                <c:pt idx="452">
                  <c:v>4.5199999999999996</c:v>
                </c:pt>
                <c:pt idx="453">
                  <c:v>4.53</c:v>
                </c:pt>
                <c:pt idx="454">
                  <c:v>4.54</c:v>
                </c:pt>
                <c:pt idx="455">
                  <c:v>4.55</c:v>
                </c:pt>
                <c:pt idx="456">
                  <c:v>4.5599999999999996</c:v>
                </c:pt>
                <c:pt idx="457">
                  <c:v>4.57</c:v>
                </c:pt>
                <c:pt idx="458">
                  <c:v>4.58</c:v>
                </c:pt>
                <c:pt idx="459">
                  <c:v>4.59</c:v>
                </c:pt>
                <c:pt idx="460">
                  <c:v>4.5999999999999996</c:v>
                </c:pt>
                <c:pt idx="461">
                  <c:v>4.6100000000000003</c:v>
                </c:pt>
                <c:pt idx="462">
                  <c:v>4.62</c:v>
                </c:pt>
                <c:pt idx="463">
                  <c:v>4.63</c:v>
                </c:pt>
                <c:pt idx="464">
                  <c:v>4.6399999999999997</c:v>
                </c:pt>
                <c:pt idx="465">
                  <c:v>4.6500000000000004</c:v>
                </c:pt>
                <c:pt idx="466">
                  <c:v>4.66</c:v>
                </c:pt>
                <c:pt idx="467">
                  <c:v>4.67</c:v>
                </c:pt>
                <c:pt idx="468">
                  <c:v>4.68</c:v>
                </c:pt>
                <c:pt idx="469">
                  <c:v>4.6900000000000004</c:v>
                </c:pt>
                <c:pt idx="470">
                  <c:v>4.7</c:v>
                </c:pt>
                <c:pt idx="471">
                  <c:v>4.71</c:v>
                </c:pt>
                <c:pt idx="472">
                  <c:v>4.72</c:v>
                </c:pt>
                <c:pt idx="473">
                  <c:v>4.7300000000000004</c:v>
                </c:pt>
                <c:pt idx="474">
                  <c:v>4.74</c:v>
                </c:pt>
                <c:pt idx="475">
                  <c:v>4.75</c:v>
                </c:pt>
                <c:pt idx="476">
                  <c:v>4.76</c:v>
                </c:pt>
                <c:pt idx="477">
                  <c:v>4.7699999999999996</c:v>
                </c:pt>
                <c:pt idx="478">
                  <c:v>4.78</c:v>
                </c:pt>
                <c:pt idx="479">
                  <c:v>4.79</c:v>
                </c:pt>
                <c:pt idx="480">
                  <c:v>4.8</c:v>
                </c:pt>
                <c:pt idx="481">
                  <c:v>4.8099999999999996</c:v>
                </c:pt>
                <c:pt idx="482">
                  <c:v>4.82</c:v>
                </c:pt>
                <c:pt idx="483">
                  <c:v>4.83</c:v>
                </c:pt>
                <c:pt idx="484">
                  <c:v>4.84</c:v>
                </c:pt>
                <c:pt idx="485">
                  <c:v>4.8499999999999996</c:v>
                </c:pt>
                <c:pt idx="486">
                  <c:v>4.8600000000000003</c:v>
                </c:pt>
                <c:pt idx="487">
                  <c:v>4.87</c:v>
                </c:pt>
                <c:pt idx="488">
                  <c:v>4.88</c:v>
                </c:pt>
                <c:pt idx="489">
                  <c:v>4.8899999999999997</c:v>
                </c:pt>
                <c:pt idx="490">
                  <c:v>4.9000000000000004</c:v>
                </c:pt>
                <c:pt idx="491">
                  <c:v>4.91</c:v>
                </c:pt>
                <c:pt idx="492">
                  <c:v>4.92</c:v>
                </c:pt>
                <c:pt idx="493">
                  <c:v>4.93</c:v>
                </c:pt>
                <c:pt idx="494">
                  <c:v>4.9400000000000004</c:v>
                </c:pt>
                <c:pt idx="495">
                  <c:v>4.95</c:v>
                </c:pt>
                <c:pt idx="496">
                  <c:v>4.96</c:v>
                </c:pt>
                <c:pt idx="497">
                  <c:v>4.97</c:v>
                </c:pt>
                <c:pt idx="498">
                  <c:v>4.9800000000000004</c:v>
                </c:pt>
                <c:pt idx="499">
                  <c:v>4.99</c:v>
                </c:pt>
                <c:pt idx="500">
                  <c:v>5</c:v>
                </c:pt>
                <c:pt idx="501">
                  <c:v>5.01</c:v>
                </c:pt>
                <c:pt idx="502">
                  <c:v>5.0199999999999996</c:v>
                </c:pt>
                <c:pt idx="503">
                  <c:v>5.03</c:v>
                </c:pt>
                <c:pt idx="504">
                  <c:v>5.04</c:v>
                </c:pt>
                <c:pt idx="505">
                  <c:v>5.05</c:v>
                </c:pt>
                <c:pt idx="506">
                  <c:v>5.0599999999999996</c:v>
                </c:pt>
                <c:pt idx="507">
                  <c:v>5.07</c:v>
                </c:pt>
                <c:pt idx="508">
                  <c:v>5.08</c:v>
                </c:pt>
                <c:pt idx="509">
                  <c:v>5.09</c:v>
                </c:pt>
                <c:pt idx="510">
                  <c:v>5.0999999999999996</c:v>
                </c:pt>
                <c:pt idx="511">
                  <c:v>5.1100000000000003</c:v>
                </c:pt>
                <c:pt idx="512">
                  <c:v>5.12</c:v>
                </c:pt>
                <c:pt idx="513">
                  <c:v>5.13</c:v>
                </c:pt>
                <c:pt idx="514">
                  <c:v>5.14</c:v>
                </c:pt>
                <c:pt idx="515">
                  <c:v>5.15</c:v>
                </c:pt>
                <c:pt idx="516">
                  <c:v>5.16</c:v>
                </c:pt>
                <c:pt idx="517">
                  <c:v>5.17</c:v>
                </c:pt>
                <c:pt idx="518">
                  <c:v>5.18</c:v>
                </c:pt>
                <c:pt idx="519">
                  <c:v>5.19</c:v>
                </c:pt>
                <c:pt idx="520">
                  <c:v>5.2</c:v>
                </c:pt>
                <c:pt idx="521">
                  <c:v>5.21</c:v>
                </c:pt>
                <c:pt idx="522">
                  <c:v>5.22</c:v>
                </c:pt>
                <c:pt idx="523">
                  <c:v>5.23</c:v>
                </c:pt>
                <c:pt idx="524">
                  <c:v>5.24</c:v>
                </c:pt>
                <c:pt idx="525">
                  <c:v>5.25</c:v>
                </c:pt>
                <c:pt idx="526">
                  <c:v>5.26</c:v>
                </c:pt>
                <c:pt idx="527">
                  <c:v>5.27</c:v>
                </c:pt>
                <c:pt idx="528">
                  <c:v>5.28</c:v>
                </c:pt>
                <c:pt idx="529">
                  <c:v>5.29</c:v>
                </c:pt>
                <c:pt idx="530">
                  <c:v>5.3</c:v>
                </c:pt>
                <c:pt idx="531">
                  <c:v>5.31</c:v>
                </c:pt>
                <c:pt idx="532">
                  <c:v>5.32</c:v>
                </c:pt>
                <c:pt idx="533">
                  <c:v>5.33</c:v>
                </c:pt>
                <c:pt idx="534">
                  <c:v>5.34</c:v>
                </c:pt>
                <c:pt idx="535">
                  <c:v>5.35</c:v>
                </c:pt>
                <c:pt idx="536">
                  <c:v>5.36</c:v>
                </c:pt>
                <c:pt idx="537">
                  <c:v>5.37</c:v>
                </c:pt>
                <c:pt idx="538">
                  <c:v>5.38</c:v>
                </c:pt>
                <c:pt idx="539">
                  <c:v>5.39</c:v>
                </c:pt>
                <c:pt idx="540">
                  <c:v>5.4</c:v>
                </c:pt>
                <c:pt idx="541">
                  <c:v>5.41</c:v>
                </c:pt>
                <c:pt idx="542">
                  <c:v>5.42</c:v>
                </c:pt>
                <c:pt idx="543">
                  <c:v>5.43</c:v>
                </c:pt>
                <c:pt idx="544">
                  <c:v>5.44</c:v>
                </c:pt>
                <c:pt idx="545">
                  <c:v>5.45</c:v>
                </c:pt>
                <c:pt idx="546">
                  <c:v>5.46</c:v>
                </c:pt>
                <c:pt idx="547">
                  <c:v>5.47</c:v>
                </c:pt>
                <c:pt idx="548">
                  <c:v>5.48</c:v>
                </c:pt>
                <c:pt idx="549">
                  <c:v>5.49</c:v>
                </c:pt>
                <c:pt idx="550">
                  <c:v>5.5</c:v>
                </c:pt>
                <c:pt idx="551">
                  <c:v>5.51</c:v>
                </c:pt>
                <c:pt idx="552">
                  <c:v>5.52</c:v>
                </c:pt>
                <c:pt idx="553">
                  <c:v>5.53</c:v>
                </c:pt>
                <c:pt idx="554">
                  <c:v>5.54</c:v>
                </c:pt>
                <c:pt idx="555">
                  <c:v>5.55</c:v>
                </c:pt>
                <c:pt idx="556">
                  <c:v>5.56</c:v>
                </c:pt>
                <c:pt idx="557">
                  <c:v>5.57</c:v>
                </c:pt>
                <c:pt idx="558">
                  <c:v>5.58</c:v>
                </c:pt>
                <c:pt idx="559">
                  <c:v>5.59</c:v>
                </c:pt>
                <c:pt idx="560">
                  <c:v>5.6</c:v>
                </c:pt>
                <c:pt idx="561">
                  <c:v>5.61</c:v>
                </c:pt>
                <c:pt idx="562">
                  <c:v>5.62</c:v>
                </c:pt>
                <c:pt idx="563">
                  <c:v>5.63</c:v>
                </c:pt>
                <c:pt idx="564">
                  <c:v>5.64</c:v>
                </c:pt>
                <c:pt idx="565">
                  <c:v>5.65</c:v>
                </c:pt>
                <c:pt idx="566">
                  <c:v>5.66</c:v>
                </c:pt>
                <c:pt idx="567">
                  <c:v>5.67</c:v>
                </c:pt>
                <c:pt idx="568">
                  <c:v>5.68</c:v>
                </c:pt>
                <c:pt idx="569">
                  <c:v>5.69</c:v>
                </c:pt>
                <c:pt idx="570">
                  <c:v>5.7</c:v>
                </c:pt>
                <c:pt idx="571">
                  <c:v>5.71</c:v>
                </c:pt>
                <c:pt idx="572">
                  <c:v>5.72</c:v>
                </c:pt>
                <c:pt idx="573">
                  <c:v>5.73</c:v>
                </c:pt>
                <c:pt idx="574">
                  <c:v>5.74</c:v>
                </c:pt>
                <c:pt idx="575">
                  <c:v>5.75</c:v>
                </c:pt>
                <c:pt idx="576">
                  <c:v>5.76</c:v>
                </c:pt>
                <c:pt idx="577">
                  <c:v>5.77</c:v>
                </c:pt>
                <c:pt idx="578">
                  <c:v>5.78</c:v>
                </c:pt>
                <c:pt idx="579">
                  <c:v>5.79</c:v>
                </c:pt>
                <c:pt idx="580">
                  <c:v>5.8</c:v>
                </c:pt>
                <c:pt idx="581">
                  <c:v>5.81</c:v>
                </c:pt>
                <c:pt idx="582">
                  <c:v>5.82</c:v>
                </c:pt>
                <c:pt idx="583">
                  <c:v>5.83</c:v>
                </c:pt>
                <c:pt idx="584">
                  <c:v>5.84</c:v>
                </c:pt>
                <c:pt idx="585">
                  <c:v>5.85</c:v>
                </c:pt>
                <c:pt idx="586">
                  <c:v>5.86</c:v>
                </c:pt>
                <c:pt idx="587">
                  <c:v>5.87</c:v>
                </c:pt>
                <c:pt idx="588">
                  <c:v>5.88</c:v>
                </c:pt>
                <c:pt idx="589">
                  <c:v>5.89</c:v>
                </c:pt>
                <c:pt idx="590">
                  <c:v>5.9</c:v>
                </c:pt>
                <c:pt idx="591">
                  <c:v>5.91</c:v>
                </c:pt>
                <c:pt idx="592">
                  <c:v>5.92</c:v>
                </c:pt>
                <c:pt idx="593">
                  <c:v>5.93</c:v>
                </c:pt>
                <c:pt idx="594">
                  <c:v>5.94</c:v>
                </c:pt>
                <c:pt idx="595">
                  <c:v>5.95</c:v>
                </c:pt>
                <c:pt idx="596">
                  <c:v>5.96</c:v>
                </c:pt>
                <c:pt idx="597">
                  <c:v>5.97</c:v>
                </c:pt>
                <c:pt idx="598">
                  <c:v>5.98</c:v>
                </c:pt>
                <c:pt idx="599">
                  <c:v>5.99</c:v>
                </c:pt>
                <c:pt idx="600">
                  <c:v>6</c:v>
                </c:pt>
                <c:pt idx="601">
                  <c:v>6.01</c:v>
                </c:pt>
                <c:pt idx="602">
                  <c:v>6.02</c:v>
                </c:pt>
                <c:pt idx="603">
                  <c:v>6.03</c:v>
                </c:pt>
                <c:pt idx="604">
                  <c:v>6.04</c:v>
                </c:pt>
                <c:pt idx="605">
                  <c:v>6.05</c:v>
                </c:pt>
                <c:pt idx="606">
                  <c:v>6.06</c:v>
                </c:pt>
                <c:pt idx="607">
                  <c:v>6.07</c:v>
                </c:pt>
                <c:pt idx="608">
                  <c:v>6.08</c:v>
                </c:pt>
                <c:pt idx="609">
                  <c:v>6.09</c:v>
                </c:pt>
                <c:pt idx="610">
                  <c:v>6.1</c:v>
                </c:pt>
                <c:pt idx="611">
                  <c:v>6.11</c:v>
                </c:pt>
                <c:pt idx="612">
                  <c:v>6.12</c:v>
                </c:pt>
                <c:pt idx="613">
                  <c:v>6.13</c:v>
                </c:pt>
                <c:pt idx="614">
                  <c:v>6.14</c:v>
                </c:pt>
                <c:pt idx="615">
                  <c:v>6.15</c:v>
                </c:pt>
                <c:pt idx="616">
                  <c:v>6.16</c:v>
                </c:pt>
                <c:pt idx="617">
                  <c:v>6.17</c:v>
                </c:pt>
                <c:pt idx="618">
                  <c:v>6.18</c:v>
                </c:pt>
                <c:pt idx="619">
                  <c:v>6.19</c:v>
                </c:pt>
                <c:pt idx="620">
                  <c:v>6.2</c:v>
                </c:pt>
                <c:pt idx="621">
                  <c:v>6.21</c:v>
                </c:pt>
                <c:pt idx="622">
                  <c:v>6.22</c:v>
                </c:pt>
                <c:pt idx="623">
                  <c:v>6.23</c:v>
                </c:pt>
                <c:pt idx="624">
                  <c:v>6.24</c:v>
                </c:pt>
                <c:pt idx="625">
                  <c:v>6.25</c:v>
                </c:pt>
                <c:pt idx="626">
                  <c:v>6.26</c:v>
                </c:pt>
                <c:pt idx="627">
                  <c:v>6.27</c:v>
                </c:pt>
                <c:pt idx="628">
                  <c:v>6.28</c:v>
                </c:pt>
                <c:pt idx="629">
                  <c:v>6.29</c:v>
                </c:pt>
                <c:pt idx="630">
                  <c:v>6.3</c:v>
                </c:pt>
                <c:pt idx="631">
                  <c:v>6.31</c:v>
                </c:pt>
                <c:pt idx="632">
                  <c:v>6.32</c:v>
                </c:pt>
                <c:pt idx="633">
                  <c:v>6.33</c:v>
                </c:pt>
                <c:pt idx="634">
                  <c:v>6.34</c:v>
                </c:pt>
                <c:pt idx="635">
                  <c:v>6.35</c:v>
                </c:pt>
                <c:pt idx="636">
                  <c:v>6.36</c:v>
                </c:pt>
                <c:pt idx="637">
                  <c:v>6.37</c:v>
                </c:pt>
                <c:pt idx="638">
                  <c:v>6.38</c:v>
                </c:pt>
                <c:pt idx="639">
                  <c:v>6.39</c:v>
                </c:pt>
                <c:pt idx="640">
                  <c:v>6.4</c:v>
                </c:pt>
                <c:pt idx="641">
                  <c:v>6.41</c:v>
                </c:pt>
                <c:pt idx="642">
                  <c:v>6.42</c:v>
                </c:pt>
                <c:pt idx="643">
                  <c:v>6.43</c:v>
                </c:pt>
                <c:pt idx="644">
                  <c:v>6.44</c:v>
                </c:pt>
                <c:pt idx="645">
                  <c:v>6.45</c:v>
                </c:pt>
                <c:pt idx="646">
                  <c:v>6.46</c:v>
                </c:pt>
                <c:pt idx="647">
                  <c:v>6.47</c:v>
                </c:pt>
                <c:pt idx="648">
                  <c:v>6.48</c:v>
                </c:pt>
                <c:pt idx="649">
                  <c:v>6.49</c:v>
                </c:pt>
                <c:pt idx="650">
                  <c:v>6.5</c:v>
                </c:pt>
                <c:pt idx="651">
                  <c:v>6.51</c:v>
                </c:pt>
                <c:pt idx="652">
                  <c:v>6.52</c:v>
                </c:pt>
                <c:pt idx="653">
                  <c:v>6.53</c:v>
                </c:pt>
                <c:pt idx="654">
                  <c:v>6.54</c:v>
                </c:pt>
                <c:pt idx="655">
                  <c:v>6.55</c:v>
                </c:pt>
                <c:pt idx="656">
                  <c:v>6.56</c:v>
                </c:pt>
                <c:pt idx="657">
                  <c:v>6.57</c:v>
                </c:pt>
                <c:pt idx="658">
                  <c:v>6.58</c:v>
                </c:pt>
                <c:pt idx="659">
                  <c:v>6.59</c:v>
                </c:pt>
                <c:pt idx="660">
                  <c:v>6.6</c:v>
                </c:pt>
                <c:pt idx="661">
                  <c:v>6.61</c:v>
                </c:pt>
                <c:pt idx="662">
                  <c:v>6.62</c:v>
                </c:pt>
                <c:pt idx="663">
                  <c:v>6.63</c:v>
                </c:pt>
                <c:pt idx="664">
                  <c:v>6.64</c:v>
                </c:pt>
                <c:pt idx="665">
                  <c:v>6.65</c:v>
                </c:pt>
                <c:pt idx="666">
                  <c:v>6.66</c:v>
                </c:pt>
                <c:pt idx="667">
                  <c:v>6.67</c:v>
                </c:pt>
                <c:pt idx="668">
                  <c:v>6.68</c:v>
                </c:pt>
                <c:pt idx="669">
                  <c:v>6.69</c:v>
                </c:pt>
                <c:pt idx="670">
                  <c:v>6.7</c:v>
                </c:pt>
                <c:pt idx="671">
                  <c:v>6.71</c:v>
                </c:pt>
                <c:pt idx="672">
                  <c:v>6.72</c:v>
                </c:pt>
                <c:pt idx="673">
                  <c:v>6.73</c:v>
                </c:pt>
                <c:pt idx="674">
                  <c:v>6.74</c:v>
                </c:pt>
                <c:pt idx="675">
                  <c:v>6.75</c:v>
                </c:pt>
                <c:pt idx="676">
                  <c:v>6.76</c:v>
                </c:pt>
                <c:pt idx="677">
                  <c:v>6.77</c:v>
                </c:pt>
                <c:pt idx="678">
                  <c:v>6.78</c:v>
                </c:pt>
                <c:pt idx="679">
                  <c:v>6.79</c:v>
                </c:pt>
                <c:pt idx="680">
                  <c:v>6.8</c:v>
                </c:pt>
                <c:pt idx="681">
                  <c:v>6.81</c:v>
                </c:pt>
                <c:pt idx="682">
                  <c:v>6.82</c:v>
                </c:pt>
                <c:pt idx="683">
                  <c:v>6.83</c:v>
                </c:pt>
                <c:pt idx="684">
                  <c:v>6.84</c:v>
                </c:pt>
                <c:pt idx="685">
                  <c:v>6.85</c:v>
                </c:pt>
                <c:pt idx="686">
                  <c:v>6.86</c:v>
                </c:pt>
                <c:pt idx="687">
                  <c:v>6.87</c:v>
                </c:pt>
                <c:pt idx="688">
                  <c:v>6.88</c:v>
                </c:pt>
                <c:pt idx="689">
                  <c:v>6.89</c:v>
                </c:pt>
                <c:pt idx="690">
                  <c:v>6.9</c:v>
                </c:pt>
                <c:pt idx="691">
                  <c:v>6.91</c:v>
                </c:pt>
                <c:pt idx="692">
                  <c:v>6.92</c:v>
                </c:pt>
                <c:pt idx="693">
                  <c:v>6.93</c:v>
                </c:pt>
                <c:pt idx="694">
                  <c:v>6.94</c:v>
                </c:pt>
                <c:pt idx="695">
                  <c:v>6.95</c:v>
                </c:pt>
                <c:pt idx="696">
                  <c:v>6.96</c:v>
                </c:pt>
                <c:pt idx="697">
                  <c:v>6.97</c:v>
                </c:pt>
                <c:pt idx="698">
                  <c:v>6.98</c:v>
                </c:pt>
                <c:pt idx="699">
                  <c:v>6.99</c:v>
                </c:pt>
                <c:pt idx="700">
                  <c:v>7</c:v>
                </c:pt>
                <c:pt idx="701">
                  <c:v>7.01</c:v>
                </c:pt>
                <c:pt idx="702">
                  <c:v>7.02</c:v>
                </c:pt>
                <c:pt idx="703">
                  <c:v>7.03</c:v>
                </c:pt>
                <c:pt idx="704">
                  <c:v>7.04</c:v>
                </c:pt>
                <c:pt idx="705">
                  <c:v>7.05</c:v>
                </c:pt>
                <c:pt idx="706">
                  <c:v>7.06</c:v>
                </c:pt>
                <c:pt idx="707">
                  <c:v>7.07</c:v>
                </c:pt>
                <c:pt idx="708">
                  <c:v>7.08</c:v>
                </c:pt>
                <c:pt idx="709">
                  <c:v>7.09</c:v>
                </c:pt>
                <c:pt idx="710">
                  <c:v>7.1</c:v>
                </c:pt>
                <c:pt idx="711">
                  <c:v>7.11</c:v>
                </c:pt>
                <c:pt idx="712">
                  <c:v>7.12</c:v>
                </c:pt>
                <c:pt idx="713">
                  <c:v>7.13</c:v>
                </c:pt>
                <c:pt idx="714">
                  <c:v>7.14</c:v>
                </c:pt>
                <c:pt idx="715">
                  <c:v>7.15</c:v>
                </c:pt>
                <c:pt idx="716">
                  <c:v>7.16</c:v>
                </c:pt>
                <c:pt idx="717">
                  <c:v>7.17</c:v>
                </c:pt>
                <c:pt idx="718">
                  <c:v>7.18</c:v>
                </c:pt>
                <c:pt idx="719">
                  <c:v>7.19</c:v>
                </c:pt>
                <c:pt idx="720">
                  <c:v>7.2</c:v>
                </c:pt>
                <c:pt idx="721">
                  <c:v>7.21</c:v>
                </c:pt>
                <c:pt idx="722">
                  <c:v>7.22</c:v>
                </c:pt>
                <c:pt idx="723">
                  <c:v>7.23</c:v>
                </c:pt>
                <c:pt idx="724">
                  <c:v>7.24</c:v>
                </c:pt>
                <c:pt idx="725">
                  <c:v>7.25</c:v>
                </c:pt>
                <c:pt idx="726">
                  <c:v>7.26</c:v>
                </c:pt>
                <c:pt idx="727">
                  <c:v>7.27</c:v>
                </c:pt>
                <c:pt idx="728">
                  <c:v>7.28</c:v>
                </c:pt>
                <c:pt idx="729">
                  <c:v>7.29</c:v>
                </c:pt>
                <c:pt idx="730">
                  <c:v>7.3</c:v>
                </c:pt>
                <c:pt idx="731">
                  <c:v>7.31</c:v>
                </c:pt>
                <c:pt idx="732">
                  <c:v>7.32</c:v>
                </c:pt>
                <c:pt idx="733">
                  <c:v>7.33</c:v>
                </c:pt>
                <c:pt idx="734">
                  <c:v>7.34</c:v>
                </c:pt>
                <c:pt idx="735">
                  <c:v>7.35</c:v>
                </c:pt>
                <c:pt idx="736">
                  <c:v>7.36</c:v>
                </c:pt>
                <c:pt idx="737">
                  <c:v>7.37</c:v>
                </c:pt>
                <c:pt idx="738">
                  <c:v>7.38</c:v>
                </c:pt>
                <c:pt idx="739">
                  <c:v>7.39</c:v>
                </c:pt>
                <c:pt idx="740">
                  <c:v>7.4</c:v>
                </c:pt>
                <c:pt idx="741">
                  <c:v>7.41</c:v>
                </c:pt>
                <c:pt idx="742">
                  <c:v>7.42</c:v>
                </c:pt>
                <c:pt idx="743">
                  <c:v>7.43</c:v>
                </c:pt>
                <c:pt idx="744">
                  <c:v>7.44</c:v>
                </c:pt>
                <c:pt idx="745">
                  <c:v>7.45</c:v>
                </c:pt>
                <c:pt idx="746">
                  <c:v>7.46</c:v>
                </c:pt>
                <c:pt idx="747">
                  <c:v>7.47</c:v>
                </c:pt>
                <c:pt idx="748">
                  <c:v>7.48</c:v>
                </c:pt>
                <c:pt idx="749">
                  <c:v>7.49</c:v>
                </c:pt>
                <c:pt idx="750">
                  <c:v>7.5</c:v>
                </c:pt>
                <c:pt idx="751">
                  <c:v>7.51</c:v>
                </c:pt>
                <c:pt idx="752">
                  <c:v>7.52</c:v>
                </c:pt>
                <c:pt idx="753">
                  <c:v>7.53</c:v>
                </c:pt>
                <c:pt idx="754">
                  <c:v>7.54</c:v>
                </c:pt>
                <c:pt idx="755">
                  <c:v>7.55</c:v>
                </c:pt>
                <c:pt idx="756">
                  <c:v>7.56</c:v>
                </c:pt>
                <c:pt idx="757">
                  <c:v>7.57</c:v>
                </c:pt>
                <c:pt idx="758">
                  <c:v>7.58</c:v>
                </c:pt>
                <c:pt idx="759">
                  <c:v>7.59</c:v>
                </c:pt>
                <c:pt idx="760">
                  <c:v>7.6</c:v>
                </c:pt>
                <c:pt idx="761">
                  <c:v>7.61</c:v>
                </c:pt>
                <c:pt idx="762">
                  <c:v>7.62</c:v>
                </c:pt>
                <c:pt idx="763">
                  <c:v>7.63</c:v>
                </c:pt>
                <c:pt idx="764">
                  <c:v>7.64</c:v>
                </c:pt>
                <c:pt idx="765">
                  <c:v>7.65</c:v>
                </c:pt>
                <c:pt idx="766">
                  <c:v>7.66</c:v>
                </c:pt>
                <c:pt idx="767">
                  <c:v>7.67</c:v>
                </c:pt>
                <c:pt idx="768">
                  <c:v>7.68</c:v>
                </c:pt>
                <c:pt idx="769">
                  <c:v>7.69</c:v>
                </c:pt>
                <c:pt idx="770">
                  <c:v>7.7</c:v>
                </c:pt>
                <c:pt idx="771">
                  <c:v>7.71</c:v>
                </c:pt>
                <c:pt idx="772">
                  <c:v>7.72</c:v>
                </c:pt>
                <c:pt idx="773">
                  <c:v>7.73</c:v>
                </c:pt>
                <c:pt idx="774">
                  <c:v>7.74</c:v>
                </c:pt>
                <c:pt idx="775">
                  <c:v>7.75</c:v>
                </c:pt>
                <c:pt idx="776">
                  <c:v>7.76</c:v>
                </c:pt>
                <c:pt idx="777">
                  <c:v>7.77</c:v>
                </c:pt>
                <c:pt idx="778">
                  <c:v>7.78</c:v>
                </c:pt>
                <c:pt idx="779">
                  <c:v>7.79</c:v>
                </c:pt>
                <c:pt idx="780">
                  <c:v>7.8</c:v>
                </c:pt>
                <c:pt idx="781">
                  <c:v>7.81</c:v>
                </c:pt>
                <c:pt idx="782">
                  <c:v>7.82</c:v>
                </c:pt>
                <c:pt idx="783">
                  <c:v>7.83</c:v>
                </c:pt>
                <c:pt idx="784">
                  <c:v>7.84</c:v>
                </c:pt>
                <c:pt idx="785">
                  <c:v>7.85</c:v>
                </c:pt>
                <c:pt idx="786">
                  <c:v>7.86</c:v>
                </c:pt>
                <c:pt idx="787">
                  <c:v>7.87</c:v>
                </c:pt>
                <c:pt idx="788">
                  <c:v>7.88</c:v>
                </c:pt>
                <c:pt idx="789">
                  <c:v>7.89</c:v>
                </c:pt>
                <c:pt idx="790">
                  <c:v>7.9</c:v>
                </c:pt>
                <c:pt idx="791">
                  <c:v>7.91</c:v>
                </c:pt>
                <c:pt idx="792">
                  <c:v>7.92</c:v>
                </c:pt>
                <c:pt idx="793">
                  <c:v>7.93</c:v>
                </c:pt>
                <c:pt idx="794">
                  <c:v>7.94</c:v>
                </c:pt>
                <c:pt idx="795">
                  <c:v>7.95</c:v>
                </c:pt>
                <c:pt idx="796">
                  <c:v>7.96</c:v>
                </c:pt>
                <c:pt idx="797">
                  <c:v>7.97</c:v>
                </c:pt>
                <c:pt idx="798">
                  <c:v>7.98</c:v>
                </c:pt>
                <c:pt idx="799">
                  <c:v>7.99</c:v>
                </c:pt>
                <c:pt idx="800">
                  <c:v>8</c:v>
                </c:pt>
                <c:pt idx="801">
                  <c:v>8.01</c:v>
                </c:pt>
                <c:pt idx="802">
                  <c:v>8.02</c:v>
                </c:pt>
                <c:pt idx="803">
                  <c:v>8.0299999999999994</c:v>
                </c:pt>
                <c:pt idx="804">
                  <c:v>8.0399999999999991</c:v>
                </c:pt>
                <c:pt idx="805">
                  <c:v>8.0500000000000007</c:v>
                </c:pt>
                <c:pt idx="806">
                  <c:v>8.06</c:v>
                </c:pt>
                <c:pt idx="807">
                  <c:v>8.07</c:v>
                </c:pt>
                <c:pt idx="808">
                  <c:v>8.08</c:v>
                </c:pt>
                <c:pt idx="809">
                  <c:v>8.09</c:v>
                </c:pt>
                <c:pt idx="810">
                  <c:v>8.1</c:v>
                </c:pt>
                <c:pt idx="811">
                  <c:v>8.11</c:v>
                </c:pt>
                <c:pt idx="812">
                  <c:v>8.1199999999999992</c:v>
                </c:pt>
                <c:pt idx="813">
                  <c:v>8.1300000000000008</c:v>
                </c:pt>
                <c:pt idx="814">
                  <c:v>8.14</c:v>
                </c:pt>
                <c:pt idx="815">
                  <c:v>8.15</c:v>
                </c:pt>
                <c:pt idx="816">
                  <c:v>8.16</c:v>
                </c:pt>
                <c:pt idx="817">
                  <c:v>8.17</c:v>
                </c:pt>
                <c:pt idx="818">
                  <c:v>8.18</c:v>
                </c:pt>
                <c:pt idx="819">
                  <c:v>8.19</c:v>
                </c:pt>
                <c:pt idx="820">
                  <c:v>8.1999999999999993</c:v>
                </c:pt>
                <c:pt idx="821">
                  <c:v>8.2100000000000009</c:v>
                </c:pt>
                <c:pt idx="822">
                  <c:v>8.2200000000000006</c:v>
                </c:pt>
                <c:pt idx="823">
                  <c:v>8.23</c:v>
                </c:pt>
                <c:pt idx="824">
                  <c:v>8.24</c:v>
                </c:pt>
                <c:pt idx="825">
                  <c:v>8.25</c:v>
                </c:pt>
                <c:pt idx="826">
                  <c:v>8.26</c:v>
                </c:pt>
                <c:pt idx="827">
                  <c:v>8.27</c:v>
                </c:pt>
                <c:pt idx="828">
                  <c:v>8.2799999999999994</c:v>
                </c:pt>
                <c:pt idx="829">
                  <c:v>8.2899999999999991</c:v>
                </c:pt>
                <c:pt idx="830">
                  <c:v>8.3000000000000007</c:v>
                </c:pt>
                <c:pt idx="831">
                  <c:v>8.31</c:v>
                </c:pt>
                <c:pt idx="832">
                  <c:v>8.32</c:v>
                </c:pt>
                <c:pt idx="833">
                  <c:v>8.33</c:v>
                </c:pt>
                <c:pt idx="834">
                  <c:v>8.34</c:v>
                </c:pt>
                <c:pt idx="835">
                  <c:v>8.35</c:v>
                </c:pt>
                <c:pt idx="836">
                  <c:v>8.36</c:v>
                </c:pt>
                <c:pt idx="837">
                  <c:v>8.3699999999999992</c:v>
                </c:pt>
                <c:pt idx="838">
                  <c:v>8.3800000000000008</c:v>
                </c:pt>
                <c:pt idx="839">
                  <c:v>8.39</c:v>
                </c:pt>
                <c:pt idx="840">
                  <c:v>8.4</c:v>
                </c:pt>
                <c:pt idx="841">
                  <c:v>8.41</c:v>
                </c:pt>
                <c:pt idx="842">
                  <c:v>8.42</c:v>
                </c:pt>
                <c:pt idx="843">
                  <c:v>8.43</c:v>
                </c:pt>
                <c:pt idx="844">
                  <c:v>8.44</c:v>
                </c:pt>
                <c:pt idx="845">
                  <c:v>8.4499999999999993</c:v>
                </c:pt>
                <c:pt idx="846">
                  <c:v>8.4600000000000009</c:v>
                </c:pt>
                <c:pt idx="847">
                  <c:v>8.4700000000000006</c:v>
                </c:pt>
                <c:pt idx="848">
                  <c:v>8.48</c:v>
                </c:pt>
                <c:pt idx="849">
                  <c:v>8.49</c:v>
                </c:pt>
                <c:pt idx="850">
                  <c:v>8.5</c:v>
                </c:pt>
                <c:pt idx="851">
                  <c:v>8.51</c:v>
                </c:pt>
                <c:pt idx="852">
                  <c:v>8.52</c:v>
                </c:pt>
                <c:pt idx="853">
                  <c:v>8.5299999999999994</c:v>
                </c:pt>
                <c:pt idx="854">
                  <c:v>8.5399999999999991</c:v>
                </c:pt>
                <c:pt idx="855">
                  <c:v>8.5500000000000007</c:v>
                </c:pt>
                <c:pt idx="856">
                  <c:v>8.56</c:v>
                </c:pt>
                <c:pt idx="857">
                  <c:v>8.57</c:v>
                </c:pt>
                <c:pt idx="858">
                  <c:v>8.58</c:v>
                </c:pt>
                <c:pt idx="859">
                  <c:v>8.59</c:v>
                </c:pt>
                <c:pt idx="860">
                  <c:v>8.6</c:v>
                </c:pt>
                <c:pt idx="861">
                  <c:v>8.61</c:v>
                </c:pt>
                <c:pt idx="862">
                  <c:v>8.6199999999999992</c:v>
                </c:pt>
                <c:pt idx="863">
                  <c:v>8.6300000000000008</c:v>
                </c:pt>
                <c:pt idx="864">
                  <c:v>8.64</c:v>
                </c:pt>
                <c:pt idx="865">
                  <c:v>8.65</c:v>
                </c:pt>
                <c:pt idx="866">
                  <c:v>8.66</c:v>
                </c:pt>
                <c:pt idx="867">
                  <c:v>8.67</c:v>
                </c:pt>
                <c:pt idx="868">
                  <c:v>8.68</c:v>
                </c:pt>
                <c:pt idx="869">
                  <c:v>8.69</c:v>
                </c:pt>
                <c:pt idx="870">
                  <c:v>8.6999999999999993</c:v>
                </c:pt>
                <c:pt idx="871">
                  <c:v>8.7100000000000009</c:v>
                </c:pt>
                <c:pt idx="872">
                  <c:v>8.7200000000000006</c:v>
                </c:pt>
                <c:pt idx="873">
                  <c:v>8.73</c:v>
                </c:pt>
                <c:pt idx="874">
                  <c:v>8.74</c:v>
                </c:pt>
                <c:pt idx="875">
                  <c:v>8.75</c:v>
                </c:pt>
                <c:pt idx="876">
                  <c:v>8.76</c:v>
                </c:pt>
                <c:pt idx="877">
                  <c:v>8.77</c:v>
                </c:pt>
                <c:pt idx="878">
                  <c:v>8.7799999999999994</c:v>
                </c:pt>
                <c:pt idx="879">
                  <c:v>8.7899999999999991</c:v>
                </c:pt>
                <c:pt idx="880">
                  <c:v>8.8000000000000007</c:v>
                </c:pt>
                <c:pt idx="881">
                  <c:v>8.81</c:v>
                </c:pt>
                <c:pt idx="882">
                  <c:v>8.82</c:v>
                </c:pt>
                <c:pt idx="883">
                  <c:v>8.83</c:v>
                </c:pt>
                <c:pt idx="884">
                  <c:v>8.84</c:v>
                </c:pt>
                <c:pt idx="885">
                  <c:v>8.85</c:v>
                </c:pt>
                <c:pt idx="886">
                  <c:v>8.86</c:v>
                </c:pt>
                <c:pt idx="887">
                  <c:v>8.8699999999999992</c:v>
                </c:pt>
                <c:pt idx="888">
                  <c:v>8.8800000000000008</c:v>
                </c:pt>
                <c:pt idx="889">
                  <c:v>8.89</c:v>
                </c:pt>
                <c:pt idx="890">
                  <c:v>8.9</c:v>
                </c:pt>
                <c:pt idx="891">
                  <c:v>8.91</c:v>
                </c:pt>
                <c:pt idx="892">
                  <c:v>8.92</c:v>
                </c:pt>
                <c:pt idx="893">
                  <c:v>8.93</c:v>
                </c:pt>
                <c:pt idx="894">
                  <c:v>8.94</c:v>
                </c:pt>
                <c:pt idx="895">
                  <c:v>8.9499999999999993</c:v>
                </c:pt>
                <c:pt idx="896">
                  <c:v>8.9600000000000009</c:v>
                </c:pt>
                <c:pt idx="897">
                  <c:v>8.9700000000000006</c:v>
                </c:pt>
                <c:pt idx="898">
                  <c:v>8.98</c:v>
                </c:pt>
                <c:pt idx="899">
                  <c:v>8.99</c:v>
                </c:pt>
                <c:pt idx="900">
                  <c:v>9</c:v>
                </c:pt>
                <c:pt idx="901">
                  <c:v>9.01</c:v>
                </c:pt>
                <c:pt idx="902">
                  <c:v>9.02</c:v>
                </c:pt>
                <c:pt idx="903">
                  <c:v>9.0299999999999994</c:v>
                </c:pt>
                <c:pt idx="904">
                  <c:v>9.0399999999999991</c:v>
                </c:pt>
                <c:pt idx="905">
                  <c:v>9.0500000000000007</c:v>
                </c:pt>
                <c:pt idx="906">
                  <c:v>9.06</c:v>
                </c:pt>
                <c:pt idx="907">
                  <c:v>9.07</c:v>
                </c:pt>
                <c:pt idx="908">
                  <c:v>9.08</c:v>
                </c:pt>
                <c:pt idx="909">
                  <c:v>9.09</c:v>
                </c:pt>
                <c:pt idx="910">
                  <c:v>9.1</c:v>
                </c:pt>
                <c:pt idx="911">
                  <c:v>9.11</c:v>
                </c:pt>
                <c:pt idx="912">
                  <c:v>9.1199999999999992</c:v>
                </c:pt>
                <c:pt idx="913">
                  <c:v>9.1300000000000008</c:v>
                </c:pt>
                <c:pt idx="914">
                  <c:v>9.14</c:v>
                </c:pt>
                <c:pt idx="915">
                  <c:v>9.15</c:v>
                </c:pt>
                <c:pt idx="916">
                  <c:v>9.16</c:v>
                </c:pt>
                <c:pt idx="917">
                  <c:v>9.17</c:v>
                </c:pt>
                <c:pt idx="918">
                  <c:v>9.18</c:v>
                </c:pt>
                <c:pt idx="919">
                  <c:v>9.19</c:v>
                </c:pt>
                <c:pt idx="920">
                  <c:v>9.1999999999999993</c:v>
                </c:pt>
                <c:pt idx="921">
                  <c:v>9.2100000000000009</c:v>
                </c:pt>
                <c:pt idx="922">
                  <c:v>9.2200000000000006</c:v>
                </c:pt>
                <c:pt idx="923">
                  <c:v>9.23</c:v>
                </c:pt>
                <c:pt idx="924">
                  <c:v>9.24</c:v>
                </c:pt>
                <c:pt idx="925">
                  <c:v>9.25</c:v>
                </c:pt>
                <c:pt idx="926">
                  <c:v>9.26</c:v>
                </c:pt>
                <c:pt idx="927">
                  <c:v>9.27</c:v>
                </c:pt>
                <c:pt idx="928">
                  <c:v>9.2799999999999994</c:v>
                </c:pt>
                <c:pt idx="929">
                  <c:v>9.2899999999999991</c:v>
                </c:pt>
                <c:pt idx="930">
                  <c:v>9.3000000000000007</c:v>
                </c:pt>
                <c:pt idx="931">
                  <c:v>9.31</c:v>
                </c:pt>
                <c:pt idx="932">
                  <c:v>9.32</c:v>
                </c:pt>
                <c:pt idx="933">
                  <c:v>9.33</c:v>
                </c:pt>
                <c:pt idx="934">
                  <c:v>9.34</c:v>
                </c:pt>
                <c:pt idx="935">
                  <c:v>9.35</c:v>
                </c:pt>
                <c:pt idx="936">
                  <c:v>9.36</c:v>
                </c:pt>
                <c:pt idx="937">
                  <c:v>9.3699999999999992</c:v>
                </c:pt>
                <c:pt idx="938">
                  <c:v>9.3800000000000008</c:v>
                </c:pt>
                <c:pt idx="939">
                  <c:v>9.39</c:v>
                </c:pt>
                <c:pt idx="940">
                  <c:v>9.4</c:v>
                </c:pt>
                <c:pt idx="941">
                  <c:v>9.41</c:v>
                </c:pt>
                <c:pt idx="942">
                  <c:v>9.42</c:v>
                </c:pt>
                <c:pt idx="943">
                  <c:v>9.43</c:v>
                </c:pt>
                <c:pt idx="944">
                  <c:v>9.44</c:v>
                </c:pt>
                <c:pt idx="945">
                  <c:v>9.4499999999999993</c:v>
                </c:pt>
                <c:pt idx="946">
                  <c:v>9.4600000000000009</c:v>
                </c:pt>
                <c:pt idx="947">
                  <c:v>9.4700000000000006</c:v>
                </c:pt>
                <c:pt idx="948">
                  <c:v>9.48</c:v>
                </c:pt>
                <c:pt idx="949">
                  <c:v>9.49</c:v>
                </c:pt>
                <c:pt idx="950">
                  <c:v>9.5</c:v>
                </c:pt>
                <c:pt idx="951">
                  <c:v>9.51</c:v>
                </c:pt>
                <c:pt idx="952">
                  <c:v>9.52</c:v>
                </c:pt>
                <c:pt idx="953">
                  <c:v>9.5299999999999994</c:v>
                </c:pt>
                <c:pt idx="954">
                  <c:v>9.5399999999999991</c:v>
                </c:pt>
                <c:pt idx="955">
                  <c:v>9.5500000000000007</c:v>
                </c:pt>
                <c:pt idx="956">
                  <c:v>9.56</c:v>
                </c:pt>
                <c:pt idx="957">
                  <c:v>9.57</c:v>
                </c:pt>
                <c:pt idx="958">
                  <c:v>9.58</c:v>
                </c:pt>
                <c:pt idx="959">
                  <c:v>9.59</c:v>
                </c:pt>
                <c:pt idx="960">
                  <c:v>9.6</c:v>
                </c:pt>
                <c:pt idx="961">
                  <c:v>9.61</c:v>
                </c:pt>
                <c:pt idx="962">
                  <c:v>9.6199999999999992</c:v>
                </c:pt>
                <c:pt idx="963">
                  <c:v>9.6300000000000008</c:v>
                </c:pt>
                <c:pt idx="964">
                  <c:v>9.64</c:v>
                </c:pt>
                <c:pt idx="965">
                  <c:v>9.65</c:v>
                </c:pt>
                <c:pt idx="966">
                  <c:v>9.66</c:v>
                </c:pt>
                <c:pt idx="967">
                  <c:v>9.67</c:v>
                </c:pt>
                <c:pt idx="968">
                  <c:v>9.68</c:v>
                </c:pt>
                <c:pt idx="969">
                  <c:v>9.69</c:v>
                </c:pt>
                <c:pt idx="970">
                  <c:v>9.6999999999999993</c:v>
                </c:pt>
                <c:pt idx="971">
                  <c:v>9.7100000000000009</c:v>
                </c:pt>
                <c:pt idx="972">
                  <c:v>9.7200000000000006</c:v>
                </c:pt>
                <c:pt idx="973">
                  <c:v>9.73</c:v>
                </c:pt>
                <c:pt idx="974">
                  <c:v>9.74</c:v>
                </c:pt>
                <c:pt idx="975">
                  <c:v>9.75</c:v>
                </c:pt>
                <c:pt idx="976">
                  <c:v>9.76</c:v>
                </c:pt>
                <c:pt idx="977">
                  <c:v>9.77</c:v>
                </c:pt>
                <c:pt idx="978">
                  <c:v>9.7799999999999994</c:v>
                </c:pt>
                <c:pt idx="979">
                  <c:v>9.7899999999999991</c:v>
                </c:pt>
                <c:pt idx="980">
                  <c:v>9.8000000000000007</c:v>
                </c:pt>
                <c:pt idx="981">
                  <c:v>9.81</c:v>
                </c:pt>
                <c:pt idx="982">
                  <c:v>9.82</c:v>
                </c:pt>
                <c:pt idx="983">
                  <c:v>9.83</c:v>
                </c:pt>
                <c:pt idx="984">
                  <c:v>9.84</c:v>
                </c:pt>
                <c:pt idx="985">
                  <c:v>9.85</c:v>
                </c:pt>
                <c:pt idx="986">
                  <c:v>9.86</c:v>
                </c:pt>
                <c:pt idx="987">
                  <c:v>9.8699999999999992</c:v>
                </c:pt>
                <c:pt idx="988">
                  <c:v>9.8800000000000008</c:v>
                </c:pt>
                <c:pt idx="989">
                  <c:v>9.89</c:v>
                </c:pt>
                <c:pt idx="990">
                  <c:v>9.9</c:v>
                </c:pt>
                <c:pt idx="991">
                  <c:v>9.91</c:v>
                </c:pt>
                <c:pt idx="992">
                  <c:v>9.92</c:v>
                </c:pt>
                <c:pt idx="993">
                  <c:v>9.93</c:v>
                </c:pt>
                <c:pt idx="994">
                  <c:v>9.94</c:v>
                </c:pt>
                <c:pt idx="995">
                  <c:v>9.9499999999999993</c:v>
                </c:pt>
                <c:pt idx="996">
                  <c:v>9.9600000000000009</c:v>
                </c:pt>
                <c:pt idx="997">
                  <c:v>9.9700000000000006</c:v>
                </c:pt>
                <c:pt idx="998">
                  <c:v>9.98</c:v>
                </c:pt>
                <c:pt idx="999">
                  <c:v>9.99</c:v>
                </c:pt>
                <c:pt idx="1000">
                  <c:v>10</c:v>
                </c:pt>
              </c:numCache>
            </c:numRef>
          </c:cat>
          <c:val>
            <c:numRef>
              <c:f>Curves!$M$2:$M$1002</c:f>
              <c:numCache>
                <c:formatCode>#,##0.00;[Red]\(#,##0.00\)</c:formatCode>
                <c:ptCount val="1001"/>
                <c:pt idx="0">
                  <c:v>1100000</c:v>
                </c:pt>
                <c:pt idx="1">
                  <c:v>1102431.6908982182</c:v>
                </c:pt>
                <c:pt idx="2">
                  <c:v>1104837.1158758756</c:v>
                </c:pt>
                <c:pt idx="3">
                  <c:v>1107216.4651411185</c:v>
                </c:pt>
                <c:pt idx="4">
                  <c:v>1109569.9272108427</c:v>
                </c:pt>
                <c:pt idx="5">
                  <c:v>1111897.6889251524</c:v>
                </c:pt>
                <c:pt idx="6">
                  <c:v>1114199.9354617228</c:v>
                </c:pt>
                <c:pt idx="7">
                  <c:v>1116476.8503500686</c:v>
                </c:pt>
                <c:pt idx="8">
                  <c:v>1118728.6154857224</c:v>
                </c:pt>
                <c:pt idx="9">
                  <c:v>1120955.4111443199</c:v>
                </c:pt>
                <c:pt idx="10">
                  <c:v>1123157.4159955978</c:v>
                </c:pt>
                <c:pt idx="11">
                  <c:v>1125334.8071173029</c:v>
                </c:pt>
                <c:pt idx="12">
                  <c:v>1127487.7600090161</c:v>
                </c:pt>
                <c:pt idx="13">
                  <c:v>1129616.448605889</c:v>
                </c:pt>
                <c:pt idx="14">
                  <c:v>1131721.0452923016</c:v>
                </c:pt>
                <c:pt idx="15">
                  <c:v>1133801.720915433</c:v>
                </c:pt>
                <c:pt idx="16">
                  <c:v>1135858.6447987554</c:v>
                </c:pt>
                <c:pt idx="17">
                  <c:v>1137891.9847554474</c:v>
                </c:pt>
                <c:pt idx="18">
                  <c:v>1139901.9071017299</c:v>
                </c:pt>
                <c:pt idx="19">
                  <c:v>1141888.5766701265</c:v>
                </c:pt>
                <c:pt idx="20">
                  <c:v>1143852.1568226479</c:v>
                </c:pt>
                <c:pt idx="21">
                  <c:v>1145792.8094639056</c:v>
                </c:pt>
                <c:pt idx="22">
                  <c:v>1147710.695054149</c:v>
                </c:pt>
                <c:pt idx="23">
                  <c:v>1149605.9726222383</c:v>
                </c:pt>
                <c:pt idx="24">
                  <c:v>1151478.7997785427</c:v>
                </c:pt>
                <c:pt idx="25">
                  <c:v>1153329.3327277743</c:v>
                </c:pt>
                <c:pt idx="26">
                  <c:v>1155157.7262817549</c:v>
                </c:pt>
                <c:pt idx="27">
                  <c:v>1156964.1338721176</c:v>
                </c:pt>
                <c:pt idx="28">
                  <c:v>1158748.7075629453</c:v>
                </c:pt>
                <c:pt idx="29">
                  <c:v>1160511.5980633472</c:v>
                </c:pt>
                <c:pt idx="30">
                  <c:v>1162252.9547399741</c:v>
                </c:pt>
                <c:pt idx="31">
                  <c:v>1163972.9256294756</c:v>
                </c:pt>
                <c:pt idx="32">
                  <c:v>1165671.6574508972</c:v>
                </c:pt>
                <c:pt idx="33">
                  <c:v>1167349.2956180237</c:v>
                </c:pt>
                <c:pt idx="34">
                  <c:v>1169005.9842516645</c:v>
                </c:pt>
                <c:pt idx="35">
                  <c:v>1170641.8661918868</c:v>
                </c:pt>
                <c:pt idx="36">
                  <c:v>1172257.0830101958</c:v>
                </c:pt>
                <c:pt idx="37">
                  <c:v>1173851.7750216627</c:v>
                </c:pt>
                <c:pt idx="38">
                  <c:v>1175426.0812970046</c:v>
                </c:pt>
                <c:pt idx="39">
                  <c:v>1176980.1396746144</c:v>
                </c:pt>
                <c:pt idx="40">
                  <c:v>1178514.0867725427</c:v>
                </c:pt>
                <c:pt idx="41">
                  <c:v>1180028.0580004358</c:v>
                </c:pt>
                <c:pt idx="42">
                  <c:v>1181522.1875714269</c:v>
                </c:pt>
                <c:pt idx="43">
                  <c:v>1182996.6085139844</c:v>
                </c:pt>
                <c:pt idx="44">
                  <c:v>1184451.4526837189</c:v>
                </c:pt>
                <c:pt idx="45">
                  <c:v>1185886.8507751469</c:v>
                </c:pt>
                <c:pt idx="46">
                  <c:v>1187302.9323334165</c:v>
                </c:pt>
                <c:pt idx="47">
                  <c:v>1188699.8257659939</c:v>
                </c:pt>
                <c:pt idx="48">
                  <c:v>1190077.6583543126</c:v>
                </c:pt>
                <c:pt idx="49">
                  <c:v>1191436.5562653847</c:v>
                </c:pt>
                <c:pt idx="50">
                  <c:v>1192776.6445633802</c:v>
                </c:pt>
                <c:pt idx="51">
                  <c:v>1194098.0472211693</c:v>
                </c:pt>
                <c:pt idx="52">
                  <c:v>1195400.8871318332</c:v>
                </c:pt>
                <c:pt idx="53">
                  <c:v>1196685.2861201433</c:v>
                </c:pt>
                <c:pt idx="54">
                  <c:v>1197951.3649540085</c:v>
                </c:pt>
                <c:pt idx="55">
                  <c:v>1199199.243355894</c:v>
                </c:pt>
                <c:pt idx="56">
                  <c:v>1200429.0400142118</c:v>
                </c:pt>
                <c:pt idx="57">
                  <c:v>1201640.8725946816</c:v>
                </c:pt>
                <c:pt idx="58">
                  <c:v>1202834.8577516673</c:v>
                </c:pt>
                <c:pt idx="59">
                  <c:v>1204011.1111394865</c:v>
                </c:pt>
                <c:pt idx="60">
                  <c:v>1205169.747423697</c:v>
                </c:pt>
                <c:pt idx="61">
                  <c:v>1206310.8802923567</c:v>
                </c:pt>
                <c:pt idx="62">
                  <c:v>1207434.6224672636</c:v>
                </c:pt>
                <c:pt idx="63">
                  <c:v>1208541.0857151719</c:v>
                </c:pt>
                <c:pt idx="64">
                  <c:v>1209630.380858988</c:v>
                </c:pt>
                <c:pt idx="65">
                  <c:v>1210702.6177889465</c:v>
                </c:pt>
                <c:pt idx="66">
                  <c:v>1211757.9054737641</c:v>
                </c:pt>
                <c:pt idx="67">
                  <c:v>1212796.3519717783</c:v>
                </c:pt>
                <c:pt idx="68">
                  <c:v>1213818.0644420662</c:v>
                </c:pt>
                <c:pt idx="69">
                  <c:v>1214823.149155545</c:v>
                </c:pt>
                <c:pt idx="70">
                  <c:v>1215811.7115060578</c:v>
                </c:pt>
                <c:pt idx="71">
                  <c:v>1216783.8560214422</c:v>
                </c:pt>
                <c:pt idx="72">
                  <c:v>1217739.6863745833</c:v>
                </c:pt>
                <c:pt idx="73">
                  <c:v>1218679.3053944516</c:v>
                </c:pt>
                <c:pt idx="74">
                  <c:v>1219602.8150771277</c:v>
                </c:pt>
                <c:pt idx="75">
                  <c:v>1220510.3165968107</c:v>
                </c:pt>
                <c:pt idx="76">
                  <c:v>1221401.9103168154</c:v>
                </c:pt>
                <c:pt idx="77">
                  <c:v>1222277.6958005542</c:v>
                </c:pt>
                <c:pt idx="78">
                  <c:v>1223137.7718225084</c:v>
                </c:pt>
                <c:pt idx="79">
                  <c:v>1223982.2363791834</c:v>
                </c:pt>
                <c:pt idx="80">
                  <c:v>1224811.1867000561</c:v>
                </c:pt>
                <c:pt idx="81">
                  <c:v>1225624.7192585056</c:v>
                </c:pt>
                <c:pt idx="82">
                  <c:v>1226422.9297827356</c:v>
                </c:pt>
                <c:pt idx="83">
                  <c:v>1227205.9132666823</c:v>
                </c:pt>
                <c:pt idx="84">
                  <c:v>1227973.7639809111</c:v>
                </c:pt>
                <c:pt idx="85">
                  <c:v>1228726.5754835024</c:v>
                </c:pt>
                <c:pt idx="86">
                  <c:v>1229464.440630924</c:v>
                </c:pt>
                <c:pt idx="87">
                  <c:v>1230187.4515888928</c:v>
                </c:pt>
                <c:pt idx="88">
                  <c:v>1230895.6998432227</c:v>
                </c:pt>
                <c:pt idx="89">
                  <c:v>1231589.276210661</c:v>
                </c:pt>
                <c:pt idx="90">
                  <c:v>1232268.2708497122</c:v>
                </c:pt>
                <c:pt idx="91">
                  <c:v>1232932.7732714473</c:v>
                </c:pt>
                <c:pt idx="92">
                  <c:v>1233582.8723503016</c:v>
                </c:pt>
                <c:pt idx="93">
                  <c:v>1234218.6563348563</c:v>
                </c:pt>
                <c:pt idx="94">
                  <c:v>1234840.2128586075</c:v>
                </c:pt>
                <c:pt idx="95">
                  <c:v>1235447.6289507176</c:v>
                </c:pt>
                <c:pt idx="96">
                  <c:v>1236040.9910467537</c:v>
                </c:pt>
                <c:pt idx="97">
                  <c:v>1236620.3849994072</c:v>
                </c:pt>
                <c:pt idx="98">
                  <c:v>1237185.8960891957</c:v>
                </c:pt>
                <c:pt idx="99">
                  <c:v>1237737.6090351499</c:v>
                </c:pt>
                <c:pt idx="100">
                  <c:v>1238275.6080054762</c:v>
                </c:pt>
                <c:pt idx="101">
                  <c:v>1238799.9766282027</c:v>
                </c:pt>
                <c:pt idx="102">
                  <c:v>1239310.7980018037</c:v>
                </c:pt>
                <c:pt idx="103">
                  <c:v>1239808.1547057985</c:v>
                </c:pt>
                <c:pt idx="104">
                  <c:v>1240292.1288113303</c:v>
                </c:pt>
                <c:pt idx="105">
                  <c:v>1240762.8018917167</c:v>
                </c:pt>
                <c:pt idx="106">
                  <c:v>1241220.2550329764</c:v>
                </c:pt>
                <c:pt idx="107">
                  <c:v>1241664.5688443247</c:v>
                </c:pt>
                <c:pt idx="108">
                  <c:v>1242095.823468643</c:v>
                </c:pt>
                <c:pt idx="109">
                  <c:v>1242514.0985929132</c:v>
                </c:pt>
                <c:pt idx="110">
                  <c:v>1242919.473458623</c:v>
                </c:pt>
                <c:pt idx="111">
                  <c:v>1243312.0268721329</c:v>
                </c:pt>
                <c:pt idx="112">
                  <c:v>1243691.8372150089</c:v>
                </c:pt>
                <c:pt idx="113">
                  <c:v>1244058.982454316</c:v>
                </c:pt>
                <c:pt idx="114">
                  <c:v>1244413.5401528697</c:v>
                </c:pt>
                <c:pt idx="115">
                  <c:v>1244755.587479447</c:v>
                </c:pt>
                <c:pt idx="116">
                  <c:v>1245085.2012189508</c:v>
                </c:pt>
                <c:pt idx="117">
                  <c:v>1245402.4577825265</c:v>
                </c:pt>
                <c:pt idx="118">
                  <c:v>1245707.4332176317</c:v>
                </c:pt>
                <c:pt idx="119">
                  <c:v>1246000.2032180494</c:v>
                </c:pt>
                <c:pt idx="120">
                  <c:v>1246280.8431338514</c:v>
                </c:pt>
                <c:pt idx="121">
                  <c:v>1246549.4279812998</c:v>
                </c:pt>
                <c:pt idx="122">
                  <c:v>1246806.0324526927</c:v>
                </c:pt>
                <c:pt idx="123">
                  <c:v>1247050.7309261435</c:v>
                </c:pt>
                <c:pt idx="124">
                  <c:v>1247283.5974752968</c:v>
                </c:pt>
                <c:pt idx="125">
                  <c:v>1247504.7058789751</c:v>
                </c:pt>
                <c:pt idx="126">
                  <c:v>1247714.1296307542</c:v>
                </c:pt>
                <c:pt idx="127">
                  <c:v>1247911.9419484627</c:v>
                </c:pt>
                <c:pt idx="128">
                  <c:v>1248098.2157836058</c:v>
                </c:pt>
                <c:pt idx="129">
                  <c:v>1248273.0238307056</c:v>
                </c:pt>
                <c:pt idx="130">
                  <c:v>1248436.4385365581</c:v>
                </c:pt>
                <c:pt idx="131">
                  <c:v>1248588.5321094035</c:v>
                </c:pt>
                <c:pt idx="132">
                  <c:v>1248729.376528003</c:v>
                </c:pt>
                <c:pt idx="133">
                  <c:v>1248859.0435506222</c:v>
                </c:pt>
                <c:pt idx="134">
                  <c:v>1248977.6047239164</c:v>
                </c:pt>
                <c:pt idx="135">
                  <c:v>1249085.1313917115</c:v>
                </c:pt>
                <c:pt idx="136">
                  <c:v>1249181.6947036833</c:v>
                </c:pt>
                <c:pt idx="137">
                  <c:v>1249267.3656239226</c:v>
                </c:pt>
                <c:pt idx="138">
                  <c:v>1249342.2149393896</c:v>
                </c:pt>
                <c:pt idx="139">
                  <c:v>1249406.3132682515</c:v>
                </c:pt>
                <c:pt idx="140">
                  <c:v>1249459.7310680966</c:v>
                </c:pt>
                <c:pt idx="141">
                  <c:v>1249502.5386440251</c:v>
                </c:pt>
                <c:pt idx="142">
                  <c:v>1249534.8061566092</c:v>
                </c:pt>
                <c:pt idx="143">
                  <c:v>1249556.6036297218</c:v>
                </c:pt>
                <c:pt idx="144">
                  <c:v>1249568.0009582255</c:v>
                </c:pt>
                <c:pt idx="145">
                  <c:v>1249569.0679155213</c:v>
                </c:pt>
                <c:pt idx="146">
                  <c:v>1249559.8741609522</c:v>
                </c:pt>
                <c:pt idx="147">
                  <c:v>1249540.4892470543</c:v>
                </c:pt>
                <c:pt idx="148">
                  <c:v>1249510.9826266579</c:v>
                </c:pt>
                <c:pt idx="149">
                  <c:v>1249471.423659825</c:v>
                </c:pt>
                <c:pt idx="150">
                  <c:v>1249421.8816206285</c:v>
                </c:pt>
                <c:pt idx="151">
                  <c:v>1249362.4257037626</c:v>
                </c:pt>
                <c:pt idx="152">
                  <c:v>1249293.1250309816</c:v>
                </c:pt>
                <c:pt idx="153">
                  <c:v>1249214.0486573647</c:v>
                </c:pt>
                <c:pt idx="154">
                  <c:v>1249125.2655773999</c:v>
                </c:pt>
                <c:pt idx="155">
                  <c:v>1249026.8447308845</c:v>
                </c:pt>
                <c:pt idx="156">
                  <c:v>1248918.8550086373</c:v>
                </c:pt>
                <c:pt idx="157">
                  <c:v>1248801.365258019</c:v>
                </c:pt>
                <c:pt idx="158">
                  <c:v>1248674.4442882542</c:v>
                </c:pt>
                <c:pt idx="159">
                  <c:v>1248538.1608755575</c:v>
                </c:pt>
                <c:pt idx="160">
                  <c:v>1248392.5837680472</c:v>
                </c:pt>
                <c:pt idx="161">
                  <c:v>1248237.7816904588</c:v>
                </c:pt>
                <c:pt idx="162">
                  <c:v>1248073.8233486391</c:v>
                </c:pt>
                <c:pt idx="163">
                  <c:v>1247900.777433828</c:v>
                </c:pt>
                <c:pt idx="164">
                  <c:v>1247718.7126267171</c:v>
                </c:pt>
                <c:pt idx="165">
                  <c:v>1247527.6976012855</c:v>
                </c:pt>
                <c:pt idx="166">
                  <c:v>1247327.8010284067</c:v>
                </c:pt>
                <c:pt idx="167">
                  <c:v>1247119.0915792256</c:v>
                </c:pt>
                <c:pt idx="168">
                  <c:v>1246901.6379282982</c:v>
                </c:pt>
                <c:pt idx="169">
                  <c:v>1246675.5087564946</c:v>
                </c:pt>
                <c:pt idx="170">
                  <c:v>1246440.7727536582</c:v>
                </c:pt>
                <c:pt idx="171">
                  <c:v>1246197.4986210235</c:v>
                </c:pt>
                <c:pt idx="172">
                  <c:v>1245945.7550733807</c:v>
                </c:pt>
                <c:pt idx="173">
                  <c:v>1245685.6108409951</c:v>
                </c:pt>
                <c:pt idx="174">
                  <c:v>1245417.1346712664</c:v>
                </c:pt>
                <c:pt idx="175">
                  <c:v>1245140.3953301376</c:v>
                </c:pt>
                <c:pt idx="176">
                  <c:v>1244855.4616032403</c:v>
                </c:pt>
                <c:pt idx="177">
                  <c:v>1244562.4022967808</c:v>
                </c:pt>
                <c:pt idx="178">
                  <c:v>1244261.2862381623</c:v>
                </c:pt>
                <c:pt idx="179">
                  <c:v>1243952.1822763416</c:v>
                </c:pt>
                <c:pt idx="180">
                  <c:v>1243635.1592819174</c:v>
                </c:pt>
                <c:pt idx="181">
                  <c:v>1243310.2861469497</c:v>
                </c:pt>
                <c:pt idx="182">
                  <c:v>1242977.6317845108</c:v>
                </c:pt>
                <c:pt idx="183">
                  <c:v>1242637.2651279601</c:v>
                </c:pt>
                <c:pt idx="184">
                  <c:v>1242289.2551299501</c:v>
                </c:pt>
                <c:pt idx="185">
                  <c:v>1241933.6707611554</c:v>
                </c:pt>
                <c:pt idx="186">
                  <c:v>1241570.5810087284</c:v>
                </c:pt>
                <c:pt idx="187">
                  <c:v>1241200.05487448</c:v>
                </c:pt>
                <c:pt idx="188">
                  <c:v>1240822.161372785</c:v>
                </c:pt>
                <c:pt idx="189">
                  <c:v>1240436.9695282115</c:v>
                </c:pt>
                <c:pt idx="190">
                  <c:v>1240044.5483728745</c:v>
                </c:pt>
                <c:pt idx="191">
                  <c:v>1239644.9669435178</c:v>
                </c:pt>
                <c:pt idx="192">
                  <c:v>1239238.2942783181</c:v>
                </c:pt>
                <c:pt idx="193">
                  <c:v>1238824.5994134191</c:v>
                </c:pt>
                <c:pt idx="194">
                  <c:v>1238403.9513791921</c:v>
                </c:pt>
                <c:pt idx="195">
                  <c:v>1237976.4191962257</c:v>
                </c:pt>
                <c:pt idx="196">
                  <c:v>1237542.071871049</c:v>
                </c:pt>
                <c:pt idx="197">
                  <c:v>1237100.9783915854</c:v>
                </c:pt>
                <c:pt idx="198">
                  <c:v>1236653.2077223437</c:v>
                </c:pt>
                <c:pt idx="199">
                  <c:v>1236198.8287993465</c:v>
                </c:pt>
                <c:pt idx="200">
                  <c:v>1235737.9105247976</c:v>
                </c:pt>
                <c:pt idx="201">
                  <c:v>1235270.5217614966</c:v>
                </c:pt>
                <c:pt idx="202">
                  <c:v>1234796.7313269963</c:v>
                </c:pt>
                <c:pt idx="203">
                  <c:v>1234316.607987514</c:v>
                </c:pt>
                <c:pt idx="204">
                  <c:v>1233830.2204515946</c:v>
                </c:pt>
                <c:pt idx="205">
                  <c:v>1233337.6373635321</c:v>
                </c:pt>
                <c:pt idx="206">
                  <c:v>1232838.9272965556</c:v>
                </c:pt>
                <c:pt idx="207">
                  <c:v>1232334.1587457808</c:v>
                </c:pt>
                <c:pt idx="208">
                  <c:v>1231823.4001209331</c:v>
                </c:pt>
                <c:pt idx="209">
                  <c:v>1231306.7197388497</c:v>
                </c:pt>
                <c:pt idx="210">
                  <c:v>1230784.1858157623</c:v>
                </c:pt>
                <c:pt idx="211">
                  <c:v>1230255.866459369</c:v>
                </c:pt>
                <c:pt idx="212">
                  <c:v>1229721.8296606999</c:v>
                </c:pt>
                <c:pt idx="213">
                  <c:v>1229182.1432857825</c:v>
                </c:pt>
                <c:pt idx="214">
                  <c:v>1228636.8750671146</c:v>
                </c:pt>
                <c:pt idx="215">
                  <c:v>1228086.0925949481</c:v>
                </c:pt>
                <c:pt idx="216">
                  <c:v>1227529.8633083957</c:v>
                </c:pt>
                <c:pt idx="217">
                  <c:v>1226968.2544863615</c:v>
                </c:pt>
                <c:pt idx="218">
                  <c:v>1226401.3332383081</c:v>
                </c:pt>
                <c:pt idx="219">
                  <c:v>1225829.1664948647</c:v>
                </c:pt>
                <c:pt idx="220">
                  <c:v>1225251.8209982838</c:v>
                </c:pt>
                <c:pt idx="221">
                  <c:v>1224669.3632927567</c:v>
                </c:pt>
                <c:pt idx="222">
                  <c:v>1224081.8597145933</c:v>
                </c:pt>
                <c:pt idx="223">
                  <c:v>1223489.376382276</c:v>
                </c:pt>
                <c:pt idx="224">
                  <c:v>1222891.9791863956</c:v>
                </c:pt>
                <c:pt idx="225">
                  <c:v>1222289.7337794793</c:v>
                </c:pt>
                <c:pt idx="226">
                  <c:v>1221682.7055657152</c:v>
                </c:pt>
                <c:pt idx="227">
                  <c:v>1221070.9596905885</c:v>
                </c:pt>
                <c:pt idx="228">
                  <c:v>1220454.561030434</c:v>
                </c:pt>
                <c:pt idx="229">
                  <c:v>1219833.5741819139</c:v>
                </c:pt>
                <c:pt idx="230">
                  <c:v>1219208.063451435</c:v>
                </c:pt>
                <c:pt idx="231">
                  <c:v>1218578.0928445074</c:v>
                </c:pt>
                <c:pt idx="232">
                  <c:v>1217943.7260550619</c:v>
                </c:pt>
                <c:pt idx="233">
                  <c:v>1217305.0264547288</c:v>
                </c:pt>
                <c:pt idx="234">
                  <c:v>1216662.0570820926</c:v>
                </c:pt>
                <c:pt idx="235">
                  <c:v>1216014.8806319314</c:v>
                </c:pt>
                <c:pt idx="236">
                  <c:v>1215363.5594444468</c:v>
                </c:pt>
                <c:pt idx="237">
                  <c:v>1214708.1554945016</c:v>
                </c:pt>
                <c:pt idx="238">
                  <c:v>1214048.7303808671</c:v>
                </c:pt>
                <c:pt idx="239">
                  <c:v>1213385.345315496</c:v>
                </c:pt>
                <c:pt idx="240">
                  <c:v>1212718.0611128269</c:v>
                </c:pt>
                <c:pt idx="241">
                  <c:v>1212046.9381791323</c:v>
                </c:pt>
                <c:pt idx="242">
                  <c:v>1211372.0365019194</c:v>
                </c:pt>
                <c:pt idx="243">
                  <c:v>1210693.4156393919</c:v>
                </c:pt>
                <c:pt idx="244">
                  <c:v>1210011.1347099866</c:v>
                </c:pt>
                <c:pt idx="245">
                  <c:v>1209325.2523819883</c:v>
                </c:pt>
                <c:pt idx="246">
                  <c:v>1208635.8268632386</c:v>
                </c:pt>
                <c:pt idx="247">
                  <c:v>1207942.9158909447</c:v>
                </c:pt>
                <c:pt idx="248">
                  <c:v>1207246.576721597</c:v>
                </c:pt>
                <c:pt idx="249">
                  <c:v>1206546.866121009</c:v>
                </c:pt>
                <c:pt idx="250">
                  <c:v>1205843.8403544829</c:v>
                </c:pt>
                <c:pt idx="251">
                  <c:v>1205137.555177113</c:v>
                </c:pt>
                <c:pt idx="252">
                  <c:v>1204428.0658242384</c:v>
                </c:pt>
                <c:pt idx="253">
                  <c:v>1203715.427002046</c:v>
                </c:pt>
                <c:pt idx="254">
                  <c:v>1202999.6928783413</c:v>
                </c:pt>
                <c:pt idx="255">
                  <c:v>1202280.9170734882</c:v>
                </c:pt>
                <c:pt idx="256">
                  <c:v>1201559.1526515312</c:v>
                </c:pt>
                <c:pt idx="257">
                  <c:v>1200834.4521115024</c:v>
                </c:pt>
                <c:pt idx="258">
                  <c:v>1200106.8673789278</c:v>
                </c:pt>
                <c:pt idx="259">
                  <c:v>1199376.4497975335</c:v>
                </c:pt>
                <c:pt idx="260">
                  <c:v>1198643.2501211646</c:v>
                </c:pt>
                <c:pt idx="261">
                  <c:v>1197907.3185059195</c:v>
                </c:pt>
                <c:pt idx="262">
                  <c:v>1197168.7045025115</c:v>
                </c:pt>
                <c:pt idx="263">
                  <c:v>1196427.4570488571</c:v>
                </c:pt>
                <c:pt idx="264">
                  <c:v>1195683.6244629042</c:v>
                </c:pt>
                <c:pt idx="265">
                  <c:v>1194937.2544357018</c:v>
                </c:pt>
                <c:pt idx="266">
                  <c:v>1194188.3940247202</c:v>
                </c:pt>
                <c:pt idx="267">
                  <c:v>1193437.0896474221</c:v>
                </c:pt>
                <c:pt idx="268">
                  <c:v>1192683.3870750961</c:v>
                </c:pt>
                <c:pt idx="269">
                  <c:v>1191927.3314269525</c:v>
                </c:pt>
                <c:pt idx="270">
                  <c:v>1191168.9671644869</c:v>
                </c:pt>
                <c:pt idx="271">
                  <c:v>1190408.3380861196</c:v>
                </c:pt>
                <c:pt idx="272">
                  <c:v>1189645.4873221084</c:v>
                </c:pt>
                <c:pt idx="273">
                  <c:v>1188880.4573297428</c:v>
                </c:pt>
                <c:pt idx="274">
                  <c:v>1188113.2898888241</c:v>
                </c:pt>
                <c:pt idx="275">
                  <c:v>1187344.0260974274</c:v>
                </c:pt>
                <c:pt idx="276">
                  <c:v>1186572.7063679574</c:v>
                </c:pt>
                <c:pt idx="277">
                  <c:v>1185799.3704234937</c:v>
                </c:pt>
                <c:pt idx="278">
                  <c:v>1185024.0572944293</c:v>
                </c:pt>
                <c:pt idx="279">
                  <c:v>1184246.8053154058</c:v>
                </c:pt>
                <c:pt idx="280">
                  <c:v>1183467.6521225448</c:v>
                </c:pt>
                <c:pt idx="281">
                  <c:v>1182686.6346509769</c:v>
                </c:pt>
                <c:pt idx="282">
                  <c:v>1181903.7891326686</c:v>
                </c:pt>
                <c:pt idx="283">
                  <c:v>1181119.1510945514</c:v>
                </c:pt>
                <c:pt idx="284">
                  <c:v>1180332.7553569451</c:v>
                </c:pt>
                <c:pt idx="285">
                  <c:v>1179544.6360322849</c:v>
                </c:pt>
                <c:pt idx="286">
                  <c:v>1178754.8265241443</c:v>
                </c:pt>
                <c:pt idx="287">
                  <c:v>1177963.359526556</c:v>
                </c:pt>
                <c:pt idx="288">
                  <c:v>1177170.2670236311</c:v>
                </c:pt>
                <c:pt idx="289">
                  <c:v>1176375.5802894719</c:v>
                </c:pt>
                <c:pt idx="290">
                  <c:v>1175579.3298883792</c:v>
                </c:pt>
                <c:pt idx="291">
                  <c:v>1174781.5456753518</c:v>
                </c:pt>
                <c:pt idx="292">
                  <c:v>1173982.2567968746</c:v>
                </c:pt>
                <c:pt idx="293">
                  <c:v>1173181.4916919945</c:v>
                </c:pt>
                <c:pt idx="294">
                  <c:v>1172379.2780936812</c:v>
                </c:pt>
                <c:pt idx="295">
                  <c:v>1171575.6430304679</c:v>
                </c:pt>
                <c:pt idx="296">
                  <c:v>1170770.612828372</c:v>
                </c:pt>
                <c:pt idx="297">
                  <c:v>1169964.2131130889</c:v>
                </c:pt>
                <c:pt idx="298">
                  <c:v>1169156.4688124575</c:v>
                </c:pt>
                <c:pt idx="299">
                  <c:v>1168347.4041591941</c:v>
                </c:pt>
                <c:pt idx="300">
                  <c:v>1167537.0426938864</c:v>
                </c:pt>
                <c:pt idx="301">
                  <c:v>1166725.407268248</c:v>
                </c:pt>
                <c:pt idx="302">
                  <c:v>1165912.5200486272</c:v>
                </c:pt>
                <c:pt idx="303">
                  <c:v>1165098.4025197634</c:v>
                </c:pt>
                <c:pt idx="304">
                  <c:v>1164283.0754887902</c:v>
                </c:pt>
                <c:pt idx="305">
                  <c:v>1163466.5590894744</c:v>
                </c:pt>
                <c:pt idx="306">
                  <c:v>1162648.8727866926</c:v>
                </c:pt>
                <c:pt idx="307">
                  <c:v>1161830.0353811337</c:v>
                </c:pt>
                <c:pt idx="308">
                  <c:v>1161010.0650142259</c:v>
                </c:pt>
                <c:pt idx="309">
                  <c:v>1160188.9791732794</c:v>
                </c:pt>
                <c:pt idx="310">
                  <c:v>1159366.7946968423</c:v>
                </c:pt>
                <c:pt idx="311">
                  <c:v>1158543.5277802609</c:v>
                </c:pt>
                <c:pt idx="312">
                  <c:v>1157719.1939814393</c:v>
                </c:pt>
                <c:pt idx="313">
                  <c:v>1156893.8082267926</c:v>
                </c:pt>
                <c:pt idx="314">
                  <c:v>1156067.3848173879</c:v>
                </c:pt>
                <c:pt idx="315">
                  <c:v>1155239.9374352628</c:v>
                </c:pt>
                <c:pt idx="316">
                  <c:v>1154411.4791499239</c:v>
                </c:pt>
                <c:pt idx="317">
                  <c:v>1153582.0224250061</c:v>
                </c:pt>
                <c:pt idx="318">
                  <c:v>1152751.5791250991</c:v>
                </c:pt>
                <c:pt idx="319">
                  <c:v>1151920.1605227247</c:v>
                </c:pt>
                <c:pt idx="320">
                  <c:v>1151087.7773054652</c:v>
                </c:pt>
                <c:pt idx="321">
                  <c:v>1150254.4395832298</c:v>
                </c:pt>
                <c:pt idx="322">
                  <c:v>1149420.1568956601</c:v>
                </c:pt>
                <c:pt idx="323">
                  <c:v>1148584.9382196593</c:v>
                </c:pt>
                <c:pt idx="324">
                  <c:v>1147748.7919770463</c:v>
                </c:pt>
                <c:pt idx="325">
                  <c:v>1146911.7260423237</c:v>
                </c:pt>
                <c:pt idx="326">
                  <c:v>1146073.7477505531</c:v>
                </c:pt>
                <c:pt idx="327">
                  <c:v>1145234.8639053325</c:v>
                </c:pt>
                <c:pt idx="328">
                  <c:v>1144395.0807868699</c:v>
                </c:pt>
                <c:pt idx="329">
                  <c:v>1143554.4041601436</c:v>
                </c:pt>
                <c:pt idx="330">
                  <c:v>1142712.839283146</c:v>
                </c:pt>
                <c:pt idx="331">
                  <c:v>1141870.3909152008</c:v>
                </c:pt>
                <c:pt idx="332">
                  <c:v>1141027.0633253527</c:v>
                </c:pt>
                <c:pt idx="333">
                  <c:v>1140182.8603008157</c:v>
                </c:pt>
                <c:pt idx="334">
                  <c:v>1139337.7851554812</c:v>
                </c:pt>
                <c:pt idx="335">
                  <c:v>1138491.8407384753</c:v>
                </c:pt>
                <c:pt idx="336">
                  <c:v>1137645.0294427588</c:v>
                </c:pt>
                <c:pt idx="337">
                  <c:v>1136797.353213768</c:v>
                </c:pt>
                <c:pt idx="338">
                  <c:v>1135948.8135580858</c:v>
                </c:pt>
                <c:pt idx="339">
                  <c:v>1135099.4115521389</c:v>
                </c:pt>
                <c:pt idx="340">
                  <c:v>1134249.1478509167</c:v>
                </c:pt>
                <c:pt idx="341">
                  <c:v>1133398.0226967051</c:v>
                </c:pt>
                <c:pt idx="342">
                  <c:v>1132546.0359278277</c:v>
                </c:pt>
                <c:pt idx="343">
                  <c:v>1131693.1869873933</c:v>
                </c:pt>
                <c:pt idx="344">
                  <c:v>1130839.474932041</c:v>
                </c:pt>
                <c:pt idx="345">
                  <c:v>1129984.8984406774</c:v>
                </c:pt>
                <c:pt idx="346">
                  <c:v>1129129.4558232052</c:v>
                </c:pt>
                <c:pt idx="347">
                  <c:v>1128273.1450292307</c:v>
                </c:pt>
                <c:pt idx="348">
                  <c:v>1127415.9636567542</c:v>
                </c:pt>
                <c:pt idx="349">
                  <c:v>1126557.9089608309</c:v>
                </c:pt>
                <c:pt idx="350">
                  <c:v>1125698.9778622021</c:v>
                </c:pt>
                <c:pt idx="351">
                  <c:v>1124839.1669558922</c:v>
                </c:pt>
                <c:pt idx="352">
                  <c:v>1123978.4725197633</c:v>
                </c:pt>
                <c:pt idx="353">
                  <c:v>1123116.8905230286</c:v>
                </c:pt>
                <c:pt idx="354">
                  <c:v>1122254.4166347166</c:v>
                </c:pt>
                <c:pt idx="355">
                  <c:v>1121391.0462320826</c:v>
                </c:pt>
                <c:pt idx="356">
                  <c:v>1120526.7744089682</c:v>
                </c:pt>
                <c:pt idx="357">
                  <c:v>1119661.5959840952</c:v>
                </c:pt>
                <c:pt idx="358">
                  <c:v>1118795.5055093043</c:v>
                </c:pt>
                <c:pt idx="359">
                  <c:v>1117928.4972777204</c:v>
                </c:pt>
                <c:pt idx="360">
                  <c:v>1117060.5653318539</c:v>
                </c:pt>
                <c:pt idx="361">
                  <c:v>1116191.7034716255</c:v>
                </c:pt>
                <c:pt idx="362">
                  <c:v>1115321.9052623187</c:v>
                </c:pt>
                <c:pt idx="363">
                  <c:v>1114451.1640424512</c:v>
                </c:pt>
                <c:pt idx="364">
                  <c:v>1113579.4729315671</c:v>
                </c:pt>
                <c:pt idx="365">
                  <c:v>1112706.8248379442</c:v>
                </c:pt>
                <c:pt idx="366">
                  <c:v>1111833.2124662155</c:v>
                </c:pt>
                <c:pt idx="367">
                  <c:v>1110958.6283249026</c:v>
                </c:pt>
                <c:pt idx="368">
                  <c:v>1110083.0647338582</c:v>
                </c:pt>
                <c:pt idx="369">
                  <c:v>1109206.513831615</c:v>
                </c:pt>
                <c:pt idx="370">
                  <c:v>1108328.9675826423</c:v>
                </c:pt>
                <c:pt idx="371">
                  <c:v>1107450.4177845027</c:v>
                </c:pt>
                <c:pt idx="372">
                  <c:v>1106570.8560749143</c:v>
                </c:pt>
                <c:pt idx="373">
                  <c:v>1105690.2739387099</c:v>
                </c:pt>
                <c:pt idx="374">
                  <c:v>1104808.662714697</c:v>
                </c:pt>
                <c:pt idx="375">
                  <c:v>1103926.0136024153</c:v>
                </c:pt>
                <c:pt idx="376">
                  <c:v>1103042.3176687886</c:v>
                </c:pt>
                <c:pt idx="377">
                  <c:v>1102157.5658546747</c:v>
                </c:pt>
                <c:pt idx="378">
                  <c:v>1101271.7489813059</c:v>
                </c:pt>
                <c:pt idx="379">
                  <c:v>1100384.8577566259</c:v>
                </c:pt>
                <c:pt idx="380">
                  <c:v>1099496.8827815177</c:v>
                </c:pt>
                <c:pt idx="381">
                  <c:v>1098607.8145559228</c:v>
                </c:pt>
                <c:pt idx="382">
                  <c:v>1097717.6434848523</c:v>
                </c:pt>
                <c:pt idx="383">
                  <c:v>1096826.3598842889</c:v>
                </c:pt>
                <c:pt idx="384">
                  <c:v>1095933.9539869779</c:v>
                </c:pt>
                <c:pt idx="385">
                  <c:v>1095040.4159481102</c:v>
                </c:pt>
                <c:pt idx="386">
                  <c:v>1094145.7358508916</c:v>
                </c:pt>
                <c:pt idx="387">
                  <c:v>1093249.9037120058</c:v>
                </c:pt>
                <c:pt idx="388">
                  <c:v>1092352.9094869648</c:v>
                </c:pt>
                <c:pt idx="389">
                  <c:v>1091454.7430753475</c:v>
                </c:pt>
                <c:pt idx="390">
                  <c:v>1090555.3943259306</c:v>
                </c:pt>
                <c:pt idx="391">
                  <c:v>1089654.8530417085</c:v>
                </c:pt>
                <c:pt idx="392">
                  <c:v>1088753.1089848028</c:v>
                </c:pt>
                <c:pt idx="393">
                  <c:v>1087850.1518812617</c:v>
                </c:pt>
                <c:pt idx="394">
                  <c:v>1086945.9714257524</c:v>
                </c:pt>
                <c:pt idx="395">
                  <c:v>1086040.5572861428</c:v>
                </c:pt>
                <c:pt idx="396">
                  <c:v>1085133.8991079761</c:v>
                </c:pt>
                <c:pt idx="397">
                  <c:v>1084225.986518837</c:v>
                </c:pt>
                <c:pt idx="398">
                  <c:v>1083316.8091326116</c:v>
                </c:pt>
                <c:pt idx="399">
                  <c:v>1082406.3565536414</c:v>
                </c:pt>
                <c:pt idx="400">
                  <c:v>1081494.6183807713</c:v>
                </c:pt>
                <c:pt idx="401">
                  <c:v>1080581.5842112922</c:v>
                </c:pt>
                <c:pt idx="402">
                  <c:v>1079667.2436447823</c:v>
                </c:pt>
                <c:pt idx="403">
                  <c:v>1078751.5862868414</c:v>
                </c:pt>
                <c:pt idx="404">
                  <c:v>1077834.6017527282</c:v>
                </c:pt>
                <c:pt idx="405">
                  <c:v>1076916.2796708925</c:v>
                </c:pt>
                <c:pt idx="406">
                  <c:v>1075996.6096864098</c:v>
                </c:pt>
                <c:pt idx="407">
                  <c:v>1075075.5814643148</c:v>
                </c:pt>
                <c:pt idx="408">
                  <c:v>1074153.184692841</c:v>
                </c:pt>
                <c:pt idx="409">
                  <c:v>1073229.4090865587</c:v>
                </c:pt>
                <c:pt idx="410">
                  <c:v>1072304.2443894211</c:v>
                </c:pt>
                <c:pt idx="411">
                  <c:v>1071377.6803777146</c:v>
                </c:pt>
                <c:pt idx="412">
                  <c:v>1070449.7068629162</c:v>
                </c:pt>
                <c:pt idx="413">
                  <c:v>1069520.3136944587</c:v>
                </c:pt>
                <c:pt idx="414">
                  <c:v>1068589.4907624063</c:v>
                </c:pt>
                <c:pt idx="415">
                  <c:v>1067657.228000039</c:v>
                </c:pt>
                <c:pt idx="416">
                  <c:v>1066723.5153863507</c:v>
                </c:pt>
                <c:pt idx="417">
                  <c:v>1065788.34294846</c:v>
                </c:pt>
                <c:pt idx="418">
                  <c:v>1064851.7007639343</c:v>
                </c:pt>
                <c:pt idx="419">
                  <c:v>1063913.5789630315</c:v>
                </c:pt>
                <c:pt idx="420">
                  <c:v>1062973.9677308593</c:v>
                </c:pt>
                <c:pt idx="421">
                  <c:v>1062032.8573094499</c:v>
                </c:pt>
                <c:pt idx="422">
                  <c:v>1061090.2379997587</c:v>
                </c:pt>
                <c:pt idx="423">
                  <c:v>1060146.1001635813</c:v>
                </c:pt>
                <c:pt idx="424">
                  <c:v>1059200.4342253958</c:v>
                </c:pt>
                <c:pt idx="425">
                  <c:v>1058253.2306741269</c:v>
                </c:pt>
                <c:pt idx="426">
                  <c:v>1057304.4800648366</c:v>
                </c:pt>
                <c:pt idx="427">
                  <c:v>1056354.1730203414</c:v>
                </c:pt>
                <c:pt idx="428">
                  <c:v>1055402.3002327601</c:v>
                </c:pt>
                <c:pt idx="429">
                  <c:v>1054448.8524649863</c:v>
                </c:pt>
                <c:pt idx="430">
                  <c:v>1053493.8205520974</c:v>
                </c:pt>
                <c:pt idx="431">
                  <c:v>1052537.1954026928</c:v>
                </c:pt>
                <c:pt idx="432">
                  <c:v>1051578.9680001668</c:v>
                </c:pt>
                <c:pt idx="433">
                  <c:v>1050619.1294039176</c:v>
                </c:pt>
                <c:pt idx="434">
                  <c:v>1049657.6707504909</c:v>
                </c:pt>
                <c:pt idx="435">
                  <c:v>1048694.5832546642</c:v>
                </c:pt>
                <c:pt idx="436">
                  <c:v>1047729.8582104682</c:v>
                </c:pt>
                <c:pt idx="437">
                  <c:v>1046763.4869921501</c:v>
                </c:pt>
                <c:pt idx="438">
                  <c:v>1045795.4610550783</c:v>
                </c:pt>
                <c:pt idx="439">
                  <c:v>1044825.7719365912</c:v>
                </c:pt>
                <c:pt idx="440">
                  <c:v>1043854.4112567906</c:v>
                </c:pt>
                <c:pt idx="441">
                  <c:v>1042881.3707192806</c:v>
                </c:pt>
                <c:pt idx="442">
                  <c:v>1041906.6421118542</c:v>
                </c:pt>
                <c:pt idx="443">
                  <c:v>1040930.2173071289</c:v>
                </c:pt>
                <c:pt idx="444">
                  <c:v>1039952.0882631312</c:v>
                </c:pt>
                <c:pt idx="445">
                  <c:v>1038972.2470238344</c:v>
                </c:pt>
                <c:pt idx="446">
                  <c:v>1037990.6857196456</c:v>
                </c:pt>
                <c:pt idx="447">
                  <c:v>1037007.3965678499</c:v>
                </c:pt>
                <c:pt idx="448">
                  <c:v>1036022.3718730072</c:v>
                </c:pt>
                <c:pt idx="449">
                  <c:v>1035035.604027305</c:v>
                </c:pt>
                <c:pt idx="450">
                  <c:v>1034047.0855108714</c:v>
                </c:pt>
                <c:pt idx="451">
                  <c:v>1033056.8088920419</c:v>
                </c:pt>
                <c:pt idx="452">
                  <c:v>1032064.7668275912</c:v>
                </c:pt>
                <c:pt idx="453">
                  <c:v>1031070.9520629209</c:v>
                </c:pt>
                <c:pt idx="454">
                  <c:v>1030075.3574322127</c:v>
                </c:pt>
                <c:pt idx="455">
                  <c:v>1029077.9758585431</c:v>
                </c:pt>
                <c:pt idx="456">
                  <c:v>1028078.8003539618</c:v>
                </c:pt>
                <c:pt idx="457">
                  <c:v>1027077.8240195373</c:v>
                </c:pt>
                <c:pt idx="458">
                  <c:v>1026075.0400453662</c:v>
                </c:pt>
                <c:pt idx="459">
                  <c:v>1025070.4417105529</c:v>
                </c:pt>
                <c:pt idx="460">
                  <c:v>1024064.0223831541</c:v>
                </c:pt>
                <c:pt idx="461">
                  <c:v>1023055.7755200963</c:v>
                </c:pt>
                <c:pt idx="462">
                  <c:v>1022045.6946670609</c:v>
                </c:pt>
                <c:pt idx="463">
                  <c:v>1021033.7734583425</c:v>
                </c:pt>
                <c:pt idx="464">
                  <c:v>1020020.0056166786</c:v>
                </c:pt>
                <c:pt idx="465">
                  <c:v>1019004.3849530527</c:v>
                </c:pt>
                <c:pt idx="466">
                  <c:v>1017986.9053664717</c:v>
                </c:pt>
                <c:pt idx="467">
                  <c:v>1016967.5608437194</c:v>
                </c:pt>
                <c:pt idx="468">
                  <c:v>1015946.3454590833</c:v>
                </c:pt>
                <c:pt idx="469">
                  <c:v>1014923.2533740613</c:v>
                </c:pt>
                <c:pt idx="470">
                  <c:v>1013898.2788370452</c:v>
                </c:pt>
                <c:pt idx="471">
                  <c:v>1012871.4161829809</c:v>
                </c:pt>
                <c:pt idx="472">
                  <c:v>1011842.6598330112</c:v>
                </c:pt>
                <c:pt idx="473">
                  <c:v>1010812.0042940958</c:v>
                </c:pt>
                <c:pt idx="474">
                  <c:v>1009779.4441586146</c:v>
                </c:pt>
                <c:pt idx="475">
                  <c:v>1008744.9741039514</c:v>
                </c:pt>
                <c:pt idx="476">
                  <c:v>1007708.5888920603</c:v>
                </c:pt>
                <c:pt idx="477">
                  <c:v>1006670.2833690154</c:v>
                </c:pt>
                <c:pt idx="478">
                  <c:v>1005630.0524645457</c:v>
                </c:pt>
                <c:pt idx="479">
                  <c:v>1004587.8911915522</c:v>
                </c:pt>
                <c:pt idx="480">
                  <c:v>1003543.7946456119</c:v>
                </c:pt>
                <c:pt idx="481">
                  <c:v>1002497.7580044686</c:v>
                </c:pt>
                <c:pt idx="482">
                  <c:v>1001449.7765275089</c:v>
                </c:pt>
                <c:pt idx="483">
                  <c:v>1000399.8455552249</c:v>
                </c:pt>
                <c:pt idx="484">
                  <c:v>999347.96050866833</c:v>
                </c:pt>
                <c:pt idx="485">
                  <c:v>998294.11688888888</c:v>
                </c:pt>
                <c:pt idx="486">
                  <c:v>997238.31027636421</c:v>
                </c:pt>
                <c:pt idx="487">
                  <c:v>996180.53633041983</c:v>
                </c:pt>
                <c:pt idx="488">
                  <c:v>995120.79078863771</c:v>
                </c:pt>
                <c:pt idx="489">
                  <c:v>994059.069466257</c:v>
                </c:pt>
                <c:pt idx="490">
                  <c:v>992995.36825556587</c:v>
                </c:pt>
                <c:pt idx="491">
                  <c:v>991929.68312528497</c:v>
                </c:pt>
                <c:pt idx="492">
                  <c:v>990862.01011994341</c:v>
                </c:pt>
                <c:pt idx="493">
                  <c:v>989792.34535924718</c:v>
                </c:pt>
                <c:pt idx="494">
                  <c:v>988720.68503744225</c:v>
                </c:pt>
                <c:pt idx="495">
                  <c:v>987647.02542267065</c:v>
                </c:pt>
                <c:pt idx="496">
                  <c:v>986571.36285631964</c:v>
                </c:pt>
                <c:pt idx="497">
                  <c:v>985493.69375236845</c:v>
                </c:pt>
                <c:pt idx="498">
                  <c:v>984414.01459672698</c:v>
                </c:pt>
                <c:pt idx="499">
                  <c:v>983332.32194657298</c:v>
                </c:pt>
                <c:pt idx="500">
                  <c:v>982248.61242968286</c:v>
                </c:pt>
                <c:pt idx="501">
                  <c:v>981162.88274376094</c:v>
                </c:pt>
                <c:pt idx="502">
                  <c:v>980075.12965576258</c:v>
                </c:pt>
                <c:pt idx="503">
                  <c:v>978985.35000121826</c:v>
                </c:pt>
                <c:pt idx="504">
                  <c:v>977893.54068355216</c:v>
                </c:pt>
                <c:pt idx="505">
                  <c:v>976799.69867339847</c:v>
                </c:pt>
                <c:pt idx="506">
                  <c:v>975703.8210079188</c:v>
                </c:pt>
                <c:pt idx="507">
                  <c:v>974605.90479011438</c:v>
                </c:pt>
                <c:pt idx="508">
                  <c:v>973505.94718813966</c:v>
                </c:pt>
                <c:pt idx="509">
                  <c:v>972403.94543461408</c:v>
                </c:pt>
                <c:pt idx="510">
                  <c:v>971299.89682593243</c:v>
                </c:pt>
                <c:pt idx="511">
                  <c:v>970193.79872157658</c:v>
                </c:pt>
                <c:pt idx="512">
                  <c:v>969085.64854342537</c:v>
                </c:pt>
                <c:pt idx="513">
                  <c:v>967975.44377506641</c:v>
                </c:pt>
                <c:pt idx="514">
                  <c:v>966863.18196110637</c:v>
                </c:pt>
                <c:pt idx="515">
                  <c:v>965748.86070648395</c:v>
                </c:pt>
                <c:pt idx="516">
                  <c:v>964632.47767578205</c:v>
                </c:pt>
                <c:pt idx="517">
                  <c:v>963514.03059254307</c:v>
                </c:pt>
                <c:pt idx="518">
                  <c:v>962393.51723858295</c:v>
                </c:pt>
                <c:pt idx="519">
                  <c:v>961270.93545330875</c:v>
                </c:pt>
                <c:pt idx="520">
                  <c:v>960146.28313303832</c:v>
                </c:pt>
                <c:pt idx="521">
                  <c:v>959019.55823031999</c:v>
                </c:pt>
                <c:pt idx="522">
                  <c:v>957890.75875325617</c:v>
                </c:pt>
                <c:pt idx="523">
                  <c:v>956759.88276482839</c:v>
                </c:pt>
                <c:pt idx="524">
                  <c:v>955626.92838222557</c:v>
                </c:pt>
                <c:pt idx="525">
                  <c:v>954491.89377617417</c:v>
                </c:pt>
                <c:pt idx="526">
                  <c:v>953354.77717027161</c:v>
                </c:pt>
                <c:pt idx="527">
                  <c:v>952215.5768403227</c:v>
                </c:pt>
                <c:pt idx="528">
                  <c:v>951074.29111367976</c:v>
                </c:pt>
                <c:pt idx="529">
                  <c:v>949930.91836858448</c:v>
                </c:pt>
                <c:pt idx="530">
                  <c:v>948785.45703351405</c:v>
                </c:pt>
                <c:pt idx="531">
                  <c:v>947637.90558653232</c:v>
                </c:pt>
                <c:pt idx="532">
                  <c:v>946488.26255464181</c:v>
                </c:pt>
                <c:pt idx="533">
                  <c:v>945336.52651314088</c:v>
                </c:pt>
                <c:pt idx="534">
                  <c:v>944182.69608498574</c:v>
                </c:pt>
                <c:pt idx="535">
                  <c:v>943026.76994015486</c:v>
                </c:pt>
                <c:pt idx="536">
                  <c:v>941868.74679501797</c:v>
                </c:pt>
                <c:pt idx="537">
                  <c:v>940708.62541170977</c:v>
                </c:pt>
                <c:pt idx="538">
                  <c:v>939546.40459750732</c:v>
                </c:pt>
                <c:pt idx="539">
                  <c:v>938382.08320421155</c:v>
                </c:pt>
                <c:pt idx="540">
                  <c:v>937215.66012753407</c:v>
                </c:pt>
                <c:pt idx="541">
                  <c:v>936047.13430648798</c:v>
                </c:pt>
                <c:pt idx="542">
                  <c:v>934876.50472278288</c:v>
                </c:pt>
                <c:pt idx="543">
                  <c:v>933703.77040022518</c:v>
                </c:pt>
                <c:pt idx="544">
                  <c:v>932528.93040412257</c:v>
                </c:pt>
                <c:pt idx="545">
                  <c:v>931351.98384069419</c:v>
                </c:pt>
                <c:pt idx="546">
                  <c:v>930172.92985648359</c:v>
                </c:pt>
                <c:pt idx="547">
                  <c:v>928991.76763777924</c:v>
                </c:pt>
                <c:pt idx="548">
                  <c:v>927808.49641003762</c:v>
                </c:pt>
                <c:pt idx="549">
                  <c:v>926623.1154373124</c:v>
                </c:pt>
                <c:pt idx="550">
                  <c:v>925435.62402168859</c:v>
                </c:pt>
                <c:pt idx="551">
                  <c:v>924246.02150272136</c:v>
                </c:pt>
                <c:pt idx="552">
                  <c:v>923054.30725687975</c:v>
                </c:pt>
                <c:pt idx="553">
                  <c:v>921860.48069699598</c:v>
                </c:pt>
                <c:pt idx="554">
                  <c:v>920664.54127171985</c:v>
                </c:pt>
                <c:pt idx="555">
                  <c:v>919466.48846497771</c:v>
                </c:pt>
                <c:pt idx="556">
                  <c:v>918266.32179543655</c:v>
                </c:pt>
                <c:pt idx="557">
                  <c:v>917064.04081597435</c:v>
                </c:pt>
                <c:pt idx="558">
                  <c:v>915859.64511315408</c:v>
                </c:pt>
                <c:pt idx="559">
                  <c:v>914653.13430670416</c:v>
                </c:pt>
                <c:pt idx="560">
                  <c:v>913444.5080490032</c:v>
                </c:pt>
                <c:pt idx="561">
                  <c:v>912233.76602457056</c:v>
                </c:pt>
                <c:pt idx="562">
                  <c:v>911020.90794956172</c:v>
                </c:pt>
                <c:pt idx="563">
                  <c:v>909805.93357126915</c:v>
                </c:pt>
                <c:pt idx="564">
                  <c:v>908588.84266762785</c:v>
                </c:pt>
                <c:pt idx="565">
                  <c:v>907369.63504672702</c:v>
                </c:pt>
                <c:pt idx="566">
                  <c:v>906148.3105463261</c:v>
                </c:pt>
                <c:pt idx="567">
                  <c:v>904924.86903337622</c:v>
                </c:pt>
                <c:pt idx="568">
                  <c:v>903699.31040354702</c:v>
                </c:pt>
                <c:pt idx="569">
                  <c:v>902471.6345807584</c:v>
                </c:pt>
                <c:pt idx="570">
                  <c:v>901241.84151671792</c:v>
                </c:pt>
                <c:pt idx="571">
                  <c:v>900009.93119046255</c:v>
                </c:pt>
                <c:pt idx="572">
                  <c:v>898775.90360790619</c:v>
                </c:pt>
                <c:pt idx="573">
                  <c:v>897539.75880139216</c:v>
                </c:pt>
                <c:pt idx="574">
                  <c:v>896301.49682925083</c:v>
                </c:pt>
                <c:pt idx="575">
                  <c:v>895061.11777536222</c:v>
                </c:pt>
                <c:pt idx="576">
                  <c:v>893818.62174872356</c:v>
                </c:pt>
                <c:pt idx="577">
                  <c:v>892574.00888302224</c:v>
                </c:pt>
                <c:pt idx="578">
                  <c:v>891327.27933621325</c:v>
                </c:pt>
                <c:pt idx="579">
                  <c:v>890078.43329010275</c:v>
                </c:pt>
                <c:pt idx="580">
                  <c:v>888827.47094993503</c:v>
                </c:pt>
                <c:pt idx="581">
                  <c:v>887574.39254398562</c:v>
                </c:pt>
                <c:pt idx="582">
                  <c:v>886319.19832315866</c:v>
                </c:pt>
                <c:pt idx="583">
                  <c:v>885061.88856058987</c:v>
                </c:pt>
                <c:pt idx="584">
                  <c:v>883802.46355125331</c:v>
                </c:pt>
                <c:pt idx="585">
                  <c:v>882540.92361157434</c:v>
                </c:pt>
                <c:pt idx="586">
                  <c:v>881277.26907904609</c:v>
                </c:pt>
                <c:pt idx="587">
                  <c:v>880011.50031185162</c:v>
                </c:pt>
                <c:pt idx="588">
                  <c:v>878743.61768849031</c:v>
                </c:pt>
                <c:pt idx="589">
                  <c:v>877473.62160740886</c:v>
                </c:pt>
                <c:pt idx="590">
                  <c:v>876201.51248663838</c:v>
                </c:pt>
                <c:pt idx="591">
                  <c:v>874927.29076343356</c:v>
                </c:pt>
                <c:pt idx="592">
                  <c:v>873650.95689391857</c:v>
                </c:pt>
                <c:pt idx="593">
                  <c:v>872372.51135273732</c:v>
                </c:pt>
                <c:pt idx="594">
                  <c:v>871091.95463270659</c:v>
                </c:pt>
                <c:pt idx="595">
                  <c:v>869809.28724447638</c:v>
                </c:pt>
                <c:pt idx="596">
                  <c:v>868524.50971619179</c:v>
                </c:pt>
                <c:pt idx="597">
                  <c:v>867237.62259316188</c:v>
                </c:pt>
                <c:pt idx="598">
                  <c:v>865948.62643753132</c:v>
                </c:pt>
                <c:pt idx="599">
                  <c:v>864657.52182795701</c:v>
                </c:pt>
                <c:pt idx="600">
                  <c:v>863364.30935928901</c:v>
                </c:pt>
                <c:pt idx="601">
                  <c:v>862068.98964225524</c:v>
                </c:pt>
                <c:pt idx="602">
                  <c:v>860771.56330315187</c:v>
                </c:pt>
                <c:pt idx="603">
                  <c:v>859472.03098353557</c:v>
                </c:pt>
                <c:pt idx="604">
                  <c:v>858170.39333992254</c:v>
                </c:pt>
                <c:pt idx="605">
                  <c:v>856866.65104348969</c:v>
                </c:pt>
                <c:pt idx="606">
                  <c:v>855560.8047797808</c:v>
                </c:pt>
                <c:pt idx="607">
                  <c:v>854252.85524841654</c:v>
                </c:pt>
                <c:pt idx="608">
                  <c:v>852942.80316280876</c:v>
                </c:pt>
                <c:pt idx="609">
                  <c:v>851630.6492498786</c:v>
                </c:pt>
                <c:pt idx="610">
                  <c:v>850316.39424977778</c:v>
                </c:pt>
                <c:pt idx="611">
                  <c:v>849000.03891561553</c:v>
                </c:pt>
                <c:pt idx="612">
                  <c:v>847681.58401318756</c:v>
                </c:pt>
                <c:pt idx="613">
                  <c:v>846361.03032071027</c:v>
                </c:pt>
                <c:pt idx="614">
                  <c:v>845038.37862855755</c:v>
                </c:pt>
                <c:pt idx="615">
                  <c:v>843713.62973900209</c:v>
                </c:pt>
                <c:pt idx="616">
                  <c:v>842386.78446596058</c:v>
                </c:pt>
                <c:pt idx="617">
                  <c:v>841057.84363474161</c:v>
                </c:pt>
                <c:pt idx="618">
                  <c:v>839726.80808179837</c:v>
                </c:pt>
                <c:pt idx="619">
                  <c:v>838393.67865448375</c:v>
                </c:pt>
                <c:pt idx="620">
                  <c:v>837058.45621080999</c:v>
                </c:pt>
                <c:pt idx="621">
                  <c:v>835721.14161921176</c:v>
                </c:pt>
                <c:pt idx="622">
                  <c:v>834381.73575831146</c:v>
                </c:pt>
                <c:pt idx="623">
                  <c:v>833040.23951668967</c:v>
                </c:pt>
                <c:pt idx="624">
                  <c:v>831696.65379265824</c:v>
                </c:pt>
                <c:pt idx="625">
                  <c:v>830350.97949403618</c:v>
                </c:pt>
                <c:pt idx="626">
                  <c:v>829003.21753792977</c:v>
                </c:pt>
                <c:pt idx="627">
                  <c:v>827653.36885051569</c:v>
                </c:pt>
                <c:pt idx="628">
                  <c:v>826301.43436682667</c:v>
                </c:pt>
                <c:pt idx="629">
                  <c:v>824947.4150305423</c:v>
                </c:pt>
                <c:pt idx="630">
                  <c:v>823591.31179377995</c:v>
                </c:pt>
                <c:pt idx="631">
                  <c:v>822233.12561689201</c:v>
                </c:pt>
                <c:pt idx="632">
                  <c:v>820872.85746826325</c:v>
                </c:pt>
                <c:pt idx="633">
                  <c:v>819510.50832411507</c:v>
                </c:pt>
                <c:pt idx="634">
                  <c:v>818146.07916830759</c:v>
                </c:pt>
                <c:pt idx="635">
                  <c:v>816779.57099215011</c:v>
                </c:pt>
                <c:pt idx="636">
                  <c:v>815410.98479420994</c:v>
                </c:pt>
                <c:pt idx="637">
                  <c:v>814040.32158012805</c:v>
                </c:pt>
                <c:pt idx="638">
                  <c:v>812667.58236243424</c:v>
                </c:pt>
                <c:pt idx="639">
                  <c:v>811292.76816036738</c:v>
                </c:pt>
                <c:pt idx="640">
                  <c:v>809915.87999969744</c:v>
                </c:pt>
                <c:pt idx="641">
                  <c:v>808536.91891255102</c:v>
                </c:pt>
                <c:pt idx="642">
                  <c:v>807155.88593723858</c:v>
                </c:pt>
                <c:pt idx="643">
                  <c:v>805772.78211808554</c:v>
                </c:pt>
                <c:pt idx="644">
                  <c:v>804387.60850526462</c:v>
                </c:pt>
                <c:pt idx="645">
                  <c:v>803000.36615463265</c:v>
                </c:pt>
                <c:pt idx="646">
                  <c:v>801611.05612756847</c:v>
                </c:pt>
                <c:pt idx="647">
                  <c:v>800219.67949081375</c:v>
                </c:pt>
                <c:pt idx="648">
                  <c:v>798826.23731631681</c:v>
                </c:pt>
                <c:pt idx="649">
                  <c:v>797430.73068107897</c:v>
                </c:pt>
                <c:pt idx="650">
                  <c:v>796033.16066700197</c:v>
                </c:pt>
                <c:pt idx="651">
                  <c:v>794633.52836073993</c:v>
                </c:pt>
                <c:pt idx="652">
                  <c:v>793231.83485355228</c:v>
                </c:pt>
                <c:pt idx="653">
                  <c:v>791828.08124115912</c:v>
                </c:pt>
                <c:pt idx="654">
                  <c:v>790422.26862360025</c:v>
                </c:pt>
                <c:pt idx="655">
                  <c:v>789014.39810509421</c:v>
                </c:pt>
                <c:pt idx="656">
                  <c:v>787604.47079390194</c:v>
                </c:pt>
                <c:pt idx="657">
                  <c:v>786192.48780219094</c:v>
                </c:pt>
                <c:pt idx="658">
                  <c:v>784778.45024590311</c:v>
                </c:pt>
                <c:pt idx="659">
                  <c:v>783362.35924462345</c:v>
                </c:pt>
                <c:pt idx="660">
                  <c:v>781944.21592145157</c:v>
                </c:pt>
                <c:pt idx="661">
                  <c:v>780524.02140287519</c:v>
                </c:pt>
                <c:pt idx="662">
                  <c:v>779101.77681864635</c:v>
                </c:pt>
                <c:pt idx="663">
                  <c:v>777677.48330165853</c:v>
                </c:pt>
                <c:pt idx="664">
                  <c:v>776251.14198782644</c:v>
                </c:pt>
                <c:pt idx="665">
                  <c:v>774822.75401596853</c:v>
                </c:pt>
                <c:pt idx="666">
                  <c:v>773392.32052768988</c:v>
                </c:pt>
                <c:pt idx="667">
                  <c:v>771959.84266726847</c:v>
                </c:pt>
                <c:pt idx="668">
                  <c:v>770525.32158154272</c:v>
                </c:pt>
                <c:pt idx="669">
                  <c:v>769088.7584198009</c:v>
                </c:pt>
                <c:pt idx="670">
                  <c:v>767650.15433367318</c:v>
                </c:pt>
                <c:pt idx="671">
                  <c:v>766209.5104770239</c:v>
                </c:pt>
                <c:pt idx="672">
                  <c:v>764766.82800584775</c:v>
                </c:pt>
                <c:pt idx="673">
                  <c:v>763322.10807816638</c:v>
                </c:pt>
                <c:pt idx="674">
                  <c:v>761875.35185392643</c:v>
                </c:pt>
                <c:pt idx="675">
                  <c:v>760426.56049490126</c:v>
                </c:pt>
                <c:pt idx="676">
                  <c:v>758975.73516459204</c:v>
                </c:pt>
                <c:pt idx="677">
                  <c:v>757522.87702813209</c:v>
                </c:pt>
                <c:pt idx="678">
                  <c:v>756067.98725219222</c:v>
                </c:pt>
                <c:pt idx="679">
                  <c:v>754611.06700488855</c:v>
                </c:pt>
                <c:pt idx="680">
                  <c:v>753152.11745569087</c:v>
                </c:pt>
                <c:pt idx="681">
                  <c:v>751691.13977533276</c:v>
                </c:pt>
                <c:pt idx="682">
                  <c:v>750228.13513572386</c:v>
                </c:pt>
                <c:pt idx="683">
                  <c:v>748763.10470986448</c:v>
                </c:pt>
                <c:pt idx="684">
                  <c:v>747296.0496717589</c:v>
                </c:pt>
                <c:pt idx="685">
                  <c:v>745826.97119633341</c:v>
                </c:pt>
                <c:pt idx="686">
                  <c:v>744355.87045935378</c:v>
                </c:pt>
                <c:pt idx="687">
                  <c:v>742882.74863734539</c:v>
                </c:pt>
                <c:pt idx="688">
                  <c:v>741407.60690751323</c:v>
                </c:pt>
                <c:pt idx="689">
                  <c:v>739930.44644766557</c:v>
                </c:pt>
                <c:pt idx="690">
                  <c:v>738451.26843613735</c:v>
                </c:pt>
                <c:pt idx="691">
                  <c:v>736970.0740517152</c:v>
                </c:pt>
                <c:pt idx="692">
                  <c:v>735486.8644735642</c:v>
                </c:pt>
                <c:pt idx="693">
                  <c:v>734001.64088115632</c:v>
                </c:pt>
                <c:pt idx="694">
                  <c:v>732514.40445419867</c:v>
                </c:pt>
                <c:pt idx="695">
                  <c:v>731025.15637256543</c:v>
                </c:pt>
                <c:pt idx="696">
                  <c:v>729533.89781622856</c:v>
                </c:pt>
                <c:pt idx="697">
                  <c:v>728040.62996519159</c:v>
                </c:pt>
                <c:pt idx="698">
                  <c:v>726545.35399942368</c:v>
                </c:pt>
                <c:pt idx="699">
                  <c:v>725048.07109879563</c:v>
                </c:pt>
                <c:pt idx="700">
                  <c:v>723548.7824430163</c:v>
                </c:pt>
                <c:pt idx="701">
                  <c:v>722047.4892115707</c:v>
                </c:pt>
                <c:pt idx="702">
                  <c:v>720544.19258365966</c:v>
                </c:pt>
                <c:pt idx="703">
                  <c:v>719038.89373813907</c:v>
                </c:pt>
                <c:pt idx="704">
                  <c:v>717531.59385346272</c:v>
                </c:pt>
                <c:pt idx="705">
                  <c:v>716022.2941076241</c:v>
                </c:pt>
                <c:pt idx="706">
                  <c:v>714510.99567810004</c:v>
                </c:pt>
                <c:pt idx="707">
                  <c:v>712997.69974179578</c:v>
                </c:pt>
                <c:pt idx="708">
                  <c:v>711482.40747499093</c:v>
                </c:pt>
                <c:pt idx="709">
                  <c:v>709965.12005328585</c:v>
                </c:pt>
                <c:pt idx="710">
                  <c:v>708445.83865155024</c:v>
                </c:pt>
                <c:pt idx="711">
                  <c:v>706924.56444387173</c:v>
                </c:pt>
                <c:pt idx="712">
                  <c:v>705401.29860350583</c:v>
                </c:pt>
                <c:pt idx="713">
                  <c:v>703876.04230282712</c:v>
                </c:pt>
                <c:pt idx="714">
                  <c:v>702348.79671328072</c:v>
                </c:pt>
                <c:pt idx="715">
                  <c:v>700819.56300533609</c:v>
                </c:pt>
                <c:pt idx="716">
                  <c:v>699288.34234843962</c:v>
                </c:pt>
                <c:pt idx="717">
                  <c:v>697755.13591097062</c:v>
                </c:pt>
                <c:pt idx="718">
                  <c:v>696219.94486019586</c:v>
                </c:pt>
                <c:pt idx="719">
                  <c:v>694682.77036222722</c:v>
                </c:pt>
                <c:pt idx="720">
                  <c:v>693143.61358197825</c:v>
                </c:pt>
                <c:pt idx="721">
                  <c:v>691602.47568312311</c:v>
                </c:pt>
                <c:pt idx="722">
                  <c:v>690059.35782805528</c:v>
                </c:pt>
                <c:pt idx="723">
                  <c:v>688514.26117784833</c:v>
                </c:pt>
                <c:pt idx="724">
                  <c:v>686967.18689221598</c:v>
                </c:pt>
                <c:pt idx="725">
                  <c:v>685418.13612947392</c:v>
                </c:pt>
                <c:pt idx="726">
                  <c:v>683867.1100465029</c:v>
                </c:pt>
                <c:pt idx="727">
                  <c:v>682314.10979871138</c:v>
                </c:pt>
                <c:pt idx="728">
                  <c:v>680759.13653999986</c:v>
                </c:pt>
                <c:pt idx="729">
                  <c:v>679202.19142272556</c:v>
                </c:pt>
                <c:pt idx="730">
                  <c:v>677643.27559766825</c:v>
                </c:pt>
                <c:pt idx="731">
                  <c:v>676082.3902139964</c:v>
                </c:pt>
                <c:pt idx="732">
                  <c:v>674519.53641923401</c:v>
                </c:pt>
                <c:pt idx="733">
                  <c:v>672954.71535922913</c:v>
                </c:pt>
                <c:pt idx="734">
                  <c:v>671387.92817812122</c:v>
                </c:pt>
                <c:pt idx="735">
                  <c:v>669819.17601831153</c:v>
                </c:pt>
                <c:pt idx="736">
                  <c:v>668248.46002043178</c:v>
                </c:pt>
                <c:pt idx="737">
                  <c:v>666675.78132331592</c:v>
                </c:pt>
                <c:pt idx="738">
                  <c:v>665101.14106397028</c:v>
                </c:pt>
                <c:pt idx="739">
                  <c:v>663524.54037754587</c:v>
                </c:pt>
                <c:pt idx="740">
                  <c:v>661945.98039731104</c:v>
                </c:pt>
                <c:pt idx="741">
                  <c:v>660365.46225462412</c:v>
                </c:pt>
                <c:pt idx="742">
                  <c:v>658782.9870789079</c:v>
                </c:pt>
                <c:pt idx="743">
                  <c:v>657198.55599762267</c:v>
                </c:pt>
                <c:pt idx="744">
                  <c:v>655612.17013624287</c:v>
                </c:pt>
                <c:pt idx="745">
                  <c:v>654023.83061823156</c:v>
                </c:pt>
                <c:pt idx="746">
                  <c:v>652433.53856501635</c:v>
                </c:pt>
                <c:pt idx="747">
                  <c:v>650841.29509596713</c:v>
                </c:pt>
                <c:pt idx="748">
                  <c:v>649247.10132837202</c:v>
                </c:pt>
                <c:pt idx="749">
                  <c:v>647650.95837741671</c:v>
                </c:pt>
                <c:pt idx="750">
                  <c:v>646052.86735616112</c:v>
                </c:pt>
                <c:pt idx="751">
                  <c:v>644452.82937551953</c:v>
                </c:pt>
                <c:pt idx="752">
                  <c:v>642850.84554423951</c:v>
                </c:pt>
                <c:pt idx="753">
                  <c:v>641246.91696888185</c:v>
                </c:pt>
                <c:pt idx="754">
                  <c:v>639641.04475380154</c:v>
                </c:pt>
                <c:pt idx="755">
                  <c:v>638033.23000112746</c:v>
                </c:pt>
                <c:pt idx="756">
                  <c:v>636423.47381074517</c:v>
                </c:pt>
                <c:pt idx="757">
                  <c:v>634811.77728027781</c:v>
                </c:pt>
                <c:pt idx="758">
                  <c:v>633198.1415050691</c:v>
                </c:pt>
                <c:pt idx="759">
                  <c:v>631582.56757816614</c:v>
                </c:pt>
                <c:pt idx="760">
                  <c:v>629965.05659030215</c:v>
                </c:pt>
                <c:pt idx="761">
                  <c:v>628345.6096298811</c:v>
                </c:pt>
                <c:pt idx="762">
                  <c:v>626724.22778296098</c:v>
                </c:pt>
                <c:pt idx="763">
                  <c:v>625100.91213323933</c:v>
                </c:pt>
                <c:pt idx="764">
                  <c:v>623475.66376203741</c:v>
                </c:pt>
                <c:pt idx="765">
                  <c:v>621848.48374828673</c:v>
                </c:pt>
                <c:pt idx="766">
                  <c:v>620219.37316851388</c:v>
                </c:pt>
                <c:pt idx="767">
                  <c:v>618588.33309682761</c:v>
                </c:pt>
                <c:pt idx="768">
                  <c:v>616955.36460490525</c:v>
                </c:pt>
                <c:pt idx="769">
                  <c:v>615320.4687619796</c:v>
                </c:pt>
                <c:pt idx="770">
                  <c:v>613683.6466348269</c:v>
                </c:pt>
                <c:pt idx="771">
                  <c:v>612044.89928775432</c:v>
                </c:pt>
                <c:pt idx="772">
                  <c:v>610404.22778258845</c:v>
                </c:pt>
                <c:pt idx="773">
                  <c:v>608761.63317866344</c:v>
                </c:pt>
                <c:pt idx="774">
                  <c:v>607117.11653281073</c:v>
                </c:pt>
                <c:pt idx="775">
                  <c:v>605470.67889934778</c:v>
                </c:pt>
                <c:pt idx="776">
                  <c:v>603822.32133006782</c:v>
                </c:pt>
                <c:pt idx="777">
                  <c:v>602172.04487422993</c:v>
                </c:pt>
                <c:pt idx="778">
                  <c:v>600519.85057854932</c:v>
                </c:pt>
                <c:pt idx="779">
                  <c:v>598865.73948718852</c:v>
                </c:pt>
                <c:pt idx="780">
                  <c:v>597209.71264174744</c:v>
                </c:pt>
                <c:pt idx="781">
                  <c:v>595551.77108125552</c:v>
                </c:pt>
                <c:pt idx="782">
                  <c:v>593891.91584216268</c:v>
                </c:pt>
                <c:pt idx="783">
                  <c:v>592230.14795833232</c:v>
                </c:pt>
                <c:pt idx="784">
                  <c:v>590566.46846103203</c:v>
                </c:pt>
                <c:pt idx="785">
                  <c:v>588900.87837892724</c:v>
                </c:pt>
                <c:pt idx="786">
                  <c:v>587233.37873807398</c:v>
                </c:pt>
                <c:pt idx="787">
                  <c:v>585563.97056191158</c:v>
                </c:pt>
                <c:pt idx="788">
                  <c:v>583892.65487125632</c:v>
                </c:pt>
                <c:pt idx="789">
                  <c:v>582219.432684295</c:v>
                </c:pt>
                <c:pt idx="790">
                  <c:v>580544.30501657876</c:v>
                </c:pt>
                <c:pt idx="791">
                  <c:v>578867.27288101811</c:v>
                </c:pt>
                <c:pt idx="792">
                  <c:v>577188.33728787582</c:v>
                </c:pt>
                <c:pt idx="793">
                  <c:v>575507.49924476328</c:v>
                </c:pt>
                <c:pt idx="794">
                  <c:v>573824.75975663424</c:v>
                </c:pt>
                <c:pt idx="795">
                  <c:v>572140.11982578109</c:v>
                </c:pt>
                <c:pt idx="796">
                  <c:v>570453.58045182936</c:v>
                </c:pt>
                <c:pt idx="797">
                  <c:v>568765.14263173437</c:v>
                </c:pt>
                <c:pt idx="798">
                  <c:v>567074.80735977588</c:v>
                </c:pt>
                <c:pt idx="799">
                  <c:v>565382.57562755595</c:v>
                </c:pt>
                <c:pt idx="800">
                  <c:v>563688.44842399389</c:v>
                </c:pt>
                <c:pt idx="801">
                  <c:v>561992.4267353235</c:v>
                </c:pt>
                <c:pt idx="802">
                  <c:v>560294.51154509</c:v>
                </c:pt>
                <c:pt idx="803">
                  <c:v>558594.70383414673</c:v>
                </c:pt>
                <c:pt idx="804">
                  <c:v>556893.00458065281</c:v>
                </c:pt>
                <c:pt idx="805">
                  <c:v>555189.41476006992</c:v>
                </c:pt>
                <c:pt idx="806">
                  <c:v>553483.93534516124</c:v>
                </c:pt>
                <c:pt idx="807">
                  <c:v>551776.56730598793</c:v>
                </c:pt>
                <c:pt idx="808">
                  <c:v>550067.31160990777</c:v>
                </c:pt>
                <c:pt idx="809">
                  <c:v>548356.16922157374</c:v>
                </c:pt>
                <c:pt idx="810">
                  <c:v>546643.1411029317</c:v>
                </c:pt>
                <c:pt idx="811">
                  <c:v>544928.2282132199</c:v>
                </c:pt>
                <c:pt idx="812">
                  <c:v>543211.43150896695</c:v>
                </c:pt>
                <c:pt idx="813">
                  <c:v>541492.75194399082</c:v>
                </c:pt>
                <c:pt idx="814">
                  <c:v>539772.19046939979</c:v>
                </c:pt>
                <c:pt idx="815">
                  <c:v>538049.74803358875</c:v>
                </c:pt>
                <c:pt idx="816">
                  <c:v>536325.42558224068</c:v>
                </c:pt>
                <c:pt idx="817">
                  <c:v>534599.22405832645</c:v>
                </c:pt>
                <c:pt idx="818">
                  <c:v>532871.14440210327</c:v>
                </c:pt>
                <c:pt idx="819">
                  <c:v>531141.18755111599</c:v>
                </c:pt>
                <c:pt idx="820">
                  <c:v>529409.35444019618</c:v>
                </c:pt>
                <c:pt idx="821">
                  <c:v>527675.64600146329</c:v>
                </c:pt>
                <c:pt idx="822">
                  <c:v>525940.06316432497</c:v>
                </c:pt>
                <c:pt idx="823">
                  <c:v>524202.60685547651</c:v>
                </c:pt>
                <c:pt idx="824">
                  <c:v>522463.27799890283</c:v>
                </c:pt>
                <c:pt idx="825">
                  <c:v>520722.07751587883</c:v>
                </c:pt>
                <c:pt idx="826">
                  <c:v>518979.00632497051</c:v>
                </c:pt>
                <c:pt idx="827">
                  <c:v>517234.06534203596</c:v>
                </c:pt>
                <c:pt idx="828">
                  <c:v>515487.25548022648</c:v>
                </c:pt>
                <c:pt idx="829">
                  <c:v>513738.57764998835</c:v>
                </c:pt>
                <c:pt idx="830">
                  <c:v>511988.03275906399</c:v>
                </c:pt>
                <c:pt idx="831">
                  <c:v>510235.62171249383</c:v>
                </c:pt>
                <c:pt idx="832">
                  <c:v>508481.34541261813</c:v>
                </c:pt>
                <c:pt idx="833">
                  <c:v>506725.2047590781</c:v>
                </c:pt>
                <c:pt idx="834">
                  <c:v>504967.2006488191</c:v>
                </c:pt>
                <c:pt idx="835">
                  <c:v>503207.33397609147</c:v>
                </c:pt>
                <c:pt idx="836">
                  <c:v>501445.60563245392</c:v>
                </c:pt>
                <c:pt idx="837">
                  <c:v>499682.01650677517</c:v>
                </c:pt>
                <c:pt idx="838">
                  <c:v>497916.56748523575</c:v>
                </c:pt>
                <c:pt idx="839">
                  <c:v>496149.25945133297</c:v>
                </c:pt>
                <c:pt idx="840">
                  <c:v>494380.09328588063</c:v>
                </c:pt>
                <c:pt idx="841">
                  <c:v>492609.06986701302</c:v>
                </c:pt>
                <c:pt idx="842">
                  <c:v>490836.19007018802</c:v>
                </c:pt>
                <c:pt idx="843">
                  <c:v>489061.45476818981</c:v>
                </c:pt>
                <c:pt idx="844">
                  <c:v>487284.86483113188</c:v>
                </c:pt>
                <c:pt idx="845">
                  <c:v>485506.42112645996</c:v>
                </c:pt>
                <c:pt idx="846">
                  <c:v>483726.12451895513</c:v>
                </c:pt>
                <c:pt idx="847">
                  <c:v>481943.97587073827</c:v>
                </c:pt>
                <c:pt idx="848">
                  <c:v>480159.97604127158</c:v>
                </c:pt>
                <c:pt idx="849">
                  <c:v>478374.12588736345</c:v>
                </c:pt>
                <c:pt idx="850">
                  <c:v>476586.4262631716</c:v>
                </c:pt>
                <c:pt idx="851">
                  <c:v>474796.87802020647</c:v>
                </c:pt>
                <c:pt idx="852">
                  <c:v>473005.48200733517</c:v>
                </c:pt>
                <c:pt idx="853">
                  <c:v>471212.23907078546</c:v>
                </c:pt>
                <c:pt idx="854">
                  <c:v>469417.15005414921</c:v>
                </c:pt>
                <c:pt idx="855">
                  <c:v>467620.21579838661</c:v>
                </c:pt>
                <c:pt idx="856">
                  <c:v>465821.4371418301</c:v>
                </c:pt>
                <c:pt idx="857">
                  <c:v>464020.81492018839</c:v>
                </c:pt>
                <c:pt idx="858">
                  <c:v>462218.34996655071</c:v>
                </c:pt>
                <c:pt idx="859">
                  <c:v>460414.0431113909</c:v>
                </c:pt>
                <c:pt idx="860">
                  <c:v>458607.89518257184</c:v>
                </c:pt>
                <c:pt idx="861">
                  <c:v>456799.90700534976</c:v>
                </c:pt>
                <c:pt idx="862">
                  <c:v>454990.07940237841</c:v>
                </c:pt>
                <c:pt idx="863">
                  <c:v>453178.41319371411</c:v>
                </c:pt>
                <c:pt idx="864">
                  <c:v>451364.90919681964</c:v>
                </c:pt>
                <c:pt idx="865">
                  <c:v>449549.56822656933</c:v>
                </c:pt>
                <c:pt idx="866">
                  <c:v>447732.39109525306</c:v>
                </c:pt>
                <c:pt idx="867">
                  <c:v>445913.37861258176</c:v>
                </c:pt>
                <c:pt idx="868">
                  <c:v>444092.53158569173</c:v>
                </c:pt>
                <c:pt idx="869">
                  <c:v>442269.8508191494</c:v>
                </c:pt>
                <c:pt idx="870">
                  <c:v>440445.33711495646</c:v>
                </c:pt>
                <c:pt idx="871">
                  <c:v>438618.99127255403</c:v>
                </c:pt>
                <c:pt idx="872">
                  <c:v>436790.81408882956</c:v>
                </c:pt>
                <c:pt idx="873">
                  <c:v>434960.80635811889</c:v>
                </c:pt>
                <c:pt idx="874">
                  <c:v>433128.96887221385</c:v>
                </c:pt>
                <c:pt idx="875">
                  <c:v>431295.30242036609</c:v>
                </c:pt>
                <c:pt idx="876">
                  <c:v>429459.80778929254</c:v>
                </c:pt>
                <c:pt idx="877">
                  <c:v>427622.485763181</c:v>
                </c:pt>
                <c:pt idx="878">
                  <c:v>425783.33712369425</c:v>
                </c:pt>
                <c:pt idx="879">
                  <c:v>423942.36264997663</c:v>
                </c:pt>
                <c:pt idx="880">
                  <c:v>422099.56311865814</c:v>
                </c:pt>
                <c:pt idx="881">
                  <c:v>420254.93930386147</c:v>
                </c:pt>
                <c:pt idx="882">
                  <c:v>418408.4919772055</c:v>
                </c:pt>
                <c:pt idx="883">
                  <c:v>416560.22190781124</c:v>
                </c:pt>
                <c:pt idx="884">
                  <c:v>414710.1298623085</c:v>
                </c:pt>
                <c:pt idx="885">
                  <c:v>412858.21660484024</c:v>
                </c:pt>
                <c:pt idx="886">
                  <c:v>411004.48289706756</c:v>
                </c:pt>
                <c:pt idx="887">
                  <c:v>409148.92949817702</c:v>
                </c:pt>
                <c:pt idx="888">
                  <c:v>407291.55716488464</c:v>
                </c:pt>
                <c:pt idx="889">
                  <c:v>405432.36665144237</c:v>
                </c:pt>
                <c:pt idx="890">
                  <c:v>403571.35870964371</c:v>
                </c:pt>
                <c:pt idx="891">
                  <c:v>401708.53408882872</c:v>
                </c:pt>
                <c:pt idx="892">
                  <c:v>399843.89353589038</c:v>
                </c:pt>
                <c:pt idx="893">
                  <c:v>397977.43779528025</c:v>
                </c:pt>
                <c:pt idx="894">
                  <c:v>396109.16760901373</c:v>
                </c:pt>
                <c:pt idx="895">
                  <c:v>394239.08371667669</c:v>
                </c:pt>
                <c:pt idx="896">
                  <c:v>392367.18685543037</c:v>
                </c:pt>
                <c:pt idx="897">
                  <c:v>390493.47776001808</c:v>
                </c:pt>
                <c:pt idx="898">
                  <c:v>388617.95716277056</c:v>
                </c:pt>
                <c:pt idx="899">
                  <c:v>386740.62579361175</c:v>
                </c:pt>
                <c:pt idx="900">
                  <c:v>384861.484380065</c:v>
                </c:pt>
                <c:pt idx="901">
                  <c:v>382980.53364725865</c:v>
                </c:pt>
                <c:pt idx="902">
                  <c:v>381097.77431793232</c:v>
                </c:pt>
                <c:pt idx="903">
                  <c:v>379213.20711244293</c:v>
                </c:pt>
                <c:pt idx="904">
                  <c:v>377326.83274877048</c:v>
                </c:pt>
                <c:pt idx="905">
                  <c:v>375438.6519425232</c:v>
                </c:pt>
                <c:pt idx="906">
                  <c:v>373548.66540694598</c:v>
                </c:pt>
                <c:pt idx="907">
                  <c:v>371656.87385292351</c:v>
                </c:pt>
                <c:pt idx="908">
                  <c:v>369763.27798898844</c:v>
                </c:pt>
                <c:pt idx="909">
                  <c:v>367867.87852132577</c:v>
                </c:pt>
                <c:pt idx="910">
                  <c:v>365970.67615378078</c:v>
                </c:pt>
                <c:pt idx="911">
                  <c:v>364071.67158786347</c:v>
                </c:pt>
                <c:pt idx="912">
                  <c:v>362170.86552275566</c:v>
                </c:pt>
                <c:pt idx="913">
                  <c:v>360268.25865531666</c:v>
                </c:pt>
                <c:pt idx="914">
                  <c:v>358363.85168008949</c:v>
                </c:pt>
                <c:pt idx="915">
                  <c:v>356457.64528930723</c:v>
                </c:pt>
                <c:pt idx="916">
                  <c:v>354549.64017289877</c:v>
                </c:pt>
                <c:pt idx="917">
                  <c:v>352639.83701849519</c:v>
                </c:pt>
                <c:pt idx="918">
                  <c:v>350728.23651143583</c:v>
                </c:pt>
                <c:pt idx="919">
                  <c:v>348814.83933477465</c:v>
                </c:pt>
                <c:pt idx="920">
                  <c:v>346899.64616928657</c:v>
                </c:pt>
                <c:pt idx="921">
                  <c:v>344982.65769347257</c:v>
                </c:pt>
                <c:pt idx="922">
                  <c:v>343063.87458356807</c:v>
                </c:pt>
                <c:pt idx="923">
                  <c:v>341143.29751354665</c:v>
                </c:pt>
                <c:pt idx="924">
                  <c:v>339220.92715512775</c:v>
                </c:pt>
                <c:pt idx="925">
                  <c:v>337296.76417778258</c:v>
                </c:pt>
                <c:pt idx="926">
                  <c:v>335370.80924874032</c:v>
                </c:pt>
                <c:pt idx="927">
                  <c:v>333443.06303299416</c:v>
                </c:pt>
                <c:pt idx="928">
                  <c:v>331513.52619330806</c:v>
                </c:pt>
                <c:pt idx="929">
                  <c:v>329582.19939022232</c:v>
                </c:pt>
                <c:pt idx="930">
                  <c:v>327649.08328206022</c:v>
                </c:pt>
                <c:pt idx="931">
                  <c:v>325714.17852493457</c:v>
                </c:pt>
                <c:pt idx="932">
                  <c:v>323777.48577275302</c:v>
                </c:pt>
                <c:pt idx="933">
                  <c:v>321839.00567722507</c:v>
                </c:pt>
                <c:pt idx="934">
                  <c:v>319898.73888786836</c:v>
                </c:pt>
                <c:pt idx="935">
                  <c:v>317956.68605201424</c:v>
                </c:pt>
                <c:pt idx="936">
                  <c:v>316012.84781481489</c:v>
                </c:pt>
                <c:pt idx="937">
                  <c:v>314067.22481924912</c:v>
                </c:pt>
                <c:pt idx="938">
                  <c:v>312119.817706128</c:v>
                </c:pt>
                <c:pt idx="939">
                  <c:v>310170.62711410306</c:v>
                </c:pt>
                <c:pt idx="940">
                  <c:v>308219.65367967042</c:v>
                </c:pt>
                <c:pt idx="941">
                  <c:v>306266.89803717798</c:v>
                </c:pt>
                <c:pt idx="942">
                  <c:v>304312.3608188316</c:v>
                </c:pt>
                <c:pt idx="943">
                  <c:v>302356.04265470162</c:v>
                </c:pt>
                <c:pt idx="944">
                  <c:v>300397.94417272846</c:v>
                </c:pt>
                <c:pt idx="945">
                  <c:v>298438.06599872967</c:v>
                </c:pt>
                <c:pt idx="946">
                  <c:v>296476.40875640523</c:v>
                </c:pt>
                <c:pt idx="947">
                  <c:v>294512.97306734533</c:v>
                </c:pt>
                <c:pt idx="948">
                  <c:v>292547.75955103454</c:v>
                </c:pt>
                <c:pt idx="949">
                  <c:v>290580.76882485987</c:v>
                </c:pt>
                <c:pt idx="950">
                  <c:v>288612.00150411564</c:v>
                </c:pt>
                <c:pt idx="951">
                  <c:v>286641.45820201095</c:v>
                </c:pt>
                <c:pt idx="952">
                  <c:v>284669.13952967501</c:v>
                </c:pt>
                <c:pt idx="953">
                  <c:v>282695.04609616369</c:v>
                </c:pt>
                <c:pt idx="954">
                  <c:v>280719.17850846564</c:v>
                </c:pt>
                <c:pt idx="955">
                  <c:v>278741.53737150854</c:v>
                </c:pt>
                <c:pt idx="956">
                  <c:v>276762.12328816589</c:v>
                </c:pt>
                <c:pt idx="957">
                  <c:v>274780.93685926194</c:v>
                </c:pt>
                <c:pt idx="958">
                  <c:v>272797.97868357913</c:v>
                </c:pt>
                <c:pt idx="959">
                  <c:v>270813.24935786333</c:v>
                </c:pt>
                <c:pt idx="960">
                  <c:v>268826.74947683082</c:v>
                </c:pt>
                <c:pt idx="961">
                  <c:v>266838.47963317414</c:v>
                </c:pt>
                <c:pt idx="962">
                  <c:v>264848.44041756797</c:v>
                </c:pt>
                <c:pt idx="963">
                  <c:v>262856.63241867546</c:v>
                </c:pt>
                <c:pt idx="964">
                  <c:v>260863.0562231557</c:v>
                </c:pt>
                <c:pt idx="965">
                  <c:v>258867.71241566713</c:v>
                </c:pt>
                <c:pt idx="966">
                  <c:v>256870.60157887579</c:v>
                </c:pt>
                <c:pt idx="967">
                  <c:v>254871.72429346154</c:v>
                </c:pt>
                <c:pt idx="968">
                  <c:v>252871.08113812248</c:v>
                </c:pt>
                <c:pt idx="969">
                  <c:v>250868.67268958304</c:v>
                </c:pt>
                <c:pt idx="970">
                  <c:v>248864.49952259869</c:v>
                </c:pt>
                <c:pt idx="971">
                  <c:v>246858.56220996249</c:v>
                </c:pt>
                <c:pt idx="972">
                  <c:v>244850.86132251227</c:v>
                </c:pt>
                <c:pt idx="973">
                  <c:v>242841.39742913435</c:v>
                </c:pt>
                <c:pt idx="974">
                  <c:v>240830.17109677184</c:v>
                </c:pt>
                <c:pt idx="975">
                  <c:v>238817.18289042951</c:v>
                </c:pt>
                <c:pt idx="976">
                  <c:v>236802.43337318033</c:v>
                </c:pt>
                <c:pt idx="977">
                  <c:v>234785.92310617119</c:v>
                </c:pt>
                <c:pt idx="978">
                  <c:v>232767.65264862939</c:v>
                </c:pt>
                <c:pt idx="979">
                  <c:v>230747.62255786828</c:v>
                </c:pt>
                <c:pt idx="980">
                  <c:v>228725.83338929305</c:v>
                </c:pt>
                <c:pt idx="981">
                  <c:v>226702.28569640836</c:v>
                </c:pt>
                <c:pt idx="982">
                  <c:v>224676.98003082187</c:v>
                </c:pt>
                <c:pt idx="983">
                  <c:v>222649.9169422515</c:v>
                </c:pt>
                <c:pt idx="984">
                  <c:v>220621.09697853227</c:v>
                </c:pt>
                <c:pt idx="985">
                  <c:v>218590.52068562049</c:v>
                </c:pt>
                <c:pt idx="986">
                  <c:v>216558.18860760098</c:v>
                </c:pt>
                <c:pt idx="987">
                  <c:v>214524.10128669281</c:v>
                </c:pt>
                <c:pt idx="988">
                  <c:v>212488.25926325397</c:v>
                </c:pt>
                <c:pt idx="989">
                  <c:v>210450.66307579062</c:v>
                </c:pt>
                <c:pt idx="990">
                  <c:v>208411.31326095876</c:v>
                </c:pt>
                <c:pt idx="991">
                  <c:v>206370.21035357285</c:v>
                </c:pt>
                <c:pt idx="992">
                  <c:v>204327.35488661099</c:v>
                </c:pt>
                <c:pt idx="993">
                  <c:v>202282.747391221</c:v>
                </c:pt>
                <c:pt idx="994">
                  <c:v>200236.38839672587</c:v>
                </c:pt>
                <c:pt idx="995">
                  <c:v>198188.27843062987</c:v>
                </c:pt>
                <c:pt idx="996">
                  <c:v>196138.41801862416</c:v>
                </c:pt>
                <c:pt idx="997">
                  <c:v>194086.80768459407</c:v>
                </c:pt>
                <c:pt idx="998">
                  <c:v>192033.44795062195</c:v>
                </c:pt>
                <c:pt idx="999">
                  <c:v>189978.33933699597</c:v>
                </c:pt>
                <c:pt idx="1000">
                  <c:v>187921.48236221424</c:v>
                </c:pt>
              </c:numCache>
            </c:numRef>
          </c:val>
          <c:smooth val="1"/>
          <c:extLst>
            <c:ext xmlns:c16="http://schemas.microsoft.com/office/drawing/2014/chart" uri="{C3380CC4-5D6E-409C-BE32-E72D297353CC}">
              <c16:uniqueId val="{00000000-404B-4C72-9994-59770DDF8B13}"/>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0.000"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0;[Red]\(#,##0.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autoTitleDeleted val="1"/>
    <c:plotArea>
      <c:layout/>
      <c:lineChart>
        <c:grouping val="standard"/>
        <c:varyColors val="1"/>
        <c:ser>
          <c:idx val="0"/>
          <c:order val="0"/>
          <c:tx>
            <c:v>Total risk</c:v>
          </c:tx>
          <c:marker>
            <c:symbol val="none"/>
          </c:marker>
          <c:cat>
            <c:numRef>
              <c:f>Curves!$A$2:$A$1002</c:f>
              <c:numCache>
                <c:formatCode>0.000</c:formatCode>
                <c:ptCount val="1001"/>
                <c:pt idx="0">
                  <c:v>0</c:v>
                </c:pt>
                <c:pt idx="1">
                  <c:v>0.01</c:v>
                </c:pt>
                <c:pt idx="2">
                  <c:v>0.02</c:v>
                </c:pt>
                <c:pt idx="3">
                  <c:v>0.03</c:v>
                </c:pt>
                <c:pt idx="4">
                  <c:v>0.04</c:v>
                </c:pt>
                <c:pt idx="5">
                  <c:v>0.05</c:v>
                </c:pt>
                <c:pt idx="6">
                  <c:v>0.06</c:v>
                </c:pt>
                <c:pt idx="7">
                  <c:v>7.0000000000000007E-2</c:v>
                </c:pt>
                <c:pt idx="8">
                  <c:v>0.08</c:v>
                </c:pt>
                <c:pt idx="9">
                  <c:v>0.09</c:v>
                </c:pt>
                <c:pt idx="10">
                  <c:v>0.1</c:v>
                </c:pt>
                <c:pt idx="11">
                  <c:v>0.11</c:v>
                </c:pt>
                <c:pt idx="12">
                  <c:v>0.12</c:v>
                </c:pt>
                <c:pt idx="13">
                  <c:v>0.13</c:v>
                </c:pt>
                <c:pt idx="14">
                  <c:v>0.14000000000000001</c:v>
                </c:pt>
                <c:pt idx="15">
                  <c:v>0.15</c:v>
                </c:pt>
                <c:pt idx="16">
                  <c:v>0.16</c:v>
                </c:pt>
                <c:pt idx="17">
                  <c:v>0.17</c:v>
                </c:pt>
                <c:pt idx="18">
                  <c:v>0.18</c:v>
                </c:pt>
                <c:pt idx="19">
                  <c:v>0.19</c:v>
                </c:pt>
                <c:pt idx="20">
                  <c:v>0.2</c:v>
                </c:pt>
                <c:pt idx="21">
                  <c:v>0.21</c:v>
                </c:pt>
                <c:pt idx="22">
                  <c:v>0.22</c:v>
                </c:pt>
                <c:pt idx="23">
                  <c:v>0.23</c:v>
                </c:pt>
                <c:pt idx="24">
                  <c:v>0.24</c:v>
                </c:pt>
                <c:pt idx="25">
                  <c:v>0.25</c:v>
                </c:pt>
                <c:pt idx="26">
                  <c:v>0.26</c:v>
                </c:pt>
                <c:pt idx="27">
                  <c:v>0.27</c:v>
                </c:pt>
                <c:pt idx="28">
                  <c:v>0.28000000000000003</c:v>
                </c:pt>
                <c:pt idx="29">
                  <c:v>0.28999999999999998</c:v>
                </c:pt>
                <c:pt idx="30">
                  <c:v>0.3</c:v>
                </c:pt>
                <c:pt idx="31">
                  <c:v>0.31</c:v>
                </c:pt>
                <c:pt idx="32">
                  <c:v>0.32</c:v>
                </c:pt>
                <c:pt idx="33">
                  <c:v>0.33</c:v>
                </c:pt>
                <c:pt idx="34">
                  <c:v>0.34</c:v>
                </c:pt>
                <c:pt idx="35">
                  <c:v>0.35</c:v>
                </c:pt>
                <c:pt idx="36">
                  <c:v>0.36</c:v>
                </c:pt>
                <c:pt idx="37">
                  <c:v>0.37</c:v>
                </c:pt>
                <c:pt idx="38">
                  <c:v>0.38</c:v>
                </c:pt>
                <c:pt idx="39">
                  <c:v>0.39</c:v>
                </c:pt>
                <c:pt idx="40">
                  <c:v>0.4</c:v>
                </c:pt>
                <c:pt idx="41">
                  <c:v>0.41</c:v>
                </c:pt>
                <c:pt idx="42">
                  <c:v>0.42</c:v>
                </c:pt>
                <c:pt idx="43">
                  <c:v>0.43</c:v>
                </c:pt>
                <c:pt idx="44">
                  <c:v>0.44</c:v>
                </c:pt>
                <c:pt idx="45">
                  <c:v>0.45</c:v>
                </c:pt>
                <c:pt idx="46">
                  <c:v>0.46</c:v>
                </c:pt>
                <c:pt idx="47">
                  <c:v>0.47</c:v>
                </c:pt>
                <c:pt idx="48">
                  <c:v>0.48</c:v>
                </c:pt>
                <c:pt idx="49">
                  <c:v>0.49</c:v>
                </c:pt>
                <c:pt idx="50">
                  <c:v>0.5</c:v>
                </c:pt>
                <c:pt idx="51">
                  <c:v>0.51</c:v>
                </c:pt>
                <c:pt idx="52">
                  <c:v>0.52</c:v>
                </c:pt>
                <c:pt idx="53">
                  <c:v>0.53</c:v>
                </c:pt>
                <c:pt idx="54">
                  <c:v>0.54</c:v>
                </c:pt>
                <c:pt idx="55">
                  <c:v>0.55000000000000004</c:v>
                </c:pt>
                <c:pt idx="56">
                  <c:v>0.56000000000000005</c:v>
                </c:pt>
                <c:pt idx="57">
                  <c:v>0.56999999999999995</c:v>
                </c:pt>
                <c:pt idx="58">
                  <c:v>0.57999999999999996</c:v>
                </c:pt>
                <c:pt idx="59">
                  <c:v>0.59</c:v>
                </c:pt>
                <c:pt idx="60">
                  <c:v>0.6</c:v>
                </c:pt>
                <c:pt idx="61">
                  <c:v>0.61</c:v>
                </c:pt>
                <c:pt idx="62">
                  <c:v>0.62</c:v>
                </c:pt>
                <c:pt idx="63">
                  <c:v>0.63</c:v>
                </c:pt>
                <c:pt idx="64">
                  <c:v>0.64</c:v>
                </c:pt>
                <c:pt idx="65">
                  <c:v>0.65</c:v>
                </c:pt>
                <c:pt idx="66">
                  <c:v>0.66</c:v>
                </c:pt>
                <c:pt idx="67">
                  <c:v>0.67</c:v>
                </c:pt>
                <c:pt idx="68">
                  <c:v>0.68</c:v>
                </c:pt>
                <c:pt idx="69">
                  <c:v>0.69</c:v>
                </c:pt>
                <c:pt idx="70">
                  <c:v>0.7</c:v>
                </c:pt>
                <c:pt idx="71">
                  <c:v>0.71</c:v>
                </c:pt>
                <c:pt idx="72">
                  <c:v>0.72</c:v>
                </c:pt>
                <c:pt idx="73">
                  <c:v>0.73</c:v>
                </c:pt>
                <c:pt idx="74">
                  <c:v>0.74</c:v>
                </c:pt>
                <c:pt idx="75">
                  <c:v>0.75</c:v>
                </c:pt>
                <c:pt idx="76">
                  <c:v>0.76</c:v>
                </c:pt>
                <c:pt idx="77">
                  <c:v>0.77</c:v>
                </c:pt>
                <c:pt idx="78">
                  <c:v>0.78</c:v>
                </c:pt>
                <c:pt idx="79">
                  <c:v>0.79</c:v>
                </c:pt>
                <c:pt idx="80">
                  <c:v>0.8</c:v>
                </c:pt>
                <c:pt idx="81">
                  <c:v>0.81</c:v>
                </c:pt>
                <c:pt idx="82">
                  <c:v>0.82</c:v>
                </c:pt>
                <c:pt idx="83">
                  <c:v>0.83</c:v>
                </c:pt>
                <c:pt idx="84">
                  <c:v>0.84</c:v>
                </c:pt>
                <c:pt idx="85">
                  <c:v>0.85</c:v>
                </c:pt>
                <c:pt idx="86">
                  <c:v>0.86</c:v>
                </c:pt>
                <c:pt idx="87">
                  <c:v>0.87</c:v>
                </c:pt>
                <c:pt idx="88">
                  <c:v>0.88</c:v>
                </c:pt>
                <c:pt idx="89">
                  <c:v>0.89</c:v>
                </c:pt>
                <c:pt idx="90">
                  <c:v>0.9</c:v>
                </c:pt>
                <c:pt idx="91">
                  <c:v>0.91</c:v>
                </c:pt>
                <c:pt idx="92">
                  <c:v>0.92</c:v>
                </c:pt>
                <c:pt idx="93">
                  <c:v>0.93</c:v>
                </c:pt>
                <c:pt idx="94">
                  <c:v>0.94</c:v>
                </c:pt>
                <c:pt idx="95">
                  <c:v>0.95</c:v>
                </c:pt>
                <c:pt idx="96">
                  <c:v>0.96</c:v>
                </c:pt>
                <c:pt idx="97">
                  <c:v>0.97</c:v>
                </c:pt>
                <c:pt idx="98">
                  <c:v>0.98</c:v>
                </c:pt>
                <c:pt idx="99">
                  <c:v>0.99</c:v>
                </c:pt>
                <c:pt idx="100">
                  <c:v>1</c:v>
                </c:pt>
                <c:pt idx="101">
                  <c:v>1.01</c:v>
                </c:pt>
                <c:pt idx="102">
                  <c:v>1.02</c:v>
                </c:pt>
                <c:pt idx="103">
                  <c:v>1.03</c:v>
                </c:pt>
                <c:pt idx="104">
                  <c:v>1.04</c:v>
                </c:pt>
                <c:pt idx="105">
                  <c:v>1.05</c:v>
                </c:pt>
                <c:pt idx="106">
                  <c:v>1.06</c:v>
                </c:pt>
                <c:pt idx="107">
                  <c:v>1.07</c:v>
                </c:pt>
                <c:pt idx="108">
                  <c:v>1.08</c:v>
                </c:pt>
                <c:pt idx="109">
                  <c:v>1.0900000000000001</c:v>
                </c:pt>
                <c:pt idx="110">
                  <c:v>1.1000000000000001</c:v>
                </c:pt>
                <c:pt idx="111">
                  <c:v>1.1100000000000001</c:v>
                </c:pt>
                <c:pt idx="112">
                  <c:v>1.1200000000000001</c:v>
                </c:pt>
                <c:pt idx="113">
                  <c:v>1.1299999999999999</c:v>
                </c:pt>
                <c:pt idx="114">
                  <c:v>1.1399999999999999</c:v>
                </c:pt>
                <c:pt idx="115">
                  <c:v>1.1499999999999999</c:v>
                </c:pt>
                <c:pt idx="116">
                  <c:v>1.1599999999999999</c:v>
                </c:pt>
                <c:pt idx="117">
                  <c:v>1.17</c:v>
                </c:pt>
                <c:pt idx="118">
                  <c:v>1.18</c:v>
                </c:pt>
                <c:pt idx="119">
                  <c:v>1.19</c:v>
                </c:pt>
                <c:pt idx="120">
                  <c:v>1.2</c:v>
                </c:pt>
                <c:pt idx="121">
                  <c:v>1.21</c:v>
                </c:pt>
                <c:pt idx="122">
                  <c:v>1.22</c:v>
                </c:pt>
                <c:pt idx="123">
                  <c:v>1.23</c:v>
                </c:pt>
                <c:pt idx="124">
                  <c:v>1.24</c:v>
                </c:pt>
                <c:pt idx="125">
                  <c:v>1.25</c:v>
                </c:pt>
                <c:pt idx="126">
                  <c:v>1.26</c:v>
                </c:pt>
                <c:pt idx="127">
                  <c:v>1.27</c:v>
                </c:pt>
                <c:pt idx="128">
                  <c:v>1.28</c:v>
                </c:pt>
                <c:pt idx="129">
                  <c:v>1.29</c:v>
                </c:pt>
                <c:pt idx="130">
                  <c:v>1.3</c:v>
                </c:pt>
                <c:pt idx="131">
                  <c:v>1.31</c:v>
                </c:pt>
                <c:pt idx="132">
                  <c:v>1.32</c:v>
                </c:pt>
                <c:pt idx="133">
                  <c:v>1.33</c:v>
                </c:pt>
                <c:pt idx="134">
                  <c:v>1.34</c:v>
                </c:pt>
                <c:pt idx="135">
                  <c:v>1.35</c:v>
                </c:pt>
                <c:pt idx="136">
                  <c:v>1.36</c:v>
                </c:pt>
                <c:pt idx="137">
                  <c:v>1.37</c:v>
                </c:pt>
                <c:pt idx="138">
                  <c:v>1.38</c:v>
                </c:pt>
                <c:pt idx="139">
                  <c:v>1.39</c:v>
                </c:pt>
                <c:pt idx="140">
                  <c:v>1.4</c:v>
                </c:pt>
                <c:pt idx="141">
                  <c:v>1.41</c:v>
                </c:pt>
                <c:pt idx="142">
                  <c:v>1.42</c:v>
                </c:pt>
                <c:pt idx="143">
                  <c:v>1.43</c:v>
                </c:pt>
                <c:pt idx="144">
                  <c:v>1.44</c:v>
                </c:pt>
                <c:pt idx="145">
                  <c:v>1.45</c:v>
                </c:pt>
                <c:pt idx="146">
                  <c:v>1.46</c:v>
                </c:pt>
                <c:pt idx="147">
                  <c:v>1.47</c:v>
                </c:pt>
                <c:pt idx="148">
                  <c:v>1.48</c:v>
                </c:pt>
                <c:pt idx="149">
                  <c:v>1.49</c:v>
                </c:pt>
                <c:pt idx="150">
                  <c:v>1.5</c:v>
                </c:pt>
                <c:pt idx="151">
                  <c:v>1.51</c:v>
                </c:pt>
                <c:pt idx="152">
                  <c:v>1.52</c:v>
                </c:pt>
                <c:pt idx="153">
                  <c:v>1.53</c:v>
                </c:pt>
                <c:pt idx="154">
                  <c:v>1.54</c:v>
                </c:pt>
                <c:pt idx="155">
                  <c:v>1.55</c:v>
                </c:pt>
                <c:pt idx="156">
                  <c:v>1.56</c:v>
                </c:pt>
                <c:pt idx="157">
                  <c:v>1.57</c:v>
                </c:pt>
                <c:pt idx="158">
                  <c:v>1.58</c:v>
                </c:pt>
                <c:pt idx="159">
                  <c:v>1.59</c:v>
                </c:pt>
                <c:pt idx="160">
                  <c:v>1.6</c:v>
                </c:pt>
                <c:pt idx="161">
                  <c:v>1.61</c:v>
                </c:pt>
                <c:pt idx="162">
                  <c:v>1.62</c:v>
                </c:pt>
                <c:pt idx="163">
                  <c:v>1.63</c:v>
                </c:pt>
                <c:pt idx="164">
                  <c:v>1.64</c:v>
                </c:pt>
                <c:pt idx="165">
                  <c:v>1.65</c:v>
                </c:pt>
                <c:pt idx="166">
                  <c:v>1.66</c:v>
                </c:pt>
                <c:pt idx="167">
                  <c:v>1.67</c:v>
                </c:pt>
                <c:pt idx="168">
                  <c:v>1.68</c:v>
                </c:pt>
                <c:pt idx="169">
                  <c:v>1.69</c:v>
                </c:pt>
                <c:pt idx="170">
                  <c:v>1.7</c:v>
                </c:pt>
                <c:pt idx="171">
                  <c:v>1.71</c:v>
                </c:pt>
                <c:pt idx="172">
                  <c:v>1.72</c:v>
                </c:pt>
                <c:pt idx="173">
                  <c:v>1.73</c:v>
                </c:pt>
                <c:pt idx="174">
                  <c:v>1.74</c:v>
                </c:pt>
                <c:pt idx="175">
                  <c:v>1.75</c:v>
                </c:pt>
                <c:pt idx="176">
                  <c:v>1.76</c:v>
                </c:pt>
                <c:pt idx="177">
                  <c:v>1.77</c:v>
                </c:pt>
                <c:pt idx="178">
                  <c:v>1.78</c:v>
                </c:pt>
                <c:pt idx="179">
                  <c:v>1.79</c:v>
                </c:pt>
                <c:pt idx="180">
                  <c:v>1.8</c:v>
                </c:pt>
                <c:pt idx="181">
                  <c:v>1.81</c:v>
                </c:pt>
                <c:pt idx="182">
                  <c:v>1.82</c:v>
                </c:pt>
                <c:pt idx="183">
                  <c:v>1.83</c:v>
                </c:pt>
                <c:pt idx="184">
                  <c:v>1.84</c:v>
                </c:pt>
                <c:pt idx="185">
                  <c:v>1.85</c:v>
                </c:pt>
                <c:pt idx="186">
                  <c:v>1.86</c:v>
                </c:pt>
                <c:pt idx="187">
                  <c:v>1.87</c:v>
                </c:pt>
                <c:pt idx="188">
                  <c:v>1.88</c:v>
                </c:pt>
                <c:pt idx="189">
                  <c:v>1.89</c:v>
                </c:pt>
                <c:pt idx="190">
                  <c:v>1.9</c:v>
                </c:pt>
                <c:pt idx="191">
                  <c:v>1.91</c:v>
                </c:pt>
                <c:pt idx="192">
                  <c:v>1.92</c:v>
                </c:pt>
                <c:pt idx="193">
                  <c:v>1.93</c:v>
                </c:pt>
                <c:pt idx="194">
                  <c:v>1.94</c:v>
                </c:pt>
                <c:pt idx="195">
                  <c:v>1.95</c:v>
                </c:pt>
                <c:pt idx="196">
                  <c:v>1.96</c:v>
                </c:pt>
                <c:pt idx="197">
                  <c:v>1.97</c:v>
                </c:pt>
                <c:pt idx="198">
                  <c:v>1.98</c:v>
                </c:pt>
                <c:pt idx="199">
                  <c:v>1.99</c:v>
                </c:pt>
                <c:pt idx="200">
                  <c:v>2</c:v>
                </c:pt>
                <c:pt idx="201">
                  <c:v>2.0099999999999998</c:v>
                </c:pt>
                <c:pt idx="202">
                  <c:v>2.02</c:v>
                </c:pt>
                <c:pt idx="203">
                  <c:v>2.0299999999999998</c:v>
                </c:pt>
                <c:pt idx="204">
                  <c:v>2.04</c:v>
                </c:pt>
                <c:pt idx="205">
                  <c:v>2.0499999999999998</c:v>
                </c:pt>
                <c:pt idx="206">
                  <c:v>2.06</c:v>
                </c:pt>
                <c:pt idx="207">
                  <c:v>2.0699999999999998</c:v>
                </c:pt>
                <c:pt idx="208">
                  <c:v>2.08</c:v>
                </c:pt>
                <c:pt idx="209">
                  <c:v>2.09</c:v>
                </c:pt>
                <c:pt idx="210">
                  <c:v>2.1</c:v>
                </c:pt>
                <c:pt idx="211">
                  <c:v>2.11</c:v>
                </c:pt>
                <c:pt idx="212">
                  <c:v>2.12</c:v>
                </c:pt>
                <c:pt idx="213">
                  <c:v>2.13</c:v>
                </c:pt>
                <c:pt idx="214">
                  <c:v>2.14</c:v>
                </c:pt>
                <c:pt idx="215">
                  <c:v>2.15</c:v>
                </c:pt>
                <c:pt idx="216">
                  <c:v>2.16</c:v>
                </c:pt>
                <c:pt idx="217">
                  <c:v>2.17</c:v>
                </c:pt>
                <c:pt idx="218">
                  <c:v>2.1800000000000002</c:v>
                </c:pt>
                <c:pt idx="219">
                  <c:v>2.19</c:v>
                </c:pt>
                <c:pt idx="220">
                  <c:v>2.2000000000000002</c:v>
                </c:pt>
                <c:pt idx="221">
                  <c:v>2.21</c:v>
                </c:pt>
                <c:pt idx="222">
                  <c:v>2.2200000000000002</c:v>
                </c:pt>
                <c:pt idx="223">
                  <c:v>2.23</c:v>
                </c:pt>
                <c:pt idx="224">
                  <c:v>2.2400000000000002</c:v>
                </c:pt>
                <c:pt idx="225">
                  <c:v>2.25</c:v>
                </c:pt>
                <c:pt idx="226">
                  <c:v>2.2599999999999998</c:v>
                </c:pt>
                <c:pt idx="227">
                  <c:v>2.27</c:v>
                </c:pt>
                <c:pt idx="228">
                  <c:v>2.2799999999999998</c:v>
                </c:pt>
                <c:pt idx="229">
                  <c:v>2.29</c:v>
                </c:pt>
                <c:pt idx="230">
                  <c:v>2.2999999999999998</c:v>
                </c:pt>
                <c:pt idx="231">
                  <c:v>2.31</c:v>
                </c:pt>
                <c:pt idx="232">
                  <c:v>2.3199999999999998</c:v>
                </c:pt>
                <c:pt idx="233">
                  <c:v>2.33</c:v>
                </c:pt>
                <c:pt idx="234">
                  <c:v>2.34</c:v>
                </c:pt>
                <c:pt idx="235">
                  <c:v>2.35</c:v>
                </c:pt>
                <c:pt idx="236">
                  <c:v>2.36</c:v>
                </c:pt>
                <c:pt idx="237">
                  <c:v>2.37</c:v>
                </c:pt>
                <c:pt idx="238">
                  <c:v>2.38</c:v>
                </c:pt>
                <c:pt idx="239">
                  <c:v>2.39</c:v>
                </c:pt>
                <c:pt idx="240">
                  <c:v>2.4</c:v>
                </c:pt>
                <c:pt idx="241">
                  <c:v>2.41</c:v>
                </c:pt>
                <c:pt idx="242">
                  <c:v>2.42</c:v>
                </c:pt>
                <c:pt idx="243">
                  <c:v>2.4300000000000002</c:v>
                </c:pt>
                <c:pt idx="244">
                  <c:v>2.44</c:v>
                </c:pt>
                <c:pt idx="245">
                  <c:v>2.4500000000000002</c:v>
                </c:pt>
                <c:pt idx="246">
                  <c:v>2.46</c:v>
                </c:pt>
                <c:pt idx="247">
                  <c:v>2.4700000000000002</c:v>
                </c:pt>
                <c:pt idx="248">
                  <c:v>2.48</c:v>
                </c:pt>
                <c:pt idx="249">
                  <c:v>2.4900000000000002</c:v>
                </c:pt>
                <c:pt idx="250">
                  <c:v>2.5</c:v>
                </c:pt>
                <c:pt idx="251">
                  <c:v>2.5099999999999998</c:v>
                </c:pt>
                <c:pt idx="252">
                  <c:v>2.52</c:v>
                </c:pt>
                <c:pt idx="253">
                  <c:v>2.5299999999999998</c:v>
                </c:pt>
                <c:pt idx="254">
                  <c:v>2.54</c:v>
                </c:pt>
                <c:pt idx="255">
                  <c:v>2.5499999999999998</c:v>
                </c:pt>
                <c:pt idx="256">
                  <c:v>2.56</c:v>
                </c:pt>
                <c:pt idx="257">
                  <c:v>2.57</c:v>
                </c:pt>
                <c:pt idx="258">
                  <c:v>2.58</c:v>
                </c:pt>
                <c:pt idx="259">
                  <c:v>2.59</c:v>
                </c:pt>
                <c:pt idx="260">
                  <c:v>2.6</c:v>
                </c:pt>
                <c:pt idx="261">
                  <c:v>2.61</c:v>
                </c:pt>
                <c:pt idx="262">
                  <c:v>2.62</c:v>
                </c:pt>
                <c:pt idx="263">
                  <c:v>2.63</c:v>
                </c:pt>
                <c:pt idx="264">
                  <c:v>2.64</c:v>
                </c:pt>
                <c:pt idx="265">
                  <c:v>2.65</c:v>
                </c:pt>
                <c:pt idx="266">
                  <c:v>2.66</c:v>
                </c:pt>
                <c:pt idx="267">
                  <c:v>2.67</c:v>
                </c:pt>
                <c:pt idx="268">
                  <c:v>2.68</c:v>
                </c:pt>
                <c:pt idx="269">
                  <c:v>2.69</c:v>
                </c:pt>
                <c:pt idx="270">
                  <c:v>2.7</c:v>
                </c:pt>
                <c:pt idx="271">
                  <c:v>2.71</c:v>
                </c:pt>
                <c:pt idx="272">
                  <c:v>2.72</c:v>
                </c:pt>
                <c:pt idx="273">
                  <c:v>2.73</c:v>
                </c:pt>
                <c:pt idx="274">
                  <c:v>2.74</c:v>
                </c:pt>
                <c:pt idx="275">
                  <c:v>2.75</c:v>
                </c:pt>
                <c:pt idx="276">
                  <c:v>2.76</c:v>
                </c:pt>
                <c:pt idx="277">
                  <c:v>2.77</c:v>
                </c:pt>
                <c:pt idx="278">
                  <c:v>2.78</c:v>
                </c:pt>
                <c:pt idx="279">
                  <c:v>2.79</c:v>
                </c:pt>
                <c:pt idx="280">
                  <c:v>2.8</c:v>
                </c:pt>
                <c:pt idx="281">
                  <c:v>2.81</c:v>
                </c:pt>
                <c:pt idx="282">
                  <c:v>2.82</c:v>
                </c:pt>
                <c:pt idx="283">
                  <c:v>2.83</c:v>
                </c:pt>
                <c:pt idx="284">
                  <c:v>2.84</c:v>
                </c:pt>
                <c:pt idx="285">
                  <c:v>2.85</c:v>
                </c:pt>
                <c:pt idx="286">
                  <c:v>2.86</c:v>
                </c:pt>
                <c:pt idx="287">
                  <c:v>2.87</c:v>
                </c:pt>
                <c:pt idx="288">
                  <c:v>2.88</c:v>
                </c:pt>
                <c:pt idx="289">
                  <c:v>2.89</c:v>
                </c:pt>
                <c:pt idx="290">
                  <c:v>2.9</c:v>
                </c:pt>
                <c:pt idx="291">
                  <c:v>2.91</c:v>
                </c:pt>
                <c:pt idx="292">
                  <c:v>2.92</c:v>
                </c:pt>
                <c:pt idx="293">
                  <c:v>2.93</c:v>
                </c:pt>
                <c:pt idx="294">
                  <c:v>2.94</c:v>
                </c:pt>
                <c:pt idx="295">
                  <c:v>2.95</c:v>
                </c:pt>
                <c:pt idx="296">
                  <c:v>2.96</c:v>
                </c:pt>
                <c:pt idx="297">
                  <c:v>2.97</c:v>
                </c:pt>
                <c:pt idx="298">
                  <c:v>2.98</c:v>
                </c:pt>
                <c:pt idx="299">
                  <c:v>2.99</c:v>
                </c:pt>
                <c:pt idx="300">
                  <c:v>3</c:v>
                </c:pt>
                <c:pt idx="301">
                  <c:v>3.01</c:v>
                </c:pt>
                <c:pt idx="302">
                  <c:v>3.02</c:v>
                </c:pt>
                <c:pt idx="303">
                  <c:v>3.03</c:v>
                </c:pt>
                <c:pt idx="304">
                  <c:v>3.04</c:v>
                </c:pt>
                <c:pt idx="305">
                  <c:v>3.05</c:v>
                </c:pt>
                <c:pt idx="306">
                  <c:v>3.06</c:v>
                </c:pt>
                <c:pt idx="307">
                  <c:v>3.07</c:v>
                </c:pt>
                <c:pt idx="308">
                  <c:v>3.08</c:v>
                </c:pt>
                <c:pt idx="309">
                  <c:v>3.09</c:v>
                </c:pt>
                <c:pt idx="310">
                  <c:v>3.1</c:v>
                </c:pt>
                <c:pt idx="311">
                  <c:v>3.11</c:v>
                </c:pt>
                <c:pt idx="312">
                  <c:v>3.12</c:v>
                </c:pt>
                <c:pt idx="313">
                  <c:v>3.13</c:v>
                </c:pt>
                <c:pt idx="314">
                  <c:v>3.14</c:v>
                </c:pt>
                <c:pt idx="315">
                  <c:v>3.15</c:v>
                </c:pt>
                <c:pt idx="316">
                  <c:v>3.16</c:v>
                </c:pt>
                <c:pt idx="317">
                  <c:v>3.17</c:v>
                </c:pt>
                <c:pt idx="318">
                  <c:v>3.18</c:v>
                </c:pt>
                <c:pt idx="319">
                  <c:v>3.19</c:v>
                </c:pt>
                <c:pt idx="320">
                  <c:v>3.2</c:v>
                </c:pt>
                <c:pt idx="321">
                  <c:v>3.21</c:v>
                </c:pt>
                <c:pt idx="322">
                  <c:v>3.22</c:v>
                </c:pt>
                <c:pt idx="323">
                  <c:v>3.23</c:v>
                </c:pt>
                <c:pt idx="324">
                  <c:v>3.24</c:v>
                </c:pt>
                <c:pt idx="325">
                  <c:v>3.25</c:v>
                </c:pt>
                <c:pt idx="326">
                  <c:v>3.26</c:v>
                </c:pt>
                <c:pt idx="327">
                  <c:v>3.27</c:v>
                </c:pt>
                <c:pt idx="328">
                  <c:v>3.28</c:v>
                </c:pt>
                <c:pt idx="329">
                  <c:v>3.29</c:v>
                </c:pt>
                <c:pt idx="330">
                  <c:v>3.3</c:v>
                </c:pt>
                <c:pt idx="331">
                  <c:v>3.31</c:v>
                </c:pt>
                <c:pt idx="332">
                  <c:v>3.32</c:v>
                </c:pt>
                <c:pt idx="333">
                  <c:v>3.33</c:v>
                </c:pt>
                <c:pt idx="334">
                  <c:v>3.34</c:v>
                </c:pt>
                <c:pt idx="335">
                  <c:v>3.35</c:v>
                </c:pt>
                <c:pt idx="336">
                  <c:v>3.36</c:v>
                </c:pt>
                <c:pt idx="337">
                  <c:v>3.37</c:v>
                </c:pt>
                <c:pt idx="338">
                  <c:v>3.38</c:v>
                </c:pt>
                <c:pt idx="339">
                  <c:v>3.39</c:v>
                </c:pt>
                <c:pt idx="340">
                  <c:v>3.4</c:v>
                </c:pt>
                <c:pt idx="341">
                  <c:v>3.41</c:v>
                </c:pt>
                <c:pt idx="342">
                  <c:v>3.42</c:v>
                </c:pt>
                <c:pt idx="343">
                  <c:v>3.43</c:v>
                </c:pt>
                <c:pt idx="344">
                  <c:v>3.44</c:v>
                </c:pt>
                <c:pt idx="345">
                  <c:v>3.45</c:v>
                </c:pt>
                <c:pt idx="346">
                  <c:v>3.46</c:v>
                </c:pt>
                <c:pt idx="347">
                  <c:v>3.47</c:v>
                </c:pt>
                <c:pt idx="348">
                  <c:v>3.48</c:v>
                </c:pt>
                <c:pt idx="349">
                  <c:v>3.49</c:v>
                </c:pt>
                <c:pt idx="350">
                  <c:v>3.5</c:v>
                </c:pt>
                <c:pt idx="351">
                  <c:v>3.51</c:v>
                </c:pt>
                <c:pt idx="352">
                  <c:v>3.52</c:v>
                </c:pt>
                <c:pt idx="353">
                  <c:v>3.53</c:v>
                </c:pt>
                <c:pt idx="354">
                  <c:v>3.54</c:v>
                </c:pt>
                <c:pt idx="355">
                  <c:v>3.55</c:v>
                </c:pt>
                <c:pt idx="356">
                  <c:v>3.56</c:v>
                </c:pt>
                <c:pt idx="357">
                  <c:v>3.57</c:v>
                </c:pt>
                <c:pt idx="358">
                  <c:v>3.58</c:v>
                </c:pt>
                <c:pt idx="359">
                  <c:v>3.59</c:v>
                </c:pt>
                <c:pt idx="360">
                  <c:v>3.6</c:v>
                </c:pt>
                <c:pt idx="361">
                  <c:v>3.61</c:v>
                </c:pt>
                <c:pt idx="362">
                  <c:v>3.62</c:v>
                </c:pt>
                <c:pt idx="363">
                  <c:v>3.63</c:v>
                </c:pt>
                <c:pt idx="364">
                  <c:v>3.64</c:v>
                </c:pt>
                <c:pt idx="365">
                  <c:v>3.65</c:v>
                </c:pt>
                <c:pt idx="366">
                  <c:v>3.66</c:v>
                </c:pt>
                <c:pt idx="367">
                  <c:v>3.67</c:v>
                </c:pt>
                <c:pt idx="368">
                  <c:v>3.68</c:v>
                </c:pt>
                <c:pt idx="369">
                  <c:v>3.69</c:v>
                </c:pt>
                <c:pt idx="370">
                  <c:v>3.7</c:v>
                </c:pt>
                <c:pt idx="371">
                  <c:v>3.71</c:v>
                </c:pt>
                <c:pt idx="372">
                  <c:v>3.72</c:v>
                </c:pt>
                <c:pt idx="373">
                  <c:v>3.73</c:v>
                </c:pt>
                <c:pt idx="374">
                  <c:v>3.74</c:v>
                </c:pt>
                <c:pt idx="375">
                  <c:v>3.75</c:v>
                </c:pt>
                <c:pt idx="376">
                  <c:v>3.76</c:v>
                </c:pt>
                <c:pt idx="377">
                  <c:v>3.77</c:v>
                </c:pt>
                <c:pt idx="378">
                  <c:v>3.78</c:v>
                </c:pt>
                <c:pt idx="379">
                  <c:v>3.79</c:v>
                </c:pt>
                <c:pt idx="380">
                  <c:v>3.8</c:v>
                </c:pt>
                <c:pt idx="381">
                  <c:v>3.81</c:v>
                </c:pt>
                <c:pt idx="382">
                  <c:v>3.82</c:v>
                </c:pt>
                <c:pt idx="383">
                  <c:v>3.83</c:v>
                </c:pt>
                <c:pt idx="384">
                  <c:v>3.84</c:v>
                </c:pt>
                <c:pt idx="385">
                  <c:v>3.85</c:v>
                </c:pt>
                <c:pt idx="386">
                  <c:v>3.86</c:v>
                </c:pt>
                <c:pt idx="387">
                  <c:v>3.87</c:v>
                </c:pt>
                <c:pt idx="388">
                  <c:v>3.88</c:v>
                </c:pt>
                <c:pt idx="389">
                  <c:v>3.89</c:v>
                </c:pt>
                <c:pt idx="390">
                  <c:v>3.9</c:v>
                </c:pt>
                <c:pt idx="391">
                  <c:v>3.91</c:v>
                </c:pt>
                <c:pt idx="392">
                  <c:v>3.92</c:v>
                </c:pt>
                <c:pt idx="393">
                  <c:v>3.93</c:v>
                </c:pt>
                <c:pt idx="394">
                  <c:v>3.94</c:v>
                </c:pt>
                <c:pt idx="395">
                  <c:v>3.95</c:v>
                </c:pt>
                <c:pt idx="396">
                  <c:v>3.96</c:v>
                </c:pt>
                <c:pt idx="397">
                  <c:v>3.97</c:v>
                </c:pt>
                <c:pt idx="398">
                  <c:v>3.98</c:v>
                </c:pt>
                <c:pt idx="399">
                  <c:v>3.99</c:v>
                </c:pt>
                <c:pt idx="400">
                  <c:v>4</c:v>
                </c:pt>
                <c:pt idx="401">
                  <c:v>4.01</c:v>
                </c:pt>
                <c:pt idx="402">
                  <c:v>4.0199999999999996</c:v>
                </c:pt>
                <c:pt idx="403">
                  <c:v>4.03</c:v>
                </c:pt>
                <c:pt idx="404">
                  <c:v>4.04</c:v>
                </c:pt>
                <c:pt idx="405">
                  <c:v>4.05</c:v>
                </c:pt>
                <c:pt idx="406">
                  <c:v>4.0599999999999996</c:v>
                </c:pt>
                <c:pt idx="407">
                  <c:v>4.07</c:v>
                </c:pt>
                <c:pt idx="408">
                  <c:v>4.08</c:v>
                </c:pt>
                <c:pt idx="409">
                  <c:v>4.09</c:v>
                </c:pt>
                <c:pt idx="410">
                  <c:v>4.0999999999999996</c:v>
                </c:pt>
                <c:pt idx="411">
                  <c:v>4.1100000000000003</c:v>
                </c:pt>
                <c:pt idx="412">
                  <c:v>4.12</c:v>
                </c:pt>
                <c:pt idx="413">
                  <c:v>4.13</c:v>
                </c:pt>
                <c:pt idx="414">
                  <c:v>4.1399999999999997</c:v>
                </c:pt>
                <c:pt idx="415">
                  <c:v>4.1500000000000004</c:v>
                </c:pt>
                <c:pt idx="416">
                  <c:v>4.16</c:v>
                </c:pt>
                <c:pt idx="417">
                  <c:v>4.17</c:v>
                </c:pt>
                <c:pt idx="418">
                  <c:v>4.18</c:v>
                </c:pt>
                <c:pt idx="419">
                  <c:v>4.1900000000000004</c:v>
                </c:pt>
                <c:pt idx="420">
                  <c:v>4.2</c:v>
                </c:pt>
                <c:pt idx="421">
                  <c:v>4.21</c:v>
                </c:pt>
                <c:pt idx="422">
                  <c:v>4.22</c:v>
                </c:pt>
                <c:pt idx="423">
                  <c:v>4.2300000000000004</c:v>
                </c:pt>
                <c:pt idx="424">
                  <c:v>4.24</c:v>
                </c:pt>
                <c:pt idx="425">
                  <c:v>4.25</c:v>
                </c:pt>
                <c:pt idx="426">
                  <c:v>4.26</c:v>
                </c:pt>
                <c:pt idx="427">
                  <c:v>4.2699999999999996</c:v>
                </c:pt>
                <c:pt idx="428">
                  <c:v>4.28</c:v>
                </c:pt>
                <c:pt idx="429">
                  <c:v>4.29</c:v>
                </c:pt>
                <c:pt idx="430">
                  <c:v>4.3</c:v>
                </c:pt>
                <c:pt idx="431">
                  <c:v>4.3099999999999996</c:v>
                </c:pt>
                <c:pt idx="432">
                  <c:v>4.32</c:v>
                </c:pt>
                <c:pt idx="433">
                  <c:v>4.33</c:v>
                </c:pt>
                <c:pt idx="434">
                  <c:v>4.34</c:v>
                </c:pt>
                <c:pt idx="435">
                  <c:v>4.3499999999999996</c:v>
                </c:pt>
                <c:pt idx="436">
                  <c:v>4.3600000000000003</c:v>
                </c:pt>
                <c:pt idx="437">
                  <c:v>4.37</c:v>
                </c:pt>
                <c:pt idx="438">
                  <c:v>4.38</c:v>
                </c:pt>
                <c:pt idx="439">
                  <c:v>4.3899999999999997</c:v>
                </c:pt>
                <c:pt idx="440">
                  <c:v>4.4000000000000004</c:v>
                </c:pt>
                <c:pt idx="441">
                  <c:v>4.41</c:v>
                </c:pt>
                <c:pt idx="442">
                  <c:v>4.42</c:v>
                </c:pt>
                <c:pt idx="443">
                  <c:v>4.43</c:v>
                </c:pt>
                <c:pt idx="444">
                  <c:v>4.4400000000000004</c:v>
                </c:pt>
                <c:pt idx="445">
                  <c:v>4.45</c:v>
                </c:pt>
                <c:pt idx="446">
                  <c:v>4.46</c:v>
                </c:pt>
                <c:pt idx="447">
                  <c:v>4.47</c:v>
                </c:pt>
                <c:pt idx="448">
                  <c:v>4.4800000000000004</c:v>
                </c:pt>
                <c:pt idx="449">
                  <c:v>4.49</c:v>
                </c:pt>
                <c:pt idx="450">
                  <c:v>4.5</c:v>
                </c:pt>
                <c:pt idx="451">
                  <c:v>4.51</c:v>
                </c:pt>
                <c:pt idx="452">
                  <c:v>4.5199999999999996</c:v>
                </c:pt>
                <c:pt idx="453">
                  <c:v>4.53</c:v>
                </c:pt>
                <c:pt idx="454">
                  <c:v>4.54</c:v>
                </c:pt>
                <c:pt idx="455">
                  <c:v>4.55</c:v>
                </c:pt>
                <c:pt idx="456">
                  <c:v>4.5599999999999996</c:v>
                </c:pt>
                <c:pt idx="457">
                  <c:v>4.57</c:v>
                </c:pt>
                <c:pt idx="458">
                  <c:v>4.58</c:v>
                </c:pt>
                <c:pt idx="459">
                  <c:v>4.59</c:v>
                </c:pt>
                <c:pt idx="460">
                  <c:v>4.5999999999999996</c:v>
                </c:pt>
                <c:pt idx="461">
                  <c:v>4.6100000000000003</c:v>
                </c:pt>
                <c:pt idx="462">
                  <c:v>4.62</c:v>
                </c:pt>
                <c:pt idx="463">
                  <c:v>4.63</c:v>
                </c:pt>
                <c:pt idx="464">
                  <c:v>4.6399999999999997</c:v>
                </c:pt>
                <c:pt idx="465">
                  <c:v>4.6500000000000004</c:v>
                </c:pt>
                <c:pt idx="466">
                  <c:v>4.66</c:v>
                </c:pt>
                <c:pt idx="467">
                  <c:v>4.67</c:v>
                </c:pt>
                <c:pt idx="468">
                  <c:v>4.68</c:v>
                </c:pt>
                <c:pt idx="469">
                  <c:v>4.6900000000000004</c:v>
                </c:pt>
                <c:pt idx="470">
                  <c:v>4.7</c:v>
                </c:pt>
                <c:pt idx="471">
                  <c:v>4.71</c:v>
                </c:pt>
                <c:pt idx="472">
                  <c:v>4.72</c:v>
                </c:pt>
                <c:pt idx="473">
                  <c:v>4.7300000000000004</c:v>
                </c:pt>
                <c:pt idx="474">
                  <c:v>4.74</c:v>
                </c:pt>
                <c:pt idx="475">
                  <c:v>4.75</c:v>
                </c:pt>
                <c:pt idx="476">
                  <c:v>4.76</c:v>
                </c:pt>
                <c:pt idx="477">
                  <c:v>4.7699999999999996</c:v>
                </c:pt>
                <c:pt idx="478">
                  <c:v>4.78</c:v>
                </c:pt>
                <c:pt idx="479">
                  <c:v>4.79</c:v>
                </c:pt>
                <c:pt idx="480">
                  <c:v>4.8</c:v>
                </c:pt>
                <c:pt idx="481">
                  <c:v>4.8099999999999996</c:v>
                </c:pt>
                <c:pt idx="482">
                  <c:v>4.82</c:v>
                </c:pt>
                <c:pt idx="483">
                  <c:v>4.83</c:v>
                </c:pt>
                <c:pt idx="484">
                  <c:v>4.84</c:v>
                </c:pt>
                <c:pt idx="485">
                  <c:v>4.8499999999999996</c:v>
                </c:pt>
                <c:pt idx="486">
                  <c:v>4.8600000000000003</c:v>
                </c:pt>
                <c:pt idx="487">
                  <c:v>4.87</c:v>
                </c:pt>
                <c:pt idx="488">
                  <c:v>4.88</c:v>
                </c:pt>
                <c:pt idx="489">
                  <c:v>4.8899999999999997</c:v>
                </c:pt>
                <c:pt idx="490">
                  <c:v>4.9000000000000004</c:v>
                </c:pt>
                <c:pt idx="491">
                  <c:v>4.91</c:v>
                </c:pt>
                <c:pt idx="492">
                  <c:v>4.92</c:v>
                </c:pt>
                <c:pt idx="493">
                  <c:v>4.93</c:v>
                </c:pt>
                <c:pt idx="494">
                  <c:v>4.9400000000000004</c:v>
                </c:pt>
                <c:pt idx="495">
                  <c:v>4.95</c:v>
                </c:pt>
                <c:pt idx="496">
                  <c:v>4.96</c:v>
                </c:pt>
                <c:pt idx="497">
                  <c:v>4.97</c:v>
                </c:pt>
                <c:pt idx="498">
                  <c:v>4.9800000000000004</c:v>
                </c:pt>
                <c:pt idx="499">
                  <c:v>4.99</c:v>
                </c:pt>
                <c:pt idx="500">
                  <c:v>5</c:v>
                </c:pt>
                <c:pt idx="501">
                  <c:v>5.01</c:v>
                </c:pt>
                <c:pt idx="502">
                  <c:v>5.0199999999999996</c:v>
                </c:pt>
                <c:pt idx="503">
                  <c:v>5.03</c:v>
                </c:pt>
                <c:pt idx="504">
                  <c:v>5.04</c:v>
                </c:pt>
                <c:pt idx="505">
                  <c:v>5.05</c:v>
                </c:pt>
                <c:pt idx="506">
                  <c:v>5.0599999999999996</c:v>
                </c:pt>
                <c:pt idx="507">
                  <c:v>5.07</c:v>
                </c:pt>
                <c:pt idx="508">
                  <c:v>5.08</c:v>
                </c:pt>
                <c:pt idx="509">
                  <c:v>5.09</c:v>
                </c:pt>
                <c:pt idx="510">
                  <c:v>5.0999999999999996</c:v>
                </c:pt>
                <c:pt idx="511">
                  <c:v>5.1100000000000003</c:v>
                </c:pt>
                <c:pt idx="512">
                  <c:v>5.12</c:v>
                </c:pt>
                <c:pt idx="513">
                  <c:v>5.13</c:v>
                </c:pt>
                <c:pt idx="514">
                  <c:v>5.14</c:v>
                </c:pt>
                <c:pt idx="515">
                  <c:v>5.15</c:v>
                </c:pt>
                <c:pt idx="516">
                  <c:v>5.16</c:v>
                </c:pt>
                <c:pt idx="517">
                  <c:v>5.17</c:v>
                </c:pt>
                <c:pt idx="518">
                  <c:v>5.18</c:v>
                </c:pt>
                <c:pt idx="519">
                  <c:v>5.19</c:v>
                </c:pt>
                <c:pt idx="520">
                  <c:v>5.2</c:v>
                </c:pt>
                <c:pt idx="521">
                  <c:v>5.21</c:v>
                </c:pt>
                <c:pt idx="522">
                  <c:v>5.22</c:v>
                </c:pt>
                <c:pt idx="523">
                  <c:v>5.23</c:v>
                </c:pt>
                <c:pt idx="524">
                  <c:v>5.24</c:v>
                </c:pt>
                <c:pt idx="525">
                  <c:v>5.25</c:v>
                </c:pt>
                <c:pt idx="526">
                  <c:v>5.26</c:v>
                </c:pt>
                <c:pt idx="527">
                  <c:v>5.27</c:v>
                </c:pt>
                <c:pt idx="528">
                  <c:v>5.28</c:v>
                </c:pt>
                <c:pt idx="529">
                  <c:v>5.29</c:v>
                </c:pt>
                <c:pt idx="530">
                  <c:v>5.3</c:v>
                </c:pt>
                <c:pt idx="531">
                  <c:v>5.31</c:v>
                </c:pt>
                <c:pt idx="532">
                  <c:v>5.32</c:v>
                </c:pt>
                <c:pt idx="533">
                  <c:v>5.33</c:v>
                </c:pt>
                <c:pt idx="534">
                  <c:v>5.34</c:v>
                </c:pt>
                <c:pt idx="535">
                  <c:v>5.35</c:v>
                </c:pt>
                <c:pt idx="536">
                  <c:v>5.36</c:v>
                </c:pt>
                <c:pt idx="537">
                  <c:v>5.37</c:v>
                </c:pt>
                <c:pt idx="538">
                  <c:v>5.38</c:v>
                </c:pt>
                <c:pt idx="539">
                  <c:v>5.39</c:v>
                </c:pt>
                <c:pt idx="540">
                  <c:v>5.4</c:v>
                </c:pt>
                <c:pt idx="541">
                  <c:v>5.41</c:v>
                </c:pt>
                <c:pt idx="542">
                  <c:v>5.42</c:v>
                </c:pt>
                <c:pt idx="543">
                  <c:v>5.43</c:v>
                </c:pt>
                <c:pt idx="544">
                  <c:v>5.44</c:v>
                </c:pt>
                <c:pt idx="545">
                  <c:v>5.45</c:v>
                </c:pt>
                <c:pt idx="546">
                  <c:v>5.46</c:v>
                </c:pt>
                <c:pt idx="547">
                  <c:v>5.47</c:v>
                </c:pt>
                <c:pt idx="548">
                  <c:v>5.48</c:v>
                </c:pt>
                <c:pt idx="549">
                  <c:v>5.49</c:v>
                </c:pt>
                <c:pt idx="550">
                  <c:v>5.5</c:v>
                </c:pt>
                <c:pt idx="551">
                  <c:v>5.51</c:v>
                </c:pt>
                <c:pt idx="552">
                  <c:v>5.52</c:v>
                </c:pt>
                <c:pt idx="553">
                  <c:v>5.53</c:v>
                </c:pt>
                <c:pt idx="554">
                  <c:v>5.54</c:v>
                </c:pt>
                <c:pt idx="555">
                  <c:v>5.55</c:v>
                </c:pt>
                <c:pt idx="556">
                  <c:v>5.56</c:v>
                </c:pt>
                <c:pt idx="557">
                  <c:v>5.57</c:v>
                </c:pt>
                <c:pt idx="558">
                  <c:v>5.58</c:v>
                </c:pt>
                <c:pt idx="559">
                  <c:v>5.59</c:v>
                </c:pt>
                <c:pt idx="560">
                  <c:v>5.6</c:v>
                </c:pt>
                <c:pt idx="561">
                  <c:v>5.61</c:v>
                </c:pt>
                <c:pt idx="562">
                  <c:v>5.62</c:v>
                </c:pt>
                <c:pt idx="563">
                  <c:v>5.63</c:v>
                </c:pt>
                <c:pt idx="564">
                  <c:v>5.64</c:v>
                </c:pt>
                <c:pt idx="565">
                  <c:v>5.65</c:v>
                </c:pt>
                <c:pt idx="566">
                  <c:v>5.66</c:v>
                </c:pt>
                <c:pt idx="567">
                  <c:v>5.67</c:v>
                </c:pt>
                <c:pt idx="568">
                  <c:v>5.68</c:v>
                </c:pt>
                <c:pt idx="569">
                  <c:v>5.69</c:v>
                </c:pt>
                <c:pt idx="570">
                  <c:v>5.7</c:v>
                </c:pt>
                <c:pt idx="571">
                  <c:v>5.71</c:v>
                </c:pt>
                <c:pt idx="572">
                  <c:v>5.72</c:v>
                </c:pt>
                <c:pt idx="573">
                  <c:v>5.73</c:v>
                </c:pt>
                <c:pt idx="574">
                  <c:v>5.74</c:v>
                </c:pt>
                <c:pt idx="575">
                  <c:v>5.75</c:v>
                </c:pt>
                <c:pt idx="576">
                  <c:v>5.76</c:v>
                </c:pt>
                <c:pt idx="577">
                  <c:v>5.77</c:v>
                </c:pt>
                <c:pt idx="578">
                  <c:v>5.78</c:v>
                </c:pt>
                <c:pt idx="579">
                  <c:v>5.79</c:v>
                </c:pt>
                <c:pt idx="580">
                  <c:v>5.8</c:v>
                </c:pt>
                <c:pt idx="581">
                  <c:v>5.81</c:v>
                </c:pt>
                <c:pt idx="582">
                  <c:v>5.82</c:v>
                </c:pt>
                <c:pt idx="583">
                  <c:v>5.83</c:v>
                </c:pt>
                <c:pt idx="584">
                  <c:v>5.84</c:v>
                </c:pt>
                <c:pt idx="585">
                  <c:v>5.85</c:v>
                </c:pt>
                <c:pt idx="586">
                  <c:v>5.86</c:v>
                </c:pt>
                <c:pt idx="587">
                  <c:v>5.87</c:v>
                </c:pt>
                <c:pt idx="588">
                  <c:v>5.88</c:v>
                </c:pt>
                <c:pt idx="589">
                  <c:v>5.89</c:v>
                </c:pt>
                <c:pt idx="590">
                  <c:v>5.9</c:v>
                </c:pt>
                <c:pt idx="591">
                  <c:v>5.91</c:v>
                </c:pt>
                <c:pt idx="592">
                  <c:v>5.92</c:v>
                </c:pt>
                <c:pt idx="593">
                  <c:v>5.93</c:v>
                </c:pt>
                <c:pt idx="594">
                  <c:v>5.94</c:v>
                </c:pt>
                <c:pt idx="595">
                  <c:v>5.95</c:v>
                </c:pt>
                <c:pt idx="596">
                  <c:v>5.96</c:v>
                </c:pt>
                <c:pt idx="597">
                  <c:v>5.97</c:v>
                </c:pt>
                <c:pt idx="598">
                  <c:v>5.98</c:v>
                </c:pt>
                <c:pt idx="599">
                  <c:v>5.99</c:v>
                </c:pt>
                <c:pt idx="600">
                  <c:v>6</c:v>
                </c:pt>
                <c:pt idx="601">
                  <c:v>6.01</c:v>
                </c:pt>
                <c:pt idx="602">
                  <c:v>6.02</c:v>
                </c:pt>
                <c:pt idx="603">
                  <c:v>6.03</c:v>
                </c:pt>
                <c:pt idx="604">
                  <c:v>6.04</c:v>
                </c:pt>
                <c:pt idx="605">
                  <c:v>6.05</c:v>
                </c:pt>
                <c:pt idx="606">
                  <c:v>6.06</c:v>
                </c:pt>
                <c:pt idx="607">
                  <c:v>6.07</c:v>
                </c:pt>
                <c:pt idx="608">
                  <c:v>6.08</c:v>
                </c:pt>
                <c:pt idx="609">
                  <c:v>6.09</c:v>
                </c:pt>
                <c:pt idx="610">
                  <c:v>6.1</c:v>
                </c:pt>
                <c:pt idx="611">
                  <c:v>6.11</c:v>
                </c:pt>
                <c:pt idx="612">
                  <c:v>6.12</c:v>
                </c:pt>
                <c:pt idx="613">
                  <c:v>6.13</c:v>
                </c:pt>
                <c:pt idx="614">
                  <c:v>6.14</c:v>
                </c:pt>
                <c:pt idx="615">
                  <c:v>6.15</c:v>
                </c:pt>
                <c:pt idx="616">
                  <c:v>6.16</c:v>
                </c:pt>
                <c:pt idx="617">
                  <c:v>6.17</c:v>
                </c:pt>
                <c:pt idx="618">
                  <c:v>6.18</c:v>
                </c:pt>
                <c:pt idx="619">
                  <c:v>6.19</c:v>
                </c:pt>
                <c:pt idx="620">
                  <c:v>6.2</c:v>
                </c:pt>
                <c:pt idx="621">
                  <c:v>6.21</c:v>
                </c:pt>
                <c:pt idx="622">
                  <c:v>6.22</c:v>
                </c:pt>
                <c:pt idx="623">
                  <c:v>6.23</c:v>
                </c:pt>
                <c:pt idx="624">
                  <c:v>6.24</c:v>
                </c:pt>
                <c:pt idx="625">
                  <c:v>6.25</c:v>
                </c:pt>
                <c:pt idx="626">
                  <c:v>6.26</c:v>
                </c:pt>
                <c:pt idx="627">
                  <c:v>6.27</c:v>
                </c:pt>
                <c:pt idx="628">
                  <c:v>6.28</c:v>
                </c:pt>
                <c:pt idx="629">
                  <c:v>6.29</c:v>
                </c:pt>
                <c:pt idx="630">
                  <c:v>6.3</c:v>
                </c:pt>
                <c:pt idx="631">
                  <c:v>6.31</c:v>
                </c:pt>
                <c:pt idx="632">
                  <c:v>6.32</c:v>
                </c:pt>
                <c:pt idx="633">
                  <c:v>6.33</c:v>
                </c:pt>
                <c:pt idx="634">
                  <c:v>6.34</c:v>
                </c:pt>
                <c:pt idx="635">
                  <c:v>6.35</c:v>
                </c:pt>
                <c:pt idx="636">
                  <c:v>6.36</c:v>
                </c:pt>
                <c:pt idx="637">
                  <c:v>6.37</c:v>
                </c:pt>
                <c:pt idx="638">
                  <c:v>6.38</c:v>
                </c:pt>
                <c:pt idx="639">
                  <c:v>6.39</c:v>
                </c:pt>
                <c:pt idx="640">
                  <c:v>6.4</c:v>
                </c:pt>
                <c:pt idx="641">
                  <c:v>6.41</c:v>
                </c:pt>
                <c:pt idx="642">
                  <c:v>6.42</c:v>
                </c:pt>
                <c:pt idx="643">
                  <c:v>6.43</c:v>
                </c:pt>
                <c:pt idx="644">
                  <c:v>6.44</c:v>
                </c:pt>
                <c:pt idx="645">
                  <c:v>6.45</c:v>
                </c:pt>
                <c:pt idx="646">
                  <c:v>6.46</c:v>
                </c:pt>
                <c:pt idx="647">
                  <c:v>6.47</c:v>
                </c:pt>
                <c:pt idx="648">
                  <c:v>6.48</c:v>
                </c:pt>
                <c:pt idx="649">
                  <c:v>6.49</c:v>
                </c:pt>
                <c:pt idx="650">
                  <c:v>6.5</c:v>
                </c:pt>
                <c:pt idx="651">
                  <c:v>6.51</c:v>
                </c:pt>
                <c:pt idx="652">
                  <c:v>6.52</c:v>
                </c:pt>
                <c:pt idx="653">
                  <c:v>6.53</c:v>
                </c:pt>
                <c:pt idx="654">
                  <c:v>6.54</c:v>
                </c:pt>
                <c:pt idx="655">
                  <c:v>6.55</c:v>
                </c:pt>
                <c:pt idx="656">
                  <c:v>6.56</c:v>
                </c:pt>
                <c:pt idx="657">
                  <c:v>6.57</c:v>
                </c:pt>
                <c:pt idx="658">
                  <c:v>6.58</c:v>
                </c:pt>
                <c:pt idx="659">
                  <c:v>6.59</c:v>
                </c:pt>
                <c:pt idx="660">
                  <c:v>6.6</c:v>
                </c:pt>
                <c:pt idx="661">
                  <c:v>6.61</c:v>
                </c:pt>
                <c:pt idx="662">
                  <c:v>6.62</c:v>
                </c:pt>
                <c:pt idx="663">
                  <c:v>6.63</c:v>
                </c:pt>
                <c:pt idx="664">
                  <c:v>6.64</c:v>
                </c:pt>
                <c:pt idx="665">
                  <c:v>6.65</c:v>
                </c:pt>
                <c:pt idx="666">
                  <c:v>6.66</c:v>
                </c:pt>
                <c:pt idx="667">
                  <c:v>6.67</c:v>
                </c:pt>
                <c:pt idx="668">
                  <c:v>6.68</c:v>
                </c:pt>
                <c:pt idx="669">
                  <c:v>6.69</c:v>
                </c:pt>
                <c:pt idx="670">
                  <c:v>6.7</c:v>
                </c:pt>
                <c:pt idx="671">
                  <c:v>6.71</c:v>
                </c:pt>
                <c:pt idx="672">
                  <c:v>6.72</c:v>
                </c:pt>
                <c:pt idx="673">
                  <c:v>6.73</c:v>
                </c:pt>
                <c:pt idx="674">
                  <c:v>6.74</c:v>
                </c:pt>
                <c:pt idx="675">
                  <c:v>6.75</c:v>
                </c:pt>
                <c:pt idx="676">
                  <c:v>6.76</c:v>
                </c:pt>
                <c:pt idx="677">
                  <c:v>6.77</c:v>
                </c:pt>
                <c:pt idx="678">
                  <c:v>6.78</c:v>
                </c:pt>
                <c:pt idx="679">
                  <c:v>6.79</c:v>
                </c:pt>
                <c:pt idx="680">
                  <c:v>6.8</c:v>
                </c:pt>
                <c:pt idx="681">
                  <c:v>6.81</c:v>
                </c:pt>
                <c:pt idx="682">
                  <c:v>6.82</c:v>
                </c:pt>
                <c:pt idx="683">
                  <c:v>6.83</c:v>
                </c:pt>
                <c:pt idx="684">
                  <c:v>6.84</c:v>
                </c:pt>
                <c:pt idx="685">
                  <c:v>6.85</c:v>
                </c:pt>
                <c:pt idx="686">
                  <c:v>6.86</c:v>
                </c:pt>
                <c:pt idx="687">
                  <c:v>6.87</c:v>
                </c:pt>
                <c:pt idx="688">
                  <c:v>6.88</c:v>
                </c:pt>
                <c:pt idx="689">
                  <c:v>6.89</c:v>
                </c:pt>
                <c:pt idx="690">
                  <c:v>6.9</c:v>
                </c:pt>
                <c:pt idx="691">
                  <c:v>6.91</c:v>
                </c:pt>
                <c:pt idx="692">
                  <c:v>6.92</c:v>
                </c:pt>
                <c:pt idx="693">
                  <c:v>6.93</c:v>
                </c:pt>
                <c:pt idx="694">
                  <c:v>6.94</c:v>
                </c:pt>
                <c:pt idx="695">
                  <c:v>6.95</c:v>
                </c:pt>
                <c:pt idx="696">
                  <c:v>6.96</c:v>
                </c:pt>
                <c:pt idx="697">
                  <c:v>6.97</c:v>
                </c:pt>
                <c:pt idx="698">
                  <c:v>6.98</c:v>
                </c:pt>
                <c:pt idx="699">
                  <c:v>6.99</c:v>
                </c:pt>
                <c:pt idx="700">
                  <c:v>7</c:v>
                </c:pt>
                <c:pt idx="701">
                  <c:v>7.01</c:v>
                </c:pt>
                <c:pt idx="702">
                  <c:v>7.02</c:v>
                </c:pt>
                <c:pt idx="703">
                  <c:v>7.03</c:v>
                </c:pt>
                <c:pt idx="704">
                  <c:v>7.04</c:v>
                </c:pt>
                <c:pt idx="705">
                  <c:v>7.05</c:v>
                </c:pt>
                <c:pt idx="706">
                  <c:v>7.06</c:v>
                </c:pt>
                <c:pt idx="707">
                  <c:v>7.07</c:v>
                </c:pt>
                <c:pt idx="708">
                  <c:v>7.08</c:v>
                </c:pt>
                <c:pt idx="709">
                  <c:v>7.09</c:v>
                </c:pt>
                <c:pt idx="710">
                  <c:v>7.1</c:v>
                </c:pt>
                <c:pt idx="711">
                  <c:v>7.11</c:v>
                </c:pt>
                <c:pt idx="712">
                  <c:v>7.12</c:v>
                </c:pt>
                <c:pt idx="713">
                  <c:v>7.13</c:v>
                </c:pt>
                <c:pt idx="714">
                  <c:v>7.14</c:v>
                </c:pt>
                <c:pt idx="715">
                  <c:v>7.15</c:v>
                </c:pt>
                <c:pt idx="716">
                  <c:v>7.16</c:v>
                </c:pt>
                <c:pt idx="717">
                  <c:v>7.17</c:v>
                </c:pt>
                <c:pt idx="718">
                  <c:v>7.18</c:v>
                </c:pt>
                <c:pt idx="719">
                  <c:v>7.19</c:v>
                </c:pt>
                <c:pt idx="720">
                  <c:v>7.2</c:v>
                </c:pt>
                <c:pt idx="721">
                  <c:v>7.21</c:v>
                </c:pt>
                <c:pt idx="722">
                  <c:v>7.22</c:v>
                </c:pt>
                <c:pt idx="723">
                  <c:v>7.23</c:v>
                </c:pt>
                <c:pt idx="724">
                  <c:v>7.24</c:v>
                </c:pt>
                <c:pt idx="725">
                  <c:v>7.25</c:v>
                </c:pt>
                <c:pt idx="726">
                  <c:v>7.26</c:v>
                </c:pt>
                <c:pt idx="727">
                  <c:v>7.27</c:v>
                </c:pt>
                <c:pt idx="728">
                  <c:v>7.28</c:v>
                </c:pt>
                <c:pt idx="729">
                  <c:v>7.29</c:v>
                </c:pt>
                <c:pt idx="730">
                  <c:v>7.3</c:v>
                </c:pt>
                <c:pt idx="731">
                  <c:v>7.31</c:v>
                </c:pt>
                <c:pt idx="732">
                  <c:v>7.32</c:v>
                </c:pt>
                <c:pt idx="733">
                  <c:v>7.33</c:v>
                </c:pt>
                <c:pt idx="734">
                  <c:v>7.34</c:v>
                </c:pt>
                <c:pt idx="735">
                  <c:v>7.35</c:v>
                </c:pt>
                <c:pt idx="736">
                  <c:v>7.36</c:v>
                </c:pt>
                <c:pt idx="737">
                  <c:v>7.37</c:v>
                </c:pt>
                <c:pt idx="738">
                  <c:v>7.38</c:v>
                </c:pt>
                <c:pt idx="739">
                  <c:v>7.39</c:v>
                </c:pt>
                <c:pt idx="740">
                  <c:v>7.4</c:v>
                </c:pt>
                <c:pt idx="741">
                  <c:v>7.41</c:v>
                </c:pt>
                <c:pt idx="742">
                  <c:v>7.42</c:v>
                </c:pt>
                <c:pt idx="743">
                  <c:v>7.43</c:v>
                </c:pt>
                <c:pt idx="744">
                  <c:v>7.44</c:v>
                </c:pt>
                <c:pt idx="745">
                  <c:v>7.45</c:v>
                </c:pt>
                <c:pt idx="746">
                  <c:v>7.46</c:v>
                </c:pt>
                <c:pt idx="747">
                  <c:v>7.47</c:v>
                </c:pt>
                <c:pt idx="748">
                  <c:v>7.48</c:v>
                </c:pt>
                <c:pt idx="749">
                  <c:v>7.49</c:v>
                </c:pt>
                <c:pt idx="750">
                  <c:v>7.5</c:v>
                </c:pt>
                <c:pt idx="751">
                  <c:v>7.51</c:v>
                </c:pt>
                <c:pt idx="752">
                  <c:v>7.52</c:v>
                </c:pt>
                <c:pt idx="753">
                  <c:v>7.53</c:v>
                </c:pt>
                <c:pt idx="754">
                  <c:v>7.54</c:v>
                </c:pt>
                <c:pt idx="755">
                  <c:v>7.55</c:v>
                </c:pt>
                <c:pt idx="756">
                  <c:v>7.56</c:v>
                </c:pt>
                <c:pt idx="757">
                  <c:v>7.57</c:v>
                </c:pt>
                <c:pt idx="758">
                  <c:v>7.58</c:v>
                </c:pt>
                <c:pt idx="759">
                  <c:v>7.59</c:v>
                </c:pt>
                <c:pt idx="760">
                  <c:v>7.6</c:v>
                </c:pt>
                <c:pt idx="761">
                  <c:v>7.61</c:v>
                </c:pt>
                <c:pt idx="762">
                  <c:v>7.62</c:v>
                </c:pt>
                <c:pt idx="763">
                  <c:v>7.63</c:v>
                </c:pt>
                <c:pt idx="764">
                  <c:v>7.64</c:v>
                </c:pt>
                <c:pt idx="765">
                  <c:v>7.65</c:v>
                </c:pt>
                <c:pt idx="766">
                  <c:v>7.66</c:v>
                </c:pt>
                <c:pt idx="767">
                  <c:v>7.67</c:v>
                </c:pt>
                <c:pt idx="768">
                  <c:v>7.68</c:v>
                </c:pt>
                <c:pt idx="769">
                  <c:v>7.69</c:v>
                </c:pt>
                <c:pt idx="770">
                  <c:v>7.7</c:v>
                </c:pt>
                <c:pt idx="771">
                  <c:v>7.71</c:v>
                </c:pt>
                <c:pt idx="772">
                  <c:v>7.72</c:v>
                </c:pt>
                <c:pt idx="773">
                  <c:v>7.73</c:v>
                </c:pt>
                <c:pt idx="774">
                  <c:v>7.74</c:v>
                </c:pt>
                <c:pt idx="775">
                  <c:v>7.75</c:v>
                </c:pt>
                <c:pt idx="776">
                  <c:v>7.76</c:v>
                </c:pt>
                <c:pt idx="777">
                  <c:v>7.77</c:v>
                </c:pt>
                <c:pt idx="778">
                  <c:v>7.78</c:v>
                </c:pt>
                <c:pt idx="779">
                  <c:v>7.79</c:v>
                </c:pt>
                <c:pt idx="780">
                  <c:v>7.8</c:v>
                </c:pt>
                <c:pt idx="781">
                  <c:v>7.81</c:v>
                </c:pt>
                <c:pt idx="782">
                  <c:v>7.82</c:v>
                </c:pt>
                <c:pt idx="783">
                  <c:v>7.83</c:v>
                </c:pt>
                <c:pt idx="784">
                  <c:v>7.84</c:v>
                </c:pt>
                <c:pt idx="785">
                  <c:v>7.85</c:v>
                </c:pt>
                <c:pt idx="786">
                  <c:v>7.86</c:v>
                </c:pt>
                <c:pt idx="787">
                  <c:v>7.87</c:v>
                </c:pt>
                <c:pt idx="788">
                  <c:v>7.88</c:v>
                </c:pt>
                <c:pt idx="789">
                  <c:v>7.89</c:v>
                </c:pt>
                <c:pt idx="790">
                  <c:v>7.9</c:v>
                </c:pt>
                <c:pt idx="791">
                  <c:v>7.91</c:v>
                </c:pt>
                <c:pt idx="792">
                  <c:v>7.92</c:v>
                </c:pt>
                <c:pt idx="793">
                  <c:v>7.93</c:v>
                </c:pt>
                <c:pt idx="794">
                  <c:v>7.94</c:v>
                </c:pt>
                <c:pt idx="795">
                  <c:v>7.95</c:v>
                </c:pt>
                <c:pt idx="796">
                  <c:v>7.96</c:v>
                </c:pt>
                <c:pt idx="797">
                  <c:v>7.97</c:v>
                </c:pt>
                <c:pt idx="798">
                  <c:v>7.98</c:v>
                </c:pt>
                <c:pt idx="799">
                  <c:v>7.99</c:v>
                </c:pt>
                <c:pt idx="800">
                  <c:v>8</c:v>
                </c:pt>
                <c:pt idx="801">
                  <c:v>8.01</c:v>
                </c:pt>
                <c:pt idx="802">
                  <c:v>8.02</c:v>
                </c:pt>
                <c:pt idx="803">
                  <c:v>8.0299999999999994</c:v>
                </c:pt>
                <c:pt idx="804">
                  <c:v>8.0399999999999991</c:v>
                </c:pt>
                <c:pt idx="805">
                  <c:v>8.0500000000000007</c:v>
                </c:pt>
                <c:pt idx="806">
                  <c:v>8.06</c:v>
                </c:pt>
                <c:pt idx="807">
                  <c:v>8.07</c:v>
                </c:pt>
                <c:pt idx="808">
                  <c:v>8.08</c:v>
                </c:pt>
                <c:pt idx="809">
                  <c:v>8.09</c:v>
                </c:pt>
                <c:pt idx="810">
                  <c:v>8.1</c:v>
                </c:pt>
                <c:pt idx="811">
                  <c:v>8.11</c:v>
                </c:pt>
                <c:pt idx="812">
                  <c:v>8.1199999999999992</c:v>
                </c:pt>
                <c:pt idx="813">
                  <c:v>8.1300000000000008</c:v>
                </c:pt>
                <c:pt idx="814">
                  <c:v>8.14</c:v>
                </c:pt>
                <c:pt idx="815">
                  <c:v>8.15</c:v>
                </c:pt>
                <c:pt idx="816">
                  <c:v>8.16</c:v>
                </c:pt>
                <c:pt idx="817">
                  <c:v>8.17</c:v>
                </c:pt>
                <c:pt idx="818">
                  <c:v>8.18</c:v>
                </c:pt>
                <c:pt idx="819">
                  <c:v>8.19</c:v>
                </c:pt>
                <c:pt idx="820">
                  <c:v>8.1999999999999993</c:v>
                </c:pt>
                <c:pt idx="821">
                  <c:v>8.2100000000000009</c:v>
                </c:pt>
                <c:pt idx="822">
                  <c:v>8.2200000000000006</c:v>
                </c:pt>
                <c:pt idx="823">
                  <c:v>8.23</c:v>
                </c:pt>
                <c:pt idx="824">
                  <c:v>8.24</c:v>
                </c:pt>
                <c:pt idx="825">
                  <c:v>8.25</c:v>
                </c:pt>
                <c:pt idx="826">
                  <c:v>8.26</c:v>
                </c:pt>
                <c:pt idx="827">
                  <c:v>8.27</c:v>
                </c:pt>
                <c:pt idx="828">
                  <c:v>8.2799999999999994</c:v>
                </c:pt>
                <c:pt idx="829">
                  <c:v>8.2899999999999991</c:v>
                </c:pt>
                <c:pt idx="830">
                  <c:v>8.3000000000000007</c:v>
                </c:pt>
                <c:pt idx="831">
                  <c:v>8.31</c:v>
                </c:pt>
                <c:pt idx="832">
                  <c:v>8.32</c:v>
                </c:pt>
                <c:pt idx="833">
                  <c:v>8.33</c:v>
                </c:pt>
                <c:pt idx="834">
                  <c:v>8.34</c:v>
                </c:pt>
                <c:pt idx="835">
                  <c:v>8.35</c:v>
                </c:pt>
                <c:pt idx="836">
                  <c:v>8.36</c:v>
                </c:pt>
                <c:pt idx="837">
                  <c:v>8.3699999999999992</c:v>
                </c:pt>
                <c:pt idx="838">
                  <c:v>8.3800000000000008</c:v>
                </c:pt>
                <c:pt idx="839">
                  <c:v>8.39</c:v>
                </c:pt>
                <c:pt idx="840">
                  <c:v>8.4</c:v>
                </c:pt>
                <c:pt idx="841">
                  <c:v>8.41</c:v>
                </c:pt>
                <c:pt idx="842">
                  <c:v>8.42</c:v>
                </c:pt>
                <c:pt idx="843">
                  <c:v>8.43</c:v>
                </c:pt>
                <c:pt idx="844">
                  <c:v>8.44</c:v>
                </c:pt>
                <c:pt idx="845">
                  <c:v>8.4499999999999993</c:v>
                </c:pt>
                <c:pt idx="846">
                  <c:v>8.4600000000000009</c:v>
                </c:pt>
                <c:pt idx="847">
                  <c:v>8.4700000000000006</c:v>
                </c:pt>
                <c:pt idx="848">
                  <c:v>8.48</c:v>
                </c:pt>
                <c:pt idx="849">
                  <c:v>8.49</c:v>
                </c:pt>
                <c:pt idx="850">
                  <c:v>8.5</c:v>
                </c:pt>
                <c:pt idx="851">
                  <c:v>8.51</c:v>
                </c:pt>
                <c:pt idx="852">
                  <c:v>8.52</c:v>
                </c:pt>
                <c:pt idx="853">
                  <c:v>8.5299999999999994</c:v>
                </c:pt>
                <c:pt idx="854">
                  <c:v>8.5399999999999991</c:v>
                </c:pt>
                <c:pt idx="855">
                  <c:v>8.5500000000000007</c:v>
                </c:pt>
                <c:pt idx="856">
                  <c:v>8.56</c:v>
                </c:pt>
                <c:pt idx="857">
                  <c:v>8.57</c:v>
                </c:pt>
                <c:pt idx="858">
                  <c:v>8.58</c:v>
                </c:pt>
                <c:pt idx="859">
                  <c:v>8.59</c:v>
                </c:pt>
                <c:pt idx="860">
                  <c:v>8.6</c:v>
                </c:pt>
                <c:pt idx="861">
                  <c:v>8.61</c:v>
                </c:pt>
                <c:pt idx="862">
                  <c:v>8.6199999999999992</c:v>
                </c:pt>
                <c:pt idx="863">
                  <c:v>8.6300000000000008</c:v>
                </c:pt>
                <c:pt idx="864">
                  <c:v>8.64</c:v>
                </c:pt>
                <c:pt idx="865">
                  <c:v>8.65</c:v>
                </c:pt>
                <c:pt idx="866">
                  <c:v>8.66</c:v>
                </c:pt>
                <c:pt idx="867">
                  <c:v>8.67</c:v>
                </c:pt>
                <c:pt idx="868">
                  <c:v>8.68</c:v>
                </c:pt>
                <c:pt idx="869">
                  <c:v>8.69</c:v>
                </c:pt>
                <c:pt idx="870">
                  <c:v>8.6999999999999993</c:v>
                </c:pt>
                <c:pt idx="871">
                  <c:v>8.7100000000000009</c:v>
                </c:pt>
                <c:pt idx="872">
                  <c:v>8.7200000000000006</c:v>
                </c:pt>
                <c:pt idx="873">
                  <c:v>8.73</c:v>
                </c:pt>
                <c:pt idx="874">
                  <c:v>8.74</c:v>
                </c:pt>
                <c:pt idx="875">
                  <c:v>8.75</c:v>
                </c:pt>
                <c:pt idx="876">
                  <c:v>8.76</c:v>
                </c:pt>
                <c:pt idx="877">
                  <c:v>8.77</c:v>
                </c:pt>
                <c:pt idx="878">
                  <c:v>8.7799999999999994</c:v>
                </c:pt>
                <c:pt idx="879">
                  <c:v>8.7899999999999991</c:v>
                </c:pt>
                <c:pt idx="880">
                  <c:v>8.8000000000000007</c:v>
                </c:pt>
                <c:pt idx="881">
                  <c:v>8.81</c:v>
                </c:pt>
                <c:pt idx="882">
                  <c:v>8.82</c:v>
                </c:pt>
                <c:pt idx="883">
                  <c:v>8.83</c:v>
                </c:pt>
                <c:pt idx="884">
                  <c:v>8.84</c:v>
                </c:pt>
                <c:pt idx="885">
                  <c:v>8.85</c:v>
                </c:pt>
                <c:pt idx="886">
                  <c:v>8.86</c:v>
                </c:pt>
                <c:pt idx="887">
                  <c:v>8.8699999999999992</c:v>
                </c:pt>
                <c:pt idx="888">
                  <c:v>8.8800000000000008</c:v>
                </c:pt>
                <c:pt idx="889">
                  <c:v>8.89</c:v>
                </c:pt>
                <c:pt idx="890">
                  <c:v>8.9</c:v>
                </c:pt>
                <c:pt idx="891">
                  <c:v>8.91</c:v>
                </c:pt>
                <c:pt idx="892">
                  <c:v>8.92</c:v>
                </c:pt>
                <c:pt idx="893">
                  <c:v>8.93</c:v>
                </c:pt>
                <c:pt idx="894">
                  <c:v>8.94</c:v>
                </c:pt>
                <c:pt idx="895">
                  <c:v>8.9499999999999993</c:v>
                </c:pt>
                <c:pt idx="896">
                  <c:v>8.9600000000000009</c:v>
                </c:pt>
                <c:pt idx="897">
                  <c:v>8.9700000000000006</c:v>
                </c:pt>
                <c:pt idx="898">
                  <c:v>8.98</c:v>
                </c:pt>
                <c:pt idx="899">
                  <c:v>8.99</c:v>
                </c:pt>
                <c:pt idx="900">
                  <c:v>9</c:v>
                </c:pt>
                <c:pt idx="901">
                  <c:v>9.01</c:v>
                </c:pt>
                <c:pt idx="902">
                  <c:v>9.02</c:v>
                </c:pt>
                <c:pt idx="903">
                  <c:v>9.0299999999999994</c:v>
                </c:pt>
                <c:pt idx="904">
                  <c:v>9.0399999999999991</c:v>
                </c:pt>
                <c:pt idx="905">
                  <c:v>9.0500000000000007</c:v>
                </c:pt>
                <c:pt idx="906">
                  <c:v>9.06</c:v>
                </c:pt>
                <c:pt idx="907">
                  <c:v>9.07</c:v>
                </c:pt>
                <c:pt idx="908">
                  <c:v>9.08</c:v>
                </c:pt>
                <c:pt idx="909">
                  <c:v>9.09</c:v>
                </c:pt>
                <c:pt idx="910">
                  <c:v>9.1</c:v>
                </c:pt>
                <c:pt idx="911">
                  <c:v>9.11</c:v>
                </c:pt>
                <c:pt idx="912">
                  <c:v>9.1199999999999992</c:v>
                </c:pt>
                <c:pt idx="913">
                  <c:v>9.1300000000000008</c:v>
                </c:pt>
                <c:pt idx="914">
                  <c:v>9.14</c:v>
                </c:pt>
                <c:pt idx="915">
                  <c:v>9.15</c:v>
                </c:pt>
                <c:pt idx="916">
                  <c:v>9.16</c:v>
                </c:pt>
                <c:pt idx="917">
                  <c:v>9.17</c:v>
                </c:pt>
                <c:pt idx="918">
                  <c:v>9.18</c:v>
                </c:pt>
                <c:pt idx="919">
                  <c:v>9.19</c:v>
                </c:pt>
                <c:pt idx="920">
                  <c:v>9.1999999999999993</c:v>
                </c:pt>
                <c:pt idx="921">
                  <c:v>9.2100000000000009</c:v>
                </c:pt>
                <c:pt idx="922">
                  <c:v>9.2200000000000006</c:v>
                </c:pt>
                <c:pt idx="923">
                  <c:v>9.23</c:v>
                </c:pt>
                <c:pt idx="924">
                  <c:v>9.24</c:v>
                </c:pt>
                <c:pt idx="925">
                  <c:v>9.25</c:v>
                </c:pt>
                <c:pt idx="926">
                  <c:v>9.26</c:v>
                </c:pt>
                <c:pt idx="927">
                  <c:v>9.27</c:v>
                </c:pt>
                <c:pt idx="928">
                  <c:v>9.2799999999999994</c:v>
                </c:pt>
                <c:pt idx="929">
                  <c:v>9.2899999999999991</c:v>
                </c:pt>
                <c:pt idx="930">
                  <c:v>9.3000000000000007</c:v>
                </c:pt>
                <c:pt idx="931">
                  <c:v>9.31</c:v>
                </c:pt>
                <c:pt idx="932">
                  <c:v>9.32</c:v>
                </c:pt>
                <c:pt idx="933">
                  <c:v>9.33</c:v>
                </c:pt>
                <c:pt idx="934">
                  <c:v>9.34</c:v>
                </c:pt>
                <c:pt idx="935">
                  <c:v>9.35</c:v>
                </c:pt>
                <c:pt idx="936">
                  <c:v>9.36</c:v>
                </c:pt>
                <c:pt idx="937">
                  <c:v>9.3699999999999992</c:v>
                </c:pt>
                <c:pt idx="938">
                  <c:v>9.3800000000000008</c:v>
                </c:pt>
                <c:pt idx="939">
                  <c:v>9.39</c:v>
                </c:pt>
                <c:pt idx="940">
                  <c:v>9.4</c:v>
                </c:pt>
                <c:pt idx="941">
                  <c:v>9.41</c:v>
                </c:pt>
                <c:pt idx="942">
                  <c:v>9.42</c:v>
                </c:pt>
                <c:pt idx="943">
                  <c:v>9.43</c:v>
                </c:pt>
                <c:pt idx="944">
                  <c:v>9.44</c:v>
                </c:pt>
                <c:pt idx="945">
                  <c:v>9.4499999999999993</c:v>
                </c:pt>
                <c:pt idx="946">
                  <c:v>9.4600000000000009</c:v>
                </c:pt>
                <c:pt idx="947">
                  <c:v>9.4700000000000006</c:v>
                </c:pt>
                <c:pt idx="948">
                  <c:v>9.48</c:v>
                </c:pt>
                <c:pt idx="949">
                  <c:v>9.49</c:v>
                </c:pt>
                <c:pt idx="950">
                  <c:v>9.5</c:v>
                </c:pt>
                <c:pt idx="951">
                  <c:v>9.51</c:v>
                </c:pt>
                <c:pt idx="952">
                  <c:v>9.52</c:v>
                </c:pt>
                <c:pt idx="953">
                  <c:v>9.5299999999999994</c:v>
                </c:pt>
                <c:pt idx="954">
                  <c:v>9.5399999999999991</c:v>
                </c:pt>
                <c:pt idx="955">
                  <c:v>9.5500000000000007</c:v>
                </c:pt>
                <c:pt idx="956">
                  <c:v>9.56</c:v>
                </c:pt>
                <c:pt idx="957">
                  <c:v>9.57</c:v>
                </c:pt>
                <c:pt idx="958">
                  <c:v>9.58</c:v>
                </c:pt>
                <c:pt idx="959">
                  <c:v>9.59</c:v>
                </c:pt>
                <c:pt idx="960">
                  <c:v>9.6</c:v>
                </c:pt>
                <c:pt idx="961">
                  <c:v>9.61</c:v>
                </c:pt>
                <c:pt idx="962">
                  <c:v>9.6199999999999992</c:v>
                </c:pt>
                <c:pt idx="963">
                  <c:v>9.6300000000000008</c:v>
                </c:pt>
                <c:pt idx="964">
                  <c:v>9.64</c:v>
                </c:pt>
                <c:pt idx="965">
                  <c:v>9.65</c:v>
                </c:pt>
                <c:pt idx="966">
                  <c:v>9.66</c:v>
                </c:pt>
                <c:pt idx="967">
                  <c:v>9.67</c:v>
                </c:pt>
                <c:pt idx="968">
                  <c:v>9.68</c:v>
                </c:pt>
                <c:pt idx="969">
                  <c:v>9.69</c:v>
                </c:pt>
                <c:pt idx="970">
                  <c:v>9.6999999999999993</c:v>
                </c:pt>
                <c:pt idx="971">
                  <c:v>9.7100000000000009</c:v>
                </c:pt>
                <c:pt idx="972">
                  <c:v>9.7200000000000006</c:v>
                </c:pt>
                <c:pt idx="973">
                  <c:v>9.73</c:v>
                </c:pt>
                <c:pt idx="974">
                  <c:v>9.74</c:v>
                </c:pt>
                <c:pt idx="975">
                  <c:v>9.75</c:v>
                </c:pt>
                <c:pt idx="976">
                  <c:v>9.76</c:v>
                </c:pt>
                <c:pt idx="977">
                  <c:v>9.77</c:v>
                </c:pt>
                <c:pt idx="978">
                  <c:v>9.7799999999999994</c:v>
                </c:pt>
                <c:pt idx="979">
                  <c:v>9.7899999999999991</c:v>
                </c:pt>
                <c:pt idx="980">
                  <c:v>9.8000000000000007</c:v>
                </c:pt>
                <c:pt idx="981">
                  <c:v>9.81</c:v>
                </c:pt>
                <c:pt idx="982">
                  <c:v>9.82</c:v>
                </c:pt>
                <c:pt idx="983">
                  <c:v>9.83</c:v>
                </c:pt>
                <c:pt idx="984">
                  <c:v>9.84</c:v>
                </c:pt>
                <c:pt idx="985">
                  <c:v>9.85</c:v>
                </c:pt>
                <c:pt idx="986">
                  <c:v>9.86</c:v>
                </c:pt>
                <c:pt idx="987">
                  <c:v>9.8699999999999992</c:v>
                </c:pt>
                <c:pt idx="988">
                  <c:v>9.8800000000000008</c:v>
                </c:pt>
                <c:pt idx="989">
                  <c:v>9.89</c:v>
                </c:pt>
                <c:pt idx="990">
                  <c:v>9.9</c:v>
                </c:pt>
                <c:pt idx="991">
                  <c:v>9.91</c:v>
                </c:pt>
                <c:pt idx="992">
                  <c:v>9.92</c:v>
                </c:pt>
                <c:pt idx="993">
                  <c:v>9.93</c:v>
                </c:pt>
                <c:pt idx="994">
                  <c:v>9.94</c:v>
                </c:pt>
                <c:pt idx="995">
                  <c:v>9.9499999999999993</c:v>
                </c:pt>
                <c:pt idx="996">
                  <c:v>9.9600000000000009</c:v>
                </c:pt>
                <c:pt idx="997">
                  <c:v>9.9700000000000006</c:v>
                </c:pt>
                <c:pt idx="998">
                  <c:v>9.98</c:v>
                </c:pt>
                <c:pt idx="999">
                  <c:v>9.99</c:v>
                </c:pt>
                <c:pt idx="1000">
                  <c:v>10</c:v>
                </c:pt>
              </c:numCache>
            </c:numRef>
          </c:cat>
          <c:val>
            <c:numRef>
              <c:f>Curves!$I$2:$I$1002</c:f>
              <c:numCache>
                <c:formatCode>#,##0.00;[Red]\(#,##0.00\)</c:formatCode>
                <c:ptCount val="1001"/>
                <c:pt idx="0">
                  <c:v>400000</c:v>
                </c:pt>
                <c:pt idx="1">
                  <c:v>397068.30910178175</c:v>
                </c:pt>
                <c:pt idx="2">
                  <c:v>394162.88412412431</c:v>
                </c:pt>
                <c:pt idx="3">
                  <c:v>391283.53485888138</c:v>
                </c:pt>
                <c:pt idx="4">
                  <c:v>388430.07278915716</c:v>
                </c:pt>
                <c:pt idx="5">
                  <c:v>385602.31107484753</c:v>
                </c:pt>
                <c:pt idx="6">
                  <c:v>382800.0645382771</c:v>
                </c:pt>
                <c:pt idx="7">
                  <c:v>380023.14964993135</c:v>
                </c:pt>
                <c:pt idx="8">
                  <c:v>377271.38451427757</c:v>
                </c:pt>
                <c:pt idx="9">
                  <c:v>374544.58885568002</c:v>
                </c:pt>
                <c:pt idx="10">
                  <c:v>371842.58400440222</c:v>
                </c:pt>
                <c:pt idx="11">
                  <c:v>369165.19288269698</c:v>
                </c:pt>
                <c:pt idx="12">
                  <c:v>366512.23999098392</c:v>
                </c:pt>
                <c:pt idx="13">
                  <c:v>363883.55139411089</c:v>
                </c:pt>
                <c:pt idx="14">
                  <c:v>361278.95470769831</c:v>
                </c:pt>
                <c:pt idx="15">
                  <c:v>358698.27908456686</c:v>
                </c:pt>
                <c:pt idx="16">
                  <c:v>356141.35520124453</c:v>
                </c:pt>
                <c:pt idx="17">
                  <c:v>353608.01524455263</c:v>
                </c:pt>
                <c:pt idx="18">
                  <c:v>351098.09289827017</c:v>
                </c:pt>
                <c:pt idx="19">
                  <c:v>348611.42332987359</c:v>
                </c:pt>
                <c:pt idx="20">
                  <c:v>346147.84317735198</c:v>
                </c:pt>
                <c:pt idx="21">
                  <c:v>343707.19053609448</c:v>
                </c:pt>
                <c:pt idx="22">
                  <c:v>341289.30494585098</c:v>
                </c:pt>
                <c:pt idx="23">
                  <c:v>338894.02737776173</c:v>
                </c:pt>
                <c:pt idx="24">
                  <c:v>336521.20022145729</c:v>
                </c:pt>
                <c:pt idx="25">
                  <c:v>334170.66727222578</c:v>
                </c:pt>
                <c:pt idx="26">
                  <c:v>331842.27371824504</c:v>
                </c:pt>
                <c:pt idx="27">
                  <c:v>329535.86612788233</c:v>
                </c:pt>
                <c:pt idx="28">
                  <c:v>327251.29243705468</c:v>
                </c:pt>
                <c:pt idx="29">
                  <c:v>324988.40193665278</c:v>
                </c:pt>
                <c:pt idx="30">
                  <c:v>322747.04526002583</c:v>
                </c:pt>
                <c:pt idx="31">
                  <c:v>320527.0743705245</c:v>
                </c:pt>
                <c:pt idx="32">
                  <c:v>318328.34254910279</c:v>
                </c:pt>
                <c:pt idx="33">
                  <c:v>316150.70438197633</c:v>
                </c:pt>
                <c:pt idx="34">
                  <c:v>313994.01574833551</c:v>
                </c:pt>
                <c:pt idx="35">
                  <c:v>311858.13380811317</c:v>
                </c:pt>
                <c:pt idx="36">
                  <c:v>309742.9169898043</c:v>
                </c:pt>
                <c:pt idx="37">
                  <c:v>307648.22497833736</c:v>
                </c:pt>
                <c:pt idx="38">
                  <c:v>305573.91870299529</c:v>
                </c:pt>
                <c:pt idx="39">
                  <c:v>303519.86032538558</c:v>
                </c:pt>
                <c:pt idx="40">
                  <c:v>301485.91322745732</c:v>
                </c:pt>
                <c:pt idx="41">
                  <c:v>299471.94199956418</c:v>
                </c:pt>
                <c:pt idx="42">
                  <c:v>297477.81242857326</c:v>
                </c:pt>
                <c:pt idx="43">
                  <c:v>295503.39148601564</c:v>
                </c:pt>
                <c:pt idx="44">
                  <c:v>293548.54731628112</c:v>
                </c:pt>
                <c:pt idx="45">
                  <c:v>291613.14922485314</c:v>
                </c:pt>
                <c:pt idx="46">
                  <c:v>289697.06766658346</c:v>
                </c:pt>
                <c:pt idx="47">
                  <c:v>287800.17423400597</c:v>
                </c:pt>
                <c:pt idx="48">
                  <c:v>285922.34164568741</c:v>
                </c:pt>
                <c:pt idx="49">
                  <c:v>284063.44373461534</c:v>
                </c:pt>
                <c:pt idx="50">
                  <c:v>282223.35543661978</c:v>
                </c:pt>
                <c:pt idx="51">
                  <c:v>280401.95277883072</c:v>
                </c:pt>
                <c:pt idx="52">
                  <c:v>278599.11286816676</c:v>
                </c:pt>
                <c:pt idx="53">
                  <c:v>276814.71387985675</c:v>
                </c:pt>
                <c:pt idx="54">
                  <c:v>275048.63504599157</c:v>
                </c:pt>
                <c:pt idx="55">
                  <c:v>273300.75664410589</c:v>
                </c:pt>
                <c:pt idx="56">
                  <c:v>271570.95998578821</c:v>
                </c:pt>
                <c:pt idx="57">
                  <c:v>269859.12740531843</c:v>
                </c:pt>
                <c:pt idx="58">
                  <c:v>268165.14224833279</c:v>
                </c:pt>
                <c:pt idx="59">
                  <c:v>266488.8888605134</c:v>
                </c:pt>
                <c:pt idx="60">
                  <c:v>264830.25257630297</c:v>
                </c:pt>
                <c:pt idx="61">
                  <c:v>263189.11970764329</c:v>
                </c:pt>
                <c:pt idx="62">
                  <c:v>261565.37753273651</c:v>
                </c:pt>
                <c:pt idx="63">
                  <c:v>259958.91428482824</c:v>
                </c:pt>
                <c:pt idx="64">
                  <c:v>258369.61914101188</c:v>
                </c:pt>
                <c:pt idx="65">
                  <c:v>256797.38221105351</c:v>
                </c:pt>
                <c:pt idx="66">
                  <c:v>255242.09452623592</c:v>
                </c:pt>
                <c:pt idx="67">
                  <c:v>253703.64802822162</c:v>
                </c:pt>
                <c:pt idx="68">
                  <c:v>252181.93555793384</c:v>
                </c:pt>
                <c:pt idx="69">
                  <c:v>250676.85084445507</c:v>
                </c:pt>
                <c:pt idx="70">
                  <c:v>249188.28849394221</c:v>
                </c:pt>
                <c:pt idx="71">
                  <c:v>247716.14397855778</c:v>
                </c:pt>
                <c:pt idx="72">
                  <c:v>246260.31362541672</c:v>
                </c:pt>
                <c:pt idx="73">
                  <c:v>244820.69460554831</c:v>
                </c:pt>
                <c:pt idx="74">
                  <c:v>243397.18492287226</c:v>
                </c:pt>
                <c:pt idx="75">
                  <c:v>241989.68340318932</c:v>
                </c:pt>
                <c:pt idx="76">
                  <c:v>240598.0896831846</c:v>
                </c:pt>
                <c:pt idx="77">
                  <c:v>239222.3041994457</c:v>
                </c:pt>
                <c:pt idx="78">
                  <c:v>237862.22817749169</c:v>
                </c:pt>
                <c:pt idx="79">
                  <c:v>236517.76362081658</c:v>
                </c:pt>
                <c:pt idx="80">
                  <c:v>235188.81329994398</c:v>
                </c:pt>
                <c:pt idx="81">
                  <c:v>233875.28074149435</c:v>
                </c:pt>
                <c:pt idx="82">
                  <c:v>232577.07021726426</c:v>
                </c:pt>
                <c:pt idx="83">
                  <c:v>231294.0867333177</c:v>
                </c:pt>
                <c:pt idx="84">
                  <c:v>230026.23601908897</c:v>
                </c:pt>
                <c:pt idx="85">
                  <c:v>228773.42451649776</c:v>
                </c:pt>
                <c:pt idx="86">
                  <c:v>227535.55936907599</c:v>
                </c:pt>
                <c:pt idx="87">
                  <c:v>226312.54841110716</c:v>
                </c:pt>
                <c:pt idx="88">
                  <c:v>225104.30015677729</c:v>
                </c:pt>
                <c:pt idx="89">
                  <c:v>223910.72378933884</c:v>
                </c:pt>
                <c:pt idx="90">
                  <c:v>222731.72915028781</c:v>
                </c:pt>
                <c:pt idx="91">
                  <c:v>221567.22672855272</c:v>
                </c:pt>
                <c:pt idx="92">
                  <c:v>220417.12764969849</c:v>
                </c:pt>
                <c:pt idx="93">
                  <c:v>219281.34366514365</c:v>
                </c:pt>
                <c:pt idx="94">
                  <c:v>218159.78714139259</c:v>
                </c:pt>
                <c:pt idx="95">
                  <c:v>217052.37104928237</c:v>
                </c:pt>
                <c:pt idx="96">
                  <c:v>215959.00895324617</c:v>
                </c:pt>
                <c:pt idx="97">
                  <c:v>214879.61500059284</c:v>
                </c:pt>
                <c:pt idx="98">
                  <c:v>213814.10391080414</c:v>
                </c:pt>
                <c:pt idx="99">
                  <c:v>212762.39096485003</c:v>
                </c:pt>
                <c:pt idx="100">
                  <c:v>211724.39199452387</c:v>
                </c:pt>
                <c:pt idx="101">
                  <c:v>210700.0233717972</c:v>
                </c:pt>
                <c:pt idx="102">
                  <c:v>209689.20199819637</c:v>
                </c:pt>
                <c:pt idx="103">
                  <c:v>208691.84529420148</c:v>
                </c:pt>
                <c:pt idx="104">
                  <c:v>207707.87118866976</c:v>
                </c:pt>
                <c:pt idx="105">
                  <c:v>206737.19810828322</c:v>
                </c:pt>
                <c:pt idx="106">
                  <c:v>205779.74496702358</c:v>
                </c:pt>
                <c:pt idx="107">
                  <c:v>204835.43115567524</c:v>
                </c:pt>
                <c:pt idx="108">
                  <c:v>203904.17653135708</c:v>
                </c:pt>
                <c:pt idx="109">
                  <c:v>202985.90140708673</c:v>
                </c:pt>
                <c:pt idx="110">
                  <c:v>202080.52654137698</c:v>
                </c:pt>
                <c:pt idx="111">
                  <c:v>201187.9731278671</c:v>
                </c:pt>
                <c:pt idx="112">
                  <c:v>200308.16278499103</c:v>
                </c:pt>
                <c:pt idx="113">
                  <c:v>199441.01754568407</c:v>
                </c:pt>
                <c:pt idx="114">
                  <c:v>198586.45984713029</c:v>
                </c:pt>
                <c:pt idx="115">
                  <c:v>197744.4125205529</c:v>
                </c:pt>
                <c:pt idx="116">
                  <c:v>196914.79878104923</c:v>
                </c:pt>
                <c:pt idx="117">
                  <c:v>196097.54221747338</c:v>
                </c:pt>
                <c:pt idx="118">
                  <c:v>195292.56678236835</c:v>
                </c:pt>
                <c:pt idx="119">
                  <c:v>194499.79678195051</c:v>
                </c:pt>
                <c:pt idx="120">
                  <c:v>193719.15686614858</c:v>
                </c:pt>
                <c:pt idx="121">
                  <c:v>192950.57201870007</c:v>
                </c:pt>
                <c:pt idx="122">
                  <c:v>192193.9675473072</c:v>
                </c:pt>
                <c:pt idx="123">
                  <c:v>191449.26907385656</c:v>
                </c:pt>
                <c:pt idx="124">
                  <c:v>190716.40252470327</c:v>
                </c:pt>
                <c:pt idx="125">
                  <c:v>189995.2941210249</c:v>
                </c:pt>
                <c:pt idx="126">
                  <c:v>189285.87036924585</c:v>
                </c:pt>
                <c:pt idx="127">
                  <c:v>188588.05805153717</c:v>
                </c:pt>
                <c:pt idx="128">
                  <c:v>187901.78421639407</c:v>
                </c:pt>
                <c:pt idx="129">
                  <c:v>187226.97616929447</c:v>
                </c:pt>
                <c:pt idx="130">
                  <c:v>186563.56146344196</c:v>
                </c:pt>
                <c:pt idx="131">
                  <c:v>185911.46789059651</c:v>
                </c:pt>
                <c:pt idx="132">
                  <c:v>185270.62347199707</c:v>
                </c:pt>
                <c:pt idx="133">
                  <c:v>184640.95644937773</c:v>
                </c:pt>
                <c:pt idx="134">
                  <c:v>184022.39527608367</c:v>
                </c:pt>
                <c:pt idx="135">
                  <c:v>183414.86860828841</c:v>
                </c:pt>
                <c:pt idx="136">
                  <c:v>182818.30529631663</c:v>
                </c:pt>
                <c:pt idx="137">
                  <c:v>182232.63437607753</c:v>
                </c:pt>
                <c:pt idx="138">
                  <c:v>181657.78506061045</c:v>
                </c:pt>
                <c:pt idx="139">
                  <c:v>181093.68673174846</c:v>
                </c:pt>
                <c:pt idx="140">
                  <c:v>180540.26893190332</c:v>
                </c:pt>
                <c:pt idx="141">
                  <c:v>179997.4613559749</c:v>
                </c:pt>
                <c:pt idx="142">
                  <c:v>179465.19384339071</c:v>
                </c:pt>
                <c:pt idx="143">
                  <c:v>178943.39637027815</c:v>
                </c:pt>
                <c:pt idx="144">
                  <c:v>178431.99904177451</c:v>
                </c:pt>
                <c:pt idx="145">
                  <c:v>177930.93208447867</c:v>
                </c:pt>
                <c:pt idx="146">
                  <c:v>177440.12583904792</c:v>
                </c:pt>
                <c:pt idx="147">
                  <c:v>176959.51075294556</c:v>
                </c:pt>
                <c:pt idx="148">
                  <c:v>176489.01737334204</c:v>
                </c:pt>
                <c:pt idx="149">
                  <c:v>176028.57634017491</c:v>
                </c:pt>
                <c:pt idx="150">
                  <c:v>175578.11837937144</c:v>
                </c:pt>
                <c:pt idx="151">
                  <c:v>175137.57429623741</c:v>
                </c:pt>
                <c:pt idx="152">
                  <c:v>174706.87496901845</c:v>
                </c:pt>
                <c:pt idx="153">
                  <c:v>174285.95134263526</c:v>
                </c:pt>
                <c:pt idx="154">
                  <c:v>173874.73442260007</c:v>
                </c:pt>
                <c:pt idx="155">
                  <c:v>173473.15526911549</c:v>
                </c:pt>
                <c:pt idx="156">
                  <c:v>173081.14499136264</c:v>
                </c:pt>
                <c:pt idx="157">
                  <c:v>172698.63474198116</c:v>
                </c:pt>
                <c:pt idx="158">
                  <c:v>172325.55571174566</c:v>
                </c:pt>
                <c:pt idx="159">
                  <c:v>171961.83912444266</c:v>
                </c:pt>
                <c:pt idx="160">
                  <c:v>171607.41623195287</c:v>
                </c:pt>
                <c:pt idx="161">
                  <c:v>171262.21830954135</c:v>
                </c:pt>
                <c:pt idx="162">
                  <c:v>170926.17665136096</c:v>
                </c:pt>
                <c:pt idx="163">
                  <c:v>170599.22256617201</c:v>
                </c:pt>
                <c:pt idx="164">
                  <c:v>170281.28737328286</c:v>
                </c:pt>
                <c:pt idx="165">
                  <c:v>169972.30239871456</c:v>
                </c:pt>
                <c:pt idx="166">
                  <c:v>169672.19897159326</c:v>
                </c:pt>
                <c:pt idx="167">
                  <c:v>169380.90842077433</c:v>
                </c:pt>
                <c:pt idx="168">
                  <c:v>169098.36207170167</c:v>
                </c:pt>
                <c:pt idx="169">
                  <c:v>168824.4912435055</c:v>
                </c:pt>
                <c:pt idx="170">
                  <c:v>168559.22724634179</c:v>
                </c:pt>
                <c:pt idx="171">
                  <c:v>168302.50137897659</c:v>
                </c:pt>
                <c:pt idx="172">
                  <c:v>168054.24492661923</c:v>
                </c:pt>
                <c:pt idx="173">
                  <c:v>167814.38915900496</c:v>
                </c:pt>
                <c:pt idx="174">
                  <c:v>167582.86532873352</c:v>
                </c:pt>
                <c:pt idx="175">
                  <c:v>167359.60466986234</c:v>
                </c:pt>
                <c:pt idx="176">
                  <c:v>167144.53839675972</c:v>
                </c:pt>
                <c:pt idx="177">
                  <c:v>166937.59770321922</c:v>
                </c:pt>
                <c:pt idx="178">
                  <c:v>166738.7137618376</c:v>
                </c:pt>
                <c:pt idx="179">
                  <c:v>166547.81772365829</c:v>
                </c:pt>
                <c:pt idx="180">
                  <c:v>166364.84071808268</c:v>
                </c:pt>
                <c:pt idx="181">
                  <c:v>166189.71385305017</c:v>
                </c:pt>
                <c:pt idx="182">
                  <c:v>166022.36821548917</c:v>
                </c:pt>
                <c:pt idx="183">
                  <c:v>165862.73487203979</c:v>
                </c:pt>
                <c:pt idx="184">
                  <c:v>165710.74487004982</c:v>
                </c:pt>
                <c:pt idx="185">
                  <c:v>165566.32923884469</c:v>
                </c:pt>
                <c:pt idx="186">
                  <c:v>165429.4189912717</c:v>
                </c:pt>
                <c:pt idx="187">
                  <c:v>165299.94512552005</c:v>
                </c:pt>
                <c:pt idx="188">
                  <c:v>165177.83862721489</c:v>
                </c:pt>
                <c:pt idx="189">
                  <c:v>165063.03047178854</c:v>
                </c:pt>
                <c:pt idx="190">
                  <c:v>164955.45162712556</c:v>
                </c:pt>
                <c:pt idx="191">
                  <c:v>164855.03305648232</c:v>
                </c:pt>
                <c:pt idx="192">
                  <c:v>164761.70572168197</c:v>
                </c:pt>
                <c:pt idx="193">
                  <c:v>164675.40058658083</c:v>
                </c:pt>
                <c:pt idx="194">
                  <c:v>164596.04862080797</c:v>
                </c:pt>
                <c:pt idx="195">
                  <c:v>164523.58080377433</c:v>
                </c:pt>
                <c:pt idx="196">
                  <c:v>164457.92812895108</c:v>
                </c:pt>
                <c:pt idx="197">
                  <c:v>164399.02160841465</c:v>
                </c:pt>
                <c:pt idx="198">
                  <c:v>164346.79227765623</c:v>
                </c:pt>
                <c:pt idx="199">
                  <c:v>164301.1712006536</c:v>
                </c:pt>
                <c:pt idx="200">
                  <c:v>164262.08947520246</c:v>
                </c:pt>
                <c:pt idx="201">
                  <c:v>164229.47823850357</c:v>
                </c:pt>
                <c:pt idx="202">
                  <c:v>164203.26867300374</c:v>
                </c:pt>
                <c:pt idx="203">
                  <c:v>164183.39201248591</c:v>
                </c:pt>
                <c:pt idx="204">
                  <c:v>164169.7795484055</c:v>
                </c:pt>
                <c:pt idx="205">
                  <c:v>164162.36263646794</c:v>
                </c:pt>
                <c:pt idx="206">
                  <c:v>164161.07270344434</c:v>
                </c:pt>
                <c:pt idx="207">
                  <c:v>164165.84125421924</c:v>
                </c:pt>
                <c:pt idx="208">
                  <c:v>164176.59987906687</c:v>
                </c:pt>
                <c:pt idx="209">
                  <c:v>164193.28026115033</c:v>
                </c:pt>
                <c:pt idx="210">
                  <c:v>164215.81418423774</c:v>
                </c:pt>
                <c:pt idx="211">
                  <c:v>164244.13354063104</c:v>
                </c:pt>
                <c:pt idx="212">
                  <c:v>164278.17033930015</c:v>
                </c:pt>
                <c:pt idx="213">
                  <c:v>164317.8567142174</c:v>
                </c:pt>
                <c:pt idx="214">
                  <c:v>164363.12493288537</c:v>
                </c:pt>
                <c:pt idx="215">
                  <c:v>164413.90740505178</c:v>
                </c:pt>
                <c:pt idx="216">
                  <c:v>164470.13669160428</c:v>
                </c:pt>
                <c:pt idx="217">
                  <c:v>164531.74551363848</c:v>
                </c:pt>
                <c:pt idx="218">
                  <c:v>164598.66676169186</c:v>
                </c:pt>
                <c:pt idx="219">
                  <c:v>164670.83350513526</c:v>
                </c:pt>
                <c:pt idx="220">
                  <c:v>164748.17900171617</c:v>
                </c:pt>
                <c:pt idx="221">
                  <c:v>164830.63670724328</c:v>
                </c:pt>
                <c:pt idx="222">
                  <c:v>164918.14028540673</c:v>
                </c:pt>
                <c:pt idx="223">
                  <c:v>165010.62361772411</c:v>
                </c:pt>
                <c:pt idx="224">
                  <c:v>165108.02081360429</c:v>
                </c:pt>
                <c:pt idx="225">
                  <c:v>165210.26622052066</c:v>
                </c:pt>
                <c:pt idx="226">
                  <c:v>165317.29443428473</c:v>
                </c:pt>
                <c:pt idx="227">
                  <c:v>165429.04030941136</c:v>
                </c:pt>
                <c:pt idx="228">
                  <c:v>165545.43896956608</c:v>
                </c:pt>
                <c:pt idx="229">
                  <c:v>165666.42581808614</c:v>
                </c:pt>
                <c:pt idx="230">
                  <c:v>165791.93654856517</c:v>
                </c:pt>
                <c:pt idx="231">
                  <c:v>165921.90715549263</c:v>
                </c:pt>
                <c:pt idx="232">
                  <c:v>166056.27394493815</c:v>
                </c:pt>
                <c:pt idx="233">
                  <c:v>166194.97354527129</c:v>
                </c:pt>
                <c:pt idx="234">
                  <c:v>166337.94291790732</c:v>
                </c:pt>
                <c:pt idx="235">
                  <c:v>166485.11936806867</c:v>
                </c:pt>
                <c:pt idx="236">
                  <c:v>166636.44055555318</c:v>
                </c:pt>
                <c:pt idx="237">
                  <c:v>166791.84450549845</c:v>
                </c:pt>
                <c:pt idx="238">
                  <c:v>166951.26961913292</c:v>
                </c:pt>
                <c:pt idx="239">
                  <c:v>167114.65468450403</c:v>
                </c:pt>
                <c:pt idx="240">
                  <c:v>167281.93888717316</c:v>
                </c:pt>
                <c:pt idx="241">
                  <c:v>167453.0618208677</c:v>
                </c:pt>
                <c:pt idx="242">
                  <c:v>167627.96349808073</c:v>
                </c:pt>
                <c:pt idx="243">
                  <c:v>167806.58436060805</c:v>
                </c:pt>
                <c:pt idx="244">
                  <c:v>167988.86529001332</c:v>
                </c:pt>
                <c:pt idx="245">
                  <c:v>168174.74761801166</c:v>
                </c:pt>
                <c:pt idx="246">
                  <c:v>168364.1731367613</c:v>
                </c:pt>
                <c:pt idx="247">
                  <c:v>168557.0841090554</c:v>
                </c:pt>
                <c:pt idx="248">
                  <c:v>168753.42327840297</c:v>
                </c:pt>
                <c:pt idx="249">
                  <c:v>168953.13387899089</c:v>
                </c:pt>
                <c:pt idx="250">
                  <c:v>169156.15964551712</c:v>
                </c:pt>
                <c:pt idx="251">
                  <c:v>169362.44482288684</c:v>
                </c:pt>
                <c:pt idx="252">
                  <c:v>169571.93417576159</c:v>
                </c:pt>
                <c:pt idx="253">
                  <c:v>169784.57299795403</c:v>
                </c:pt>
                <c:pt idx="254">
                  <c:v>170000.30712165881</c:v>
                </c:pt>
                <c:pt idx="255">
                  <c:v>170219.08292651174</c:v>
                </c:pt>
                <c:pt idx="256">
                  <c:v>170440.84734846884</c:v>
                </c:pt>
                <c:pt idx="257">
                  <c:v>170665.54788849753</c:v>
                </c:pt>
                <c:pt idx="258">
                  <c:v>170893.13262107217</c:v>
                </c:pt>
                <c:pt idx="259">
                  <c:v>171123.55020246646</c:v>
                </c:pt>
                <c:pt idx="260">
                  <c:v>171356.74987883552</c:v>
                </c:pt>
                <c:pt idx="261">
                  <c:v>171592.68149408037</c:v>
                </c:pt>
                <c:pt idx="262">
                  <c:v>171831.29549748838</c:v>
                </c:pt>
                <c:pt idx="263">
                  <c:v>172072.54295114282</c:v>
                </c:pt>
                <c:pt idx="264">
                  <c:v>172316.37553709588</c:v>
                </c:pt>
                <c:pt idx="265">
                  <c:v>172562.74556429815</c:v>
                </c:pt>
                <c:pt idx="266">
                  <c:v>172811.60597527985</c:v>
                </c:pt>
                <c:pt idx="267">
                  <c:v>173062.91035257783</c:v>
                </c:pt>
                <c:pt idx="268">
                  <c:v>173316.61292490381</c:v>
                </c:pt>
                <c:pt idx="269">
                  <c:v>173572.66857304756</c:v>
                </c:pt>
                <c:pt idx="270">
                  <c:v>173831.03283551309</c:v>
                </c:pt>
                <c:pt idx="271">
                  <c:v>174091.66191388038</c:v>
                </c:pt>
                <c:pt idx="272">
                  <c:v>174354.5126778917</c:v>
                </c:pt>
                <c:pt idx="273">
                  <c:v>174619.54267025707</c:v>
                </c:pt>
                <c:pt idx="274">
                  <c:v>174886.7101111759</c:v>
                </c:pt>
                <c:pt idx="275">
                  <c:v>175155.97390257259</c:v>
                </c:pt>
                <c:pt idx="276">
                  <c:v>175427.29363204254</c:v>
                </c:pt>
                <c:pt idx="277">
                  <c:v>175700.6295765063</c:v>
                </c:pt>
                <c:pt idx="278">
                  <c:v>175975.94270557072</c:v>
                </c:pt>
                <c:pt idx="279">
                  <c:v>176253.19468459411</c:v>
                </c:pt>
                <c:pt idx="280">
                  <c:v>176532.34787745512</c:v>
                </c:pt>
                <c:pt idx="281">
                  <c:v>176813.3653490232</c:v>
                </c:pt>
                <c:pt idx="282">
                  <c:v>177096.21086733131</c:v>
                </c:pt>
                <c:pt idx="283">
                  <c:v>177380.84890544863</c:v>
                </c:pt>
                <c:pt idx="284">
                  <c:v>177667.24464305487</c:v>
                </c:pt>
                <c:pt idx="285">
                  <c:v>177955.36396771501</c:v>
                </c:pt>
                <c:pt idx="286">
                  <c:v>178245.17347585573</c:v>
                </c:pt>
                <c:pt idx="287">
                  <c:v>178536.64047344396</c:v>
                </c:pt>
                <c:pt idx="288">
                  <c:v>178829.73297636886</c:v>
                </c:pt>
                <c:pt idx="289">
                  <c:v>179124.41971052811</c:v>
                </c:pt>
                <c:pt idx="290">
                  <c:v>179420.67011162077</c:v>
                </c:pt>
                <c:pt idx="291">
                  <c:v>179718.45432464822</c:v>
                </c:pt>
                <c:pt idx="292">
                  <c:v>180017.74320312549</c:v>
                </c:pt>
                <c:pt idx="293">
                  <c:v>180318.50830800546</c:v>
                </c:pt>
                <c:pt idx="294">
                  <c:v>180620.72190631879</c:v>
                </c:pt>
                <c:pt idx="295">
                  <c:v>180924.356969532</c:v>
                </c:pt>
                <c:pt idx="296">
                  <c:v>181229.38717162798</c:v>
                </c:pt>
                <c:pt idx="297">
                  <c:v>181535.7868869112</c:v>
                </c:pt>
                <c:pt idx="298">
                  <c:v>181843.53118754242</c:v>
                </c:pt>
                <c:pt idx="299">
                  <c:v>182152.59584080585</c:v>
                </c:pt>
                <c:pt idx="300">
                  <c:v>182462.95730611368</c:v>
                </c:pt>
                <c:pt idx="301">
                  <c:v>182774.59273175208</c:v>
                </c:pt>
                <c:pt idx="302">
                  <c:v>183087.47995137295</c:v>
                </c:pt>
                <c:pt idx="303">
                  <c:v>183401.59748023658</c:v>
                </c:pt>
                <c:pt idx="304">
                  <c:v>183716.92451120989</c:v>
                </c:pt>
                <c:pt idx="305">
                  <c:v>184033.44091052562</c:v>
                </c:pt>
                <c:pt idx="306">
                  <c:v>184351.12721330745</c:v>
                </c:pt>
                <c:pt idx="307">
                  <c:v>184669.96461886622</c:v>
                </c:pt>
                <c:pt idx="308">
                  <c:v>184989.93498577416</c:v>
                </c:pt>
                <c:pt idx="309">
                  <c:v>185311.02082672063</c:v>
                </c:pt>
                <c:pt idx="310">
                  <c:v>185633.20530315768</c:v>
                </c:pt>
                <c:pt idx="311">
                  <c:v>185956.47221973911</c:v>
                </c:pt>
                <c:pt idx="312">
                  <c:v>186280.80601856072</c:v>
                </c:pt>
                <c:pt idx="313">
                  <c:v>186606.19177320728</c:v>
                </c:pt>
                <c:pt idx="314">
                  <c:v>186932.61518261221</c:v>
                </c:pt>
                <c:pt idx="315">
                  <c:v>187260.06256473705</c:v>
                </c:pt>
                <c:pt idx="316">
                  <c:v>187588.52085007608</c:v>
                </c:pt>
                <c:pt idx="317">
                  <c:v>187917.97757499386</c:v>
                </c:pt>
                <c:pt idx="318">
                  <c:v>188248.42087490094</c:v>
                </c:pt>
                <c:pt idx="319">
                  <c:v>188579.83947727527</c:v>
                </c:pt>
                <c:pt idx="320">
                  <c:v>188912.2226945349</c:v>
                </c:pt>
                <c:pt idx="321">
                  <c:v>189245.56041677011</c:v>
                </c:pt>
                <c:pt idx="322">
                  <c:v>189579.84310433996</c:v>
                </c:pt>
                <c:pt idx="323">
                  <c:v>189915.06178034079</c:v>
                </c:pt>
                <c:pt idx="324">
                  <c:v>190251.20802295365</c:v>
                </c:pt>
                <c:pt idx="325">
                  <c:v>190588.2739576762</c:v>
                </c:pt>
                <c:pt idx="326">
                  <c:v>190926.25224944693</c:v>
                </c:pt>
                <c:pt idx="327">
                  <c:v>191265.13609466754</c:v>
                </c:pt>
                <c:pt idx="328">
                  <c:v>191604.91921313014</c:v>
                </c:pt>
                <c:pt idx="329">
                  <c:v>191945.59583985637</c:v>
                </c:pt>
                <c:pt idx="330">
                  <c:v>192287.16071685409</c:v>
                </c:pt>
                <c:pt idx="331">
                  <c:v>192629.60908479913</c:v>
                </c:pt>
                <c:pt idx="332">
                  <c:v>192972.9366746473</c:v>
                </c:pt>
                <c:pt idx="333">
                  <c:v>193317.13969918436</c:v>
                </c:pt>
                <c:pt idx="334">
                  <c:v>193662.21484451881</c:v>
                </c:pt>
                <c:pt idx="335">
                  <c:v>194008.15926152479</c:v>
                </c:pt>
                <c:pt idx="336">
                  <c:v>194354.97055724123</c:v>
                </c:pt>
                <c:pt idx="337">
                  <c:v>194702.6467862319</c:v>
                </c:pt>
                <c:pt idx="338">
                  <c:v>195051.18644191418</c:v>
                </c:pt>
                <c:pt idx="339">
                  <c:v>195400.58844786114</c:v>
                </c:pt>
                <c:pt idx="340">
                  <c:v>195750.85214908316</c:v>
                </c:pt>
                <c:pt idx="341">
                  <c:v>196101.9773032949</c:v>
                </c:pt>
                <c:pt idx="342">
                  <c:v>196453.96407217236</c:v>
                </c:pt>
                <c:pt idx="343">
                  <c:v>196806.8130126067</c:v>
                </c:pt>
                <c:pt idx="344">
                  <c:v>197160.52506795907</c:v>
                </c:pt>
                <c:pt idx="345">
                  <c:v>197515.1015593225</c:v>
                </c:pt>
                <c:pt idx="346">
                  <c:v>197870.54417679488</c:v>
                </c:pt>
                <c:pt idx="347">
                  <c:v>198226.85497076932</c:v>
                </c:pt>
                <c:pt idx="348">
                  <c:v>198584.03634324583</c:v>
                </c:pt>
                <c:pt idx="349">
                  <c:v>198942.09103916923</c:v>
                </c:pt>
                <c:pt idx="350">
                  <c:v>199301.0221377979</c:v>
                </c:pt>
                <c:pt idx="351">
                  <c:v>199660.83304410777</c:v>
                </c:pt>
                <c:pt idx="352">
                  <c:v>200021.5274802366</c:v>
                </c:pt>
                <c:pt idx="353">
                  <c:v>200383.10947697132</c:v>
                </c:pt>
                <c:pt idx="354">
                  <c:v>200745.58336528356</c:v>
                </c:pt>
                <c:pt idx="355">
                  <c:v>201108.95376791735</c:v>
                </c:pt>
                <c:pt idx="356">
                  <c:v>201473.22559103195</c:v>
                </c:pt>
                <c:pt idx="357">
                  <c:v>201838.40401590473</c:v>
                </c:pt>
                <c:pt idx="358">
                  <c:v>202204.49449069565</c:v>
                </c:pt>
                <c:pt idx="359">
                  <c:v>202571.50272227952</c:v>
                </c:pt>
                <c:pt idx="360">
                  <c:v>202939.43466814619</c:v>
                </c:pt>
                <c:pt idx="361">
                  <c:v>203308.2965283746</c:v>
                </c:pt>
                <c:pt idx="362">
                  <c:v>203678.09473768141</c:v>
                </c:pt>
                <c:pt idx="363">
                  <c:v>204048.83595754884</c:v>
                </c:pt>
                <c:pt idx="364">
                  <c:v>204420.52706843289</c:v>
                </c:pt>
                <c:pt idx="365">
                  <c:v>204793.17516205582</c:v>
                </c:pt>
                <c:pt idx="366">
                  <c:v>205166.78753378452</c:v>
                </c:pt>
                <c:pt idx="367">
                  <c:v>205541.37167509733</c:v>
                </c:pt>
                <c:pt idx="368">
                  <c:v>205916.93526614184</c:v>
                </c:pt>
                <c:pt idx="369">
                  <c:v>206293.4861683849</c:v>
                </c:pt>
                <c:pt idx="370">
                  <c:v>206671.0324173577</c:v>
                </c:pt>
                <c:pt idx="371">
                  <c:v>207049.58221549715</c:v>
                </c:pt>
                <c:pt idx="372">
                  <c:v>207429.14392508566</c:v>
                </c:pt>
                <c:pt idx="373">
                  <c:v>207809.72606129022</c:v>
                </c:pt>
                <c:pt idx="374">
                  <c:v>208191.33728530305</c:v>
                </c:pt>
                <c:pt idx="375">
                  <c:v>208573.98639758475</c:v>
                </c:pt>
                <c:pt idx="376">
                  <c:v>208957.68233121128</c:v>
                </c:pt>
                <c:pt idx="377">
                  <c:v>209342.43414532527</c:v>
                </c:pt>
                <c:pt idx="378">
                  <c:v>209728.25101869411</c:v>
                </c:pt>
                <c:pt idx="379">
                  <c:v>210115.14224337402</c:v>
                </c:pt>
                <c:pt idx="380">
                  <c:v>210503.11721848231</c:v>
                </c:pt>
                <c:pt idx="381">
                  <c:v>210892.1854440773</c:v>
                </c:pt>
                <c:pt idx="382">
                  <c:v>211282.35651514778</c:v>
                </c:pt>
                <c:pt idx="383">
                  <c:v>211673.6401157112</c:v>
                </c:pt>
                <c:pt idx="384">
                  <c:v>212066.04601302202</c:v>
                </c:pt>
                <c:pt idx="385">
                  <c:v>212459.58405188995</c:v>
                </c:pt>
                <c:pt idx="386">
                  <c:v>212854.26414910849</c:v>
                </c:pt>
                <c:pt idx="387">
                  <c:v>213250.09628799406</c:v>
                </c:pt>
                <c:pt idx="388">
                  <c:v>213647.09051303513</c:v>
                </c:pt>
                <c:pt idx="389">
                  <c:v>214045.25692465258</c:v>
                </c:pt>
                <c:pt idx="390">
                  <c:v>214444.60567406937</c:v>
                </c:pt>
                <c:pt idx="391">
                  <c:v>214845.14695829141</c:v>
                </c:pt>
                <c:pt idx="392">
                  <c:v>215246.89101519727</c:v>
                </c:pt>
                <c:pt idx="393">
                  <c:v>215649.84811873839</c:v>
                </c:pt>
                <c:pt idx="394">
                  <c:v>216054.02857424761</c:v>
                </c:pt>
                <c:pt idx="395">
                  <c:v>216459.4427138571</c:v>
                </c:pt>
                <c:pt idx="396">
                  <c:v>216866.10089202385</c:v>
                </c:pt>
                <c:pt idx="397">
                  <c:v>217274.01348116307</c:v>
                </c:pt>
                <c:pt idx="398">
                  <c:v>217683.19086738845</c:v>
                </c:pt>
                <c:pt idx="399">
                  <c:v>218093.64344635856</c:v>
                </c:pt>
                <c:pt idx="400">
                  <c:v>218505.38161922872</c:v>
                </c:pt>
                <c:pt idx="401">
                  <c:v>218918.41578870767</c:v>
                </c:pt>
                <c:pt idx="402">
                  <c:v>219332.75635521777</c:v>
                </c:pt>
                <c:pt idx="403">
                  <c:v>219748.41371315863</c:v>
                </c:pt>
                <c:pt idx="404">
                  <c:v>220165.39824727172</c:v>
                </c:pt>
                <c:pt idx="405">
                  <c:v>220583.7203291074</c:v>
                </c:pt>
                <c:pt idx="406">
                  <c:v>221003.39031359024</c:v>
                </c:pt>
                <c:pt idx="407">
                  <c:v>221424.41853568508</c:v>
                </c:pt>
                <c:pt idx="408">
                  <c:v>221846.81530715892</c:v>
                </c:pt>
                <c:pt idx="409">
                  <c:v>222270.59091344127</c:v>
                </c:pt>
                <c:pt idx="410">
                  <c:v>222695.75561057893</c:v>
                </c:pt>
                <c:pt idx="411">
                  <c:v>223122.31962228543</c:v>
                </c:pt>
                <c:pt idx="412">
                  <c:v>223550.29313708388</c:v>
                </c:pt>
                <c:pt idx="413">
                  <c:v>223979.68630554131</c:v>
                </c:pt>
                <c:pt idx="414">
                  <c:v>224410.5092375938</c:v>
                </c:pt>
                <c:pt idx="415">
                  <c:v>224842.77199996106</c:v>
                </c:pt>
                <c:pt idx="416">
                  <c:v>225276.48461364923</c:v>
                </c:pt>
                <c:pt idx="417">
                  <c:v>225711.65705153998</c:v>
                </c:pt>
                <c:pt idx="418">
                  <c:v>226148.29923606577</c:v>
                </c:pt>
                <c:pt idx="419">
                  <c:v>226586.42103696836</c:v>
                </c:pt>
                <c:pt idx="420">
                  <c:v>227026.03226914062</c:v>
                </c:pt>
                <c:pt idx="421">
                  <c:v>227467.14269055007</c:v>
                </c:pt>
                <c:pt idx="422">
                  <c:v>227909.7620002414</c:v>
                </c:pt>
                <c:pt idx="423">
                  <c:v>228353.89983641871</c:v>
                </c:pt>
                <c:pt idx="424">
                  <c:v>228799.5657746041</c:v>
                </c:pt>
                <c:pt idx="425">
                  <c:v>229246.76932587306</c:v>
                </c:pt>
                <c:pt idx="426">
                  <c:v>229695.51993516352</c:v>
                </c:pt>
                <c:pt idx="427">
                  <c:v>230145.82697965845</c:v>
                </c:pt>
                <c:pt idx="428">
                  <c:v>230597.69976723992</c:v>
                </c:pt>
                <c:pt idx="429">
                  <c:v>231051.14753501373</c:v>
                </c:pt>
                <c:pt idx="430">
                  <c:v>231506.17944790266</c:v>
                </c:pt>
                <c:pt idx="431">
                  <c:v>231962.80459730729</c:v>
                </c:pt>
                <c:pt idx="432">
                  <c:v>232421.03199983318</c:v>
                </c:pt>
                <c:pt idx="433">
                  <c:v>232880.87059608253</c:v>
                </c:pt>
                <c:pt idx="434">
                  <c:v>233342.32924950912</c:v>
                </c:pt>
                <c:pt idx="435">
                  <c:v>233805.41674533577</c:v>
                </c:pt>
                <c:pt idx="436">
                  <c:v>234270.14178953174</c:v>
                </c:pt>
                <c:pt idx="437">
                  <c:v>234736.51300784992</c:v>
                </c:pt>
                <c:pt idx="438">
                  <c:v>235204.53894492175</c:v>
                </c:pt>
                <c:pt idx="439">
                  <c:v>235674.22806340875</c:v>
                </c:pt>
                <c:pt idx="440">
                  <c:v>236145.58874320931</c:v>
                </c:pt>
                <c:pt idx="441">
                  <c:v>236618.62928071932</c:v>
                </c:pt>
                <c:pt idx="442">
                  <c:v>237093.35788814572</c:v>
                </c:pt>
                <c:pt idx="443">
                  <c:v>237569.78269287111</c:v>
                </c:pt>
                <c:pt idx="444">
                  <c:v>238047.91173686867</c:v>
                </c:pt>
                <c:pt idx="445">
                  <c:v>238527.75297616565</c:v>
                </c:pt>
                <c:pt idx="446">
                  <c:v>239009.31428035433</c:v>
                </c:pt>
                <c:pt idx="447">
                  <c:v>239492.60343214998</c:v>
                </c:pt>
                <c:pt idx="448">
                  <c:v>239977.6281269929</c:v>
                </c:pt>
                <c:pt idx="449">
                  <c:v>240464.39597269497</c:v>
                </c:pt>
                <c:pt idx="450">
                  <c:v>240952.91448912874</c:v>
                </c:pt>
                <c:pt idx="451">
                  <c:v>241443.19110795809</c:v>
                </c:pt>
                <c:pt idx="452">
                  <c:v>241935.23317240877</c:v>
                </c:pt>
                <c:pt idx="453">
                  <c:v>242429.0479370791</c:v>
                </c:pt>
                <c:pt idx="454">
                  <c:v>242924.6425677872</c:v>
                </c:pt>
                <c:pt idx="455">
                  <c:v>243422.02414145693</c:v>
                </c:pt>
                <c:pt idx="456">
                  <c:v>243921.19964603818</c:v>
                </c:pt>
                <c:pt idx="457">
                  <c:v>244422.17598046278</c:v>
                </c:pt>
                <c:pt idx="458">
                  <c:v>244924.95995463373</c:v>
                </c:pt>
                <c:pt idx="459">
                  <c:v>245429.5582894471</c:v>
                </c:pt>
                <c:pt idx="460">
                  <c:v>245935.97761684586</c:v>
                </c:pt>
                <c:pt idx="461">
                  <c:v>246444.22447990376</c:v>
                </c:pt>
                <c:pt idx="462">
                  <c:v>246954.30533293914</c:v>
                </c:pt>
                <c:pt idx="463">
                  <c:v>247466.22654165747</c:v>
                </c:pt>
                <c:pt idx="464">
                  <c:v>247979.99438332143</c:v>
                </c:pt>
                <c:pt idx="465">
                  <c:v>248495.61504694738</c:v>
                </c:pt>
                <c:pt idx="466">
                  <c:v>249013.09463352821</c:v>
                </c:pt>
                <c:pt idx="467">
                  <c:v>249532.4391562806</c:v>
                </c:pt>
                <c:pt idx="468">
                  <c:v>250053.65454091673</c:v>
                </c:pt>
                <c:pt idx="469">
                  <c:v>250576.7466259386</c:v>
                </c:pt>
                <c:pt idx="470">
                  <c:v>251101.72116295481</c:v>
                </c:pt>
                <c:pt idx="471">
                  <c:v>251628.58381701907</c:v>
                </c:pt>
                <c:pt idx="472">
                  <c:v>252157.34016698878</c:v>
                </c:pt>
                <c:pt idx="473">
                  <c:v>252687.99570590424</c:v>
                </c:pt>
                <c:pt idx="474">
                  <c:v>253220.55584138539</c:v>
                </c:pt>
                <c:pt idx="475">
                  <c:v>253755.02589604861</c:v>
                </c:pt>
                <c:pt idx="476">
                  <c:v>254291.41110793978</c:v>
                </c:pt>
                <c:pt idx="477">
                  <c:v>254829.71663098451</c:v>
                </c:pt>
                <c:pt idx="478">
                  <c:v>255369.94753545424</c:v>
                </c:pt>
                <c:pt idx="479">
                  <c:v>255912.1088084479</c:v>
                </c:pt>
                <c:pt idx="480">
                  <c:v>256456.2053543881</c:v>
                </c:pt>
                <c:pt idx="481">
                  <c:v>257002.24199553131</c:v>
                </c:pt>
                <c:pt idx="482">
                  <c:v>257550.22347249123</c:v>
                </c:pt>
                <c:pt idx="483">
                  <c:v>258100.15444477502</c:v>
                </c:pt>
                <c:pt idx="484">
                  <c:v>258652.03949133155</c:v>
                </c:pt>
                <c:pt idx="485">
                  <c:v>259205.88311111106</c:v>
                </c:pt>
                <c:pt idx="486">
                  <c:v>259761.68972363573</c:v>
                </c:pt>
                <c:pt idx="487">
                  <c:v>260319.46366958017</c:v>
                </c:pt>
                <c:pt idx="488">
                  <c:v>260879.20921136229</c:v>
                </c:pt>
                <c:pt idx="489">
                  <c:v>261440.93053374297</c:v>
                </c:pt>
                <c:pt idx="490">
                  <c:v>262004.6317444341</c:v>
                </c:pt>
                <c:pt idx="491">
                  <c:v>262570.31687471498</c:v>
                </c:pt>
                <c:pt idx="492">
                  <c:v>263137.9898800567</c:v>
                </c:pt>
                <c:pt idx="493">
                  <c:v>263707.65464075294</c:v>
                </c:pt>
                <c:pt idx="494">
                  <c:v>264279.31496255775</c:v>
                </c:pt>
                <c:pt idx="495">
                  <c:v>264852.97457732935</c:v>
                </c:pt>
                <c:pt idx="496">
                  <c:v>265428.63714368024</c:v>
                </c:pt>
                <c:pt idx="497">
                  <c:v>266006.30624763155</c:v>
                </c:pt>
                <c:pt idx="498">
                  <c:v>266585.98540327302</c:v>
                </c:pt>
                <c:pt idx="499">
                  <c:v>267167.67805342708</c:v>
                </c:pt>
                <c:pt idx="500">
                  <c:v>267751.38757031708</c:v>
                </c:pt>
                <c:pt idx="501">
                  <c:v>268337.11725623917</c:v>
                </c:pt>
                <c:pt idx="502">
                  <c:v>268924.87034423742</c:v>
                </c:pt>
                <c:pt idx="503">
                  <c:v>269514.64999878162</c:v>
                </c:pt>
                <c:pt idx="504">
                  <c:v>270106.45931644796</c:v>
                </c:pt>
                <c:pt idx="505">
                  <c:v>270700.30132660153</c:v>
                </c:pt>
                <c:pt idx="506">
                  <c:v>271296.17899208126</c:v>
                </c:pt>
                <c:pt idx="507">
                  <c:v>271894.09520988568</c:v>
                </c:pt>
                <c:pt idx="508">
                  <c:v>272494.05281186028</c:v>
                </c:pt>
                <c:pt idx="509">
                  <c:v>273096.05456538586</c:v>
                </c:pt>
                <c:pt idx="510">
                  <c:v>273700.10317406745</c:v>
                </c:pt>
                <c:pt idx="511">
                  <c:v>274306.20127842342</c:v>
                </c:pt>
                <c:pt idx="512">
                  <c:v>274914.35145657457</c:v>
                </c:pt>
                <c:pt idx="513">
                  <c:v>275524.55622493365</c:v>
                </c:pt>
                <c:pt idx="514">
                  <c:v>276136.81803889369</c:v>
                </c:pt>
                <c:pt idx="515">
                  <c:v>276751.13929351617</c:v>
                </c:pt>
                <c:pt idx="516">
                  <c:v>277367.52232421789</c:v>
                </c:pt>
                <c:pt idx="517">
                  <c:v>277985.96940745687</c:v>
                </c:pt>
                <c:pt idx="518">
                  <c:v>278606.48276141711</c:v>
                </c:pt>
                <c:pt idx="519">
                  <c:v>279229.0645466912</c:v>
                </c:pt>
                <c:pt idx="520">
                  <c:v>279853.71686696162</c:v>
                </c:pt>
                <c:pt idx="521">
                  <c:v>280480.44176967989</c:v>
                </c:pt>
                <c:pt idx="522">
                  <c:v>281109.24124674377</c:v>
                </c:pt>
                <c:pt idx="523">
                  <c:v>281740.11723517161</c:v>
                </c:pt>
                <c:pt idx="524">
                  <c:v>282373.07161777443</c:v>
                </c:pt>
                <c:pt idx="525">
                  <c:v>283008.10622382595</c:v>
                </c:pt>
                <c:pt idx="526">
                  <c:v>283645.2228297285</c:v>
                </c:pt>
                <c:pt idx="527">
                  <c:v>284284.4231596773</c:v>
                </c:pt>
                <c:pt idx="528">
                  <c:v>284925.70888632024</c:v>
                </c:pt>
                <c:pt idx="529">
                  <c:v>285569.08163141564</c:v>
                </c:pt>
                <c:pt idx="530">
                  <c:v>286214.5429664859</c:v>
                </c:pt>
                <c:pt idx="531">
                  <c:v>286862.09441346757</c:v>
                </c:pt>
                <c:pt idx="532">
                  <c:v>287511.7374453583</c:v>
                </c:pt>
                <c:pt idx="533">
                  <c:v>288163.47348685918</c:v>
                </c:pt>
                <c:pt idx="534">
                  <c:v>288817.30391501432</c:v>
                </c:pt>
                <c:pt idx="535">
                  <c:v>289473.2300598452</c:v>
                </c:pt>
                <c:pt idx="536">
                  <c:v>290131.25320498209</c:v>
                </c:pt>
                <c:pt idx="537">
                  <c:v>290791.37458829017</c:v>
                </c:pt>
                <c:pt idx="538">
                  <c:v>291453.59540249268</c:v>
                </c:pt>
                <c:pt idx="539">
                  <c:v>292117.91679578845</c:v>
                </c:pt>
                <c:pt idx="540">
                  <c:v>292784.33987246593</c:v>
                </c:pt>
                <c:pt idx="541">
                  <c:v>293452.86569351202</c:v>
                </c:pt>
                <c:pt idx="542">
                  <c:v>294123.49527721718</c:v>
                </c:pt>
                <c:pt idx="543">
                  <c:v>294796.22959977487</c:v>
                </c:pt>
                <c:pt idx="544">
                  <c:v>295471.06959587743</c:v>
                </c:pt>
                <c:pt idx="545">
                  <c:v>296148.01615930587</c:v>
                </c:pt>
                <c:pt idx="546">
                  <c:v>296827.07014351641</c:v>
                </c:pt>
                <c:pt idx="547">
                  <c:v>297508.2323622207</c:v>
                </c:pt>
                <c:pt idx="548">
                  <c:v>298191.50358996243</c:v>
                </c:pt>
                <c:pt idx="549">
                  <c:v>298876.8845626876</c:v>
                </c:pt>
                <c:pt idx="550">
                  <c:v>299564.37597831141</c:v>
                </c:pt>
                <c:pt idx="551">
                  <c:v>300253.9784972787</c:v>
                </c:pt>
                <c:pt idx="552">
                  <c:v>300945.69274312031</c:v>
                </c:pt>
                <c:pt idx="553">
                  <c:v>301639.51930300408</c:v>
                </c:pt>
                <c:pt idx="554">
                  <c:v>302335.45872828009</c:v>
                </c:pt>
                <c:pt idx="555">
                  <c:v>303033.51153502229</c:v>
                </c:pt>
                <c:pt idx="556">
                  <c:v>303733.67820456339</c:v>
                </c:pt>
                <c:pt idx="557">
                  <c:v>304435.95918402565</c:v>
                </c:pt>
                <c:pt idx="558">
                  <c:v>305140.35488684592</c:v>
                </c:pt>
                <c:pt idx="559">
                  <c:v>305846.86569329584</c:v>
                </c:pt>
                <c:pt idx="560">
                  <c:v>306555.4919509968</c:v>
                </c:pt>
                <c:pt idx="561">
                  <c:v>307266.23397542944</c:v>
                </c:pt>
                <c:pt idx="562">
                  <c:v>307979.09205043828</c:v>
                </c:pt>
                <c:pt idx="563">
                  <c:v>308694.06642873085</c:v>
                </c:pt>
                <c:pt idx="564">
                  <c:v>309411.15733237215</c:v>
                </c:pt>
                <c:pt idx="565">
                  <c:v>310130.36495327298</c:v>
                </c:pt>
                <c:pt idx="566">
                  <c:v>310851.6894536739</c:v>
                </c:pt>
                <c:pt idx="567">
                  <c:v>311575.13096662372</c:v>
                </c:pt>
                <c:pt idx="568">
                  <c:v>312300.68959645298</c:v>
                </c:pt>
                <c:pt idx="569">
                  <c:v>313028.36541924154</c:v>
                </c:pt>
                <c:pt idx="570">
                  <c:v>313758.15848328208</c:v>
                </c:pt>
                <c:pt idx="571">
                  <c:v>314490.06880953751</c:v>
                </c:pt>
                <c:pt idx="572">
                  <c:v>315224.09639209381</c:v>
                </c:pt>
                <c:pt idx="573">
                  <c:v>315960.24119860784</c:v>
                </c:pt>
                <c:pt idx="574">
                  <c:v>316698.50317074911</c:v>
                </c:pt>
                <c:pt idx="575">
                  <c:v>317438.88222463772</c:v>
                </c:pt>
                <c:pt idx="576">
                  <c:v>318181.37825127644</c:v>
                </c:pt>
                <c:pt idx="577">
                  <c:v>318925.99111697782</c:v>
                </c:pt>
                <c:pt idx="578">
                  <c:v>319672.72066378675</c:v>
                </c:pt>
                <c:pt idx="579">
                  <c:v>320421.56670989725</c:v>
                </c:pt>
                <c:pt idx="580">
                  <c:v>321172.52905006497</c:v>
                </c:pt>
                <c:pt idx="581">
                  <c:v>321925.60745601438</c:v>
                </c:pt>
                <c:pt idx="582">
                  <c:v>322680.80167684134</c:v>
                </c:pt>
                <c:pt idx="583">
                  <c:v>323438.11143941019</c:v>
                </c:pt>
                <c:pt idx="584">
                  <c:v>324197.53644874663</c:v>
                </c:pt>
                <c:pt idx="585">
                  <c:v>324959.07638842566</c:v>
                </c:pt>
                <c:pt idx="586">
                  <c:v>325722.73092095391</c:v>
                </c:pt>
                <c:pt idx="587">
                  <c:v>326488.49968814838</c:v>
                </c:pt>
                <c:pt idx="588">
                  <c:v>327256.38231150975</c:v>
                </c:pt>
                <c:pt idx="589">
                  <c:v>328026.37839259108</c:v>
                </c:pt>
                <c:pt idx="590">
                  <c:v>328798.48751336162</c:v>
                </c:pt>
                <c:pt idx="591">
                  <c:v>329572.70923656644</c:v>
                </c:pt>
                <c:pt idx="592">
                  <c:v>330349.04310608137</c:v>
                </c:pt>
                <c:pt idx="593">
                  <c:v>331127.48864726268</c:v>
                </c:pt>
                <c:pt idx="594">
                  <c:v>331908.04536729341</c:v>
                </c:pt>
                <c:pt idx="595">
                  <c:v>332690.71275552368</c:v>
                </c:pt>
                <c:pt idx="596">
                  <c:v>333475.49028380826</c:v>
                </c:pt>
                <c:pt idx="597">
                  <c:v>334262.37740683812</c:v>
                </c:pt>
                <c:pt idx="598">
                  <c:v>335051.37356246868</c:v>
                </c:pt>
                <c:pt idx="599">
                  <c:v>335842.47817204299</c:v>
                </c:pt>
                <c:pt idx="600">
                  <c:v>336635.69064071105</c:v>
                </c:pt>
                <c:pt idx="601">
                  <c:v>337431.01035774476</c:v>
                </c:pt>
                <c:pt idx="602">
                  <c:v>338228.43669684813</c:v>
                </c:pt>
                <c:pt idx="603">
                  <c:v>339027.96901646443</c:v>
                </c:pt>
                <c:pt idx="604">
                  <c:v>339829.60666007746</c:v>
                </c:pt>
                <c:pt idx="605">
                  <c:v>340633.34895651031</c:v>
                </c:pt>
                <c:pt idx="606">
                  <c:v>341439.19522021926</c:v>
                </c:pt>
                <c:pt idx="607">
                  <c:v>342247.14475158346</c:v>
                </c:pt>
                <c:pt idx="608">
                  <c:v>343057.19683719118</c:v>
                </c:pt>
                <c:pt idx="609">
                  <c:v>343869.3507501214</c:v>
                </c:pt>
                <c:pt idx="610">
                  <c:v>344683.60575022217</c:v>
                </c:pt>
                <c:pt idx="611">
                  <c:v>345499.96108438453</c:v>
                </c:pt>
                <c:pt idx="612">
                  <c:v>346318.41598681238</c:v>
                </c:pt>
                <c:pt idx="613">
                  <c:v>347138.96967928973</c:v>
                </c:pt>
                <c:pt idx="614">
                  <c:v>347961.62137144245</c:v>
                </c:pt>
                <c:pt idx="615">
                  <c:v>348786.37026099797</c:v>
                </c:pt>
                <c:pt idx="616">
                  <c:v>349613.21553403942</c:v>
                </c:pt>
                <c:pt idx="617">
                  <c:v>350442.15636525833</c:v>
                </c:pt>
                <c:pt idx="618">
                  <c:v>351273.19191820163</c:v>
                </c:pt>
                <c:pt idx="619">
                  <c:v>352106.32134551631</c:v>
                </c:pt>
                <c:pt idx="620">
                  <c:v>352941.54378918995</c:v>
                </c:pt>
                <c:pt idx="621">
                  <c:v>353778.85838078824</c:v>
                </c:pt>
                <c:pt idx="622">
                  <c:v>354618.26424168854</c:v>
                </c:pt>
                <c:pt idx="623">
                  <c:v>355459.76048331033</c:v>
                </c:pt>
                <c:pt idx="624">
                  <c:v>356303.34620734176</c:v>
                </c:pt>
                <c:pt idx="625">
                  <c:v>357149.02050596382</c:v>
                </c:pt>
                <c:pt idx="626">
                  <c:v>357996.78246207023</c:v>
                </c:pt>
                <c:pt idx="627">
                  <c:v>358846.63114948437</c:v>
                </c:pt>
                <c:pt idx="628">
                  <c:v>359698.56563317328</c:v>
                </c:pt>
                <c:pt idx="629">
                  <c:v>360552.5849694577</c:v>
                </c:pt>
                <c:pt idx="630">
                  <c:v>361408.68820622005</c:v>
                </c:pt>
                <c:pt idx="631">
                  <c:v>362266.87438310805</c:v>
                </c:pt>
                <c:pt idx="632">
                  <c:v>363127.14253173675</c:v>
                </c:pt>
                <c:pt idx="633">
                  <c:v>363989.49167588499</c:v>
                </c:pt>
                <c:pt idx="634">
                  <c:v>364853.92083169235</c:v>
                </c:pt>
                <c:pt idx="635">
                  <c:v>365720.42900784995</c:v>
                </c:pt>
                <c:pt idx="636">
                  <c:v>366589.01520579</c:v>
                </c:pt>
                <c:pt idx="637">
                  <c:v>367459.6784198719</c:v>
                </c:pt>
                <c:pt idx="638">
                  <c:v>368332.41763756576</c:v>
                </c:pt>
                <c:pt idx="639">
                  <c:v>369207.23183963267</c:v>
                </c:pt>
                <c:pt idx="640">
                  <c:v>370084.12000030262</c:v>
                </c:pt>
                <c:pt idx="641">
                  <c:v>370963.08108744898</c:v>
                </c:pt>
                <c:pt idx="642">
                  <c:v>371844.11406276136</c:v>
                </c:pt>
                <c:pt idx="643">
                  <c:v>372727.21788191446</c:v>
                </c:pt>
                <c:pt idx="644">
                  <c:v>373612.39149473544</c:v>
                </c:pt>
                <c:pt idx="645">
                  <c:v>374499.63384536735</c:v>
                </c:pt>
                <c:pt idx="646">
                  <c:v>375388.94387243158</c:v>
                </c:pt>
                <c:pt idx="647">
                  <c:v>376280.32050918625</c:v>
                </c:pt>
                <c:pt idx="648">
                  <c:v>377173.76268368319</c:v>
                </c:pt>
                <c:pt idx="649">
                  <c:v>378069.26931892103</c:v>
                </c:pt>
                <c:pt idx="650">
                  <c:v>378966.83933299803</c:v>
                </c:pt>
                <c:pt idx="651">
                  <c:v>379866.47163926007</c:v>
                </c:pt>
                <c:pt idx="652">
                  <c:v>380768.16514644778</c:v>
                </c:pt>
                <c:pt idx="653">
                  <c:v>381671.91875884088</c:v>
                </c:pt>
                <c:pt idx="654">
                  <c:v>382577.73137639981</c:v>
                </c:pt>
                <c:pt idx="655">
                  <c:v>383485.60189490579</c:v>
                </c:pt>
                <c:pt idx="656">
                  <c:v>384395.52920609812</c:v>
                </c:pt>
                <c:pt idx="657">
                  <c:v>385307.51219780906</c:v>
                </c:pt>
                <c:pt idx="658">
                  <c:v>386221.54975409684</c:v>
                </c:pt>
                <c:pt idx="659">
                  <c:v>387137.64075537649</c:v>
                </c:pt>
                <c:pt idx="660">
                  <c:v>388055.78407854837</c:v>
                </c:pt>
                <c:pt idx="661">
                  <c:v>388975.97859712481</c:v>
                </c:pt>
                <c:pt idx="662">
                  <c:v>389898.22318135365</c:v>
                </c:pt>
                <c:pt idx="663">
                  <c:v>390822.51669834147</c:v>
                </c:pt>
                <c:pt idx="664">
                  <c:v>391748.8580121735</c:v>
                </c:pt>
                <c:pt idx="665">
                  <c:v>392677.24598403147</c:v>
                </c:pt>
                <c:pt idx="666">
                  <c:v>393607.67947231012</c:v>
                </c:pt>
                <c:pt idx="667">
                  <c:v>394540.15733273153</c:v>
                </c:pt>
                <c:pt idx="668">
                  <c:v>395474.67841845728</c:v>
                </c:pt>
                <c:pt idx="669">
                  <c:v>396411.2415801991</c:v>
                </c:pt>
                <c:pt idx="670">
                  <c:v>397349.84566632687</c:v>
                </c:pt>
                <c:pt idx="671">
                  <c:v>398290.4895229761</c:v>
                </c:pt>
                <c:pt idx="672">
                  <c:v>399233.17199415219</c:v>
                </c:pt>
                <c:pt idx="673">
                  <c:v>400177.89192183368</c:v>
                </c:pt>
                <c:pt idx="674">
                  <c:v>401124.64814607357</c:v>
                </c:pt>
                <c:pt idx="675">
                  <c:v>402073.43950509874</c:v>
                </c:pt>
                <c:pt idx="676">
                  <c:v>403024.26483540796</c:v>
                </c:pt>
                <c:pt idx="677">
                  <c:v>403977.12297186797</c:v>
                </c:pt>
                <c:pt idx="678">
                  <c:v>404932.01274780778</c:v>
                </c:pt>
                <c:pt idx="679">
                  <c:v>405888.93299511139</c:v>
                </c:pt>
                <c:pt idx="680">
                  <c:v>406847.88254430908</c:v>
                </c:pt>
                <c:pt idx="681">
                  <c:v>407808.8602246673</c:v>
                </c:pt>
                <c:pt idx="682">
                  <c:v>408771.86486427614</c:v>
                </c:pt>
                <c:pt idx="683">
                  <c:v>409736.89529013552</c:v>
                </c:pt>
                <c:pt idx="684">
                  <c:v>410703.9503282411</c:v>
                </c:pt>
                <c:pt idx="685">
                  <c:v>411673.02880366653</c:v>
                </c:pt>
                <c:pt idx="686">
                  <c:v>412644.12954064622</c:v>
                </c:pt>
                <c:pt idx="687">
                  <c:v>413617.25136265467</c:v>
                </c:pt>
                <c:pt idx="688">
                  <c:v>414592.39309248677</c:v>
                </c:pt>
                <c:pt idx="689">
                  <c:v>415569.55355233443</c:v>
                </c:pt>
                <c:pt idx="690">
                  <c:v>416548.7315638627</c:v>
                </c:pt>
                <c:pt idx="691">
                  <c:v>417529.9259482848</c:v>
                </c:pt>
                <c:pt idx="692">
                  <c:v>418513.1355264358</c:v>
                </c:pt>
                <c:pt idx="693">
                  <c:v>419498.35911884374</c:v>
                </c:pt>
                <c:pt idx="694">
                  <c:v>420485.59554580133</c:v>
                </c:pt>
                <c:pt idx="695">
                  <c:v>421474.84362743457</c:v>
                </c:pt>
                <c:pt idx="696">
                  <c:v>422466.10218377144</c:v>
                </c:pt>
                <c:pt idx="697">
                  <c:v>423459.37003480841</c:v>
                </c:pt>
                <c:pt idx="698">
                  <c:v>424454.64600057632</c:v>
                </c:pt>
                <c:pt idx="699">
                  <c:v>425451.92890120437</c:v>
                </c:pt>
                <c:pt idx="700">
                  <c:v>426451.2175569837</c:v>
                </c:pt>
                <c:pt idx="701">
                  <c:v>427452.51078842924</c:v>
                </c:pt>
                <c:pt idx="702">
                  <c:v>428455.80741634039</c:v>
                </c:pt>
                <c:pt idx="703">
                  <c:v>429461.10626186093</c:v>
                </c:pt>
                <c:pt idx="704">
                  <c:v>430468.40614653722</c:v>
                </c:pt>
                <c:pt idx="705">
                  <c:v>431477.7058923759</c:v>
                </c:pt>
                <c:pt idx="706">
                  <c:v>432489.00432189996</c:v>
                </c:pt>
                <c:pt idx="707">
                  <c:v>433502.30025820422</c:v>
                </c:pt>
                <c:pt idx="708">
                  <c:v>434517.59252500912</c:v>
                </c:pt>
                <c:pt idx="709">
                  <c:v>435534.87994671415</c:v>
                </c:pt>
                <c:pt idx="710">
                  <c:v>436554.16134844976</c:v>
                </c:pt>
                <c:pt idx="711">
                  <c:v>437575.43555612827</c:v>
                </c:pt>
                <c:pt idx="712">
                  <c:v>438598.70139649417</c:v>
                </c:pt>
                <c:pt idx="713">
                  <c:v>439623.95769717294</c:v>
                </c:pt>
                <c:pt idx="714">
                  <c:v>440651.20328671922</c:v>
                </c:pt>
                <c:pt idx="715">
                  <c:v>441680.43699466391</c:v>
                </c:pt>
                <c:pt idx="716">
                  <c:v>442711.65765156032</c:v>
                </c:pt>
                <c:pt idx="717">
                  <c:v>443744.86408902938</c:v>
                </c:pt>
                <c:pt idx="718">
                  <c:v>444780.05513980414</c:v>
                </c:pt>
                <c:pt idx="719">
                  <c:v>445817.22963777283</c:v>
                </c:pt>
                <c:pt idx="720">
                  <c:v>446856.38641802181</c:v>
                </c:pt>
                <c:pt idx="721">
                  <c:v>447897.52431687695</c:v>
                </c:pt>
                <c:pt idx="722">
                  <c:v>448940.64217194467</c:v>
                </c:pt>
                <c:pt idx="723">
                  <c:v>449985.73882215167</c:v>
                </c:pt>
                <c:pt idx="724">
                  <c:v>451032.81310778402</c:v>
                </c:pt>
                <c:pt idx="725">
                  <c:v>452081.86387052608</c:v>
                </c:pt>
                <c:pt idx="726">
                  <c:v>453132.8899534971</c:v>
                </c:pt>
                <c:pt idx="727">
                  <c:v>454185.89020128862</c:v>
                </c:pt>
                <c:pt idx="728">
                  <c:v>455240.8634600002</c:v>
                </c:pt>
                <c:pt idx="729">
                  <c:v>456297.80857727444</c:v>
                </c:pt>
                <c:pt idx="730">
                  <c:v>457356.72440233175</c:v>
                </c:pt>
                <c:pt idx="731">
                  <c:v>458417.60978600365</c:v>
                </c:pt>
                <c:pt idx="732">
                  <c:v>459480.46358076605</c:v>
                </c:pt>
                <c:pt idx="733">
                  <c:v>460545.28464077093</c:v>
                </c:pt>
                <c:pt idx="734">
                  <c:v>461612.07182187878</c:v>
                </c:pt>
                <c:pt idx="735">
                  <c:v>462680.82398168847</c:v>
                </c:pt>
                <c:pt idx="736">
                  <c:v>463751.53997956822</c:v>
                </c:pt>
                <c:pt idx="737">
                  <c:v>464824.21867668408</c:v>
                </c:pt>
                <c:pt idx="738">
                  <c:v>465898.85893602966</c:v>
                </c:pt>
                <c:pt idx="739">
                  <c:v>466975.45962245407</c:v>
                </c:pt>
                <c:pt idx="740">
                  <c:v>468054.01960268896</c:v>
                </c:pt>
                <c:pt idx="741">
                  <c:v>469134.53774537583</c:v>
                </c:pt>
                <c:pt idx="742">
                  <c:v>470217.0129210921</c:v>
                </c:pt>
                <c:pt idx="743">
                  <c:v>471301.44400237728</c:v>
                </c:pt>
                <c:pt idx="744">
                  <c:v>472387.82986375707</c:v>
                </c:pt>
                <c:pt idx="745">
                  <c:v>473476.1693817685</c:v>
                </c:pt>
                <c:pt idx="746">
                  <c:v>474566.46143498359</c:v>
                </c:pt>
                <c:pt idx="747">
                  <c:v>475658.70490403293</c:v>
                </c:pt>
                <c:pt idx="748">
                  <c:v>476752.89867162792</c:v>
                </c:pt>
                <c:pt idx="749">
                  <c:v>477849.04162258335</c:v>
                </c:pt>
                <c:pt idx="750">
                  <c:v>478947.13264383894</c:v>
                </c:pt>
                <c:pt idx="751">
                  <c:v>480047.17062448047</c:v>
                </c:pt>
                <c:pt idx="752">
                  <c:v>481149.15445576049</c:v>
                </c:pt>
                <c:pt idx="753">
                  <c:v>482253.08303111809</c:v>
                </c:pt>
                <c:pt idx="754">
                  <c:v>483358.95524619846</c:v>
                </c:pt>
                <c:pt idx="755">
                  <c:v>484466.76999887254</c:v>
                </c:pt>
                <c:pt idx="756">
                  <c:v>485576.52618925489</c:v>
                </c:pt>
                <c:pt idx="757">
                  <c:v>486688.22271972225</c:v>
                </c:pt>
                <c:pt idx="758">
                  <c:v>487801.8584949309</c:v>
                </c:pt>
                <c:pt idx="759">
                  <c:v>488917.43242183386</c:v>
                </c:pt>
                <c:pt idx="760">
                  <c:v>490034.94340969779</c:v>
                </c:pt>
                <c:pt idx="761">
                  <c:v>491154.39037011896</c:v>
                </c:pt>
                <c:pt idx="762">
                  <c:v>492275.77221703902</c:v>
                </c:pt>
                <c:pt idx="763">
                  <c:v>493399.08786676067</c:v>
                </c:pt>
                <c:pt idx="764">
                  <c:v>494524.33623796253</c:v>
                </c:pt>
                <c:pt idx="765">
                  <c:v>495651.51625171333</c:v>
                </c:pt>
                <c:pt idx="766">
                  <c:v>496780.62683148618</c:v>
                </c:pt>
                <c:pt idx="767">
                  <c:v>497911.66690317233</c:v>
                </c:pt>
                <c:pt idx="768">
                  <c:v>499044.63539509481</c:v>
                </c:pt>
                <c:pt idx="769">
                  <c:v>500179.53123802046</c:v>
                </c:pt>
                <c:pt idx="770">
                  <c:v>501316.35336517316</c:v>
                </c:pt>
                <c:pt idx="771">
                  <c:v>502455.10071224568</c:v>
                </c:pt>
                <c:pt idx="772">
                  <c:v>503595.77221741161</c:v>
                </c:pt>
                <c:pt idx="773">
                  <c:v>504738.3668213365</c:v>
                </c:pt>
                <c:pt idx="774">
                  <c:v>505882.88346718921</c:v>
                </c:pt>
                <c:pt idx="775">
                  <c:v>507029.32110065216</c:v>
                </c:pt>
                <c:pt idx="776">
                  <c:v>508177.67866993218</c:v>
                </c:pt>
                <c:pt idx="777">
                  <c:v>509327.95512577012</c:v>
                </c:pt>
                <c:pt idx="778">
                  <c:v>510480.14942145068</c:v>
                </c:pt>
                <c:pt idx="779">
                  <c:v>511634.26051281148</c:v>
                </c:pt>
                <c:pt idx="780">
                  <c:v>512790.28735825251</c:v>
                </c:pt>
                <c:pt idx="781">
                  <c:v>513948.22891874443</c:v>
                </c:pt>
                <c:pt idx="782">
                  <c:v>515108.08415783726</c:v>
                </c:pt>
                <c:pt idx="783">
                  <c:v>516269.85204166768</c:v>
                </c:pt>
                <c:pt idx="784">
                  <c:v>517433.53153896797</c:v>
                </c:pt>
                <c:pt idx="785">
                  <c:v>518599.12162107276</c:v>
                </c:pt>
                <c:pt idx="786">
                  <c:v>519766.62126192602</c:v>
                </c:pt>
                <c:pt idx="787">
                  <c:v>520936.02943808847</c:v>
                </c:pt>
                <c:pt idx="788">
                  <c:v>522107.34512874373</c:v>
                </c:pt>
                <c:pt idx="789">
                  <c:v>523280.567315705</c:v>
                </c:pt>
                <c:pt idx="790">
                  <c:v>524455.69498342124</c:v>
                </c:pt>
                <c:pt idx="791">
                  <c:v>525632.72711898189</c:v>
                </c:pt>
                <c:pt idx="792">
                  <c:v>526811.66271212418</c:v>
                </c:pt>
                <c:pt idx="793">
                  <c:v>527992.50075523672</c:v>
                </c:pt>
                <c:pt idx="794">
                  <c:v>529175.24024336576</c:v>
                </c:pt>
                <c:pt idx="795">
                  <c:v>530359.88017421891</c:v>
                </c:pt>
                <c:pt idx="796">
                  <c:v>531546.41954817064</c:v>
                </c:pt>
                <c:pt idx="797">
                  <c:v>532734.85736826563</c:v>
                </c:pt>
                <c:pt idx="798">
                  <c:v>533925.19264022412</c:v>
                </c:pt>
                <c:pt idx="799">
                  <c:v>535117.42437244405</c:v>
                </c:pt>
                <c:pt idx="800">
                  <c:v>536311.55157600611</c:v>
                </c:pt>
                <c:pt idx="801">
                  <c:v>537507.5732646765</c:v>
                </c:pt>
                <c:pt idx="802">
                  <c:v>538705.48845491</c:v>
                </c:pt>
                <c:pt idx="803">
                  <c:v>539905.29616585327</c:v>
                </c:pt>
                <c:pt idx="804">
                  <c:v>541106.99541934719</c:v>
                </c:pt>
                <c:pt idx="805">
                  <c:v>542310.58523993008</c:v>
                </c:pt>
                <c:pt idx="806">
                  <c:v>543516.06465483876</c:v>
                </c:pt>
                <c:pt idx="807">
                  <c:v>544723.43269401207</c:v>
                </c:pt>
                <c:pt idx="808">
                  <c:v>545932.68839009223</c:v>
                </c:pt>
                <c:pt idx="809">
                  <c:v>547143.83077842626</c:v>
                </c:pt>
                <c:pt idx="810">
                  <c:v>548356.8588970683</c:v>
                </c:pt>
                <c:pt idx="811">
                  <c:v>549571.7717867801</c:v>
                </c:pt>
                <c:pt idx="812">
                  <c:v>550788.56849103305</c:v>
                </c:pt>
                <c:pt idx="813">
                  <c:v>552007.24805600918</c:v>
                </c:pt>
                <c:pt idx="814">
                  <c:v>553227.80953060021</c:v>
                </c:pt>
                <c:pt idx="815">
                  <c:v>554450.25196641125</c:v>
                </c:pt>
                <c:pt idx="816">
                  <c:v>555674.57441775932</c:v>
                </c:pt>
                <c:pt idx="817">
                  <c:v>556900.77594167355</c:v>
                </c:pt>
                <c:pt idx="818">
                  <c:v>558128.85559789673</c:v>
                </c:pt>
                <c:pt idx="819">
                  <c:v>559358.81244888401</c:v>
                </c:pt>
                <c:pt idx="820">
                  <c:v>560590.64555980382</c:v>
                </c:pt>
                <c:pt idx="821">
                  <c:v>561824.35399853671</c:v>
                </c:pt>
                <c:pt idx="822">
                  <c:v>563059.93683567503</c:v>
                </c:pt>
                <c:pt idx="823">
                  <c:v>564297.39314452349</c:v>
                </c:pt>
                <c:pt idx="824">
                  <c:v>565536.72200109717</c:v>
                </c:pt>
                <c:pt idx="825">
                  <c:v>566777.92248412117</c:v>
                </c:pt>
                <c:pt idx="826">
                  <c:v>568020.99367502949</c:v>
                </c:pt>
                <c:pt idx="827">
                  <c:v>569265.93465796404</c:v>
                </c:pt>
                <c:pt idx="828">
                  <c:v>570512.74451977352</c:v>
                </c:pt>
                <c:pt idx="829">
                  <c:v>571761.42235001165</c:v>
                </c:pt>
                <c:pt idx="830">
                  <c:v>573011.96724093601</c:v>
                </c:pt>
                <c:pt idx="831">
                  <c:v>574264.37828750617</c:v>
                </c:pt>
                <c:pt idx="832">
                  <c:v>575518.65458738187</c:v>
                </c:pt>
                <c:pt idx="833">
                  <c:v>576774.7952409219</c:v>
                </c:pt>
                <c:pt idx="834">
                  <c:v>578032.7993511809</c:v>
                </c:pt>
                <c:pt idx="835">
                  <c:v>579292.66602390853</c:v>
                </c:pt>
                <c:pt idx="836">
                  <c:v>580554.39436754608</c:v>
                </c:pt>
                <c:pt idx="837">
                  <c:v>581817.98349322483</c:v>
                </c:pt>
                <c:pt idx="838">
                  <c:v>583083.43251476425</c:v>
                </c:pt>
                <c:pt idx="839">
                  <c:v>584350.74054866703</c:v>
                </c:pt>
                <c:pt idx="840">
                  <c:v>585619.90671411937</c:v>
                </c:pt>
                <c:pt idx="841">
                  <c:v>586890.93013298698</c:v>
                </c:pt>
                <c:pt idx="842">
                  <c:v>588163.80992981198</c:v>
                </c:pt>
                <c:pt idx="843">
                  <c:v>589438.54523181019</c:v>
                </c:pt>
                <c:pt idx="844">
                  <c:v>590715.13516886812</c:v>
                </c:pt>
                <c:pt idx="845">
                  <c:v>591993.57887354004</c:v>
                </c:pt>
                <c:pt idx="846">
                  <c:v>593273.87548104487</c:v>
                </c:pt>
                <c:pt idx="847">
                  <c:v>594556.02412926173</c:v>
                </c:pt>
                <c:pt idx="848">
                  <c:v>595840.02395872842</c:v>
                </c:pt>
                <c:pt idx="849">
                  <c:v>597125.87411263655</c:v>
                </c:pt>
                <c:pt idx="850">
                  <c:v>598413.5737368284</c:v>
                </c:pt>
                <c:pt idx="851">
                  <c:v>599703.12197979353</c:v>
                </c:pt>
                <c:pt idx="852">
                  <c:v>600994.51799266483</c:v>
                </c:pt>
                <c:pt idx="853">
                  <c:v>602287.76092921454</c:v>
                </c:pt>
                <c:pt idx="854">
                  <c:v>603582.84994585079</c:v>
                </c:pt>
                <c:pt idx="855">
                  <c:v>604879.78420161339</c:v>
                </c:pt>
                <c:pt idx="856">
                  <c:v>606178.5628581699</c:v>
                </c:pt>
                <c:pt idx="857">
                  <c:v>607479.18507981161</c:v>
                </c:pt>
                <c:pt idx="858">
                  <c:v>608781.65003344929</c:v>
                </c:pt>
                <c:pt idx="859">
                  <c:v>610085.9568886091</c:v>
                </c:pt>
                <c:pt idx="860">
                  <c:v>611392.10481742816</c:v>
                </c:pt>
                <c:pt idx="861">
                  <c:v>612700.09299465024</c:v>
                </c:pt>
                <c:pt idx="862">
                  <c:v>614009.92059762159</c:v>
                </c:pt>
                <c:pt idx="863">
                  <c:v>615321.58680628589</c:v>
                </c:pt>
                <c:pt idx="864">
                  <c:v>616635.09080318036</c:v>
                </c:pt>
                <c:pt idx="865">
                  <c:v>617950.43177343067</c:v>
                </c:pt>
                <c:pt idx="866">
                  <c:v>619267.60890474694</c:v>
                </c:pt>
                <c:pt idx="867">
                  <c:v>620586.62138741824</c:v>
                </c:pt>
                <c:pt idx="868">
                  <c:v>621907.46841430827</c:v>
                </c:pt>
                <c:pt idx="869">
                  <c:v>623230.1491808506</c:v>
                </c:pt>
                <c:pt idx="870">
                  <c:v>624554.66288504354</c:v>
                </c:pt>
                <c:pt idx="871">
                  <c:v>625881.00872744597</c:v>
                </c:pt>
                <c:pt idx="872">
                  <c:v>627209.18591117044</c:v>
                </c:pt>
                <c:pt idx="873">
                  <c:v>628539.19364188111</c:v>
                </c:pt>
                <c:pt idx="874">
                  <c:v>629871.03112778615</c:v>
                </c:pt>
                <c:pt idx="875">
                  <c:v>631204.69757963391</c:v>
                </c:pt>
                <c:pt idx="876">
                  <c:v>632540.19221070746</c:v>
                </c:pt>
                <c:pt idx="877">
                  <c:v>633877.514236819</c:v>
                </c:pt>
                <c:pt idx="878">
                  <c:v>635216.66287630575</c:v>
                </c:pt>
                <c:pt idx="879">
                  <c:v>636557.63735002337</c:v>
                </c:pt>
                <c:pt idx="880">
                  <c:v>637900.43688134186</c:v>
                </c:pt>
                <c:pt idx="881">
                  <c:v>639245.06069613853</c:v>
                </c:pt>
                <c:pt idx="882">
                  <c:v>640591.5080227945</c:v>
                </c:pt>
                <c:pt idx="883">
                  <c:v>641939.77809218876</c:v>
                </c:pt>
                <c:pt idx="884">
                  <c:v>643289.8701376915</c:v>
                </c:pt>
                <c:pt idx="885">
                  <c:v>644641.78339515976</c:v>
                </c:pt>
                <c:pt idx="886">
                  <c:v>645995.51710293244</c:v>
                </c:pt>
                <c:pt idx="887">
                  <c:v>647351.07050182298</c:v>
                </c:pt>
                <c:pt idx="888">
                  <c:v>648708.44283511536</c:v>
                </c:pt>
                <c:pt idx="889">
                  <c:v>650067.63334855763</c:v>
                </c:pt>
                <c:pt idx="890">
                  <c:v>651428.64129035629</c:v>
                </c:pt>
                <c:pt idx="891">
                  <c:v>652791.46591117128</c:v>
                </c:pt>
                <c:pt idx="892">
                  <c:v>654156.10646410962</c:v>
                </c:pt>
                <c:pt idx="893">
                  <c:v>655522.56220471975</c:v>
                </c:pt>
                <c:pt idx="894">
                  <c:v>656890.83239098627</c:v>
                </c:pt>
                <c:pt idx="895">
                  <c:v>658260.91628332331</c:v>
                </c:pt>
                <c:pt idx="896">
                  <c:v>659632.81314456963</c:v>
                </c:pt>
                <c:pt idx="897">
                  <c:v>661006.52223998192</c:v>
                </c:pt>
                <c:pt idx="898">
                  <c:v>662382.04283722944</c:v>
                </c:pt>
                <c:pt idx="899">
                  <c:v>663759.37420638825</c:v>
                </c:pt>
                <c:pt idx="900">
                  <c:v>665138.515619935</c:v>
                </c:pt>
                <c:pt idx="901">
                  <c:v>666519.46635274135</c:v>
                </c:pt>
                <c:pt idx="902">
                  <c:v>667902.22568206768</c:v>
                </c:pt>
                <c:pt idx="903">
                  <c:v>669286.79288755707</c:v>
                </c:pt>
                <c:pt idx="904">
                  <c:v>670673.16725122952</c:v>
                </c:pt>
                <c:pt idx="905">
                  <c:v>672061.3480574768</c:v>
                </c:pt>
                <c:pt idx="906">
                  <c:v>673451.33459305402</c:v>
                </c:pt>
                <c:pt idx="907">
                  <c:v>674843.12614707649</c:v>
                </c:pt>
                <c:pt idx="908">
                  <c:v>676236.72201101156</c:v>
                </c:pt>
                <c:pt idx="909">
                  <c:v>677632.12147867423</c:v>
                </c:pt>
                <c:pt idx="910">
                  <c:v>679029.32384621922</c:v>
                </c:pt>
                <c:pt idx="911">
                  <c:v>680428.32841213653</c:v>
                </c:pt>
                <c:pt idx="912">
                  <c:v>681829.13447724434</c:v>
                </c:pt>
                <c:pt idx="913">
                  <c:v>683231.74134468334</c:v>
                </c:pt>
                <c:pt idx="914">
                  <c:v>684636.14831991051</c:v>
                </c:pt>
                <c:pt idx="915">
                  <c:v>686042.35471069277</c:v>
                </c:pt>
                <c:pt idx="916">
                  <c:v>687450.35982710123</c:v>
                </c:pt>
                <c:pt idx="917">
                  <c:v>688860.16298150481</c:v>
                </c:pt>
                <c:pt idx="918">
                  <c:v>690271.76348856417</c:v>
                </c:pt>
                <c:pt idx="919">
                  <c:v>691685.16066522535</c:v>
                </c:pt>
                <c:pt idx="920">
                  <c:v>693100.35383071343</c:v>
                </c:pt>
                <c:pt idx="921">
                  <c:v>694517.34230652743</c:v>
                </c:pt>
                <c:pt idx="922">
                  <c:v>695936.12541643193</c:v>
                </c:pt>
                <c:pt idx="923">
                  <c:v>697356.70248645335</c:v>
                </c:pt>
                <c:pt idx="924">
                  <c:v>698779.07284487225</c:v>
                </c:pt>
                <c:pt idx="925">
                  <c:v>700203.23582221742</c:v>
                </c:pt>
                <c:pt idx="926">
                  <c:v>701629.19075125968</c:v>
                </c:pt>
                <c:pt idx="927">
                  <c:v>703056.93696700584</c:v>
                </c:pt>
                <c:pt idx="928">
                  <c:v>704486.47380669194</c:v>
                </c:pt>
                <c:pt idx="929">
                  <c:v>705917.80060977768</c:v>
                </c:pt>
                <c:pt idx="930">
                  <c:v>707350.91671793978</c:v>
                </c:pt>
                <c:pt idx="931">
                  <c:v>708785.82147506543</c:v>
                </c:pt>
                <c:pt idx="932">
                  <c:v>710222.51422724698</c:v>
                </c:pt>
                <c:pt idx="933">
                  <c:v>711660.99432277493</c:v>
                </c:pt>
                <c:pt idx="934">
                  <c:v>713101.26111213164</c:v>
                </c:pt>
                <c:pt idx="935">
                  <c:v>714543.31394798576</c:v>
                </c:pt>
                <c:pt idx="936">
                  <c:v>715987.15218518511</c:v>
                </c:pt>
                <c:pt idx="937">
                  <c:v>717432.77518075088</c:v>
                </c:pt>
                <c:pt idx="938">
                  <c:v>718880.182293872</c:v>
                </c:pt>
                <c:pt idx="939">
                  <c:v>720329.37288589694</c:v>
                </c:pt>
                <c:pt idx="940">
                  <c:v>721780.34632032958</c:v>
                </c:pt>
                <c:pt idx="941">
                  <c:v>723233.10196282202</c:v>
                </c:pt>
                <c:pt idx="942">
                  <c:v>724687.6391811684</c:v>
                </c:pt>
                <c:pt idx="943">
                  <c:v>726143.95734529838</c:v>
                </c:pt>
                <c:pt idx="944">
                  <c:v>727602.05582727154</c:v>
                </c:pt>
                <c:pt idx="945">
                  <c:v>729061.93400127033</c:v>
                </c:pt>
                <c:pt idx="946">
                  <c:v>730523.59124359477</c:v>
                </c:pt>
                <c:pt idx="947">
                  <c:v>731987.02693265467</c:v>
                </c:pt>
                <c:pt idx="948">
                  <c:v>733452.24044896546</c:v>
                </c:pt>
                <c:pt idx="949">
                  <c:v>734919.23117514013</c:v>
                </c:pt>
                <c:pt idx="950">
                  <c:v>736387.99849588436</c:v>
                </c:pt>
                <c:pt idx="951">
                  <c:v>737858.54179798905</c:v>
                </c:pt>
                <c:pt idx="952">
                  <c:v>739330.86047032499</c:v>
                </c:pt>
                <c:pt idx="953">
                  <c:v>740804.95390383631</c:v>
                </c:pt>
                <c:pt idx="954">
                  <c:v>742280.82149153436</c:v>
                </c:pt>
                <c:pt idx="955">
                  <c:v>743758.46262849146</c:v>
                </c:pt>
                <c:pt idx="956">
                  <c:v>745237.87671183411</c:v>
                </c:pt>
                <c:pt idx="957">
                  <c:v>746719.06314073806</c:v>
                </c:pt>
                <c:pt idx="958">
                  <c:v>748202.02131642087</c:v>
                </c:pt>
                <c:pt idx="959">
                  <c:v>749686.75064213667</c:v>
                </c:pt>
                <c:pt idx="960">
                  <c:v>751173.25052316918</c:v>
                </c:pt>
                <c:pt idx="961">
                  <c:v>752661.52036682586</c:v>
                </c:pt>
                <c:pt idx="962">
                  <c:v>754151.55958243203</c:v>
                </c:pt>
                <c:pt idx="963">
                  <c:v>755643.36758132454</c:v>
                </c:pt>
                <c:pt idx="964">
                  <c:v>757136.9437768443</c:v>
                </c:pt>
                <c:pt idx="965">
                  <c:v>758632.28758433287</c:v>
                </c:pt>
                <c:pt idx="966">
                  <c:v>760129.39842112421</c:v>
                </c:pt>
                <c:pt idx="967">
                  <c:v>761628.27570653846</c:v>
                </c:pt>
                <c:pt idx="968">
                  <c:v>763128.91886187752</c:v>
                </c:pt>
                <c:pt idx="969">
                  <c:v>764631.32731041696</c:v>
                </c:pt>
                <c:pt idx="970">
                  <c:v>766135.50047740131</c:v>
                </c:pt>
                <c:pt idx="971">
                  <c:v>767641.43779003748</c:v>
                </c:pt>
                <c:pt idx="972">
                  <c:v>769149.13867748773</c:v>
                </c:pt>
                <c:pt idx="973">
                  <c:v>770658.60257086565</c:v>
                </c:pt>
                <c:pt idx="974">
                  <c:v>772169.82890322816</c:v>
                </c:pt>
                <c:pt idx="975">
                  <c:v>773682.81710957049</c:v>
                </c:pt>
                <c:pt idx="976">
                  <c:v>775197.56662681967</c:v>
                </c:pt>
                <c:pt idx="977">
                  <c:v>776714.07689382881</c:v>
                </c:pt>
                <c:pt idx="978">
                  <c:v>778232.34735137061</c:v>
                </c:pt>
                <c:pt idx="979">
                  <c:v>779752.37744213175</c:v>
                </c:pt>
                <c:pt idx="980">
                  <c:v>781274.16661070695</c:v>
                </c:pt>
                <c:pt idx="981">
                  <c:v>782797.71430359164</c:v>
                </c:pt>
                <c:pt idx="982">
                  <c:v>784323.01996917813</c:v>
                </c:pt>
                <c:pt idx="983">
                  <c:v>785850.0830577485</c:v>
                </c:pt>
                <c:pt idx="984">
                  <c:v>787378.90302146773</c:v>
                </c:pt>
                <c:pt idx="985">
                  <c:v>788909.47931437951</c:v>
                </c:pt>
                <c:pt idx="986">
                  <c:v>790441.81139239902</c:v>
                </c:pt>
                <c:pt idx="987">
                  <c:v>791975.89871330722</c:v>
                </c:pt>
                <c:pt idx="988">
                  <c:v>793511.740736746</c:v>
                </c:pt>
                <c:pt idx="989">
                  <c:v>795049.33692420938</c:v>
                </c:pt>
                <c:pt idx="990">
                  <c:v>796588.68673904124</c:v>
                </c:pt>
                <c:pt idx="991">
                  <c:v>798129.78964642715</c:v>
                </c:pt>
                <c:pt idx="992">
                  <c:v>799672.64511338901</c:v>
                </c:pt>
                <c:pt idx="993">
                  <c:v>801217.252608779</c:v>
                </c:pt>
                <c:pt idx="994">
                  <c:v>802763.61160327413</c:v>
                </c:pt>
                <c:pt idx="995">
                  <c:v>804311.72156937013</c:v>
                </c:pt>
                <c:pt idx="996">
                  <c:v>805861.58198137581</c:v>
                </c:pt>
                <c:pt idx="997">
                  <c:v>807413.19231540593</c:v>
                </c:pt>
                <c:pt idx="998">
                  <c:v>808966.55204937805</c:v>
                </c:pt>
                <c:pt idx="999">
                  <c:v>810521.66066300403</c:v>
                </c:pt>
                <c:pt idx="1000">
                  <c:v>812078.51763778576</c:v>
                </c:pt>
              </c:numCache>
            </c:numRef>
          </c:val>
          <c:smooth val="1"/>
          <c:extLst>
            <c:ext xmlns:c16="http://schemas.microsoft.com/office/drawing/2014/chart" uri="{C3380CC4-5D6E-409C-BE32-E72D297353CC}">
              <c16:uniqueId val="{00000000-F4C8-4C7F-9000-170E147B8F54}"/>
            </c:ext>
          </c:extLst>
        </c:ser>
        <c:ser>
          <c:idx val="1"/>
          <c:order val="1"/>
          <c:tx>
            <c:v>Attack channel</c:v>
          </c:tx>
          <c:marker>
            <c:symbol val="none"/>
          </c:marker>
          <c:cat>
            <c:numRef>
              <c:f>Curves!$A$2:$A$1002</c:f>
              <c:numCache>
                <c:formatCode>0.000</c:formatCode>
                <c:ptCount val="1001"/>
                <c:pt idx="0">
                  <c:v>0</c:v>
                </c:pt>
                <c:pt idx="1">
                  <c:v>0.01</c:v>
                </c:pt>
                <c:pt idx="2">
                  <c:v>0.02</c:v>
                </c:pt>
                <c:pt idx="3">
                  <c:v>0.03</c:v>
                </c:pt>
                <c:pt idx="4">
                  <c:v>0.04</c:v>
                </c:pt>
                <c:pt idx="5">
                  <c:v>0.05</c:v>
                </c:pt>
                <c:pt idx="6">
                  <c:v>0.06</c:v>
                </c:pt>
                <c:pt idx="7">
                  <c:v>7.0000000000000007E-2</c:v>
                </c:pt>
                <c:pt idx="8">
                  <c:v>0.08</c:v>
                </c:pt>
                <c:pt idx="9">
                  <c:v>0.09</c:v>
                </c:pt>
                <c:pt idx="10">
                  <c:v>0.1</c:v>
                </c:pt>
                <c:pt idx="11">
                  <c:v>0.11</c:v>
                </c:pt>
                <c:pt idx="12">
                  <c:v>0.12</c:v>
                </c:pt>
                <c:pt idx="13">
                  <c:v>0.13</c:v>
                </c:pt>
                <c:pt idx="14">
                  <c:v>0.14000000000000001</c:v>
                </c:pt>
                <c:pt idx="15">
                  <c:v>0.15</c:v>
                </c:pt>
                <c:pt idx="16">
                  <c:v>0.16</c:v>
                </c:pt>
                <c:pt idx="17">
                  <c:v>0.17</c:v>
                </c:pt>
                <c:pt idx="18">
                  <c:v>0.18</c:v>
                </c:pt>
                <c:pt idx="19">
                  <c:v>0.19</c:v>
                </c:pt>
                <c:pt idx="20">
                  <c:v>0.2</c:v>
                </c:pt>
                <c:pt idx="21">
                  <c:v>0.21</c:v>
                </c:pt>
                <c:pt idx="22">
                  <c:v>0.22</c:v>
                </c:pt>
                <c:pt idx="23">
                  <c:v>0.23</c:v>
                </c:pt>
                <c:pt idx="24">
                  <c:v>0.24</c:v>
                </c:pt>
                <c:pt idx="25">
                  <c:v>0.25</c:v>
                </c:pt>
                <c:pt idx="26">
                  <c:v>0.26</c:v>
                </c:pt>
                <c:pt idx="27">
                  <c:v>0.27</c:v>
                </c:pt>
                <c:pt idx="28">
                  <c:v>0.28000000000000003</c:v>
                </c:pt>
                <c:pt idx="29">
                  <c:v>0.28999999999999998</c:v>
                </c:pt>
                <c:pt idx="30">
                  <c:v>0.3</c:v>
                </c:pt>
                <c:pt idx="31">
                  <c:v>0.31</c:v>
                </c:pt>
                <c:pt idx="32">
                  <c:v>0.32</c:v>
                </c:pt>
                <c:pt idx="33">
                  <c:v>0.33</c:v>
                </c:pt>
                <c:pt idx="34">
                  <c:v>0.34</c:v>
                </c:pt>
                <c:pt idx="35">
                  <c:v>0.35</c:v>
                </c:pt>
                <c:pt idx="36">
                  <c:v>0.36</c:v>
                </c:pt>
                <c:pt idx="37">
                  <c:v>0.37</c:v>
                </c:pt>
                <c:pt idx="38">
                  <c:v>0.38</c:v>
                </c:pt>
                <c:pt idx="39">
                  <c:v>0.39</c:v>
                </c:pt>
                <c:pt idx="40">
                  <c:v>0.4</c:v>
                </c:pt>
                <c:pt idx="41">
                  <c:v>0.41</c:v>
                </c:pt>
                <c:pt idx="42">
                  <c:v>0.42</c:v>
                </c:pt>
                <c:pt idx="43">
                  <c:v>0.43</c:v>
                </c:pt>
                <c:pt idx="44">
                  <c:v>0.44</c:v>
                </c:pt>
                <c:pt idx="45">
                  <c:v>0.45</c:v>
                </c:pt>
                <c:pt idx="46">
                  <c:v>0.46</c:v>
                </c:pt>
                <c:pt idx="47">
                  <c:v>0.47</c:v>
                </c:pt>
                <c:pt idx="48">
                  <c:v>0.48</c:v>
                </c:pt>
                <c:pt idx="49">
                  <c:v>0.49</c:v>
                </c:pt>
                <c:pt idx="50">
                  <c:v>0.5</c:v>
                </c:pt>
                <c:pt idx="51">
                  <c:v>0.51</c:v>
                </c:pt>
                <c:pt idx="52">
                  <c:v>0.52</c:v>
                </c:pt>
                <c:pt idx="53">
                  <c:v>0.53</c:v>
                </c:pt>
                <c:pt idx="54">
                  <c:v>0.54</c:v>
                </c:pt>
                <c:pt idx="55">
                  <c:v>0.55000000000000004</c:v>
                </c:pt>
                <c:pt idx="56">
                  <c:v>0.56000000000000005</c:v>
                </c:pt>
                <c:pt idx="57">
                  <c:v>0.56999999999999995</c:v>
                </c:pt>
                <c:pt idx="58">
                  <c:v>0.57999999999999996</c:v>
                </c:pt>
                <c:pt idx="59">
                  <c:v>0.59</c:v>
                </c:pt>
                <c:pt idx="60">
                  <c:v>0.6</c:v>
                </c:pt>
                <c:pt idx="61">
                  <c:v>0.61</c:v>
                </c:pt>
                <c:pt idx="62">
                  <c:v>0.62</c:v>
                </c:pt>
                <c:pt idx="63">
                  <c:v>0.63</c:v>
                </c:pt>
                <c:pt idx="64">
                  <c:v>0.64</c:v>
                </c:pt>
                <c:pt idx="65">
                  <c:v>0.65</c:v>
                </c:pt>
                <c:pt idx="66">
                  <c:v>0.66</c:v>
                </c:pt>
                <c:pt idx="67">
                  <c:v>0.67</c:v>
                </c:pt>
                <c:pt idx="68">
                  <c:v>0.68</c:v>
                </c:pt>
                <c:pt idx="69">
                  <c:v>0.69</c:v>
                </c:pt>
                <c:pt idx="70">
                  <c:v>0.7</c:v>
                </c:pt>
                <c:pt idx="71">
                  <c:v>0.71</c:v>
                </c:pt>
                <c:pt idx="72">
                  <c:v>0.72</c:v>
                </c:pt>
                <c:pt idx="73">
                  <c:v>0.73</c:v>
                </c:pt>
                <c:pt idx="74">
                  <c:v>0.74</c:v>
                </c:pt>
                <c:pt idx="75">
                  <c:v>0.75</c:v>
                </c:pt>
                <c:pt idx="76">
                  <c:v>0.76</c:v>
                </c:pt>
                <c:pt idx="77">
                  <c:v>0.77</c:v>
                </c:pt>
                <c:pt idx="78">
                  <c:v>0.78</c:v>
                </c:pt>
                <c:pt idx="79">
                  <c:v>0.79</c:v>
                </c:pt>
                <c:pt idx="80">
                  <c:v>0.8</c:v>
                </c:pt>
                <c:pt idx="81">
                  <c:v>0.81</c:v>
                </c:pt>
                <c:pt idx="82">
                  <c:v>0.82</c:v>
                </c:pt>
                <c:pt idx="83">
                  <c:v>0.83</c:v>
                </c:pt>
                <c:pt idx="84">
                  <c:v>0.84</c:v>
                </c:pt>
                <c:pt idx="85">
                  <c:v>0.85</c:v>
                </c:pt>
                <c:pt idx="86">
                  <c:v>0.86</c:v>
                </c:pt>
                <c:pt idx="87">
                  <c:v>0.87</c:v>
                </c:pt>
                <c:pt idx="88">
                  <c:v>0.88</c:v>
                </c:pt>
                <c:pt idx="89">
                  <c:v>0.89</c:v>
                </c:pt>
                <c:pt idx="90">
                  <c:v>0.9</c:v>
                </c:pt>
                <c:pt idx="91">
                  <c:v>0.91</c:v>
                </c:pt>
                <c:pt idx="92">
                  <c:v>0.92</c:v>
                </c:pt>
                <c:pt idx="93">
                  <c:v>0.93</c:v>
                </c:pt>
                <c:pt idx="94">
                  <c:v>0.94</c:v>
                </c:pt>
                <c:pt idx="95">
                  <c:v>0.95</c:v>
                </c:pt>
                <c:pt idx="96">
                  <c:v>0.96</c:v>
                </c:pt>
                <c:pt idx="97">
                  <c:v>0.97</c:v>
                </c:pt>
                <c:pt idx="98">
                  <c:v>0.98</c:v>
                </c:pt>
                <c:pt idx="99">
                  <c:v>0.99</c:v>
                </c:pt>
                <c:pt idx="100">
                  <c:v>1</c:v>
                </c:pt>
                <c:pt idx="101">
                  <c:v>1.01</c:v>
                </c:pt>
                <c:pt idx="102">
                  <c:v>1.02</c:v>
                </c:pt>
                <c:pt idx="103">
                  <c:v>1.03</c:v>
                </c:pt>
                <c:pt idx="104">
                  <c:v>1.04</c:v>
                </c:pt>
                <c:pt idx="105">
                  <c:v>1.05</c:v>
                </c:pt>
                <c:pt idx="106">
                  <c:v>1.06</c:v>
                </c:pt>
                <c:pt idx="107">
                  <c:v>1.07</c:v>
                </c:pt>
                <c:pt idx="108">
                  <c:v>1.08</c:v>
                </c:pt>
                <c:pt idx="109">
                  <c:v>1.0900000000000001</c:v>
                </c:pt>
                <c:pt idx="110">
                  <c:v>1.1000000000000001</c:v>
                </c:pt>
                <c:pt idx="111">
                  <c:v>1.1100000000000001</c:v>
                </c:pt>
                <c:pt idx="112">
                  <c:v>1.1200000000000001</c:v>
                </c:pt>
                <c:pt idx="113">
                  <c:v>1.1299999999999999</c:v>
                </c:pt>
                <c:pt idx="114">
                  <c:v>1.1399999999999999</c:v>
                </c:pt>
                <c:pt idx="115">
                  <c:v>1.1499999999999999</c:v>
                </c:pt>
                <c:pt idx="116">
                  <c:v>1.1599999999999999</c:v>
                </c:pt>
                <c:pt idx="117">
                  <c:v>1.17</c:v>
                </c:pt>
                <c:pt idx="118">
                  <c:v>1.18</c:v>
                </c:pt>
                <c:pt idx="119">
                  <c:v>1.19</c:v>
                </c:pt>
                <c:pt idx="120">
                  <c:v>1.2</c:v>
                </c:pt>
                <c:pt idx="121">
                  <c:v>1.21</c:v>
                </c:pt>
                <c:pt idx="122">
                  <c:v>1.22</c:v>
                </c:pt>
                <c:pt idx="123">
                  <c:v>1.23</c:v>
                </c:pt>
                <c:pt idx="124">
                  <c:v>1.24</c:v>
                </c:pt>
                <c:pt idx="125">
                  <c:v>1.25</c:v>
                </c:pt>
                <c:pt idx="126">
                  <c:v>1.26</c:v>
                </c:pt>
                <c:pt idx="127">
                  <c:v>1.27</c:v>
                </c:pt>
                <c:pt idx="128">
                  <c:v>1.28</c:v>
                </c:pt>
                <c:pt idx="129">
                  <c:v>1.29</c:v>
                </c:pt>
                <c:pt idx="130">
                  <c:v>1.3</c:v>
                </c:pt>
                <c:pt idx="131">
                  <c:v>1.31</c:v>
                </c:pt>
                <c:pt idx="132">
                  <c:v>1.32</c:v>
                </c:pt>
                <c:pt idx="133">
                  <c:v>1.33</c:v>
                </c:pt>
                <c:pt idx="134">
                  <c:v>1.34</c:v>
                </c:pt>
                <c:pt idx="135">
                  <c:v>1.35</c:v>
                </c:pt>
                <c:pt idx="136">
                  <c:v>1.36</c:v>
                </c:pt>
                <c:pt idx="137">
                  <c:v>1.37</c:v>
                </c:pt>
                <c:pt idx="138">
                  <c:v>1.38</c:v>
                </c:pt>
                <c:pt idx="139">
                  <c:v>1.39</c:v>
                </c:pt>
                <c:pt idx="140">
                  <c:v>1.4</c:v>
                </c:pt>
                <c:pt idx="141">
                  <c:v>1.41</c:v>
                </c:pt>
                <c:pt idx="142">
                  <c:v>1.42</c:v>
                </c:pt>
                <c:pt idx="143">
                  <c:v>1.43</c:v>
                </c:pt>
                <c:pt idx="144">
                  <c:v>1.44</c:v>
                </c:pt>
                <c:pt idx="145">
                  <c:v>1.45</c:v>
                </c:pt>
                <c:pt idx="146">
                  <c:v>1.46</c:v>
                </c:pt>
                <c:pt idx="147">
                  <c:v>1.47</c:v>
                </c:pt>
                <c:pt idx="148">
                  <c:v>1.48</c:v>
                </c:pt>
                <c:pt idx="149">
                  <c:v>1.49</c:v>
                </c:pt>
                <c:pt idx="150">
                  <c:v>1.5</c:v>
                </c:pt>
                <c:pt idx="151">
                  <c:v>1.51</c:v>
                </c:pt>
                <c:pt idx="152">
                  <c:v>1.52</c:v>
                </c:pt>
                <c:pt idx="153">
                  <c:v>1.53</c:v>
                </c:pt>
                <c:pt idx="154">
                  <c:v>1.54</c:v>
                </c:pt>
                <c:pt idx="155">
                  <c:v>1.55</c:v>
                </c:pt>
                <c:pt idx="156">
                  <c:v>1.56</c:v>
                </c:pt>
                <c:pt idx="157">
                  <c:v>1.57</c:v>
                </c:pt>
                <c:pt idx="158">
                  <c:v>1.58</c:v>
                </c:pt>
                <c:pt idx="159">
                  <c:v>1.59</c:v>
                </c:pt>
                <c:pt idx="160">
                  <c:v>1.6</c:v>
                </c:pt>
                <c:pt idx="161">
                  <c:v>1.61</c:v>
                </c:pt>
                <c:pt idx="162">
                  <c:v>1.62</c:v>
                </c:pt>
                <c:pt idx="163">
                  <c:v>1.63</c:v>
                </c:pt>
                <c:pt idx="164">
                  <c:v>1.64</c:v>
                </c:pt>
                <c:pt idx="165">
                  <c:v>1.65</c:v>
                </c:pt>
                <c:pt idx="166">
                  <c:v>1.66</c:v>
                </c:pt>
                <c:pt idx="167">
                  <c:v>1.67</c:v>
                </c:pt>
                <c:pt idx="168">
                  <c:v>1.68</c:v>
                </c:pt>
                <c:pt idx="169">
                  <c:v>1.69</c:v>
                </c:pt>
                <c:pt idx="170">
                  <c:v>1.7</c:v>
                </c:pt>
                <c:pt idx="171">
                  <c:v>1.71</c:v>
                </c:pt>
                <c:pt idx="172">
                  <c:v>1.72</c:v>
                </c:pt>
                <c:pt idx="173">
                  <c:v>1.73</c:v>
                </c:pt>
                <c:pt idx="174">
                  <c:v>1.74</c:v>
                </c:pt>
                <c:pt idx="175">
                  <c:v>1.75</c:v>
                </c:pt>
                <c:pt idx="176">
                  <c:v>1.76</c:v>
                </c:pt>
                <c:pt idx="177">
                  <c:v>1.77</c:v>
                </c:pt>
                <c:pt idx="178">
                  <c:v>1.78</c:v>
                </c:pt>
                <c:pt idx="179">
                  <c:v>1.79</c:v>
                </c:pt>
                <c:pt idx="180">
                  <c:v>1.8</c:v>
                </c:pt>
                <c:pt idx="181">
                  <c:v>1.81</c:v>
                </c:pt>
                <c:pt idx="182">
                  <c:v>1.82</c:v>
                </c:pt>
                <c:pt idx="183">
                  <c:v>1.83</c:v>
                </c:pt>
                <c:pt idx="184">
                  <c:v>1.84</c:v>
                </c:pt>
                <c:pt idx="185">
                  <c:v>1.85</c:v>
                </c:pt>
                <c:pt idx="186">
                  <c:v>1.86</c:v>
                </c:pt>
                <c:pt idx="187">
                  <c:v>1.87</c:v>
                </c:pt>
                <c:pt idx="188">
                  <c:v>1.88</c:v>
                </c:pt>
                <c:pt idx="189">
                  <c:v>1.89</c:v>
                </c:pt>
                <c:pt idx="190">
                  <c:v>1.9</c:v>
                </c:pt>
                <c:pt idx="191">
                  <c:v>1.91</c:v>
                </c:pt>
                <c:pt idx="192">
                  <c:v>1.92</c:v>
                </c:pt>
                <c:pt idx="193">
                  <c:v>1.93</c:v>
                </c:pt>
                <c:pt idx="194">
                  <c:v>1.94</c:v>
                </c:pt>
                <c:pt idx="195">
                  <c:v>1.95</c:v>
                </c:pt>
                <c:pt idx="196">
                  <c:v>1.96</c:v>
                </c:pt>
                <c:pt idx="197">
                  <c:v>1.97</c:v>
                </c:pt>
                <c:pt idx="198">
                  <c:v>1.98</c:v>
                </c:pt>
                <c:pt idx="199">
                  <c:v>1.99</c:v>
                </c:pt>
                <c:pt idx="200">
                  <c:v>2</c:v>
                </c:pt>
                <c:pt idx="201">
                  <c:v>2.0099999999999998</c:v>
                </c:pt>
                <c:pt idx="202">
                  <c:v>2.02</c:v>
                </c:pt>
                <c:pt idx="203">
                  <c:v>2.0299999999999998</c:v>
                </c:pt>
                <c:pt idx="204">
                  <c:v>2.04</c:v>
                </c:pt>
                <c:pt idx="205">
                  <c:v>2.0499999999999998</c:v>
                </c:pt>
                <c:pt idx="206">
                  <c:v>2.06</c:v>
                </c:pt>
                <c:pt idx="207">
                  <c:v>2.0699999999999998</c:v>
                </c:pt>
                <c:pt idx="208">
                  <c:v>2.08</c:v>
                </c:pt>
                <c:pt idx="209">
                  <c:v>2.09</c:v>
                </c:pt>
                <c:pt idx="210">
                  <c:v>2.1</c:v>
                </c:pt>
                <c:pt idx="211">
                  <c:v>2.11</c:v>
                </c:pt>
                <c:pt idx="212">
                  <c:v>2.12</c:v>
                </c:pt>
                <c:pt idx="213">
                  <c:v>2.13</c:v>
                </c:pt>
                <c:pt idx="214">
                  <c:v>2.14</c:v>
                </c:pt>
                <c:pt idx="215">
                  <c:v>2.15</c:v>
                </c:pt>
                <c:pt idx="216">
                  <c:v>2.16</c:v>
                </c:pt>
                <c:pt idx="217">
                  <c:v>2.17</c:v>
                </c:pt>
                <c:pt idx="218">
                  <c:v>2.1800000000000002</c:v>
                </c:pt>
                <c:pt idx="219">
                  <c:v>2.19</c:v>
                </c:pt>
                <c:pt idx="220">
                  <c:v>2.2000000000000002</c:v>
                </c:pt>
                <c:pt idx="221">
                  <c:v>2.21</c:v>
                </c:pt>
                <c:pt idx="222">
                  <c:v>2.2200000000000002</c:v>
                </c:pt>
                <c:pt idx="223">
                  <c:v>2.23</c:v>
                </c:pt>
                <c:pt idx="224">
                  <c:v>2.2400000000000002</c:v>
                </c:pt>
                <c:pt idx="225">
                  <c:v>2.25</c:v>
                </c:pt>
                <c:pt idx="226">
                  <c:v>2.2599999999999998</c:v>
                </c:pt>
                <c:pt idx="227">
                  <c:v>2.27</c:v>
                </c:pt>
                <c:pt idx="228">
                  <c:v>2.2799999999999998</c:v>
                </c:pt>
                <c:pt idx="229">
                  <c:v>2.29</c:v>
                </c:pt>
                <c:pt idx="230">
                  <c:v>2.2999999999999998</c:v>
                </c:pt>
                <c:pt idx="231">
                  <c:v>2.31</c:v>
                </c:pt>
                <c:pt idx="232">
                  <c:v>2.3199999999999998</c:v>
                </c:pt>
                <c:pt idx="233">
                  <c:v>2.33</c:v>
                </c:pt>
                <c:pt idx="234">
                  <c:v>2.34</c:v>
                </c:pt>
                <c:pt idx="235">
                  <c:v>2.35</c:v>
                </c:pt>
                <c:pt idx="236">
                  <c:v>2.36</c:v>
                </c:pt>
                <c:pt idx="237">
                  <c:v>2.37</c:v>
                </c:pt>
                <c:pt idx="238">
                  <c:v>2.38</c:v>
                </c:pt>
                <c:pt idx="239">
                  <c:v>2.39</c:v>
                </c:pt>
                <c:pt idx="240">
                  <c:v>2.4</c:v>
                </c:pt>
                <c:pt idx="241">
                  <c:v>2.41</c:v>
                </c:pt>
                <c:pt idx="242">
                  <c:v>2.42</c:v>
                </c:pt>
                <c:pt idx="243">
                  <c:v>2.4300000000000002</c:v>
                </c:pt>
                <c:pt idx="244">
                  <c:v>2.44</c:v>
                </c:pt>
                <c:pt idx="245">
                  <c:v>2.4500000000000002</c:v>
                </c:pt>
                <c:pt idx="246">
                  <c:v>2.46</c:v>
                </c:pt>
                <c:pt idx="247">
                  <c:v>2.4700000000000002</c:v>
                </c:pt>
                <c:pt idx="248">
                  <c:v>2.48</c:v>
                </c:pt>
                <c:pt idx="249">
                  <c:v>2.4900000000000002</c:v>
                </c:pt>
                <c:pt idx="250">
                  <c:v>2.5</c:v>
                </c:pt>
                <c:pt idx="251">
                  <c:v>2.5099999999999998</c:v>
                </c:pt>
                <c:pt idx="252">
                  <c:v>2.52</c:v>
                </c:pt>
                <c:pt idx="253">
                  <c:v>2.5299999999999998</c:v>
                </c:pt>
                <c:pt idx="254">
                  <c:v>2.54</c:v>
                </c:pt>
                <c:pt idx="255">
                  <c:v>2.5499999999999998</c:v>
                </c:pt>
                <c:pt idx="256">
                  <c:v>2.56</c:v>
                </c:pt>
                <c:pt idx="257">
                  <c:v>2.57</c:v>
                </c:pt>
                <c:pt idx="258">
                  <c:v>2.58</c:v>
                </c:pt>
                <c:pt idx="259">
                  <c:v>2.59</c:v>
                </c:pt>
                <c:pt idx="260">
                  <c:v>2.6</c:v>
                </c:pt>
                <c:pt idx="261">
                  <c:v>2.61</c:v>
                </c:pt>
                <c:pt idx="262">
                  <c:v>2.62</c:v>
                </c:pt>
                <c:pt idx="263">
                  <c:v>2.63</c:v>
                </c:pt>
                <c:pt idx="264">
                  <c:v>2.64</c:v>
                </c:pt>
                <c:pt idx="265">
                  <c:v>2.65</c:v>
                </c:pt>
                <c:pt idx="266">
                  <c:v>2.66</c:v>
                </c:pt>
                <c:pt idx="267">
                  <c:v>2.67</c:v>
                </c:pt>
                <c:pt idx="268">
                  <c:v>2.68</c:v>
                </c:pt>
                <c:pt idx="269">
                  <c:v>2.69</c:v>
                </c:pt>
                <c:pt idx="270">
                  <c:v>2.7</c:v>
                </c:pt>
                <c:pt idx="271">
                  <c:v>2.71</c:v>
                </c:pt>
                <c:pt idx="272">
                  <c:v>2.72</c:v>
                </c:pt>
                <c:pt idx="273">
                  <c:v>2.73</c:v>
                </c:pt>
                <c:pt idx="274">
                  <c:v>2.74</c:v>
                </c:pt>
                <c:pt idx="275">
                  <c:v>2.75</c:v>
                </c:pt>
                <c:pt idx="276">
                  <c:v>2.76</c:v>
                </c:pt>
                <c:pt idx="277">
                  <c:v>2.77</c:v>
                </c:pt>
                <c:pt idx="278">
                  <c:v>2.78</c:v>
                </c:pt>
                <c:pt idx="279">
                  <c:v>2.79</c:v>
                </c:pt>
                <c:pt idx="280">
                  <c:v>2.8</c:v>
                </c:pt>
                <c:pt idx="281">
                  <c:v>2.81</c:v>
                </c:pt>
                <c:pt idx="282">
                  <c:v>2.82</c:v>
                </c:pt>
                <c:pt idx="283">
                  <c:v>2.83</c:v>
                </c:pt>
                <c:pt idx="284">
                  <c:v>2.84</c:v>
                </c:pt>
                <c:pt idx="285">
                  <c:v>2.85</c:v>
                </c:pt>
                <c:pt idx="286">
                  <c:v>2.86</c:v>
                </c:pt>
                <c:pt idx="287">
                  <c:v>2.87</c:v>
                </c:pt>
                <c:pt idx="288">
                  <c:v>2.88</c:v>
                </c:pt>
                <c:pt idx="289">
                  <c:v>2.89</c:v>
                </c:pt>
                <c:pt idx="290">
                  <c:v>2.9</c:v>
                </c:pt>
                <c:pt idx="291">
                  <c:v>2.91</c:v>
                </c:pt>
                <c:pt idx="292">
                  <c:v>2.92</c:v>
                </c:pt>
                <c:pt idx="293">
                  <c:v>2.93</c:v>
                </c:pt>
                <c:pt idx="294">
                  <c:v>2.94</c:v>
                </c:pt>
                <c:pt idx="295">
                  <c:v>2.95</c:v>
                </c:pt>
                <c:pt idx="296">
                  <c:v>2.96</c:v>
                </c:pt>
                <c:pt idx="297">
                  <c:v>2.97</c:v>
                </c:pt>
                <c:pt idx="298">
                  <c:v>2.98</c:v>
                </c:pt>
                <c:pt idx="299">
                  <c:v>2.99</c:v>
                </c:pt>
                <c:pt idx="300">
                  <c:v>3</c:v>
                </c:pt>
                <c:pt idx="301">
                  <c:v>3.01</c:v>
                </c:pt>
                <c:pt idx="302">
                  <c:v>3.02</c:v>
                </c:pt>
                <c:pt idx="303">
                  <c:v>3.03</c:v>
                </c:pt>
                <c:pt idx="304">
                  <c:v>3.04</c:v>
                </c:pt>
                <c:pt idx="305">
                  <c:v>3.05</c:v>
                </c:pt>
                <c:pt idx="306">
                  <c:v>3.06</c:v>
                </c:pt>
                <c:pt idx="307">
                  <c:v>3.07</c:v>
                </c:pt>
                <c:pt idx="308">
                  <c:v>3.08</c:v>
                </c:pt>
                <c:pt idx="309">
                  <c:v>3.09</c:v>
                </c:pt>
                <c:pt idx="310">
                  <c:v>3.1</c:v>
                </c:pt>
                <c:pt idx="311">
                  <c:v>3.11</c:v>
                </c:pt>
                <c:pt idx="312">
                  <c:v>3.12</c:v>
                </c:pt>
                <c:pt idx="313">
                  <c:v>3.13</c:v>
                </c:pt>
                <c:pt idx="314">
                  <c:v>3.14</c:v>
                </c:pt>
                <c:pt idx="315">
                  <c:v>3.15</c:v>
                </c:pt>
                <c:pt idx="316">
                  <c:v>3.16</c:v>
                </c:pt>
                <c:pt idx="317">
                  <c:v>3.17</c:v>
                </c:pt>
                <c:pt idx="318">
                  <c:v>3.18</c:v>
                </c:pt>
                <c:pt idx="319">
                  <c:v>3.19</c:v>
                </c:pt>
                <c:pt idx="320">
                  <c:v>3.2</c:v>
                </c:pt>
                <c:pt idx="321">
                  <c:v>3.21</c:v>
                </c:pt>
                <c:pt idx="322">
                  <c:v>3.22</c:v>
                </c:pt>
                <c:pt idx="323">
                  <c:v>3.23</c:v>
                </c:pt>
                <c:pt idx="324">
                  <c:v>3.24</c:v>
                </c:pt>
                <c:pt idx="325">
                  <c:v>3.25</c:v>
                </c:pt>
                <c:pt idx="326">
                  <c:v>3.26</c:v>
                </c:pt>
                <c:pt idx="327">
                  <c:v>3.27</c:v>
                </c:pt>
                <c:pt idx="328">
                  <c:v>3.28</c:v>
                </c:pt>
                <c:pt idx="329">
                  <c:v>3.29</c:v>
                </c:pt>
                <c:pt idx="330">
                  <c:v>3.3</c:v>
                </c:pt>
                <c:pt idx="331">
                  <c:v>3.31</c:v>
                </c:pt>
                <c:pt idx="332">
                  <c:v>3.32</c:v>
                </c:pt>
                <c:pt idx="333">
                  <c:v>3.33</c:v>
                </c:pt>
                <c:pt idx="334">
                  <c:v>3.34</c:v>
                </c:pt>
                <c:pt idx="335">
                  <c:v>3.35</c:v>
                </c:pt>
                <c:pt idx="336">
                  <c:v>3.36</c:v>
                </c:pt>
                <c:pt idx="337">
                  <c:v>3.37</c:v>
                </c:pt>
                <c:pt idx="338">
                  <c:v>3.38</c:v>
                </c:pt>
                <c:pt idx="339">
                  <c:v>3.39</c:v>
                </c:pt>
                <c:pt idx="340">
                  <c:v>3.4</c:v>
                </c:pt>
                <c:pt idx="341">
                  <c:v>3.41</c:v>
                </c:pt>
                <c:pt idx="342">
                  <c:v>3.42</c:v>
                </c:pt>
                <c:pt idx="343">
                  <c:v>3.43</c:v>
                </c:pt>
                <c:pt idx="344">
                  <c:v>3.44</c:v>
                </c:pt>
                <c:pt idx="345">
                  <c:v>3.45</c:v>
                </c:pt>
                <c:pt idx="346">
                  <c:v>3.46</c:v>
                </c:pt>
                <c:pt idx="347">
                  <c:v>3.47</c:v>
                </c:pt>
                <c:pt idx="348">
                  <c:v>3.48</c:v>
                </c:pt>
                <c:pt idx="349">
                  <c:v>3.49</c:v>
                </c:pt>
                <c:pt idx="350">
                  <c:v>3.5</c:v>
                </c:pt>
                <c:pt idx="351">
                  <c:v>3.51</c:v>
                </c:pt>
                <c:pt idx="352">
                  <c:v>3.52</c:v>
                </c:pt>
                <c:pt idx="353">
                  <c:v>3.53</c:v>
                </c:pt>
                <c:pt idx="354">
                  <c:v>3.54</c:v>
                </c:pt>
                <c:pt idx="355">
                  <c:v>3.55</c:v>
                </c:pt>
                <c:pt idx="356">
                  <c:v>3.56</c:v>
                </c:pt>
                <c:pt idx="357">
                  <c:v>3.57</c:v>
                </c:pt>
                <c:pt idx="358">
                  <c:v>3.58</c:v>
                </c:pt>
                <c:pt idx="359">
                  <c:v>3.59</c:v>
                </c:pt>
                <c:pt idx="360">
                  <c:v>3.6</c:v>
                </c:pt>
                <c:pt idx="361">
                  <c:v>3.61</c:v>
                </c:pt>
                <c:pt idx="362">
                  <c:v>3.62</c:v>
                </c:pt>
                <c:pt idx="363">
                  <c:v>3.63</c:v>
                </c:pt>
                <c:pt idx="364">
                  <c:v>3.64</c:v>
                </c:pt>
                <c:pt idx="365">
                  <c:v>3.65</c:v>
                </c:pt>
                <c:pt idx="366">
                  <c:v>3.66</c:v>
                </c:pt>
                <c:pt idx="367">
                  <c:v>3.67</c:v>
                </c:pt>
                <c:pt idx="368">
                  <c:v>3.68</c:v>
                </c:pt>
                <c:pt idx="369">
                  <c:v>3.69</c:v>
                </c:pt>
                <c:pt idx="370">
                  <c:v>3.7</c:v>
                </c:pt>
                <c:pt idx="371">
                  <c:v>3.71</c:v>
                </c:pt>
                <c:pt idx="372">
                  <c:v>3.72</c:v>
                </c:pt>
                <c:pt idx="373">
                  <c:v>3.73</c:v>
                </c:pt>
                <c:pt idx="374">
                  <c:v>3.74</c:v>
                </c:pt>
                <c:pt idx="375">
                  <c:v>3.75</c:v>
                </c:pt>
                <c:pt idx="376">
                  <c:v>3.76</c:v>
                </c:pt>
                <c:pt idx="377">
                  <c:v>3.77</c:v>
                </c:pt>
                <c:pt idx="378">
                  <c:v>3.78</c:v>
                </c:pt>
                <c:pt idx="379">
                  <c:v>3.79</c:v>
                </c:pt>
                <c:pt idx="380">
                  <c:v>3.8</c:v>
                </c:pt>
                <c:pt idx="381">
                  <c:v>3.81</c:v>
                </c:pt>
                <c:pt idx="382">
                  <c:v>3.82</c:v>
                </c:pt>
                <c:pt idx="383">
                  <c:v>3.83</c:v>
                </c:pt>
                <c:pt idx="384">
                  <c:v>3.84</c:v>
                </c:pt>
                <c:pt idx="385">
                  <c:v>3.85</c:v>
                </c:pt>
                <c:pt idx="386">
                  <c:v>3.86</c:v>
                </c:pt>
                <c:pt idx="387">
                  <c:v>3.87</c:v>
                </c:pt>
                <c:pt idx="388">
                  <c:v>3.88</c:v>
                </c:pt>
                <c:pt idx="389">
                  <c:v>3.89</c:v>
                </c:pt>
                <c:pt idx="390">
                  <c:v>3.9</c:v>
                </c:pt>
                <c:pt idx="391">
                  <c:v>3.91</c:v>
                </c:pt>
                <c:pt idx="392">
                  <c:v>3.92</c:v>
                </c:pt>
                <c:pt idx="393">
                  <c:v>3.93</c:v>
                </c:pt>
                <c:pt idx="394">
                  <c:v>3.94</c:v>
                </c:pt>
                <c:pt idx="395">
                  <c:v>3.95</c:v>
                </c:pt>
                <c:pt idx="396">
                  <c:v>3.96</c:v>
                </c:pt>
                <c:pt idx="397">
                  <c:v>3.97</c:v>
                </c:pt>
                <c:pt idx="398">
                  <c:v>3.98</c:v>
                </c:pt>
                <c:pt idx="399">
                  <c:v>3.99</c:v>
                </c:pt>
                <c:pt idx="400">
                  <c:v>4</c:v>
                </c:pt>
                <c:pt idx="401">
                  <c:v>4.01</c:v>
                </c:pt>
                <c:pt idx="402">
                  <c:v>4.0199999999999996</c:v>
                </c:pt>
                <c:pt idx="403">
                  <c:v>4.03</c:v>
                </c:pt>
                <c:pt idx="404">
                  <c:v>4.04</c:v>
                </c:pt>
                <c:pt idx="405">
                  <c:v>4.05</c:v>
                </c:pt>
                <c:pt idx="406">
                  <c:v>4.0599999999999996</c:v>
                </c:pt>
                <c:pt idx="407">
                  <c:v>4.07</c:v>
                </c:pt>
                <c:pt idx="408">
                  <c:v>4.08</c:v>
                </c:pt>
                <c:pt idx="409">
                  <c:v>4.09</c:v>
                </c:pt>
                <c:pt idx="410">
                  <c:v>4.0999999999999996</c:v>
                </c:pt>
                <c:pt idx="411">
                  <c:v>4.1100000000000003</c:v>
                </c:pt>
                <c:pt idx="412">
                  <c:v>4.12</c:v>
                </c:pt>
                <c:pt idx="413">
                  <c:v>4.13</c:v>
                </c:pt>
                <c:pt idx="414">
                  <c:v>4.1399999999999997</c:v>
                </c:pt>
                <c:pt idx="415">
                  <c:v>4.1500000000000004</c:v>
                </c:pt>
                <c:pt idx="416">
                  <c:v>4.16</c:v>
                </c:pt>
                <c:pt idx="417">
                  <c:v>4.17</c:v>
                </c:pt>
                <c:pt idx="418">
                  <c:v>4.18</c:v>
                </c:pt>
                <c:pt idx="419">
                  <c:v>4.1900000000000004</c:v>
                </c:pt>
                <c:pt idx="420">
                  <c:v>4.2</c:v>
                </c:pt>
                <c:pt idx="421">
                  <c:v>4.21</c:v>
                </c:pt>
                <c:pt idx="422">
                  <c:v>4.22</c:v>
                </c:pt>
                <c:pt idx="423">
                  <c:v>4.2300000000000004</c:v>
                </c:pt>
                <c:pt idx="424">
                  <c:v>4.24</c:v>
                </c:pt>
                <c:pt idx="425">
                  <c:v>4.25</c:v>
                </c:pt>
                <c:pt idx="426">
                  <c:v>4.26</c:v>
                </c:pt>
                <c:pt idx="427">
                  <c:v>4.2699999999999996</c:v>
                </c:pt>
                <c:pt idx="428">
                  <c:v>4.28</c:v>
                </c:pt>
                <c:pt idx="429">
                  <c:v>4.29</c:v>
                </c:pt>
                <c:pt idx="430">
                  <c:v>4.3</c:v>
                </c:pt>
                <c:pt idx="431">
                  <c:v>4.3099999999999996</c:v>
                </c:pt>
                <c:pt idx="432">
                  <c:v>4.32</c:v>
                </c:pt>
                <c:pt idx="433">
                  <c:v>4.33</c:v>
                </c:pt>
                <c:pt idx="434">
                  <c:v>4.34</c:v>
                </c:pt>
                <c:pt idx="435">
                  <c:v>4.3499999999999996</c:v>
                </c:pt>
                <c:pt idx="436">
                  <c:v>4.3600000000000003</c:v>
                </c:pt>
                <c:pt idx="437">
                  <c:v>4.37</c:v>
                </c:pt>
                <c:pt idx="438">
                  <c:v>4.38</c:v>
                </c:pt>
                <c:pt idx="439">
                  <c:v>4.3899999999999997</c:v>
                </c:pt>
                <c:pt idx="440">
                  <c:v>4.4000000000000004</c:v>
                </c:pt>
                <c:pt idx="441">
                  <c:v>4.41</c:v>
                </c:pt>
                <c:pt idx="442">
                  <c:v>4.42</c:v>
                </c:pt>
                <c:pt idx="443">
                  <c:v>4.43</c:v>
                </c:pt>
                <c:pt idx="444">
                  <c:v>4.4400000000000004</c:v>
                </c:pt>
                <c:pt idx="445">
                  <c:v>4.45</c:v>
                </c:pt>
                <c:pt idx="446">
                  <c:v>4.46</c:v>
                </c:pt>
                <c:pt idx="447">
                  <c:v>4.47</c:v>
                </c:pt>
                <c:pt idx="448">
                  <c:v>4.4800000000000004</c:v>
                </c:pt>
                <c:pt idx="449">
                  <c:v>4.49</c:v>
                </c:pt>
                <c:pt idx="450">
                  <c:v>4.5</c:v>
                </c:pt>
                <c:pt idx="451">
                  <c:v>4.51</c:v>
                </c:pt>
                <c:pt idx="452">
                  <c:v>4.5199999999999996</c:v>
                </c:pt>
                <c:pt idx="453">
                  <c:v>4.53</c:v>
                </c:pt>
                <c:pt idx="454">
                  <c:v>4.54</c:v>
                </c:pt>
                <c:pt idx="455">
                  <c:v>4.55</c:v>
                </c:pt>
                <c:pt idx="456">
                  <c:v>4.5599999999999996</c:v>
                </c:pt>
                <c:pt idx="457">
                  <c:v>4.57</c:v>
                </c:pt>
                <c:pt idx="458">
                  <c:v>4.58</c:v>
                </c:pt>
                <c:pt idx="459">
                  <c:v>4.59</c:v>
                </c:pt>
                <c:pt idx="460">
                  <c:v>4.5999999999999996</c:v>
                </c:pt>
                <c:pt idx="461">
                  <c:v>4.6100000000000003</c:v>
                </c:pt>
                <c:pt idx="462">
                  <c:v>4.62</c:v>
                </c:pt>
                <c:pt idx="463">
                  <c:v>4.63</c:v>
                </c:pt>
                <c:pt idx="464">
                  <c:v>4.6399999999999997</c:v>
                </c:pt>
                <c:pt idx="465">
                  <c:v>4.6500000000000004</c:v>
                </c:pt>
                <c:pt idx="466">
                  <c:v>4.66</c:v>
                </c:pt>
                <c:pt idx="467">
                  <c:v>4.67</c:v>
                </c:pt>
                <c:pt idx="468">
                  <c:v>4.68</c:v>
                </c:pt>
                <c:pt idx="469">
                  <c:v>4.6900000000000004</c:v>
                </c:pt>
                <c:pt idx="470">
                  <c:v>4.7</c:v>
                </c:pt>
                <c:pt idx="471">
                  <c:v>4.71</c:v>
                </c:pt>
                <c:pt idx="472">
                  <c:v>4.72</c:v>
                </c:pt>
                <c:pt idx="473">
                  <c:v>4.7300000000000004</c:v>
                </c:pt>
                <c:pt idx="474">
                  <c:v>4.74</c:v>
                </c:pt>
                <c:pt idx="475">
                  <c:v>4.75</c:v>
                </c:pt>
                <c:pt idx="476">
                  <c:v>4.76</c:v>
                </c:pt>
                <c:pt idx="477">
                  <c:v>4.7699999999999996</c:v>
                </c:pt>
                <c:pt idx="478">
                  <c:v>4.78</c:v>
                </c:pt>
                <c:pt idx="479">
                  <c:v>4.79</c:v>
                </c:pt>
                <c:pt idx="480">
                  <c:v>4.8</c:v>
                </c:pt>
                <c:pt idx="481">
                  <c:v>4.8099999999999996</c:v>
                </c:pt>
                <c:pt idx="482">
                  <c:v>4.82</c:v>
                </c:pt>
                <c:pt idx="483">
                  <c:v>4.83</c:v>
                </c:pt>
                <c:pt idx="484">
                  <c:v>4.84</c:v>
                </c:pt>
                <c:pt idx="485">
                  <c:v>4.8499999999999996</c:v>
                </c:pt>
                <c:pt idx="486">
                  <c:v>4.8600000000000003</c:v>
                </c:pt>
                <c:pt idx="487">
                  <c:v>4.87</c:v>
                </c:pt>
                <c:pt idx="488">
                  <c:v>4.88</c:v>
                </c:pt>
                <c:pt idx="489">
                  <c:v>4.8899999999999997</c:v>
                </c:pt>
                <c:pt idx="490">
                  <c:v>4.9000000000000004</c:v>
                </c:pt>
                <c:pt idx="491">
                  <c:v>4.91</c:v>
                </c:pt>
                <c:pt idx="492">
                  <c:v>4.92</c:v>
                </c:pt>
                <c:pt idx="493">
                  <c:v>4.93</c:v>
                </c:pt>
                <c:pt idx="494">
                  <c:v>4.9400000000000004</c:v>
                </c:pt>
                <c:pt idx="495">
                  <c:v>4.95</c:v>
                </c:pt>
                <c:pt idx="496">
                  <c:v>4.96</c:v>
                </c:pt>
                <c:pt idx="497">
                  <c:v>4.97</c:v>
                </c:pt>
                <c:pt idx="498">
                  <c:v>4.9800000000000004</c:v>
                </c:pt>
                <c:pt idx="499">
                  <c:v>4.99</c:v>
                </c:pt>
                <c:pt idx="500">
                  <c:v>5</c:v>
                </c:pt>
                <c:pt idx="501">
                  <c:v>5.01</c:v>
                </c:pt>
                <c:pt idx="502">
                  <c:v>5.0199999999999996</c:v>
                </c:pt>
                <c:pt idx="503">
                  <c:v>5.03</c:v>
                </c:pt>
                <c:pt idx="504">
                  <c:v>5.04</c:v>
                </c:pt>
                <c:pt idx="505">
                  <c:v>5.05</c:v>
                </c:pt>
                <c:pt idx="506">
                  <c:v>5.0599999999999996</c:v>
                </c:pt>
                <c:pt idx="507">
                  <c:v>5.07</c:v>
                </c:pt>
                <c:pt idx="508">
                  <c:v>5.08</c:v>
                </c:pt>
                <c:pt idx="509">
                  <c:v>5.09</c:v>
                </c:pt>
                <c:pt idx="510">
                  <c:v>5.0999999999999996</c:v>
                </c:pt>
                <c:pt idx="511">
                  <c:v>5.1100000000000003</c:v>
                </c:pt>
                <c:pt idx="512">
                  <c:v>5.12</c:v>
                </c:pt>
                <c:pt idx="513">
                  <c:v>5.13</c:v>
                </c:pt>
                <c:pt idx="514">
                  <c:v>5.14</c:v>
                </c:pt>
                <c:pt idx="515">
                  <c:v>5.15</c:v>
                </c:pt>
                <c:pt idx="516">
                  <c:v>5.16</c:v>
                </c:pt>
                <c:pt idx="517">
                  <c:v>5.17</c:v>
                </c:pt>
                <c:pt idx="518">
                  <c:v>5.18</c:v>
                </c:pt>
                <c:pt idx="519">
                  <c:v>5.19</c:v>
                </c:pt>
                <c:pt idx="520">
                  <c:v>5.2</c:v>
                </c:pt>
                <c:pt idx="521">
                  <c:v>5.21</c:v>
                </c:pt>
                <c:pt idx="522">
                  <c:v>5.22</c:v>
                </c:pt>
                <c:pt idx="523">
                  <c:v>5.23</c:v>
                </c:pt>
                <c:pt idx="524">
                  <c:v>5.24</c:v>
                </c:pt>
                <c:pt idx="525">
                  <c:v>5.25</c:v>
                </c:pt>
                <c:pt idx="526">
                  <c:v>5.26</c:v>
                </c:pt>
                <c:pt idx="527">
                  <c:v>5.27</c:v>
                </c:pt>
                <c:pt idx="528">
                  <c:v>5.28</c:v>
                </c:pt>
                <c:pt idx="529">
                  <c:v>5.29</c:v>
                </c:pt>
                <c:pt idx="530">
                  <c:v>5.3</c:v>
                </c:pt>
                <c:pt idx="531">
                  <c:v>5.31</c:v>
                </c:pt>
                <c:pt idx="532">
                  <c:v>5.32</c:v>
                </c:pt>
                <c:pt idx="533">
                  <c:v>5.33</c:v>
                </c:pt>
                <c:pt idx="534">
                  <c:v>5.34</c:v>
                </c:pt>
                <c:pt idx="535">
                  <c:v>5.35</c:v>
                </c:pt>
                <c:pt idx="536">
                  <c:v>5.36</c:v>
                </c:pt>
                <c:pt idx="537">
                  <c:v>5.37</c:v>
                </c:pt>
                <c:pt idx="538">
                  <c:v>5.38</c:v>
                </c:pt>
                <c:pt idx="539">
                  <c:v>5.39</c:v>
                </c:pt>
                <c:pt idx="540">
                  <c:v>5.4</c:v>
                </c:pt>
                <c:pt idx="541">
                  <c:v>5.41</c:v>
                </c:pt>
                <c:pt idx="542">
                  <c:v>5.42</c:v>
                </c:pt>
                <c:pt idx="543">
                  <c:v>5.43</c:v>
                </c:pt>
                <c:pt idx="544">
                  <c:v>5.44</c:v>
                </c:pt>
                <c:pt idx="545">
                  <c:v>5.45</c:v>
                </c:pt>
                <c:pt idx="546">
                  <c:v>5.46</c:v>
                </c:pt>
                <c:pt idx="547">
                  <c:v>5.47</c:v>
                </c:pt>
                <c:pt idx="548">
                  <c:v>5.48</c:v>
                </c:pt>
                <c:pt idx="549">
                  <c:v>5.49</c:v>
                </c:pt>
                <c:pt idx="550">
                  <c:v>5.5</c:v>
                </c:pt>
                <c:pt idx="551">
                  <c:v>5.51</c:v>
                </c:pt>
                <c:pt idx="552">
                  <c:v>5.52</c:v>
                </c:pt>
                <c:pt idx="553">
                  <c:v>5.53</c:v>
                </c:pt>
                <c:pt idx="554">
                  <c:v>5.54</c:v>
                </c:pt>
                <c:pt idx="555">
                  <c:v>5.55</c:v>
                </c:pt>
                <c:pt idx="556">
                  <c:v>5.56</c:v>
                </c:pt>
                <c:pt idx="557">
                  <c:v>5.57</c:v>
                </c:pt>
                <c:pt idx="558">
                  <c:v>5.58</c:v>
                </c:pt>
                <c:pt idx="559">
                  <c:v>5.59</c:v>
                </c:pt>
                <c:pt idx="560">
                  <c:v>5.6</c:v>
                </c:pt>
                <c:pt idx="561">
                  <c:v>5.61</c:v>
                </c:pt>
                <c:pt idx="562">
                  <c:v>5.62</c:v>
                </c:pt>
                <c:pt idx="563">
                  <c:v>5.63</c:v>
                </c:pt>
                <c:pt idx="564">
                  <c:v>5.64</c:v>
                </c:pt>
                <c:pt idx="565">
                  <c:v>5.65</c:v>
                </c:pt>
                <c:pt idx="566">
                  <c:v>5.66</c:v>
                </c:pt>
                <c:pt idx="567">
                  <c:v>5.67</c:v>
                </c:pt>
                <c:pt idx="568">
                  <c:v>5.68</c:v>
                </c:pt>
                <c:pt idx="569">
                  <c:v>5.69</c:v>
                </c:pt>
                <c:pt idx="570">
                  <c:v>5.7</c:v>
                </c:pt>
                <c:pt idx="571">
                  <c:v>5.71</c:v>
                </c:pt>
                <c:pt idx="572">
                  <c:v>5.72</c:v>
                </c:pt>
                <c:pt idx="573">
                  <c:v>5.73</c:v>
                </c:pt>
                <c:pt idx="574">
                  <c:v>5.74</c:v>
                </c:pt>
                <c:pt idx="575">
                  <c:v>5.75</c:v>
                </c:pt>
                <c:pt idx="576">
                  <c:v>5.76</c:v>
                </c:pt>
                <c:pt idx="577">
                  <c:v>5.77</c:v>
                </c:pt>
                <c:pt idx="578">
                  <c:v>5.78</c:v>
                </c:pt>
                <c:pt idx="579">
                  <c:v>5.79</c:v>
                </c:pt>
                <c:pt idx="580">
                  <c:v>5.8</c:v>
                </c:pt>
                <c:pt idx="581">
                  <c:v>5.81</c:v>
                </c:pt>
                <c:pt idx="582">
                  <c:v>5.82</c:v>
                </c:pt>
                <c:pt idx="583">
                  <c:v>5.83</c:v>
                </c:pt>
                <c:pt idx="584">
                  <c:v>5.84</c:v>
                </c:pt>
                <c:pt idx="585">
                  <c:v>5.85</c:v>
                </c:pt>
                <c:pt idx="586">
                  <c:v>5.86</c:v>
                </c:pt>
                <c:pt idx="587">
                  <c:v>5.87</c:v>
                </c:pt>
                <c:pt idx="588">
                  <c:v>5.88</c:v>
                </c:pt>
                <c:pt idx="589">
                  <c:v>5.89</c:v>
                </c:pt>
                <c:pt idx="590">
                  <c:v>5.9</c:v>
                </c:pt>
                <c:pt idx="591">
                  <c:v>5.91</c:v>
                </c:pt>
                <c:pt idx="592">
                  <c:v>5.92</c:v>
                </c:pt>
                <c:pt idx="593">
                  <c:v>5.93</c:v>
                </c:pt>
                <c:pt idx="594">
                  <c:v>5.94</c:v>
                </c:pt>
                <c:pt idx="595">
                  <c:v>5.95</c:v>
                </c:pt>
                <c:pt idx="596">
                  <c:v>5.96</c:v>
                </c:pt>
                <c:pt idx="597">
                  <c:v>5.97</c:v>
                </c:pt>
                <c:pt idx="598">
                  <c:v>5.98</c:v>
                </c:pt>
                <c:pt idx="599">
                  <c:v>5.99</c:v>
                </c:pt>
                <c:pt idx="600">
                  <c:v>6</c:v>
                </c:pt>
                <c:pt idx="601">
                  <c:v>6.01</c:v>
                </c:pt>
                <c:pt idx="602">
                  <c:v>6.02</c:v>
                </c:pt>
                <c:pt idx="603">
                  <c:v>6.03</c:v>
                </c:pt>
                <c:pt idx="604">
                  <c:v>6.04</c:v>
                </c:pt>
                <c:pt idx="605">
                  <c:v>6.05</c:v>
                </c:pt>
                <c:pt idx="606">
                  <c:v>6.06</c:v>
                </c:pt>
                <c:pt idx="607">
                  <c:v>6.07</c:v>
                </c:pt>
                <c:pt idx="608">
                  <c:v>6.08</c:v>
                </c:pt>
                <c:pt idx="609">
                  <c:v>6.09</c:v>
                </c:pt>
                <c:pt idx="610">
                  <c:v>6.1</c:v>
                </c:pt>
                <c:pt idx="611">
                  <c:v>6.11</c:v>
                </c:pt>
                <c:pt idx="612">
                  <c:v>6.12</c:v>
                </c:pt>
                <c:pt idx="613">
                  <c:v>6.13</c:v>
                </c:pt>
                <c:pt idx="614">
                  <c:v>6.14</c:v>
                </c:pt>
                <c:pt idx="615">
                  <c:v>6.15</c:v>
                </c:pt>
                <c:pt idx="616">
                  <c:v>6.16</c:v>
                </c:pt>
                <c:pt idx="617">
                  <c:v>6.17</c:v>
                </c:pt>
                <c:pt idx="618">
                  <c:v>6.18</c:v>
                </c:pt>
                <c:pt idx="619">
                  <c:v>6.19</c:v>
                </c:pt>
                <c:pt idx="620">
                  <c:v>6.2</c:v>
                </c:pt>
                <c:pt idx="621">
                  <c:v>6.21</c:v>
                </c:pt>
                <c:pt idx="622">
                  <c:v>6.22</c:v>
                </c:pt>
                <c:pt idx="623">
                  <c:v>6.23</c:v>
                </c:pt>
                <c:pt idx="624">
                  <c:v>6.24</c:v>
                </c:pt>
                <c:pt idx="625">
                  <c:v>6.25</c:v>
                </c:pt>
                <c:pt idx="626">
                  <c:v>6.26</c:v>
                </c:pt>
                <c:pt idx="627">
                  <c:v>6.27</c:v>
                </c:pt>
                <c:pt idx="628">
                  <c:v>6.28</c:v>
                </c:pt>
                <c:pt idx="629">
                  <c:v>6.29</c:v>
                </c:pt>
                <c:pt idx="630">
                  <c:v>6.3</c:v>
                </c:pt>
                <c:pt idx="631">
                  <c:v>6.31</c:v>
                </c:pt>
                <c:pt idx="632">
                  <c:v>6.32</c:v>
                </c:pt>
                <c:pt idx="633">
                  <c:v>6.33</c:v>
                </c:pt>
                <c:pt idx="634">
                  <c:v>6.34</c:v>
                </c:pt>
                <c:pt idx="635">
                  <c:v>6.35</c:v>
                </c:pt>
                <c:pt idx="636">
                  <c:v>6.36</c:v>
                </c:pt>
                <c:pt idx="637">
                  <c:v>6.37</c:v>
                </c:pt>
                <c:pt idx="638">
                  <c:v>6.38</c:v>
                </c:pt>
                <c:pt idx="639">
                  <c:v>6.39</c:v>
                </c:pt>
                <c:pt idx="640">
                  <c:v>6.4</c:v>
                </c:pt>
                <c:pt idx="641">
                  <c:v>6.41</c:v>
                </c:pt>
                <c:pt idx="642">
                  <c:v>6.42</c:v>
                </c:pt>
                <c:pt idx="643">
                  <c:v>6.43</c:v>
                </c:pt>
                <c:pt idx="644">
                  <c:v>6.44</c:v>
                </c:pt>
                <c:pt idx="645">
                  <c:v>6.45</c:v>
                </c:pt>
                <c:pt idx="646">
                  <c:v>6.46</c:v>
                </c:pt>
                <c:pt idx="647">
                  <c:v>6.47</c:v>
                </c:pt>
                <c:pt idx="648">
                  <c:v>6.48</c:v>
                </c:pt>
                <c:pt idx="649">
                  <c:v>6.49</c:v>
                </c:pt>
                <c:pt idx="650">
                  <c:v>6.5</c:v>
                </c:pt>
                <c:pt idx="651">
                  <c:v>6.51</c:v>
                </c:pt>
                <c:pt idx="652">
                  <c:v>6.52</c:v>
                </c:pt>
                <c:pt idx="653">
                  <c:v>6.53</c:v>
                </c:pt>
                <c:pt idx="654">
                  <c:v>6.54</c:v>
                </c:pt>
                <c:pt idx="655">
                  <c:v>6.55</c:v>
                </c:pt>
                <c:pt idx="656">
                  <c:v>6.56</c:v>
                </c:pt>
                <c:pt idx="657">
                  <c:v>6.57</c:v>
                </c:pt>
                <c:pt idx="658">
                  <c:v>6.58</c:v>
                </c:pt>
                <c:pt idx="659">
                  <c:v>6.59</c:v>
                </c:pt>
                <c:pt idx="660">
                  <c:v>6.6</c:v>
                </c:pt>
                <c:pt idx="661">
                  <c:v>6.61</c:v>
                </c:pt>
                <c:pt idx="662">
                  <c:v>6.62</c:v>
                </c:pt>
                <c:pt idx="663">
                  <c:v>6.63</c:v>
                </c:pt>
                <c:pt idx="664">
                  <c:v>6.64</c:v>
                </c:pt>
                <c:pt idx="665">
                  <c:v>6.65</c:v>
                </c:pt>
                <c:pt idx="666">
                  <c:v>6.66</c:v>
                </c:pt>
                <c:pt idx="667">
                  <c:v>6.67</c:v>
                </c:pt>
                <c:pt idx="668">
                  <c:v>6.68</c:v>
                </c:pt>
                <c:pt idx="669">
                  <c:v>6.69</c:v>
                </c:pt>
                <c:pt idx="670">
                  <c:v>6.7</c:v>
                </c:pt>
                <c:pt idx="671">
                  <c:v>6.71</c:v>
                </c:pt>
                <c:pt idx="672">
                  <c:v>6.72</c:v>
                </c:pt>
                <c:pt idx="673">
                  <c:v>6.73</c:v>
                </c:pt>
                <c:pt idx="674">
                  <c:v>6.74</c:v>
                </c:pt>
                <c:pt idx="675">
                  <c:v>6.75</c:v>
                </c:pt>
                <c:pt idx="676">
                  <c:v>6.76</c:v>
                </c:pt>
                <c:pt idx="677">
                  <c:v>6.77</c:v>
                </c:pt>
                <c:pt idx="678">
                  <c:v>6.78</c:v>
                </c:pt>
                <c:pt idx="679">
                  <c:v>6.79</c:v>
                </c:pt>
                <c:pt idx="680">
                  <c:v>6.8</c:v>
                </c:pt>
                <c:pt idx="681">
                  <c:v>6.81</c:v>
                </c:pt>
                <c:pt idx="682">
                  <c:v>6.82</c:v>
                </c:pt>
                <c:pt idx="683">
                  <c:v>6.83</c:v>
                </c:pt>
                <c:pt idx="684">
                  <c:v>6.84</c:v>
                </c:pt>
                <c:pt idx="685">
                  <c:v>6.85</c:v>
                </c:pt>
                <c:pt idx="686">
                  <c:v>6.86</c:v>
                </c:pt>
                <c:pt idx="687">
                  <c:v>6.87</c:v>
                </c:pt>
                <c:pt idx="688">
                  <c:v>6.88</c:v>
                </c:pt>
                <c:pt idx="689">
                  <c:v>6.89</c:v>
                </c:pt>
                <c:pt idx="690">
                  <c:v>6.9</c:v>
                </c:pt>
                <c:pt idx="691">
                  <c:v>6.91</c:v>
                </c:pt>
                <c:pt idx="692">
                  <c:v>6.92</c:v>
                </c:pt>
                <c:pt idx="693">
                  <c:v>6.93</c:v>
                </c:pt>
                <c:pt idx="694">
                  <c:v>6.94</c:v>
                </c:pt>
                <c:pt idx="695">
                  <c:v>6.95</c:v>
                </c:pt>
                <c:pt idx="696">
                  <c:v>6.96</c:v>
                </c:pt>
                <c:pt idx="697">
                  <c:v>6.97</c:v>
                </c:pt>
                <c:pt idx="698">
                  <c:v>6.98</c:v>
                </c:pt>
                <c:pt idx="699">
                  <c:v>6.99</c:v>
                </c:pt>
                <c:pt idx="700">
                  <c:v>7</c:v>
                </c:pt>
                <c:pt idx="701">
                  <c:v>7.01</c:v>
                </c:pt>
                <c:pt idx="702">
                  <c:v>7.02</c:v>
                </c:pt>
                <c:pt idx="703">
                  <c:v>7.03</c:v>
                </c:pt>
                <c:pt idx="704">
                  <c:v>7.04</c:v>
                </c:pt>
                <c:pt idx="705">
                  <c:v>7.05</c:v>
                </c:pt>
                <c:pt idx="706">
                  <c:v>7.06</c:v>
                </c:pt>
                <c:pt idx="707">
                  <c:v>7.07</c:v>
                </c:pt>
                <c:pt idx="708">
                  <c:v>7.08</c:v>
                </c:pt>
                <c:pt idx="709">
                  <c:v>7.09</c:v>
                </c:pt>
                <c:pt idx="710">
                  <c:v>7.1</c:v>
                </c:pt>
                <c:pt idx="711">
                  <c:v>7.11</c:v>
                </c:pt>
                <c:pt idx="712">
                  <c:v>7.12</c:v>
                </c:pt>
                <c:pt idx="713">
                  <c:v>7.13</c:v>
                </c:pt>
                <c:pt idx="714">
                  <c:v>7.14</c:v>
                </c:pt>
                <c:pt idx="715">
                  <c:v>7.15</c:v>
                </c:pt>
                <c:pt idx="716">
                  <c:v>7.16</c:v>
                </c:pt>
                <c:pt idx="717">
                  <c:v>7.17</c:v>
                </c:pt>
                <c:pt idx="718">
                  <c:v>7.18</c:v>
                </c:pt>
                <c:pt idx="719">
                  <c:v>7.19</c:v>
                </c:pt>
                <c:pt idx="720">
                  <c:v>7.2</c:v>
                </c:pt>
                <c:pt idx="721">
                  <c:v>7.21</c:v>
                </c:pt>
                <c:pt idx="722">
                  <c:v>7.22</c:v>
                </c:pt>
                <c:pt idx="723">
                  <c:v>7.23</c:v>
                </c:pt>
                <c:pt idx="724">
                  <c:v>7.24</c:v>
                </c:pt>
                <c:pt idx="725">
                  <c:v>7.25</c:v>
                </c:pt>
                <c:pt idx="726">
                  <c:v>7.26</c:v>
                </c:pt>
                <c:pt idx="727">
                  <c:v>7.27</c:v>
                </c:pt>
                <c:pt idx="728">
                  <c:v>7.28</c:v>
                </c:pt>
                <c:pt idx="729">
                  <c:v>7.29</c:v>
                </c:pt>
                <c:pt idx="730">
                  <c:v>7.3</c:v>
                </c:pt>
                <c:pt idx="731">
                  <c:v>7.31</c:v>
                </c:pt>
                <c:pt idx="732">
                  <c:v>7.32</c:v>
                </c:pt>
                <c:pt idx="733">
                  <c:v>7.33</c:v>
                </c:pt>
                <c:pt idx="734">
                  <c:v>7.34</c:v>
                </c:pt>
                <c:pt idx="735">
                  <c:v>7.35</c:v>
                </c:pt>
                <c:pt idx="736">
                  <c:v>7.36</c:v>
                </c:pt>
                <c:pt idx="737">
                  <c:v>7.37</c:v>
                </c:pt>
                <c:pt idx="738">
                  <c:v>7.38</c:v>
                </c:pt>
                <c:pt idx="739">
                  <c:v>7.39</c:v>
                </c:pt>
                <c:pt idx="740">
                  <c:v>7.4</c:v>
                </c:pt>
                <c:pt idx="741">
                  <c:v>7.41</c:v>
                </c:pt>
                <c:pt idx="742">
                  <c:v>7.42</c:v>
                </c:pt>
                <c:pt idx="743">
                  <c:v>7.43</c:v>
                </c:pt>
                <c:pt idx="744">
                  <c:v>7.44</c:v>
                </c:pt>
                <c:pt idx="745">
                  <c:v>7.45</c:v>
                </c:pt>
                <c:pt idx="746">
                  <c:v>7.46</c:v>
                </c:pt>
                <c:pt idx="747">
                  <c:v>7.47</c:v>
                </c:pt>
                <c:pt idx="748">
                  <c:v>7.48</c:v>
                </c:pt>
                <c:pt idx="749">
                  <c:v>7.49</c:v>
                </c:pt>
                <c:pt idx="750">
                  <c:v>7.5</c:v>
                </c:pt>
                <c:pt idx="751">
                  <c:v>7.51</c:v>
                </c:pt>
                <c:pt idx="752">
                  <c:v>7.52</c:v>
                </c:pt>
                <c:pt idx="753">
                  <c:v>7.53</c:v>
                </c:pt>
                <c:pt idx="754">
                  <c:v>7.54</c:v>
                </c:pt>
                <c:pt idx="755">
                  <c:v>7.55</c:v>
                </c:pt>
                <c:pt idx="756">
                  <c:v>7.56</c:v>
                </c:pt>
                <c:pt idx="757">
                  <c:v>7.57</c:v>
                </c:pt>
                <c:pt idx="758">
                  <c:v>7.58</c:v>
                </c:pt>
                <c:pt idx="759">
                  <c:v>7.59</c:v>
                </c:pt>
                <c:pt idx="760">
                  <c:v>7.6</c:v>
                </c:pt>
                <c:pt idx="761">
                  <c:v>7.61</c:v>
                </c:pt>
                <c:pt idx="762">
                  <c:v>7.62</c:v>
                </c:pt>
                <c:pt idx="763">
                  <c:v>7.63</c:v>
                </c:pt>
                <c:pt idx="764">
                  <c:v>7.64</c:v>
                </c:pt>
                <c:pt idx="765">
                  <c:v>7.65</c:v>
                </c:pt>
                <c:pt idx="766">
                  <c:v>7.66</c:v>
                </c:pt>
                <c:pt idx="767">
                  <c:v>7.67</c:v>
                </c:pt>
                <c:pt idx="768">
                  <c:v>7.68</c:v>
                </c:pt>
                <c:pt idx="769">
                  <c:v>7.69</c:v>
                </c:pt>
                <c:pt idx="770">
                  <c:v>7.7</c:v>
                </c:pt>
                <c:pt idx="771">
                  <c:v>7.71</c:v>
                </c:pt>
                <c:pt idx="772">
                  <c:v>7.72</c:v>
                </c:pt>
                <c:pt idx="773">
                  <c:v>7.73</c:v>
                </c:pt>
                <c:pt idx="774">
                  <c:v>7.74</c:v>
                </c:pt>
                <c:pt idx="775">
                  <c:v>7.75</c:v>
                </c:pt>
                <c:pt idx="776">
                  <c:v>7.76</c:v>
                </c:pt>
                <c:pt idx="777">
                  <c:v>7.77</c:v>
                </c:pt>
                <c:pt idx="778">
                  <c:v>7.78</c:v>
                </c:pt>
                <c:pt idx="779">
                  <c:v>7.79</c:v>
                </c:pt>
                <c:pt idx="780">
                  <c:v>7.8</c:v>
                </c:pt>
                <c:pt idx="781">
                  <c:v>7.81</c:v>
                </c:pt>
                <c:pt idx="782">
                  <c:v>7.82</c:v>
                </c:pt>
                <c:pt idx="783">
                  <c:v>7.83</c:v>
                </c:pt>
                <c:pt idx="784">
                  <c:v>7.84</c:v>
                </c:pt>
                <c:pt idx="785">
                  <c:v>7.85</c:v>
                </c:pt>
                <c:pt idx="786">
                  <c:v>7.86</c:v>
                </c:pt>
                <c:pt idx="787">
                  <c:v>7.87</c:v>
                </c:pt>
                <c:pt idx="788">
                  <c:v>7.88</c:v>
                </c:pt>
                <c:pt idx="789">
                  <c:v>7.89</c:v>
                </c:pt>
                <c:pt idx="790">
                  <c:v>7.9</c:v>
                </c:pt>
                <c:pt idx="791">
                  <c:v>7.91</c:v>
                </c:pt>
                <c:pt idx="792">
                  <c:v>7.92</c:v>
                </c:pt>
                <c:pt idx="793">
                  <c:v>7.93</c:v>
                </c:pt>
                <c:pt idx="794">
                  <c:v>7.94</c:v>
                </c:pt>
                <c:pt idx="795">
                  <c:v>7.95</c:v>
                </c:pt>
                <c:pt idx="796">
                  <c:v>7.96</c:v>
                </c:pt>
                <c:pt idx="797">
                  <c:v>7.97</c:v>
                </c:pt>
                <c:pt idx="798">
                  <c:v>7.98</c:v>
                </c:pt>
                <c:pt idx="799">
                  <c:v>7.99</c:v>
                </c:pt>
                <c:pt idx="800">
                  <c:v>8</c:v>
                </c:pt>
                <c:pt idx="801">
                  <c:v>8.01</c:v>
                </c:pt>
                <c:pt idx="802">
                  <c:v>8.02</c:v>
                </c:pt>
                <c:pt idx="803">
                  <c:v>8.0299999999999994</c:v>
                </c:pt>
                <c:pt idx="804">
                  <c:v>8.0399999999999991</c:v>
                </c:pt>
                <c:pt idx="805">
                  <c:v>8.0500000000000007</c:v>
                </c:pt>
                <c:pt idx="806">
                  <c:v>8.06</c:v>
                </c:pt>
                <c:pt idx="807">
                  <c:v>8.07</c:v>
                </c:pt>
                <c:pt idx="808">
                  <c:v>8.08</c:v>
                </c:pt>
                <c:pt idx="809">
                  <c:v>8.09</c:v>
                </c:pt>
                <c:pt idx="810">
                  <c:v>8.1</c:v>
                </c:pt>
                <c:pt idx="811">
                  <c:v>8.11</c:v>
                </c:pt>
                <c:pt idx="812">
                  <c:v>8.1199999999999992</c:v>
                </c:pt>
                <c:pt idx="813">
                  <c:v>8.1300000000000008</c:v>
                </c:pt>
                <c:pt idx="814">
                  <c:v>8.14</c:v>
                </c:pt>
                <c:pt idx="815">
                  <c:v>8.15</c:v>
                </c:pt>
                <c:pt idx="816">
                  <c:v>8.16</c:v>
                </c:pt>
                <c:pt idx="817">
                  <c:v>8.17</c:v>
                </c:pt>
                <c:pt idx="818">
                  <c:v>8.18</c:v>
                </c:pt>
                <c:pt idx="819">
                  <c:v>8.19</c:v>
                </c:pt>
                <c:pt idx="820">
                  <c:v>8.1999999999999993</c:v>
                </c:pt>
                <c:pt idx="821">
                  <c:v>8.2100000000000009</c:v>
                </c:pt>
                <c:pt idx="822">
                  <c:v>8.2200000000000006</c:v>
                </c:pt>
                <c:pt idx="823">
                  <c:v>8.23</c:v>
                </c:pt>
                <c:pt idx="824">
                  <c:v>8.24</c:v>
                </c:pt>
                <c:pt idx="825">
                  <c:v>8.25</c:v>
                </c:pt>
                <c:pt idx="826">
                  <c:v>8.26</c:v>
                </c:pt>
                <c:pt idx="827">
                  <c:v>8.27</c:v>
                </c:pt>
                <c:pt idx="828">
                  <c:v>8.2799999999999994</c:v>
                </c:pt>
                <c:pt idx="829">
                  <c:v>8.2899999999999991</c:v>
                </c:pt>
                <c:pt idx="830">
                  <c:v>8.3000000000000007</c:v>
                </c:pt>
                <c:pt idx="831">
                  <c:v>8.31</c:v>
                </c:pt>
                <c:pt idx="832">
                  <c:v>8.32</c:v>
                </c:pt>
                <c:pt idx="833">
                  <c:v>8.33</c:v>
                </c:pt>
                <c:pt idx="834">
                  <c:v>8.34</c:v>
                </c:pt>
                <c:pt idx="835">
                  <c:v>8.35</c:v>
                </c:pt>
                <c:pt idx="836">
                  <c:v>8.36</c:v>
                </c:pt>
                <c:pt idx="837">
                  <c:v>8.3699999999999992</c:v>
                </c:pt>
                <c:pt idx="838">
                  <c:v>8.3800000000000008</c:v>
                </c:pt>
                <c:pt idx="839">
                  <c:v>8.39</c:v>
                </c:pt>
                <c:pt idx="840">
                  <c:v>8.4</c:v>
                </c:pt>
                <c:pt idx="841">
                  <c:v>8.41</c:v>
                </c:pt>
                <c:pt idx="842">
                  <c:v>8.42</c:v>
                </c:pt>
                <c:pt idx="843">
                  <c:v>8.43</c:v>
                </c:pt>
                <c:pt idx="844">
                  <c:v>8.44</c:v>
                </c:pt>
                <c:pt idx="845">
                  <c:v>8.4499999999999993</c:v>
                </c:pt>
                <c:pt idx="846">
                  <c:v>8.4600000000000009</c:v>
                </c:pt>
                <c:pt idx="847">
                  <c:v>8.4700000000000006</c:v>
                </c:pt>
                <c:pt idx="848">
                  <c:v>8.48</c:v>
                </c:pt>
                <c:pt idx="849">
                  <c:v>8.49</c:v>
                </c:pt>
                <c:pt idx="850">
                  <c:v>8.5</c:v>
                </c:pt>
                <c:pt idx="851">
                  <c:v>8.51</c:v>
                </c:pt>
                <c:pt idx="852">
                  <c:v>8.52</c:v>
                </c:pt>
                <c:pt idx="853">
                  <c:v>8.5299999999999994</c:v>
                </c:pt>
                <c:pt idx="854">
                  <c:v>8.5399999999999991</c:v>
                </c:pt>
                <c:pt idx="855">
                  <c:v>8.5500000000000007</c:v>
                </c:pt>
                <c:pt idx="856">
                  <c:v>8.56</c:v>
                </c:pt>
                <c:pt idx="857">
                  <c:v>8.57</c:v>
                </c:pt>
                <c:pt idx="858">
                  <c:v>8.58</c:v>
                </c:pt>
                <c:pt idx="859">
                  <c:v>8.59</c:v>
                </c:pt>
                <c:pt idx="860">
                  <c:v>8.6</c:v>
                </c:pt>
                <c:pt idx="861">
                  <c:v>8.61</c:v>
                </c:pt>
                <c:pt idx="862">
                  <c:v>8.6199999999999992</c:v>
                </c:pt>
                <c:pt idx="863">
                  <c:v>8.6300000000000008</c:v>
                </c:pt>
                <c:pt idx="864">
                  <c:v>8.64</c:v>
                </c:pt>
                <c:pt idx="865">
                  <c:v>8.65</c:v>
                </c:pt>
                <c:pt idx="866">
                  <c:v>8.66</c:v>
                </c:pt>
                <c:pt idx="867">
                  <c:v>8.67</c:v>
                </c:pt>
                <c:pt idx="868">
                  <c:v>8.68</c:v>
                </c:pt>
                <c:pt idx="869">
                  <c:v>8.69</c:v>
                </c:pt>
                <c:pt idx="870">
                  <c:v>8.6999999999999993</c:v>
                </c:pt>
                <c:pt idx="871">
                  <c:v>8.7100000000000009</c:v>
                </c:pt>
                <c:pt idx="872">
                  <c:v>8.7200000000000006</c:v>
                </c:pt>
                <c:pt idx="873">
                  <c:v>8.73</c:v>
                </c:pt>
                <c:pt idx="874">
                  <c:v>8.74</c:v>
                </c:pt>
                <c:pt idx="875">
                  <c:v>8.75</c:v>
                </c:pt>
                <c:pt idx="876">
                  <c:v>8.76</c:v>
                </c:pt>
                <c:pt idx="877">
                  <c:v>8.77</c:v>
                </c:pt>
                <c:pt idx="878">
                  <c:v>8.7799999999999994</c:v>
                </c:pt>
                <c:pt idx="879">
                  <c:v>8.7899999999999991</c:v>
                </c:pt>
                <c:pt idx="880">
                  <c:v>8.8000000000000007</c:v>
                </c:pt>
                <c:pt idx="881">
                  <c:v>8.81</c:v>
                </c:pt>
                <c:pt idx="882">
                  <c:v>8.82</c:v>
                </c:pt>
                <c:pt idx="883">
                  <c:v>8.83</c:v>
                </c:pt>
                <c:pt idx="884">
                  <c:v>8.84</c:v>
                </c:pt>
                <c:pt idx="885">
                  <c:v>8.85</c:v>
                </c:pt>
                <c:pt idx="886">
                  <c:v>8.86</c:v>
                </c:pt>
                <c:pt idx="887">
                  <c:v>8.8699999999999992</c:v>
                </c:pt>
                <c:pt idx="888">
                  <c:v>8.8800000000000008</c:v>
                </c:pt>
                <c:pt idx="889">
                  <c:v>8.89</c:v>
                </c:pt>
                <c:pt idx="890">
                  <c:v>8.9</c:v>
                </c:pt>
                <c:pt idx="891">
                  <c:v>8.91</c:v>
                </c:pt>
                <c:pt idx="892">
                  <c:v>8.92</c:v>
                </c:pt>
                <c:pt idx="893">
                  <c:v>8.93</c:v>
                </c:pt>
                <c:pt idx="894">
                  <c:v>8.94</c:v>
                </c:pt>
                <c:pt idx="895">
                  <c:v>8.9499999999999993</c:v>
                </c:pt>
                <c:pt idx="896">
                  <c:v>8.9600000000000009</c:v>
                </c:pt>
                <c:pt idx="897">
                  <c:v>8.9700000000000006</c:v>
                </c:pt>
                <c:pt idx="898">
                  <c:v>8.98</c:v>
                </c:pt>
                <c:pt idx="899">
                  <c:v>8.99</c:v>
                </c:pt>
                <c:pt idx="900">
                  <c:v>9</c:v>
                </c:pt>
                <c:pt idx="901">
                  <c:v>9.01</c:v>
                </c:pt>
                <c:pt idx="902">
                  <c:v>9.02</c:v>
                </c:pt>
                <c:pt idx="903">
                  <c:v>9.0299999999999994</c:v>
                </c:pt>
                <c:pt idx="904">
                  <c:v>9.0399999999999991</c:v>
                </c:pt>
                <c:pt idx="905">
                  <c:v>9.0500000000000007</c:v>
                </c:pt>
                <c:pt idx="906">
                  <c:v>9.06</c:v>
                </c:pt>
                <c:pt idx="907">
                  <c:v>9.07</c:v>
                </c:pt>
                <c:pt idx="908">
                  <c:v>9.08</c:v>
                </c:pt>
                <c:pt idx="909">
                  <c:v>9.09</c:v>
                </c:pt>
                <c:pt idx="910">
                  <c:v>9.1</c:v>
                </c:pt>
                <c:pt idx="911">
                  <c:v>9.11</c:v>
                </c:pt>
                <c:pt idx="912">
                  <c:v>9.1199999999999992</c:v>
                </c:pt>
                <c:pt idx="913">
                  <c:v>9.1300000000000008</c:v>
                </c:pt>
                <c:pt idx="914">
                  <c:v>9.14</c:v>
                </c:pt>
                <c:pt idx="915">
                  <c:v>9.15</c:v>
                </c:pt>
                <c:pt idx="916">
                  <c:v>9.16</c:v>
                </c:pt>
                <c:pt idx="917">
                  <c:v>9.17</c:v>
                </c:pt>
                <c:pt idx="918">
                  <c:v>9.18</c:v>
                </c:pt>
                <c:pt idx="919">
                  <c:v>9.19</c:v>
                </c:pt>
                <c:pt idx="920">
                  <c:v>9.1999999999999993</c:v>
                </c:pt>
                <c:pt idx="921">
                  <c:v>9.2100000000000009</c:v>
                </c:pt>
                <c:pt idx="922">
                  <c:v>9.2200000000000006</c:v>
                </c:pt>
                <c:pt idx="923">
                  <c:v>9.23</c:v>
                </c:pt>
                <c:pt idx="924">
                  <c:v>9.24</c:v>
                </c:pt>
                <c:pt idx="925">
                  <c:v>9.25</c:v>
                </c:pt>
                <c:pt idx="926">
                  <c:v>9.26</c:v>
                </c:pt>
                <c:pt idx="927">
                  <c:v>9.27</c:v>
                </c:pt>
                <c:pt idx="928">
                  <c:v>9.2799999999999994</c:v>
                </c:pt>
                <c:pt idx="929">
                  <c:v>9.2899999999999991</c:v>
                </c:pt>
                <c:pt idx="930">
                  <c:v>9.3000000000000007</c:v>
                </c:pt>
                <c:pt idx="931">
                  <c:v>9.31</c:v>
                </c:pt>
                <c:pt idx="932">
                  <c:v>9.32</c:v>
                </c:pt>
                <c:pt idx="933">
                  <c:v>9.33</c:v>
                </c:pt>
                <c:pt idx="934">
                  <c:v>9.34</c:v>
                </c:pt>
                <c:pt idx="935">
                  <c:v>9.35</c:v>
                </c:pt>
                <c:pt idx="936">
                  <c:v>9.36</c:v>
                </c:pt>
                <c:pt idx="937">
                  <c:v>9.3699999999999992</c:v>
                </c:pt>
                <c:pt idx="938">
                  <c:v>9.3800000000000008</c:v>
                </c:pt>
                <c:pt idx="939">
                  <c:v>9.39</c:v>
                </c:pt>
                <c:pt idx="940">
                  <c:v>9.4</c:v>
                </c:pt>
                <c:pt idx="941">
                  <c:v>9.41</c:v>
                </c:pt>
                <c:pt idx="942">
                  <c:v>9.42</c:v>
                </c:pt>
                <c:pt idx="943">
                  <c:v>9.43</c:v>
                </c:pt>
                <c:pt idx="944">
                  <c:v>9.44</c:v>
                </c:pt>
                <c:pt idx="945">
                  <c:v>9.4499999999999993</c:v>
                </c:pt>
                <c:pt idx="946">
                  <c:v>9.4600000000000009</c:v>
                </c:pt>
                <c:pt idx="947">
                  <c:v>9.4700000000000006</c:v>
                </c:pt>
                <c:pt idx="948">
                  <c:v>9.48</c:v>
                </c:pt>
                <c:pt idx="949">
                  <c:v>9.49</c:v>
                </c:pt>
                <c:pt idx="950">
                  <c:v>9.5</c:v>
                </c:pt>
                <c:pt idx="951">
                  <c:v>9.51</c:v>
                </c:pt>
                <c:pt idx="952">
                  <c:v>9.52</c:v>
                </c:pt>
                <c:pt idx="953">
                  <c:v>9.5299999999999994</c:v>
                </c:pt>
                <c:pt idx="954">
                  <c:v>9.5399999999999991</c:v>
                </c:pt>
                <c:pt idx="955">
                  <c:v>9.5500000000000007</c:v>
                </c:pt>
                <c:pt idx="956">
                  <c:v>9.56</c:v>
                </c:pt>
                <c:pt idx="957">
                  <c:v>9.57</c:v>
                </c:pt>
                <c:pt idx="958">
                  <c:v>9.58</c:v>
                </c:pt>
                <c:pt idx="959">
                  <c:v>9.59</c:v>
                </c:pt>
                <c:pt idx="960">
                  <c:v>9.6</c:v>
                </c:pt>
                <c:pt idx="961">
                  <c:v>9.61</c:v>
                </c:pt>
                <c:pt idx="962">
                  <c:v>9.6199999999999992</c:v>
                </c:pt>
                <c:pt idx="963">
                  <c:v>9.6300000000000008</c:v>
                </c:pt>
                <c:pt idx="964">
                  <c:v>9.64</c:v>
                </c:pt>
                <c:pt idx="965">
                  <c:v>9.65</c:v>
                </c:pt>
                <c:pt idx="966">
                  <c:v>9.66</c:v>
                </c:pt>
                <c:pt idx="967">
                  <c:v>9.67</c:v>
                </c:pt>
                <c:pt idx="968">
                  <c:v>9.68</c:v>
                </c:pt>
                <c:pt idx="969">
                  <c:v>9.69</c:v>
                </c:pt>
                <c:pt idx="970">
                  <c:v>9.6999999999999993</c:v>
                </c:pt>
                <c:pt idx="971">
                  <c:v>9.7100000000000009</c:v>
                </c:pt>
                <c:pt idx="972">
                  <c:v>9.7200000000000006</c:v>
                </c:pt>
                <c:pt idx="973">
                  <c:v>9.73</c:v>
                </c:pt>
                <c:pt idx="974">
                  <c:v>9.74</c:v>
                </c:pt>
                <c:pt idx="975">
                  <c:v>9.75</c:v>
                </c:pt>
                <c:pt idx="976">
                  <c:v>9.76</c:v>
                </c:pt>
                <c:pt idx="977">
                  <c:v>9.77</c:v>
                </c:pt>
                <c:pt idx="978">
                  <c:v>9.7799999999999994</c:v>
                </c:pt>
                <c:pt idx="979">
                  <c:v>9.7899999999999991</c:v>
                </c:pt>
                <c:pt idx="980">
                  <c:v>9.8000000000000007</c:v>
                </c:pt>
                <c:pt idx="981">
                  <c:v>9.81</c:v>
                </c:pt>
                <c:pt idx="982">
                  <c:v>9.82</c:v>
                </c:pt>
                <c:pt idx="983">
                  <c:v>9.83</c:v>
                </c:pt>
                <c:pt idx="984">
                  <c:v>9.84</c:v>
                </c:pt>
                <c:pt idx="985">
                  <c:v>9.85</c:v>
                </c:pt>
                <c:pt idx="986">
                  <c:v>9.86</c:v>
                </c:pt>
                <c:pt idx="987">
                  <c:v>9.8699999999999992</c:v>
                </c:pt>
                <c:pt idx="988">
                  <c:v>9.8800000000000008</c:v>
                </c:pt>
                <c:pt idx="989">
                  <c:v>9.89</c:v>
                </c:pt>
                <c:pt idx="990">
                  <c:v>9.9</c:v>
                </c:pt>
                <c:pt idx="991">
                  <c:v>9.91</c:v>
                </c:pt>
                <c:pt idx="992">
                  <c:v>9.92</c:v>
                </c:pt>
                <c:pt idx="993">
                  <c:v>9.93</c:v>
                </c:pt>
                <c:pt idx="994">
                  <c:v>9.94</c:v>
                </c:pt>
                <c:pt idx="995">
                  <c:v>9.9499999999999993</c:v>
                </c:pt>
                <c:pt idx="996">
                  <c:v>9.9600000000000009</c:v>
                </c:pt>
                <c:pt idx="997">
                  <c:v>9.9700000000000006</c:v>
                </c:pt>
                <c:pt idx="998">
                  <c:v>9.98</c:v>
                </c:pt>
                <c:pt idx="999">
                  <c:v>9.99</c:v>
                </c:pt>
                <c:pt idx="1000">
                  <c:v>10</c:v>
                </c:pt>
              </c:numCache>
            </c:numRef>
          </c:cat>
          <c:val>
            <c:numRef>
              <c:f>Curves!$G$2:$G$1002</c:f>
              <c:numCache>
                <c:formatCode>#,##0.00;[Red]\(#,##0.00\)</c:formatCode>
                <c:ptCount val="1001"/>
                <c:pt idx="0">
                  <c:v>400000</c:v>
                </c:pt>
                <c:pt idx="1">
                  <c:v>397067.50910178176</c:v>
                </c:pt>
                <c:pt idx="2">
                  <c:v>394159.68412412429</c:v>
                </c:pt>
                <c:pt idx="3">
                  <c:v>391276.33485888137</c:v>
                </c:pt>
                <c:pt idx="4">
                  <c:v>388417.27278915717</c:v>
                </c:pt>
                <c:pt idx="5">
                  <c:v>385582.31107484753</c:v>
                </c:pt>
                <c:pt idx="6">
                  <c:v>382771.26453827712</c:v>
                </c:pt>
                <c:pt idx="7">
                  <c:v>379983.94964993134</c:v>
                </c:pt>
                <c:pt idx="8">
                  <c:v>377220.18451427756</c:v>
                </c:pt>
                <c:pt idx="9">
                  <c:v>374479.78885568003</c:v>
                </c:pt>
                <c:pt idx="10">
                  <c:v>371762.58400440222</c:v>
                </c:pt>
                <c:pt idx="11">
                  <c:v>369068.39288269699</c:v>
                </c:pt>
                <c:pt idx="12">
                  <c:v>366397.0399909839</c:v>
                </c:pt>
                <c:pt idx="13">
                  <c:v>363748.35139411088</c:v>
                </c:pt>
                <c:pt idx="14">
                  <c:v>361122.15470769833</c:v>
                </c:pt>
                <c:pt idx="15">
                  <c:v>358518.27908456686</c:v>
                </c:pt>
                <c:pt idx="16">
                  <c:v>355936.55520124454</c:v>
                </c:pt>
                <c:pt idx="17">
                  <c:v>353376.81524455262</c:v>
                </c:pt>
                <c:pt idx="18">
                  <c:v>350838.89289827016</c:v>
                </c:pt>
                <c:pt idx="19">
                  <c:v>348322.6233298736</c:v>
                </c:pt>
                <c:pt idx="20">
                  <c:v>345827.84317735198</c:v>
                </c:pt>
                <c:pt idx="21">
                  <c:v>343354.39053609449</c:v>
                </c:pt>
                <c:pt idx="22">
                  <c:v>340902.10494585097</c:v>
                </c:pt>
                <c:pt idx="23">
                  <c:v>338470.82737776171</c:v>
                </c:pt>
                <c:pt idx="24">
                  <c:v>336060.4002214573</c:v>
                </c:pt>
                <c:pt idx="25">
                  <c:v>333670.66727222578</c:v>
                </c:pt>
                <c:pt idx="26">
                  <c:v>331301.47371824505</c:v>
                </c:pt>
                <c:pt idx="27">
                  <c:v>328952.66612788232</c:v>
                </c:pt>
                <c:pt idx="28">
                  <c:v>326624.09243705467</c:v>
                </c:pt>
                <c:pt idx="29">
                  <c:v>324315.60193665279</c:v>
                </c:pt>
                <c:pt idx="30">
                  <c:v>322027.04526002583</c:v>
                </c:pt>
                <c:pt idx="31">
                  <c:v>319758.27437052451</c:v>
                </c:pt>
                <c:pt idx="32">
                  <c:v>317509.14254910278</c:v>
                </c:pt>
                <c:pt idx="33">
                  <c:v>315279.50438197632</c:v>
                </c:pt>
                <c:pt idx="34">
                  <c:v>313069.21574833553</c:v>
                </c:pt>
                <c:pt idx="35">
                  <c:v>310878.13380811317</c:v>
                </c:pt>
                <c:pt idx="36">
                  <c:v>308706.11698980432</c:v>
                </c:pt>
                <c:pt idx="37">
                  <c:v>306553.02497833734</c:v>
                </c:pt>
                <c:pt idx="38">
                  <c:v>304418.71870299528</c:v>
                </c:pt>
                <c:pt idx="39">
                  <c:v>302303.0603253856</c:v>
                </c:pt>
                <c:pt idx="40">
                  <c:v>300205.91322745732</c:v>
                </c:pt>
                <c:pt idx="41">
                  <c:v>298127.14199956419</c:v>
                </c:pt>
                <c:pt idx="42">
                  <c:v>296066.61242857325</c:v>
                </c:pt>
                <c:pt idx="43">
                  <c:v>294024.19148601562</c:v>
                </c:pt>
                <c:pt idx="44">
                  <c:v>291999.74731628114</c:v>
                </c:pt>
                <c:pt idx="45">
                  <c:v>289993.14922485314</c:v>
                </c:pt>
                <c:pt idx="46">
                  <c:v>288004.26766658347</c:v>
                </c:pt>
                <c:pt idx="47">
                  <c:v>286032.97423400596</c:v>
                </c:pt>
                <c:pt idx="48">
                  <c:v>284079.1416456874</c:v>
                </c:pt>
                <c:pt idx="49">
                  <c:v>282142.64373461535</c:v>
                </c:pt>
                <c:pt idx="50">
                  <c:v>280223.35543661978</c:v>
                </c:pt>
                <c:pt idx="51">
                  <c:v>278321.15277883073</c:v>
                </c:pt>
                <c:pt idx="52">
                  <c:v>276435.91286816675</c:v>
                </c:pt>
                <c:pt idx="53">
                  <c:v>274567.51387985674</c:v>
                </c:pt>
                <c:pt idx="54">
                  <c:v>272715.83504599158</c:v>
                </c:pt>
                <c:pt idx="55">
                  <c:v>270880.75664410589</c:v>
                </c:pt>
                <c:pt idx="56">
                  <c:v>269062.15998578822</c:v>
                </c:pt>
                <c:pt idx="57">
                  <c:v>267259.92740531842</c:v>
                </c:pt>
                <c:pt idx="58">
                  <c:v>265473.94224833278</c:v>
                </c:pt>
                <c:pt idx="59">
                  <c:v>263704.08886051341</c:v>
                </c:pt>
                <c:pt idx="60">
                  <c:v>261950.252576303</c:v>
                </c:pt>
                <c:pt idx="61">
                  <c:v>260212.3197076433</c:v>
                </c:pt>
                <c:pt idx="62">
                  <c:v>258490.1775327365</c:v>
                </c:pt>
                <c:pt idx="63">
                  <c:v>256783.71428482822</c:v>
                </c:pt>
                <c:pt idx="64">
                  <c:v>255092.81914101189</c:v>
                </c:pt>
                <c:pt idx="65">
                  <c:v>253417.38221105351</c:v>
                </c:pt>
                <c:pt idx="66">
                  <c:v>251757.29452623593</c:v>
                </c:pt>
                <c:pt idx="67">
                  <c:v>250112.44802822161</c:v>
                </c:pt>
                <c:pt idx="68">
                  <c:v>248482.73555793383</c:v>
                </c:pt>
                <c:pt idx="69">
                  <c:v>246868.05084445508</c:v>
                </c:pt>
                <c:pt idx="70">
                  <c:v>245268.28849394221</c:v>
                </c:pt>
                <c:pt idx="71">
                  <c:v>243683.34397855779</c:v>
                </c:pt>
                <c:pt idx="72">
                  <c:v>242113.11362541671</c:v>
                </c:pt>
                <c:pt idx="73">
                  <c:v>240557.4946055483</c:v>
                </c:pt>
                <c:pt idx="74">
                  <c:v>239016.38492287227</c:v>
                </c:pt>
                <c:pt idx="75">
                  <c:v>237489.68340318932</c:v>
                </c:pt>
                <c:pt idx="76">
                  <c:v>235977.28968318462</c:v>
                </c:pt>
                <c:pt idx="77">
                  <c:v>234479.10419944569</c:v>
                </c:pt>
                <c:pt idx="78">
                  <c:v>232995.02817749168</c:v>
                </c:pt>
                <c:pt idx="79">
                  <c:v>231524.96362081659</c:v>
                </c:pt>
                <c:pt idx="80">
                  <c:v>230068.81329994398</c:v>
                </c:pt>
                <c:pt idx="81">
                  <c:v>228626.48074149436</c:v>
                </c:pt>
                <c:pt idx="82">
                  <c:v>227197.87021726425</c:v>
                </c:pt>
                <c:pt idx="83">
                  <c:v>225782.88673331769</c:v>
                </c:pt>
                <c:pt idx="84">
                  <c:v>224381.43601908899</c:v>
                </c:pt>
                <c:pt idx="85">
                  <c:v>222993.42451649776</c:v>
                </c:pt>
                <c:pt idx="86">
                  <c:v>221618.759369076</c:v>
                </c:pt>
                <c:pt idx="87">
                  <c:v>220257.34841110714</c:v>
                </c:pt>
                <c:pt idx="88">
                  <c:v>218909.10015677728</c:v>
                </c:pt>
                <c:pt idx="89">
                  <c:v>217573.92378933885</c:v>
                </c:pt>
                <c:pt idx="90">
                  <c:v>216251.72915028781</c:v>
                </c:pt>
                <c:pt idx="91">
                  <c:v>214942.42672855273</c:v>
                </c:pt>
                <c:pt idx="92">
                  <c:v>213645.92764969848</c:v>
                </c:pt>
                <c:pt idx="93">
                  <c:v>212362.14366514364</c:v>
                </c:pt>
                <c:pt idx="94">
                  <c:v>211090.9871413926</c:v>
                </c:pt>
                <c:pt idx="95">
                  <c:v>209832.37104928237</c:v>
                </c:pt>
                <c:pt idx="96">
                  <c:v>208586.20895324618</c:v>
                </c:pt>
                <c:pt idx="97">
                  <c:v>207352.41500059282</c:v>
                </c:pt>
                <c:pt idx="98">
                  <c:v>206130.90391080413</c:v>
                </c:pt>
                <c:pt idx="99">
                  <c:v>204921.59096485004</c:v>
                </c:pt>
                <c:pt idx="100">
                  <c:v>203724.39199452387</c:v>
                </c:pt>
                <c:pt idx="101">
                  <c:v>202539.22337179721</c:v>
                </c:pt>
                <c:pt idx="102">
                  <c:v>201366.00199819636</c:v>
                </c:pt>
                <c:pt idx="103">
                  <c:v>200204.64529420147</c:v>
                </c:pt>
                <c:pt idx="104">
                  <c:v>199055.07118866977</c:v>
                </c:pt>
                <c:pt idx="105">
                  <c:v>197917.19810828322</c:v>
                </c:pt>
                <c:pt idx="106">
                  <c:v>196790.94496702359</c:v>
                </c:pt>
                <c:pt idx="107">
                  <c:v>195676.23115567522</c:v>
                </c:pt>
                <c:pt idx="108">
                  <c:v>194572.97653135707</c:v>
                </c:pt>
                <c:pt idx="109">
                  <c:v>193481.10140708674</c:v>
                </c:pt>
                <c:pt idx="110">
                  <c:v>192400.52654137698</c:v>
                </c:pt>
                <c:pt idx="111">
                  <c:v>191331.17312786711</c:v>
                </c:pt>
                <c:pt idx="112">
                  <c:v>190272.96278499102</c:v>
                </c:pt>
                <c:pt idx="113">
                  <c:v>189225.81754568408</c:v>
                </c:pt>
                <c:pt idx="114">
                  <c:v>188189.6598471303</c:v>
                </c:pt>
                <c:pt idx="115">
                  <c:v>187164.4125205529</c:v>
                </c:pt>
                <c:pt idx="116">
                  <c:v>186149.99878104925</c:v>
                </c:pt>
                <c:pt idx="117">
                  <c:v>185146.34221747337</c:v>
                </c:pt>
                <c:pt idx="118">
                  <c:v>184153.36678236834</c:v>
                </c:pt>
                <c:pt idx="119">
                  <c:v>183170.99678195053</c:v>
                </c:pt>
                <c:pt idx="120">
                  <c:v>182199.15686614858</c:v>
                </c:pt>
                <c:pt idx="121">
                  <c:v>181237.77201870008</c:v>
                </c:pt>
                <c:pt idx="122">
                  <c:v>180286.76754730719</c:v>
                </c:pt>
                <c:pt idx="123">
                  <c:v>179346.06907385655</c:v>
                </c:pt>
                <c:pt idx="124">
                  <c:v>178415.60252470328</c:v>
                </c:pt>
                <c:pt idx="125">
                  <c:v>177495.2941210249</c:v>
                </c:pt>
                <c:pt idx="126">
                  <c:v>176585.07036924586</c:v>
                </c:pt>
                <c:pt idx="127">
                  <c:v>175684.85805153716</c:v>
                </c:pt>
                <c:pt idx="128">
                  <c:v>174794.58421639405</c:v>
                </c:pt>
                <c:pt idx="129">
                  <c:v>173914.17616929449</c:v>
                </c:pt>
                <c:pt idx="130">
                  <c:v>173043.56146344196</c:v>
                </c:pt>
                <c:pt idx="131">
                  <c:v>172182.66789059652</c:v>
                </c:pt>
                <c:pt idx="132">
                  <c:v>171331.42347199706</c:v>
                </c:pt>
                <c:pt idx="133">
                  <c:v>170489.75644937772</c:v>
                </c:pt>
                <c:pt idx="134">
                  <c:v>169657.59527608365</c:v>
                </c:pt>
                <c:pt idx="135">
                  <c:v>168834.86860828841</c:v>
                </c:pt>
                <c:pt idx="136">
                  <c:v>168021.50529631661</c:v>
                </c:pt>
                <c:pt idx="137">
                  <c:v>167217.43437607752</c:v>
                </c:pt>
                <c:pt idx="138">
                  <c:v>166422.58506061044</c:v>
                </c:pt>
                <c:pt idx="139">
                  <c:v>165636.88673174847</c:v>
                </c:pt>
                <c:pt idx="140">
                  <c:v>164860.26893190332</c:v>
                </c:pt>
                <c:pt idx="141">
                  <c:v>164092.66135597491</c:v>
                </c:pt>
                <c:pt idx="142">
                  <c:v>163333.99384339069</c:v>
                </c:pt>
                <c:pt idx="143">
                  <c:v>162584.19637027814</c:v>
                </c:pt>
                <c:pt idx="144">
                  <c:v>161843.19904177453</c:v>
                </c:pt>
                <c:pt idx="145">
                  <c:v>161110.93208447867</c:v>
                </c:pt>
                <c:pt idx="146">
                  <c:v>160387.32583904793</c:v>
                </c:pt>
                <c:pt idx="147">
                  <c:v>159672.31075294554</c:v>
                </c:pt>
                <c:pt idx="148">
                  <c:v>158965.81737334203</c:v>
                </c:pt>
                <c:pt idx="149">
                  <c:v>158267.77634017493</c:v>
                </c:pt>
                <c:pt idx="150">
                  <c:v>157578.11837937144</c:v>
                </c:pt>
                <c:pt idx="151">
                  <c:v>156896.77429623742</c:v>
                </c:pt>
                <c:pt idx="152">
                  <c:v>156223.67496901844</c:v>
                </c:pt>
                <c:pt idx="153">
                  <c:v>155558.75134263525</c:v>
                </c:pt>
                <c:pt idx="154">
                  <c:v>154901.93442260008</c:v>
                </c:pt>
                <c:pt idx="155">
                  <c:v>154253.15526911549</c:v>
                </c:pt>
                <c:pt idx="156">
                  <c:v>153612.34499136262</c:v>
                </c:pt>
                <c:pt idx="157">
                  <c:v>152979.43474198115</c:v>
                </c:pt>
                <c:pt idx="158">
                  <c:v>152354.35571174565</c:v>
                </c:pt>
                <c:pt idx="159">
                  <c:v>151737.03912444267</c:v>
                </c:pt>
                <c:pt idx="160">
                  <c:v>151127.41623195287</c:v>
                </c:pt>
                <c:pt idx="161">
                  <c:v>150525.41830954133</c:v>
                </c:pt>
                <c:pt idx="162">
                  <c:v>149930.97665136095</c:v>
                </c:pt>
                <c:pt idx="163">
                  <c:v>149344.022566172</c:v>
                </c:pt>
                <c:pt idx="164">
                  <c:v>148764.48737328287</c:v>
                </c:pt>
                <c:pt idx="165">
                  <c:v>148192.30239871456</c:v>
                </c:pt>
                <c:pt idx="166">
                  <c:v>147627.39897159327</c:v>
                </c:pt>
                <c:pt idx="167">
                  <c:v>147069.70842077432</c:v>
                </c:pt>
                <c:pt idx="168">
                  <c:v>146519.16207170166</c:v>
                </c:pt>
                <c:pt idx="169">
                  <c:v>145975.69124350551</c:v>
                </c:pt>
                <c:pt idx="170">
                  <c:v>145439.22724634179</c:v>
                </c:pt>
                <c:pt idx="171">
                  <c:v>144909.70137897661</c:v>
                </c:pt>
                <c:pt idx="172">
                  <c:v>144387.04492661922</c:v>
                </c:pt>
                <c:pt idx="173">
                  <c:v>143871.18915900495</c:v>
                </c:pt>
                <c:pt idx="174">
                  <c:v>143362.06532873353</c:v>
                </c:pt>
                <c:pt idx="175">
                  <c:v>142859.60466986234</c:v>
                </c:pt>
                <c:pt idx="176">
                  <c:v>142363.73839675973</c:v>
                </c:pt>
                <c:pt idx="177">
                  <c:v>141874.39770321921</c:v>
                </c:pt>
                <c:pt idx="178">
                  <c:v>141391.51376183759</c:v>
                </c:pt>
                <c:pt idx="179">
                  <c:v>140915.0177236583</c:v>
                </c:pt>
                <c:pt idx="180">
                  <c:v>140444.84071808268</c:v>
                </c:pt>
                <c:pt idx="181">
                  <c:v>139980.91385305018</c:v>
                </c:pt>
                <c:pt idx="182">
                  <c:v>139523.16821548916</c:v>
                </c:pt>
                <c:pt idx="183">
                  <c:v>139071.53487203977</c:v>
                </c:pt>
                <c:pt idx="184">
                  <c:v>138625.9448700498</c:v>
                </c:pt>
                <c:pt idx="185">
                  <c:v>138186.32923884469</c:v>
                </c:pt>
                <c:pt idx="186">
                  <c:v>137752.61899127168</c:v>
                </c:pt>
                <c:pt idx="187">
                  <c:v>137324.74512552004</c:v>
                </c:pt>
                <c:pt idx="188">
                  <c:v>136902.63862721488</c:v>
                </c:pt>
                <c:pt idx="189">
                  <c:v>136486.23047178856</c:v>
                </c:pt>
                <c:pt idx="190">
                  <c:v>136075.45162712556</c:v>
                </c:pt>
                <c:pt idx="191">
                  <c:v>135670.23305648234</c:v>
                </c:pt>
                <c:pt idx="192">
                  <c:v>135270.50572168196</c:v>
                </c:pt>
                <c:pt idx="193">
                  <c:v>134876.20058658082</c:v>
                </c:pt>
                <c:pt idx="194">
                  <c:v>134487.24862080798</c:v>
                </c:pt>
                <c:pt idx="195">
                  <c:v>134103.58080377433</c:v>
                </c:pt>
                <c:pt idx="196">
                  <c:v>133725.1281289511</c:v>
                </c:pt>
                <c:pt idx="197">
                  <c:v>133351.82160841464</c:v>
                </c:pt>
                <c:pt idx="198">
                  <c:v>132983.59227765622</c:v>
                </c:pt>
                <c:pt idx="199">
                  <c:v>132620.37120065361</c:v>
                </c:pt>
                <c:pt idx="200">
                  <c:v>132262.08947520246</c:v>
                </c:pt>
                <c:pt idx="201">
                  <c:v>131908.67823850358</c:v>
                </c:pt>
                <c:pt idx="202">
                  <c:v>131560.06867300373</c:v>
                </c:pt>
                <c:pt idx="203">
                  <c:v>131216.19201248593</c:v>
                </c:pt>
                <c:pt idx="204">
                  <c:v>130876.97954840549</c:v>
                </c:pt>
                <c:pt idx="205">
                  <c:v>130542.36263646794</c:v>
                </c:pt>
                <c:pt idx="206">
                  <c:v>130212.27270344435</c:v>
                </c:pt>
                <c:pt idx="207">
                  <c:v>129886.64125421923</c:v>
                </c:pt>
                <c:pt idx="208">
                  <c:v>129565.39987906687</c:v>
                </c:pt>
                <c:pt idx="209">
                  <c:v>129248.48026115033</c:v>
                </c:pt>
                <c:pt idx="210">
                  <c:v>128935.81418423772</c:v>
                </c:pt>
                <c:pt idx="211">
                  <c:v>128627.33354063105</c:v>
                </c:pt>
                <c:pt idx="212">
                  <c:v>128322.97033930014</c:v>
                </c:pt>
                <c:pt idx="213">
                  <c:v>128022.65671421739</c:v>
                </c:pt>
                <c:pt idx="214">
                  <c:v>127726.32493288537</c:v>
                </c:pt>
                <c:pt idx="215">
                  <c:v>127433.90740505178</c:v>
                </c:pt>
                <c:pt idx="216">
                  <c:v>127145.33669160427</c:v>
                </c:pt>
                <c:pt idx="217">
                  <c:v>126860.5455136385</c:v>
                </c:pt>
                <c:pt idx="218">
                  <c:v>126579.46676169185</c:v>
                </c:pt>
                <c:pt idx="219">
                  <c:v>126302.03350513527</c:v>
                </c:pt>
                <c:pt idx="220">
                  <c:v>126028.17900171615</c:v>
                </c:pt>
                <c:pt idx="221">
                  <c:v>125757.83670724326</c:v>
                </c:pt>
                <c:pt idx="222">
                  <c:v>125490.94028540673</c:v>
                </c:pt>
                <c:pt idx="223">
                  <c:v>125227.4236177241</c:v>
                </c:pt>
                <c:pt idx="224">
                  <c:v>124967.22081360428</c:v>
                </c:pt>
                <c:pt idx="225">
                  <c:v>124710.26622052066</c:v>
                </c:pt>
                <c:pt idx="226">
                  <c:v>124456.49443428473</c:v>
                </c:pt>
                <c:pt idx="227">
                  <c:v>124205.84030941137</c:v>
                </c:pt>
                <c:pt idx="228">
                  <c:v>123958.23896956608</c:v>
                </c:pt>
                <c:pt idx="229">
                  <c:v>123713.62581808613</c:v>
                </c:pt>
                <c:pt idx="230">
                  <c:v>123471.93654856517</c:v>
                </c:pt>
                <c:pt idx="231">
                  <c:v>123233.10715549263</c:v>
                </c:pt>
                <c:pt idx="232">
                  <c:v>122997.07394493814</c:v>
                </c:pt>
                <c:pt idx="233">
                  <c:v>122763.77354527128</c:v>
                </c:pt>
                <c:pt idx="234">
                  <c:v>122533.14291790732</c:v>
                </c:pt>
                <c:pt idx="235">
                  <c:v>122305.11936806866</c:v>
                </c:pt>
                <c:pt idx="236">
                  <c:v>122079.6405555532</c:v>
                </c:pt>
                <c:pt idx="237">
                  <c:v>121856.64450549845</c:v>
                </c:pt>
                <c:pt idx="238">
                  <c:v>121636.0696191329</c:v>
                </c:pt>
                <c:pt idx="239">
                  <c:v>121417.85468450401</c:v>
                </c:pt>
                <c:pt idx="240">
                  <c:v>121201.93888717316</c:v>
                </c:pt>
                <c:pt idx="241">
                  <c:v>120988.2618208677</c:v>
                </c:pt>
                <c:pt idx="242">
                  <c:v>120776.76349808073</c:v>
                </c:pt>
                <c:pt idx="243">
                  <c:v>120567.38436060803</c:v>
                </c:pt>
                <c:pt idx="244">
                  <c:v>120360.06529001333</c:v>
                </c:pt>
                <c:pt idx="245">
                  <c:v>120154.74761801165</c:v>
                </c:pt>
                <c:pt idx="246">
                  <c:v>119951.37313676129</c:v>
                </c:pt>
                <c:pt idx="247">
                  <c:v>119749.88410905541</c:v>
                </c:pt>
                <c:pt idx="248">
                  <c:v>119550.22327840298</c:v>
                </c:pt>
                <c:pt idx="249">
                  <c:v>119352.33387899087</c:v>
                </c:pt>
                <c:pt idx="250">
                  <c:v>119156.15964551714</c:v>
                </c:pt>
                <c:pt idx="251">
                  <c:v>118961.64482288685</c:v>
                </c:pt>
                <c:pt idx="252">
                  <c:v>118768.73417576158</c:v>
                </c:pt>
                <c:pt idx="253">
                  <c:v>118577.37299795404</c:v>
                </c:pt>
                <c:pt idx="254">
                  <c:v>118387.50712165881</c:v>
                </c:pt>
                <c:pt idx="255">
                  <c:v>118199.08292651174</c:v>
                </c:pt>
                <c:pt idx="256">
                  <c:v>118012.04734846884</c:v>
                </c:pt>
                <c:pt idx="257">
                  <c:v>117826.34788849755</c:v>
                </c:pt>
                <c:pt idx="258">
                  <c:v>117641.93262107218</c:v>
                </c:pt>
                <c:pt idx="259">
                  <c:v>117458.75020246647</c:v>
                </c:pt>
                <c:pt idx="260">
                  <c:v>117276.74987883552</c:v>
                </c:pt>
                <c:pt idx="261">
                  <c:v>117095.88149408037</c:v>
                </c:pt>
                <c:pt idx="262">
                  <c:v>116916.09549748836</c:v>
                </c:pt>
                <c:pt idx="263">
                  <c:v>116737.34295114283</c:v>
                </c:pt>
                <c:pt idx="264">
                  <c:v>116559.57553709588</c:v>
                </c:pt>
                <c:pt idx="265">
                  <c:v>116382.74556429815</c:v>
                </c:pt>
                <c:pt idx="266">
                  <c:v>116206.80597527984</c:v>
                </c:pt>
                <c:pt idx="267">
                  <c:v>116031.71035257784</c:v>
                </c:pt>
                <c:pt idx="268">
                  <c:v>115857.41292490378</c:v>
                </c:pt>
                <c:pt idx="269">
                  <c:v>115683.86857304756</c:v>
                </c:pt>
                <c:pt idx="270">
                  <c:v>115511.03283551309</c:v>
                </c:pt>
                <c:pt idx="271">
                  <c:v>115338.86191388038</c:v>
                </c:pt>
                <c:pt idx="272">
                  <c:v>115167.31267789171</c:v>
                </c:pt>
                <c:pt idx="273">
                  <c:v>114996.34267025707</c:v>
                </c:pt>
                <c:pt idx="274">
                  <c:v>114825.91011117589</c:v>
                </c:pt>
                <c:pt idx="275">
                  <c:v>114655.9739025726</c:v>
                </c:pt>
                <c:pt idx="276">
                  <c:v>114486.49363204253</c:v>
                </c:pt>
                <c:pt idx="277">
                  <c:v>114317.4295765063</c:v>
                </c:pt>
                <c:pt idx="278">
                  <c:v>114148.74270557072</c:v>
                </c:pt>
                <c:pt idx="279">
                  <c:v>113980.39468459411</c:v>
                </c:pt>
                <c:pt idx="280">
                  <c:v>113812.34787745513</c:v>
                </c:pt>
                <c:pt idx="281">
                  <c:v>113644.56534902319</c:v>
                </c:pt>
                <c:pt idx="282">
                  <c:v>113477.01086733131</c:v>
                </c:pt>
                <c:pt idx="283">
                  <c:v>113309.64890544862</c:v>
                </c:pt>
                <c:pt idx="284">
                  <c:v>113142.44464305487</c:v>
                </c:pt>
                <c:pt idx="285">
                  <c:v>112975.36396771501</c:v>
                </c:pt>
                <c:pt idx="286">
                  <c:v>112808.37347585574</c:v>
                </c:pt>
                <c:pt idx="287">
                  <c:v>112641.44047344397</c:v>
                </c:pt>
                <c:pt idx="288">
                  <c:v>112474.53297636888</c:v>
                </c:pt>
                <c:pt idx="289">
                  <c:v>112307.6197105281</c:v>
                </c:pt>
                <c:pt idx="290">
                  <c:v>112140.67011162077</c:v>
                </c:pt>
                <c:pt idx="291">
                  <c:v>111973.6543246482</c:v>
                </c:pt>
                <c:pt idx="292">
                  <c:v>111806.54320312547</c:v>
                </c:pt>
                <c:pt idx="293">
                  <c:v>111639.30830800546</c:v>
                </c:pt>
                <c:pt idx="294">
                  <c:v>111471.92190631881</c:v>
                </c:pt>
                <c:pt idx="295">
                  <c:v>111304.356969532</c:v>
                </c:pt>
                <c:pt idx="296">
                  <c:v>111136.58717162798</c:v>
                </c:pt>
                <c:pt idx="297">
                  <c:v>110968.5868869112</c:v>
                </c:pt>
                <c:pt idx="298">
                  <c:v>110800.33118754244</c:v>
                </c:pt>
                <c:pt idx="299">
                  <c:v>110631.79584080583</c:v>
                </c:pt>
                <c:pt idx="300">
                  <c:v>110462.95730611369</c:v>
                </c:pt>
                <c:pt idx="301">
                  <c:v>110293.7927317521</c:v>
                </c:pt>
                <c:pt idx="302">
                  <c:v>110124.27995137294</c:v>
                </c:pt>
                <c:pt idx="303">
                  <c:v>109954.39748023658</c:v>
                </c:pt>
                <c:pt idx="304">
                  <c:v>109784.1245112099</c:v>
                </c:pt>
                <c:pt idx="305">
                  <c:v>109613.44091052565</c:v>
                </c:pt>
                <c:pt idx="306">
                  <c:v>109442.32721330745</c:v>
                </c:pt>
                <c:pt idx="307">
                  <c:v>109270.76461886623</c:v>
                </c:pt>
                <c:pt idx="308">
                  <c:v>109098.73498577415</c:v>
                </c:pt>
                <c:pt idx="309">
                  <c:v>108926.22082672064</c:v>
                </c:pt>
                <c:pt idx="310">
                  <c:v>108753.20530315767</c:v>
                </c:pt>
                <c:pt idx="311">
                  <c:v>108579.67221973912</c:v>
                </c:pt>
                <c:pt idx="312">
                  <c:v>108405.60601856072</c:v>
                </c:pt>
                <c:pt idx="313">
                  <c:v>108230.99177320729</c:v>
                </c:pt>
                <c:pt idx="314">
                  <c:v>108055.81518261222</c:v>
                </c:pt>
                <c:pt idx="315">
                  <c:v>107880.06256473703</c:v>
                </c:pt>
                <c:pt idx="316">
                  <c:v>107703.72085007606</c:v>
                </c:pt>
                <c:pt idx="317">
                  <c:v>107526.77757499386</c:v>
                </c:pt>
                <c:pt idx="318">
                  <c:v>107349.22087490094</c:v>
                </c:pt>
                <c:pt idx="319">
                  <c:v>107171.03947727526</c:v>
                </c:pt>
                <c:pt idx="320">
                  <c:v>106992.22269453488</c:v>
                </c:pt>
                <c:pt idx="321">
                  <c:v>106812.76041677012</c:v>
                </c:pt>
                <c:pt idx="322">
                  <c:v>106632.64310433994</c:v>
                </c:pt>
                <c:pt idx="323">
                  <c:v>106451.86178034078</c:v>
                </c:pt>
                <c:pt idx="324">
                  <c:v>106270.40802295363</c:v>
                </c:pt>
                <c:pt idx="325">
                  <c:v>106088.27395767618</c:v>
                </c:pt>
                <c:pt idx="326">
                  <c:v>105905.45224944696</c:v>
                </c:pt>
                <c:pt idx="327">
                  <c:v>105721.93609466756</c:v>
                </c:pt>
                <c:pt idx="328">
                  <c:v>105537.71921313017</c:v>
                </c:pt>
                <c:pt idx="329">
                  <c:v>105352.79583985635</c:v>
                </c:pt>
                <c:pt idx="330">
                  <c:v>105167.16071685412</c:v>
                </c:pt>
                <c:pt idx="331">
                  <c:v>104980.80908479913</c:v>
                </c:pt>
                <c:pt idx="332">
                  <c:v>104793.7366746473</c:v>
                </c:pt>
                <c:pt idx="333">
                  <c:v>104605.93969918435</c:v>
                </c:pt>
                <c:pt idx="334">
                  <c:v>104417.41484451879</c:v>
                </c:pt>
                <c:pt idx="335">
                  <c:v>104228.15926152481</c:v>
                </c:pt>
                <c:pt idx="336">
                  <c:v>104038.17055724125</c:v>
                </c:pt>
                <c:pt idx="337">
                  <c:v>103847.4467862319</c:v>
                </c:pt>
                <c:pt idx="338">
                  <c:v>103655.98644191418</c:v>
                </c:pt>
                <c:pt idx="339">
                  <c:v>103463.78844786112</c:v>
                </c:pt>
                <c:pt idx="340">
                  <c:v>103270.85214908316</c:v>
                </c:pt>
                <c:pt idx="341">
                  <c:v>103077.17730329488</c:v>
                </c:pt>
                <c:pt idx="342">
                  <c:v>102882.76407217234</c:v>
                </c:pt>
                <c:pt idx="343">
                  <c:v>102687.61301260667</c:v>
                </c:pt>
                <c:pt idx="344">
                  <c:v>102491.72506795908</c:v>
                </c:pt>
                <c:pt idx="345">
                  <c:v>102295.10155932249</c:v>
                </c:pt>
                <c:pt idx="346">
                  <c:v>102097.74417679486</c:v>
                </c:pt>
                <c:pt idx="347">
                  <c:v>101899.6549707693</c:v>
                </c:pt>
                <c:pt idx="348">
                  <c:v>101700.83634324584</c:v>
                </c:pt>
                <c:pt idx="349">
                  <c:v>101501.29103916924</c:v>
                </c:pt>
                <c:pt idx="350">
                  <c:v>101301.02213779789</c:v>
                </c:pt>
                <c:pt idx="351">
                  <c:v>101100.03304410777</c:v>
                </c:pt>
                <c:pt idx="352">
                  <c:v>100898.32748023662</c:v>
                </c:pt>
                <c:pt idx="353">
                  <c:v>100695.90947697134</c:v>
                </c:pt>
                <c:pt idx="354">
                  <c:v>100492.78336528357</c:v>
                </c:pt>
                <c:pt idx="355">
                  <c:v>100288.95376791734</c:v>
                </c:pt>
                <c:pt idx="356">
                  <c:v>100084.42559103196</c:v>
                </c:pt>
                <c:pt idx="357">
                  <c:v>99879.204015904732</c:v>
                </c:pt>
                <c:pt idx="358">
                  <c:v>99673.294490695669</c:v>
                </c:pt>
                <c:pt idx="359">
                  <c:v>99466.7027222795</c:v>
                </c:pt>
                <c:pt idx="360">
                  <c:v>99259.43466814619</c:v>
                </c:pt>
                <c:pt idx="361">
                  <c:v>99051.496528374584</c:v>
                </c:pt>
                <c:pt idx="362">
                  <c:v>98842.894737681418</c:v>
                </c:pt>
                <c:pt idx="363">
                  <c:v>98633.635957548846</c:v>
                </c:pt>
                <c:pt idx="364">
                  <c:v>98423.727068432898</c:v>
                </c:pt>
                <c:pt idx="365">
                  <c:v>98213.175162055835</c:v>
                </c:pt>
                <c:pt idx="366">
                  <c:v>98001.987533784501</c:v>
                </c:pt>
                <c:pt idx="367">
                  <c:v>97790.171675097343</c:v>
                </c:pt>
                <c:pt idx="368">
                  <c:v>97577.735266141841</c:v>
                </c:pt>
                <c:pt idx="369">
                  <c:v>97364.686168384898</c:v>
                </c:pt>
                <c:pt idx="370">
                  <c:v>97151.032417357681</c:v>
                </c:pt>
                <c:pt idx="371">
                  <c:v>96936.782215497151</c:v>
                </c:pt>
                <c:pt idx="372">
                  <c:v>96721.943925085667</c:v>
                </c:pt>
                <c:pt idx="373">
                  <c:v>96506.52606129022</c:v>
                </c:pt>
                <c:pt idx="374">
                  <c:v>96290.537285303028</c:v>
                </c:pt>
                <c:pt idx="375">
                  <c:v>96073.986397584755</c:v>
                </c:pt>
                <c:pt idx="376">
                  <c:v>95856.88233121128</c:v>
                </c:pt>
                <c:pt idx="377">
                  <c:v>95639.234145325288</c:v>
                </c:pt>
                <c:pt idx="378">
                  <c:v>95421.05101869411</c:v>
                </c:pt>
                <c:pt idx="379">
                  <c:v>95202.342243374005</c:v>
                </c:pt>
                <c:pt idx="380">
                  <c:v>94983.117218482308</c:v>
                </c:pt>
                <c:pt idx="381">
                  <c:v>94763.385444077285</c:v>
                </c:pt>
                <c:pt idx="382">
                  <c:v>94543.156515147784</c:v>
                </c:pt>
                <c:pt idx="383">
                  <c:v>94322.440115711201</c:v>
                </c:pt>
                <c:pt idx="384">
                  <c:v>94101.246013022028</c:v>
                </c:pt>
                <c:pt idx="385">
                  <c:v>93879.584051889935</c:v>
                </c:pt>
                <c:pt idx="386">
                  <c:v>93657.464149108477</c:v>
                </c:pt>
                <c:pt idx="387">
                  <c:v>93434.896287994037</c:v>
                </c:pt>
                <c:pt idx="388">
                  <c:v>93211.890513035149</c:v>
                </c:pt>
                <c:pt idx="389">
                  <c:v>92988.456924652579</c:v>
                </c:pt>
                <c:pt idx="390">
                  <c:v>92764.605674069389</c:v>
                </c:pt>
                <c:pt idx="391">
                  <c:v>92540.346958291397</c:v>
                </c:pt>
                <c:pt idx="392">
                  <c:v>92315.691015197299</c:v>
                </c:pt>
                <c:pt idx="393">
                  <c:v>92090.648118738405</c:v>
                </c:pt>
                <c:pt idx="394">
                  <c:v>91865.228574247609</c:v>
                </c:pt>
                <c:pt idx="395">
                  <c:v>91639.44271385709</c:v>
                </c:pt>
                <c:pt idx="396">
                  <c:v>91413.30089202385</c:v>
                </c:pt>
                <c:pt idx="397">
                  <c:v>91186.813481163059</c:v>
                </c:pt>
                <c:pt idx="398">
                  <c:v>90959.990867388449</c:v>
                </c:pt>
                <c:pt idx="399">
                  <c:v>90732.843446358529</c:v>
                </c:pt>
                <c:pt idx="400">
                  <c:v>90505.38161922872</c:v>
                </c:pt>
                <c:pt idx="401">
                  <c:v>90277.61578870767</c:v>
                </c:pt>
                <c:pt idx="402">
                  <c:v>90049.556355217806</c:v>
                </c:pt>
                <c:pt idx="403">
                  <c:v>89821.213713158591</c:v>
                </c:pt>
                <c:pt idx="404">
                  <c:v>89592.59824727173</c:v>
                </c:pt>
                <c:pt idx="405">
                  <c:v>89363.720329107397</c:v>
                </c:pt>
                <c:pt idx="406">
                  <c:v>89134.590313590292</c:v>
                </c:pt>
                <c:pt idx="407">
                  <c:v>88905.218535685068</c:v>
                </c:pt>
                <c:pt idx="408">
                  <c:v>88675.615307158921</c:v>
                </c:pt>
                <c:pt idx="409">
                  <c:v>88445.790913441291</c:v>
                </c:pt>
                <c:pt idx="410">
                  <c:v>88215.755610578912</c:v>
                </c:pt>
                <c:pt idx="411">
                  <c:v>87985.519622285428</c:v>
                </c:pt>
                <c:pt idx="412">
                  <c:v>87755.09313708391</c:v>
                </c:pt>
                <c:pt idx="413">
                  <c:v>87524.486305541344</c:v>
                </c:pt>
                <c:pt idx="414">
                  <c:v>87293.709237593794</c:v>
                </c:pt>
                <c:pt idx="415">
                  <c:v>87062.771999961042</c:v>
                </c:pt>
                <c:pt idx="416">
                  <c:v>86831.684613649209</c:v>
                </c:pt>
                <c:pt idx="417">
                  <c:v>86600.457051540012</c:v>
                </c:pt>
                <c:pt idx="418">
                  <c:v>86369.099236065784</c:v>
                </c:pt>
                <c:pt idx="419">
                  <c:v>86137.621036968296</c:v>
                </c:pt>
                <c:pt idx="420">
                  <c:v>85906.032269140618</c:v>
                </c:pt>
                <c:pt idx="421">
                  <c:v>85674.342690550067</c:v>
                </c:pt>
                <c:pt idx="422">
                  <c:v>85442.562000241422</c:v>
                </c:pt>
                <c:pt idx="423">
                  <c:v>85210.699836418673</c:v>
                </c:pt>
                <c:pt idx="424">
                  <c:v>84978.765774604079</c:v>
                </c:pt>
                <c:pt idx="425">
                  <c:v>84746.769325873072</c:v>
                </c:pt>
                <c:pt idx="426">
                  <c:v>84514.719935163535</c:v>
                </c:pt>
                <c:pt idx="427">
                  <c:v>84282.626979658453</c:v>
                </c:pt>
                <c:pt idx="428">
                  <c:v>84050.499767239919</c:v>
                </c:pt>
                <c:pt idx="429">
                  <c:v>83818.347535013745</c:v>
                </c:pt>
                <c:pt idx="430">
                  <c:v>83586.179447902643</c:v>
                </c:pt>
                <c:pt idx="431">
                  <c:v>83354.004597307299</c:v>
                </c:pt>
                <c:pt idx="432">
                  <c:v>83121.831999833186</c:v>
                </c:pt>
                <c:pt idx="433">
                  <c:v>82889.670596082535</c:v>
                </c:pt>
                <c:pt idx="434">
                  <c:v>82657.529249509127</c:v>
                </c:pt>
                <c:pt idx="435">
                  <c:v>82425.416745335795</c:v>
                </c:pt>
                <c:pt idx="436">
                  <c:v>82193.34178953174</c:v>
                </c:pt>
                <c:pt idx="437">
                  <c:v>81961.313007849923</c:v>
                </c:pt>
                <c:pt idx="438">
                  <c:v>81729.33894492175</c:v>
                </c:pt>
                <c:pt idx="439">
                  <c:v>81497.428063408777</c:v>
                </c:pt>
                <c:pt idx="440">
                  <c:v>81265.5887432093</c:v>
                </c:pt>
                <c:pt idx="441">
                  <c:v>81033.829280719321</c:v>
                </c:pt>
                <c:pt idx="442">
                  <c:v>80802.157888145724</c:v>
                </c:pt>
                <c:pt idx="443">
                  <c:v>80570.582692871147</c:v>
                </c:pt>
                <c:pt idx="444">
                  <c:v>80339.111736868668</c:v>
                </c:pt>
                <c:pt idx="445">
                  <c:v>80107.752976165619</c:v>
                </c:pt>
                <c:pt idx="446">
                  <c:v>79876.514280354313</c:v>
                </c:pt>
                <c:pt idx="447">
                  <c:v>79645.403432149978</c:v>
                </c:pt>
                <c:pt idx="448">
                  <c:v>79414.428126992876</c:v>
                </c:pt>
                <c:pt idx="449">
                  <c:v>79183.595972694951</c:v>
                </c:pt>
                <c:pt idx="450">
                  <c:v>78952.914489128758</c:v>
                </c:pt>
                <c:pt idx="451">
                  <c:v>78722.391107958087</c:v>
                </c:pt>
                <c:pt idx="452">
                  <c:v>78492.033172408832</c:v>
                </c:pt>
                <c:pt idx="453">
                  <c:v>78261.847937079088</c:v>
                </c:pt>
                <c:pt idx="454">
                  <c:v>78031.842567787215</c:v>
                </c:pt>
                <c:pt idx="455">
                  <c:v>77802.024141456946</c:v>
                </c:pt>
                <c:pt idx="456">
                  <c:v>77572.39964603819</c:v>
                </c:pt>
                <c:pt idx="457">
                  <c:v>77342.975980462768</c:v>
                </c:pt>
                <c:pt idx="458">
                  <c:v>77113.759954633701</c:v>
                </c:pt>
                <c:pt idx="459">
                  <c:v>76884.758289447127</c:v>
                </c:pt>
                <c:pt idx="460">
                  <c:v>76655.977616845877</c:v>
                </c:pt>
                <c:pt idx="461">
                  <c:v>76427.424479903726</c:v>
                </c:pt>
                <c:pt idx="462">
                  <c:v>76199.105332939114</c:v>
                </c:pt>
                <c:pt idx="463">
                  <c:v>75971.026541657498</c:v>
                </c:pt>
                <c:pt idx="464">
                  <c:v>75743.194383321446</c:v>
                </c:pt>
                <c:pt idx="465">
                  <c:v>75515.615046947365</c:v>
                </c:pt>
                <c:pt idx="466">
                  <c:v>75288.294633528174</c:v>
                </c:pt>
                <c:pt idx="467">
                  <c:v>75061.239156280601</c:v>
                </c:pt>
                <c:pt idx="468">
                  <c:v>74834.454540916748</c:v>
                </c:pt>
                <c:pt idx="469">
                  <c:v>74607.946625938581</c:v>
                </c:pt>
                <c:pt idx="470">
                  <c:v>74381.721162954782</c:v>
                </c:pt>
                <c:pt idx="471">
                  <c:v>74155.783817019037</c:v>
                </c:pt>
                <c:pt idx="472">
                  <c:v>73930.140166988815</c:v>
                </c:pt>
                <c:pt idx="473">
                  <c:v>73704.795705904195</c:v>
                </c:pt>
                <c:pt idx="474">
                  <c:v>73479.755841385355</c:v>
                </c:pt>
                <c:pt idx="475">
                  <c:v>73255.02589604861</c:v>
                </c:pt>
                <c:pt idx="476">
                  <c:v>73030.611107939811</c:v>
                </c:pt>
                <c:pt idx="477">
                  <c:v>72806.516630984537</c:v>
                </c:pt>
                <c:pt idx="478">
                  <c:v>72582.74753545424</c:v>
                </c:pt>
                <c:pt idx="479">
                  <c:v>72359.30880844791</c:v>
                </c:pt>
                <c:pt idx="480">
                  <c:v>72136.205354388119</c:v>
                </c:pt>
                <c:pt idx="481">
                  <c:v>71913.441995531335</c:v>
                </c:pt>
                <c:pt idx="482">
                  <c:v>71691.023472491215</c:v>
                </c:pt>
                <c:pt idx="483">
                  <c:v>71468.954444775023</c:v>
                </c:pt>
                <c:pt idx="484">
                  <c:v>71247.23949133158</c:v>
                </c:pt>
                <c:pt idx="485">
                  <c:v>71025.883111111107</c:v>
                </c:pt>
                <c:pt idx="486">
                  <c:v>70804.889723635715</c:v>
                </c:pt>
                <c:pt idx="487">
                  <c:v>70584.263669580148</c:v>
                </c:pt>
                <c:pt idx="488">
                  <c:v>70364.00921136231</c:v>
                </c:pt>
                <c:pt idx="489">
                  <c:v>70144.130533743009</c:v>
                </c:pt>
                <c:pt idx="490">
                  <c:v>69924.631744434068</c:v>
                </c:pt>
                <c:pt idx="491">
                  <c:v>69705.516874714987</c:v>
                </c:pt>
                <c:pt idx="492">
                  <c:v>69486.789880056735</c:v>
                </c:pt>
                <c:pt idx="493">
                  <c:v>69268.454640752941</c:v>
                </c:pt>
                <c:pt idx="494">
                  <c:v>69050.514962557674</c:v>
                </c:pt>
                <c:pt idx="495">
                  <c:v>68832.974577329354</c:v>
                </c:pt>
                <c:pt idx="496">
                  <c:v>68615.837143680255</c:v>
                </c:pt>
                <c:pt idx="497">
                  <c:v>68399.106247631586</c:v>
                </c:pt>
                <c:pt idx="498">
                  <c:v>68182.78540327301</c:v>
                </c:pt>
                <c:pt idx="499">
                  <c:v>67966.878053427063</c:v>
                </c:pt>
                <c:pt idx="500">
                  <c:v>67751.387570317063</c:v>
                </c:pt>
                <c:pt idx="501">
                  <c:v>67536.317256239214</c:v>
                </c:pt>
                <c:pt idx="502">
                  <c:v>67321.670344237456</c:v>
                </c:pt>
                <c:pt idx="503">
                  <c:v>67107.449998781638</c:v>
                </c:pt>
                <c:pt idx="504">
                  <c:v>66893.659316447956</c:v>
                </c:pt>
                <c:pt idx="505">
                  <c:v>66680.301326601533</c:v>
                </c:pt>
                <c:pt idx="506">
                  <c:v>66467.378992081285</c:v>
                </c:pt>
                <c:pt idx="507">
                  <c:v>66254.895209885653</c:v>
                </c:pt>
                <c:pt idx="508">
                  <c:v>66042.85281186027</c:v>
                </c:pt>
                <c:pt idx="509">
                  <c:v>65831.254565385883</c:v>
                </c:pt>
                <c:pt idx="510">
                  <c:v>65620.10317406751</c:v>
                </c:pt>
                <c:pt idx="511">
                  <c:v>65409.4012784234</c:v>
                </c:pt>
                <c:pt idx="512">
                  <c:v>65199.151456574567</c:v>
                </c:pt>
                <c:pt idx="513">
                  <c:v>64989.356224933646</c:v>
                </c:pt>
                <c:pt idx="514">
                  <c:v>64780.01803889373</c:v>
                </c:pt>
                <c:pt idx="515">
                  <c:v>64571.139293516171</c:v>
                </c:pt>
                <c:pt idx="516">
                  <c:v>64362.722324217888</c:v>
                </c:pt>
                <c:pt idx="517">
                  <c:v>64154.769407456894</c:v>
                </c:pt>
                <c:pt idx="518">
                  <c:v>63947.282761417126</c:v>
                </c:pt>
                <c:pt idx="519">
                  <c:v>63740.264546691178</c:v>
                </c:pt>
                <c:pt idx="520">
                  <c:v>63533.716866961615</c:v>
                </c:pt>
                <c:pt idx="521">
                  <c:v>63327.641769679918</c:v>
                </c:pt>
                <c:pt idx="522">
                  <c:v>63122.041246743807</c:v>
                </c:pt>
                <c:pt idx="523">
                  <c:v>62916.917235171546</c:v>
                </c:pt>
                <c:pt idx="524">
                  <c:v>62712.271617774422</c:v>
                </c:pt>
                <c:pt idx="525">
                  <c:v>62508.106223825926</c:v>
                </c:pt>
                <c:pt idx="526">
                  <c:v>62304.422829728559</c:v>
                </c:pt>
                <c:pt idx="527">
                  <c:v>62101.223159677313</c:v>
                </c:pt>
                <c:pt idx="528">
                  <c:v>61898.508886320247</c:v>
                </c:pt>
                <c:pt idx="529">
                  <c:v>61696.281631415637</c:v>
                </c:pt>
                <c:pt idx="530">
                  <c:v>61494.542966485904</c:v>
                </c:pt>
                <c:pt idx="531">
                  <c:v>61293.294413467585</c:v>
                </c:pt>
                <c:pt idx="532">
                  <c:v>61092.53744535827</c:v>
                </c:pt>
                <c:pt idx="533">
                  <c:v>60892.273486859202</c:v>
                </c:pt>
                <c:pt idx="534">
                  <c:v>60692.503915014335</c:v>
                </c:pt>
                <c:pt idx="535">
                  <c:v>60493.230059845242</c:v>
                </c:pt>
                <c:pt idx="536">
                  <c:v>60294.453204982048</c:v>
                </c:pt>
                <c:pt idx="537">
                  <c:v>60096.174588290167</c:v>
                </c:pt>
                <c:pt idx="538">
                  <c:v>59898.395402492679</c:v>
                </c:pt>
                <c:pt idx="539">
                  <c:v>59701.116795788475</c:v>
                </c:pt>
                <c:pt idx="540">
                  <c:v>59504.339872465891</c:v>
                </c:pt>
                <c:pt idx="541">
                  <c:v>59308.065693512021</c:v>
                </c:pt>
                <c:pt idx="542">
                  <c:v>59112.295277217156</c:v>
                </c:pt>
                <c:pt idx="543">
                  <c:v>58917.029599774905</c:v>
                </c:pt>
                <c:pt idx="544">
                  <c:v>58722.269595877391</c:v>
                </c:pt>
                <c:pt idx="545">
                  <c:v>58528.016159305858</c:v>
                </c:pt>
                <c:pt idx="546">
                  <c:v>58334.270143516391</c:v>
                </c:pt>
                <c:pt idx="547">
                  <c:v>58141.032362220729</c:v>
                </c:pt>
                <c:pt idx="548">
                  <c:v>57948.303589962394</c:v>
                </c:pt>
                <c:pt idx="549">
                  <c:v>57756.084562687589</c:v>
                </c:pt>
                <c:pt idx="550">
                  <c:v>57564.375978311393</c:v>
                </c:pt>
                <c:pt idx="551">
                  <c:v>57373.178497278692</c:v>
                </c:pt>
                <c:pt idx="552">
                  <c:v>57182.492743120369</c:v>
                </c:pt>
                <c:pt idx="553">
                  <c:v>56992.319303004027</c:v>
                </c:pt>
                <c:pt idx="554">
                  <c:v>56802.65872828009</c:v>
                </c:pt>
                <c:pt idx="555">
                  <c:v>56613.511535022284</c:v>
                </c:pt>
                <c:pt idx="556">
                  <c:v>56424.878204563414</c:v>
                </c:pt>
                <c:pt idx="557">
                  <c:v>56236.759184025635</c:v>
                </c:pt>
                <c:pt idx="558">
                  <c:v>56049.154886845892</c:v>
                </c:pt>
                <c:pt idx="559">
                  <c:v>55862.065693295845</c:v>
                </c:pt>
                <c:pt idx="560">
                  <c:v>55675.491950996802</c:v>
                </c:pt>
                <c:pt idx="561">
                  <c:v>55489.433975429412</c:v>
                </c:pt>
                <c:pt idx="562">
                  <c:v>55303.892050438248</c:v>
                </c:pt>
                <c:pt idx="563">
                  <c:v>55118.866428730886</c:v>
                </c:pt>
                <c:pt idx="564">
                  <c:v>54934.357332372172</c:v>
                </c:pt>
                <c:pt idx="565">
                  <c:v>54750.364953272932</c:v>
                </c:pt>
                <c:pt idx="566">
                  <c:v>54566.889453673859</c:v>
                </c:pt>
                <c:pt idx="567">
                  <c:v>54383.930966623739</c:v>
                </c:pt>
                <c:pt idx="568">
                  <c:v>54201.489596452979</c:v>
                </c:pt>
                <c:pt idx="569">
                  <c:v>54019.565419241531</c:v>
                </c:pt>
                <c:pt idx="570">
                  <c:v>53838.158483282052</c:v>
                </c:pt>
                <c:pt idx="571">
                  <c:v>53657.268809537476</c:v>
                </c:pt>
                <c:pt idx="572">
                  <c:v>53476.896392093862</c:v>
                </c:pt>
                <c:pt idx="573">
                  <c:v>53297.041198607832</c:v>
                </c:pt>
                <c:pt idx="574">
                  <c:v>53117.703170749119</c:v>
                </c:pt>
                <c:pt idx="575">
                  <c:v>52938.882224637746</c:v>
                </c:pt>
                <c:pt idx="576">
                  <c:v>52760.578251276442</c:v>
                </c:pt>
                <c:pt idx="577">
                  <c:v>52582.791116977874</c:v>
                </c:pt>
                <c:pt idx="578">
                  <c:v>52405.520663786767</c:v>
                </c:pt>
                <c:pt idx="579">
                  <c:v>52228.766709897238</c:v>
                </c:pt>
                <c:pt idx="580">
                  <c:v>52052.529050064943</c:v>
                </c:pt>
                <c:pt idx="581">
                  <c:v>51876.807456014387</c:v>
                </c:pt>
                <c:pt idx="582">
                  <c:v>51701.601676841296</c:v>
                </c:pt>
                <c:pt idx="583">
                  <c:v>51526.911439410163</c:v>
                </c:pt>
                <c:pt idx="584">
                  <c:v>51352.736448746662</c:v>
                </c:pt>
                <c:pt idx="585">
                  <c:v>51179.076388425652</c:v>
                </c:pt>
                <c:pt idx="586">
                  <c:v>51005.93092095387</c:v>
                </c:pt>
                <c:pt idx="587">
                  <c:v>50833.299688148385</c:v>
                </c:pt>
                <c:pt idx="588">
                  <c:v>50661.182311509801</c:v>
                </c:pt>
                <c:pt idx="589">
                  <c:v>50489.578392591095</c:v>
                </c:pt>
                <c:pt idx="590">
                  <c:v>50318.487513361586</c:v>
                </c:pt>
                <c:pt idx="591">
                  <c:v>50147.909236566462</c:v>
                </c:pt>
                <c:pt idx="592">
                  <c:v>49977.843106081345</c:v>
                </c:pt>
                <c:pt idx="593">
                  <c:v>49808.288647262721</c:v>
                </c:pt>
                <c:pt idx="594">
                  <c:v>49639.245367293363</c:v>
                </c:pt>
                <c:pt idx="595">
                  <c:v>49470.712755523688</c:v>
                </c:pt>
                <c:pt idx="596">
                  <c:v>49302.690283808261</c:v>
                </c:pt>
                <c:pt idx="597">
                  <c:v>49135.177406838156</c:v>
                </c:pt>
                <c:pt idx="598">
                  <c:v>48968.173562468677</c:v>
                </c:pt>
                <c:pt idx="599">
                  <c:v>48801.678172042972</c:v>
                </c:pt>
                <c:pt idx="600">
                  <c:v>48635.690640711073</c:v>
                </c:pt>
                <c:pt idx="601">
                  <c:v>48470.210357744741</c:v>
                </c:pt>
                <c:pt idx="602">
                  <c:v>48305.236696848209</c:v>
                </c:pt>
                <c:pt idx="603">
                  <c:v>48140.769016464437</c:v>
                </c:pt>
                <c:pt idx="604">
                  <c:v>47976.806660077447</c:v>
                </c:pt>
                <c:pt idx="605">
                  <c:v>47813.348956510323</c:v>
                </c:pt>
                <c:pt idx="606">
                  <c:v>47650.395220219252</c:v>
                </c:pt>
                <c:pt idx="607">
                  <c:v>47487.944751583454</c:v>
                </c:pt>
                <c:pt idx="608">
                  <c:v>47325.996837191175</c:v>
                </c:pt>
                <c:pt idx="609">
                  <c:v>47164.550750121423</c:v>
                </c:pt>
                <c:pt idx="610">
                  <c:v>47003.605750222217</c:v>
                </c:pt>
                <c:pt idx="611">
                  <c:v>46843.161084384476</c:v>
                </c:pt>
                <c:pt idx="612">
                  <c:v>46683.215986812364</c:v>
                </c:pt>
                <c:pt idx="613">
                  <c:v>46523.769679289697</c:v>
                </c:pt>
                <c:pt idx="614">
                  <c:v>46364.821371442486</c:v>
                </c:pt>
                <c:pt idx="615">
                  <c:v>46206.370260997886</c:v>
                </c:pt>
                <c:pt idx="616">
                  <c:v>46048.415534039428</c:v>
                </c:pt>
                <c:pt idx="617">
                  <c:v>45890.956365258331</c:v>
                </c:pt>
                <c:pt idx="618">
                  <c:v>45733.991918201631</c:v>
                </c:pt>
                <c:pt idx="619">
                  <c:v>45577.521345516252</c:v>
                </c:pt>
                <c:pt idx="620">
                  <c:v>45421.543789189906</c:v>
                </c:pt>
                <c:pt idx="621">
                  <c:v>45266.058380788229</c:v>
                </c:pt>
                <c:pt idx="622">
                  <c:v>45111.064241688553</c:v>
                </c:pt>
                <c:pt idx="623">
                  <c:v>44956.560483310255</c:v>
                </c:pt>
                <c:pt idx="624">
                  <c:v>44802.546207341744</c:v>
                </c:pt>
                <c:pt idx="625">
                  <c:v>44649.020505963839</c:v>
                </c:pt>
                <c:pt idx="626">
                  <c:v>44495.982462070257</c:v>
                </c:pt>
                <c:pt idx="627">
                  <c:v>44343.431149484437</c:v>
                </c:pt>
                <c:pt idx="628">
                  <c:v>44191.365633173249</c:v>
                </c:pt>
                <c:pt idx="629">
                  <c:v>44039.784969457687</c:v>
                </c:pt>
                <c:pt idx="630">
                  <c:v>43888.688206220024</c:v>
                </c:pt>
                <c:pt idx="631">
                  <c:v>43738.074383108134</c:v>
                </c:pt>
                <c:pt idx="632">
                  <c:v>43587.942531736655</c:v>
                </c:pt>
                <c:pt idx="633">
                  <c:v>43438.291675884953</c:v>
                </c:pt>
                <c:pt idx="634">
                  <c:v>43289.120831692344</c:v>
                </c:pt>
                <c:pt idx="635">
                  <c:v>43140.429007849947</c:v>
                </c:pt>
                <c:pt idx="636">
                  <c:v>42992.215205789966</c:v>
                </c:pt>
                <c:pt idx="637">
                  <c:v>42844.478419871892</c:v>
                </c:pt>
                <c:pt idx="638">
                  <c:v>42697.217637565758</c:v>
                </c:pt>
                <c:pt idx="639">
                  <c:v>42550.431839632663</c:v>
                </c:pt>
                <c:pt idx="640">
                  <c:v>42404.120000302551</c:v>
                </c:pt>
                <c:pt idx="641">
                  <c:v>42258.281087448951</c:v>
                </c:pt>
                <c:pt idx="642">
                  <c:v>42112.914062761331</c:v>
                </c:pt>
                <c:pt idx="643">
                  <c:v>41968.0178819145</c:v>
                </c:pt>
                <c:pt idx="644">
                  <c:v>41823.591494735389</c:v>
                </c:pt>
                <c:pt idx="645">
                  <c:v>41679.633845367345</c:v>
                </c:pt>
                <c:pt idx="646">
                  <c:v>41536.143872431589</c:v>
                </c:pt>
                <c:pt idx="647">
                  <c:v>41393.120509186294</c:v>
                </c:pt>
                <c:pt idx="648">
                  <c:v>41250.5626836831</c:v>
                </c:pt>
                <c:pt idx="649">
                  <c:v>41108.469318921023</c:v>
                </c:pt>
                <c:pt idx="650">
                  <c:v>40966.839332998024</c:v>
                </c:pt>
                <c:pt idx="651">
                  <c:v>40825.671639260072</c:v>
                </c:pt>
                <c:pt idx="652">
                  <c:v>40684.965146447808</c:v>
                </c:pt>
                <c:pt idx="653">
                  <c:v>40544.718758840841</c:v>
                </c:pt>
                <c:pt idx="654">
                  <c:v>40404.9313763998</c:v>
                </c:pt>
                <c:pt idx="655">
                  <c:v>40265.601894905849</c:v>
                </c:pt>
                <c:pt idx="656">
                  <c:v>40126.729206098171</c:v>
                </c:pt>
                <c:pt idx="657">
                  <c:v>39988.312197809049</c:v>
                </c:pt>
                <c:pt idx="658">
                  <c:v>39850.349754096824</c:v>
                </c:pt>
                <c:pt idx="659">
                  <c:v>39712.840755376506</c:v>
                </c:pt>
                <c:pt idx="660">
                  <c:v>39575.784078548451</c:v>
                </c:pt>
                <c:pt idx="661">
                  <c:v>39439.178597124752</c:v>
                </c:pt>
                <c:pt idx="662">
                  <c:v>39303.023181353616</c:v>
                </c:pt>
                <c:pt idx="663">
                  <c:v>39167.316698341492</c:v>
                </c:pt>
                <c:pt idx="664">
                  <c:v>39032.058012173497</c:v>
                </c:pt>
                <c:pt idx="665">
                  <c:v>38897.245984031404</c:v>
                </c:pt>
                <c:pt idx="666">
                  <c:v>38762.879472310065</c:v>
                </c:pt>
                <c:pt idx="667">
                  <c:v>38628.957332731494</c:v>
                </c:pt>
                <c:pt idx="668">
                  <c:v>38495.478418457285</c:v>
                </c:pt>
                <c:pt idx="669">
                  <c:v>38362.441580199033</c:v>
                </c:pt>
                <c:pt idx="670">
                  <c:v>38229.845666326881</c:v>
                </c:pt>
                <c:pt idx="671">
                  <c:v>38097.689522976121</c:v>
                </c:pt>
                <c:pt idx="672">
                  <c:v>37965.971994152213</c:v>
                </c:pt>
                <c:pt idx="673">
                  <c:v>37834.69192183367</c:v>
                </c:pt>
                <c:pt idx="674">
                  <c:v>37703.848146073527</c:v>
                </c:pt>
                <c:pt idx="675">
                  <c:v>37573.439505098715</c:v>
                </c:pt>
                <c:pt idx="676">
                  <c:v>37443.464835407998</c:v>
                </c:pt>
                <c:pt idx="677">
                  <c:v>37313.922971868022</c:v>
                </c:pt>
                <c:pt idx="678">
                  <c:v>37184.812747807766</c:v>
                </c:pt>
                <c:pt idx="679">
                  <c:v>37056.132995111322</c:v>
                </c:pt>
                <c:pt idx="680">
                  <c:v>36927.882544309119</c:v>
                </c:pt>
                <c:pt idx="681">
                  <c:v>36800.060224667381</c:v>
                </c:pt>
                <c:pt idx="682">
                  <c:v>36672.664864276099</c:v>
                </c:pt>
                <c:pt idx="683">
                  <c:v>36545.695290135562</c:v>
                </c:pt>
                <c:pt idx="684">
                  <c:v>36419.150328241121</c:v>
                </c:pt>
                <c:pt idx="685">
                  <c:v>36293.02880366661</c:v>
                </c:pt>
                <c:pt idx="686">
                  <c:v>36167.329540646148</c:v>
                </c:pt>
                <c:pt idx="687">
                  <c:v>36042.051362654674</c:v>
                </c:pt>
                <c:pt idx="688">
                  <c:v>35917.193092486821</c:v>
                </c:pt>
                <c:pt idx="689">
                  <c:v>35792.75355233442</c:v>
                </c:pt>
                <c:pt idx="690">
                  <c:v>35668.731563862646</c:v>
                </c:pt>
                <c:pt idx="691">
                  <c:v>35545.12594828484</c:v>
                </c:pt>
                <c:pt idx="692">
                  <c:v>35421.935526435787</c:v>
                </c:pt>
                <c:pt idx="693">
                  <c:v>35299.159118843767</c:v>
                </c:pt>
                <c:pt idx="694">
                  <c:v>35176.795545801302</c:v>
                </c:pt>
                <c:pt idx="695">
                  <c:v>35054.843627434544</c:v>
                </c:pt>
                <c:pt idx="696">
                  <c:v>34933.302183771426</c:v>
                </c:pt>
                <c:pt idx="697">
                  <c:v>34812.170034808427</c:v>
                </c:pt>
                <c:pt idx="698">
                  <c:v>34691.446000576281</c:v>
                </c:pt>
                <c:pt idx="699">
                  <c:v>34571.128901204342</c:v>
                </c:pt>
                <c:pt idx="700">
                  <c:v>34451.217556983705</c:v>
                </c:pt>
                <c:pt idx="701">
                  <c:v>34331.710788429256</c:v>
                </c:pt>
                <c:pt idx="702">
                  <c:v>34212.607416340434</c:v>
                </c:pt>
                <c:pt idx="703">
                  <c:v>34093.906261860939</c:v>
                </c:pt>
                <c:pt idx="704">
                  <c:v>33975.606146537219</c:v>
                </c:pt>
                <c:pt idx="705">
                  <c:v>33857.705892375881</c:v>
                </c:pt>
                <c:pt idx="706">
                  <c:v>33740.204321899968</c:v>
                </c:pt>
                <c:pt idx="707">
                  <c:v>33623.100258204184</c:v>
                </c:pt>
                <c:pt idx="708">
                  <c:v>33506.392525009105</c:v>
                </c:pt>
                <c:pt idx="709">
                  <c:v>33390.079946714162</c:v>
                </c:pt>
                <c:pt idx="710">
                  <c:v>33274.161348449743</c:v>
                </c:pt>
                <c:pt idx="711">
                  <c:v>33158.635556128254</c:v>
                </c:pt>
                <c:pt idx="712">
                  <c:v>33043.501396494161</c:v>
                </c:pt>
                <c:pt idx="713">
                  <c:v>32928.757697172921</c:v>
                </c:pt>
                <c:pt idx="714">
                  <c:v>32814.403286719222</c:v>
                </c:pt>
                <c:pt idx="715">
                  <c:v>32700.436994663891</c:v>
                </c:pt>
                <c:pt idx="716">
                  <c:v>32586.857651560309</c:v>
                </c:pt>
                <c:pt idx="717">
                  <c:v>32473.664089029397</c:v>
                </c:pt>
                <c:pt idx="718">
                  <c:v>32360.855139804105</c:v>
                </c:pt>
                <c:pt idx="719">
                  <c:v>32248.429637772795</c:v>
                </c:pt>
                <c:pt idx="720">
                  <c:v>32136.386418021786</c:v>
                </c:pt>
                <c:pt idx="721">
                  <c:v>32024.724316876964</c:v>
                </c:pt>
                <c:pt idx="722">
                  <c:v>31913.442171944676</c:v>
                </c:pt>
                <c:pt idx="723">
                  <c:v>31802.538822151615</c:v>
                </c:pt>
                <c:pt idx="724">
                  <c:v>31692.013107784063</c:v>
                </c:pt>
                <c:pt idx="725">
                  <c:v>31581.863870526089</c:v>
                </c:pt>
                <c:pt idx="726">
                  <c:v>31472.089953497103</c:v>
                </c:pt>
                <c:pt idx="727">
                  <c:v>31362.690201288642</c:v>
                </c:pt>
                <c:pt idx="728">
                  <c:v>31253.663460000185</c:v>
                </c:pt>
                <c:pt idx="729">
                  <c:v>31145.008577274468</c:v>
                </c:pt>
                <c:pt idx="730">
                  <c:v>31036.724402331773</c:v>
                </c:pt>
                <c:pt idx="731">
                  <c:v>30928.809786003672</c:v>
                </c:pt>
                <c:pt idx="732">
                  <c:v>30821.263580765964</c:v>
                </c:pt>
                <c:pt idx="733">
                  <c:v>30714.084640770936</c:v>
                </c:pt>
                <c:pt idx="734">
                  <c:v>30607.271821878774</c:v>
                </c:pt>
                <c:pt idx="735">
                  <c:v>30500.823981688543</c:v>
                </c:pt>
                <c:pt idx="736">
                  <c:v>30394.739979568163</c:v>
                </c:pt>
                <c:pt idx="737">
                  <c:v>30289.018676684038</c:v>
                </c:pt>
                <c:pt idx="738">
                  <c:v>30183.658936029697</c:v>
                </c:pt>
                <c:pt idx="739">
                  <c:v>30078.659622454059</c:v>
                </c:pt>
                <c:pt idx="740">
                  <c:v>29974.01960268891</c:v>
                </c:pt>
                <c:pt idx="741">
                  <c:v>29869.737745375776</c:v>
                </c:pt>
                <c:pt idx="742">
                  <c:v>29765.812921092172</c:v>
                </c:pt>
                <c:pt idx="743">
                  <c:v>29662.24400237732</c:v>
                </c:pt>
                <c:pt idx="744">
                  <c:v>29559.029863757049</c:v>
                </c:pt>
                <c:pt idx="745">
                  <c:v>29456.169381768461</c:v>
                </c:pt>
                <c:pt idx="746">
                  <c:v>29353.661434983602</c:v>
                </c:pt>
                <c:pt idx="747">
                  <c:v>29251.504904032903</c:v>
                </c:pt>
                <c:pt idx="748">
                  <c:v>29149.69867162787</c:v>
                </c:pt>
                <c:pt idx="749">
                  <c:v>29048.241622583315</c:v>
                </c:pt>
                <c:pt idx="750">
                  <c:v>28947.132643838941</c:v>
                </c:pt>
                <c:pt idx="751">
                  <c:v>28846.370624480562</c:v>
                </c:pt>
                <c:pt idx="752">
                  <c:v>28745.954455760566</c:v>
                </c:pt>
                <c:pt idx="753">
                  <c:v>28645.883031118057</c:v>
                </c:pt>
                <c:pt idx="754">
                  <c:v>28546.155246198472</c:v>
                </c:pt>
                <c:pt idx="755">
                  <c:v>28446.769998872544</c:v>
                </c:pt>
                <c:pt idx="756">
                  <c:v>28347.7261892549</c:v>
                </c:pt>
                <c:pt idx="757">
                  <c:v>28249.022719722259</c:v>
                </c:pt>
                <c:pt idx="758">
                  <c:v>28150.658494930885</c:v>
                </c:pt>
                <c:pt idx="759">
                  <c:v>28052.632421833889</c:v>
                </c:pt>
                <c:pt idx="760">
                  <c:v>27954.943409697818</c:v>
                </c:pt>
                <c:pt idx="761">
                  <c:v>27857.590370118924</c:v>
                </c:pt>
                <c:pt idx="762">
                  <c:v>27760.572217039015</c:v>
                </c:pt>
                <c:pt idx="763">
                  <c:v>27663.887866760746</c:v>
                </c:pt>
                <c:pt idx="764">
                  <c:v>27567.536237962562</c:v>
                </c:pt>
                <c:pt idx="765">
                  <c:v>27471.516251713289</c:v>
                </c:pt>
                <c:pt idx="766">
                  <c:v>27375.826831486109</c:v>
                </c:pt>
                <c:pt idx="767">
                  <c:v>27280.466903172379</c:v>
                </c:pt>
                <c:pt idx="768">
                  <c:v>27185.435395094813</c:v>
                </c:pt>
                <c:pt idx="769">
                  <c:v>27090.731238020435</c:v>
                </c:pt>
                <c:pt idx="770">
                  <c:v>26996.353365173123</c:v>
                </c:pt>
                <c:pt idx="771">
                  <c:v>26902.300712245673</c:v>
                </c:pt>
                <c:pt idx="772">
                  <c:v>26808.572217411587</c:v>
                </c:pt>
                <c:pt idx="773">
                  <c:v>26715.166821336505</c:v>
                </c:pt>
                <c:pt idx="774">
                  <c:v>26622.083467189168</c:v>
                </c:pt>
                <c:pt idx="775">
                  <c:v>26529.321100652156</c:v>
                </c:pt>
                <c:pt idx="776">
                  <c:v>26436.878669932201</c:v>
                </c:pt>
                <c:pt idx="777">
                  <c:v>26344.755125770153</c:v>
                </c:pt>
                <c:pt idx="778">
                  <c:v>26252.949421450656</c:v>
                </c:pt>
                <c:pt idx="779">
                  <c:v>26161.4605128115</c:v>
                </c:pt>
                <c:pt idx="780">
                  <c:v>26070.287358252543</c:v>
                </c:pt>
                <c:pt idx="781">
                  <c:v>25979.428918744492</c:v>
                </c:pt>
                <c:pt idx="782">
                  <c:v>25888.884157837176</c:v>
                </c:pt>
                <c:pt idx="783">
                  <c:v>25798.652041667679</c:v>
                </c:pt>
                <c:pt idx="784">
                  <c:v>25708.731538968052</c:v>
                </c:pt>
                <c:pt idx="785">
                  <c:v>25619.121621072809</c:v>
                </c:pt>
                <c:pt idx="786">
                  <c:v>25529.821261926059</c:v>
                </c:pt>
                <c:pt idx="787">
                  <c:v>25440.829438088458</c:v>
                </c:pt>
                <c:pt idx="788">
                  <c:v>25352.145128743727</c:v>
                </c:pt>
                <c:pt idx="789">
                  <c:v>25263.767315705074</c:v>
                </c:pt>
                <c:pt idx="790">
                  <c:v>25175.694983421137</c:v>
                </c:pt>
                <c:pt idx="791">
                  <c:v>25087.927118981923</c:v>
                </c:pt>
                <c:pt idx="792">
                  <c:v>25000.462712124194</c:v>
                </c:pt>
                <c:pt idx="793">
                  <c:v>24913.300755236814</c:v>
                </c:pt>
                <c:pt idx="794">
                  <c:v>24826.440243365756</c:v>
                </c:pt>
                <c:pt idx="795">
                  <c:v>24739.880174218921</c:v>
                </c:pt>
                <c:pt idx="796">
                  <c:v>24653.619548170554</c:v>
                </c:pt>
                <c:pt idx="797">
                  <c:v>24567.657368265689</c:v>
                </c:pt>
                <c:pt idx="798">
                  <c:v>24481.992640224045</c:v>
                </c:pt>
                <c:pt idx="799">
                  <c:v>24396.624372444017</c:v>
                </c:pt>
                <c:pt idx="800">
                  <c:v>24311.551576006128</c:v>
                </c:pt>
                <c:pt idx="801">
                  <c:v>24226.773264676529</c:v>
                </c:pt>
                <c:pt idx="802">
                  <c:v>24142.288454910085</c:v>
                </c:pt>
                <c:pt idx="803">
                  <c:v>24058.096165853356</c:v>
                </c:pt>
                <c:pt idx="804">
                  <c:v>23974.195419347358</c:v>
                </c:pt>
                <c:pt idx="805">
                  <c:v>23890.585239930046</c:v>
                </c:pt>
                <c:pt idx="806">
                  <c:v>23807.264654838702</c:v>
                </c:pt>
                <c:pt idx="807">
                  <c:v>23724.232694012047</c:v>
                </c:pt>
                <c:pt idx="808">
                  <c:v>23641.488390092163</c:v>
                </c:pt>
                <c:pt idx="809">
                  <c:v>23559.030778426273</c:v>
                </c:pt>
                <c:pt idx="810">
                  <c:v>23476.858897068283</c:v>
                </c:pt>
                <c:pt idx="811">
                  <c:v>23394.971786780177</c:v>
                </c:pt>
                <c:pt idx="812">
                  <c:v>23313.368491033234</c:v>
                </c:pt>
                <c:pt idx="813">
                  <c:v>23232.048056009</c:v>
                </c:pt>
                <c:pt idx="814">
                  <c:v>23151.009530600171</c:v>
                </c:pt>
                <c:pt idx="815">
                  <c:v>23070.251966411306</c:v>
                </c:pt>
                <c:pt idx="816">
                  <c:v>22989.774417759265</c:v>
                </c:pt>
                <c:pt idx="817">
                  <c:v>22909.575941673607</c:v>
                </c:pt>
                <c:pt idx="818">
                  <c:v>22829.655597896784</c:v>
                </c:pt>
                <c:pt idx="819">
                  <c:v>22750.012448884136</c:v>
                </c:pt>
                <c:pt idx="820">
                  <c:v>22670.645559803834</c:v>
                </c:pt>
                <c:pt idx="821">
                  <c:v>22591.553998536529</c:v>
                </c:pt>
                <c:pt idx="822">
                  <c:v>22512.73683567499</c:v>
                </c:pt>
                <c:pt idx="823">
                  <c:v>22434.193144523524</c:v>
                </c:pt>
                <c:pt idx="824">
                  <c:v>22355.922001097231</c:v>
                </c:pt>
                <c:pt idx="825">
                  <c:v>22277.922484121209</c:v>
                </c:pt>
                <c:pt idx="826">
                  <c:v>22200.193675029532</c:v>
                </c:pt>
                <c:pt idx="827">
                  <c:v>22122.734657964131</c:v>
                </c:pt>
                <c:pt idx="828">
                  <c:v>22045.544519773586</c:v>
                </c:pt>
                <c:pt idx="829">
                  <c:v>21968.622350011683</c:v>
                </c:pt>
                <c:pt idx="830">
                  <c:v>21891.967240935919</c:v>
                </c:pt>
                <c:pt idx="831">
                  <c:v>21815.578287505963</c:v>
                </c:pt>
                <c:pt idx="832">
                  <c:v>21739.45458738177</c:v>
                </c:pt>
                <c:pt idx="833">
                  <c:v>21663.595240921779</c:v>
                </c:pt>
                <c:pt idx="834">
                  <c:v>21587.999351180926</c:v>
                </c:pt>
                <c:pt idx="835">
                  <c:v>21512.666023908532</c:v>
                </c:pt>
                <c:pt idx="836">
                  <c:v>21437.594367546117</c:v>
                </c:pt>
                <c:pt idx="837">
                  <c:v>21362.783493225026</c:v>
                </c:pt>
                <c:pt idx="838">
                  <c:v>21288.232514764033</c:v>
                </c:pt>
                <c:pt idx="839">
                  <c:v>21213.940548666844</c:v>
                </c:pt>
                <c:pt idx="840">
                  <c:v>21139.90671411937</c:v>
                </c:pt>
                <c:pt idx="841">
                  <c:v>21066.130132987062</c:v>
                </c:pt>
                <c:pt idx="842">
                  <c:v>20992.60992981205</c:v>
                </c:pt>
                <c:pt idx="843">
                  <c:v>20919.345231810225</c:v>
                </c:pt>
                <c:pt idx="844">
                  <c:v>20846.33516886818</c:v>
                </c:pt>
                <c:pt idx="845">
                  <c:v>20773.578873540158</c:v>
                </c:pt>
                <c:pt idx="846">
                  <c:v>20701.075481044725</c:v>
                </c:pt>
                <c:pt idx="847">
                  <c:v>20628.824129261644</c:v>
                </c:pt>
                <c:pt idx="848">
                  <c:v>20556.823958728324</c:v>
                </c:pt>
                <c:pt idx="849">
                  <c:v>20485.074112636452</c:v>
                </c:pt>
                <c:pt idx="850">
                  <c:v>20413.573736828395</c:v>
                </c:pt>
                <c:pt idx="851">
                  <c:v>20342.3219797936</c:v>
                </c:pt>
                <c:pt idx="852">
                  <c:v>20271.317992664877</c:v>
                </c:pt>
                <c:pt idx="853">
                  <c:v>20200.560929214585</c:v>
                </c:pt>
                <c:pt idx="854">
                  <c:v>20130.049945850806</c:v>
                </c:pt>
                <c:pt idx="855">
                  <c:v>20059.784201613344</c:v>
                </c:pt>
                <c:pt idx="856">
                  <c:v>19989.762858169848</c:v>
                </c:pt>
                <c:pt idx="857">
                  <c:v>19919.985079811566</c:v>
                </c:pt>
                <c:pt idx="858">
                  <c:v>19850.45003344928</c:v>
                </c:pt>
                <c:pt idx="859">
                  <c:v>19781.156888609108</c:v>
                </c:pt>
                <c:pt idx="860">
                  <c:v>19712.104817428186</c:v>
                </c:pt>
                <c:pt idx="861">
                  <c:v>19643.292994650317</c:v>
                </c:pt>
                <c:pt idx="862">
                  <c:v>19574.720597621588</c:v>
                </c:pt>
                <c:pt idx="863">
                  <c:v>19506.386806285856</c:v>
                </c:pt>
                <c:pt idx="864">
                  <c:v>19438.290803180298</c:v>
                </c:pt>
                <c:pt idx="865">
                  <c:v>19370.431773430726</c:v>
                </c:pt>
                <c:pt idx="866">
                  <c:v>19302.808904746988</c:v>
                </c:pt>
                <c:pt idx="867">
                  <c:v>19235.421387418257</c:v>
                </c:pt>
                <c:pt idx="868">
                  <c:v>19168.268414308295</c:v>
                </c:pt>
                <c:pt idx="869">
                  <c:v>19101.34918085063</c:v>
                </c:pt>
                <c:pt idx="870">
                  <c:v>19034.662885043654</c:v>
                </c:pt>
                <c:pt idx="871">
                  <c:v>18968.208727445766</c:v>
                </c:pt>
                <c:pt idx="872">
                  <c:v>18901.985911170428</c:v>
                </c:pt>
                <c:pt idx="873">
                  <c:v>18835.993641881087</c:v>
                </c:pt>
                <c:pt idx="874">
                  <c:v>18770.231127786155</c:v>
                </c:pt>
                <c:pt idx="875">
                  <c:v>18704.697579633907</c:v>
                </c:pt>
                <c:pt idx="876">
                  <c:v>18639.392210707367</c:v>
                </c:pt>
                <c:pt idx="877">
                  <c:v>18574.314236819049</c:v>
                </c:pt>
                <c:pt idx="878">
                  <c:v>18509.46287630581</c:v>
                </c:pt>
                <c:pt idx="879">
                  <c:v>18444.837350023499</c:v>
                </c:pt>
                <c:pt idx="880">
                  <c:v>18380.43688134171</c:v>
                </c:pt>
                <c:pt idx="881">
                  <c:v>18316.260696138434</c:v>
                </c:pt>
                <c:pt idx="882">
                  <c:v>18252.308022794594</c:v>
                </c:pt>
                <c:pt idx="883">
                  <c:v>18188.578092188698</c:v>
                </c:pt>
                <c:pt idx="884">
                  <c:v>18125.070137691393</c:v>
                </c:pt>
                <c:pt idx="885">
                  <c:v>18061.783395159888</c:v>
                </c:pt>
                <c:pt idx="886">
                  <c:v>17998.717102932485</c:v>
                </c:pt>
                <c:pt idx="887">
                  <c:v>17935.870501823054</c:v>
                </c:pt>
                <c:pt idx="888">
                  <c:v>17873.242835115336</c:v>
                </c:pt>
                <c:pt idx="889">
                  <c:v>17810.833348557466</c:v>
                </c:pt>
                <c:pt idx="890">
                  <c:v>17748.641290356172</c:v>
                </c:pt>
                <c:pt idx="891">
                  <c:v>17686.6659111712</c:v>
                </c:pt>
                <c:pt idx="892">
                  <c:v>17624.906464109568</c:v>
                </c:pt>
                <c:pt idx="893">
                  <c:v>17563.362204719841</c:v>
                </c:pt>
                <c:pt idx="894">
                  <c:v>17502.032390986355</c:v>
                </c:pt>
                <c:pt idx="895">
                  <c:v>17440.916283323451</c:v>
                </c:pt>
                <c:pt idx="896">
                  <c:v>17380.013144569632</c:v>
                </c:pt>
                <c:pt idx="897">
                  <c:v>17319.322239981801</c:v>
                </c:pt>
                <c:pt idx="898">
                  <c:v>17258.842837229324</c:v>
                </c:pt>
                <c:pt idx="899">
                  <c:v>17198.574206388166</c:v>
                </c:pt>
                <c:pt idx="900">
                  <c:v>17138.515619935049</c:v>
                </c:pt>
                <c:pt idx="901">
                  <c:v>17078.666352741446</c:v>
                </c:pt>
                <c:pt idx="902">
                  <c:v>17019.02568206771</c:v>
                </c:pt>
                <c:pt idx="903">
                  <c:v>16959.59288755709</c:v>
                </c:pt>
                <c:pt idx="904">
                  <c:v>16900.367251229709</c:v>
                </c:pt>
                <c:pt idx="905">
                  <c:v>16841.348057476665</c:v>
                </c:pt>
                <c:pt idx="906">
                  <c:v>16782.53459305393</c:v>
                </c:pt>
                <c:pt idx="907">
                  <c:v>16723.926147076359</c:v>
                </c:pt>
                <c:pt idx="908">
                  <c:v>16665.522011011639</c:v>
                </c:pt>
                <c:pt idx="909">
                  <c:v>16607.321478674232</c:v>
                </c:pt>
                <c:pt idx="910">
                  <c:v>16549.323846219286</c:v>
                </c:pt>
                <c:pt idx="911">
                  <c:v>16491.528412136573</c:v>
                </c:pt>
                <c:pt idx="912">
                  <c:v>16433.934477244358</c:v>
                </c:pt>
                <c:pt idx="913">
                  <c:v>16376.541344683321</c:v>
                </c:pt>
                <c:pt idx="914">
                  <c:v>16319.348319910408</c:v>
                </c:pt>
                <c:pt idx="915">
                  <c:v>16262.354710692687</c:v>
                </c:pt>
                <c:pt idx="916">
                  <c:v>16205.559827101222</c:v>
                </c:pt>
                <c:pt idx="917">
                  <c:v>16148.962981504901</c:v>
                </c:pt>
                <c:pt idx="918">
                  <c:v>16092.563488564279</c:v>
                </c:pt>
                <c:pt idx="919">
                  <c:v>16036.360665225389</c:v>
                </c:pt>
                <c:pt idx="920">
                  <c:v>15980.353830713564</c:v>
                </c:pt>
                <c:pt idx="921">
                  <c:v>15924.54230652725</c:v>
                </c:pt>
                <c:pt idx="922">
                  <c:v>15868.92541643181</c:v>
                </c:pt>
                <c:pt idx="923">
                  <c:v>15813.50248645329</c:v>
                </c:pt>
                <c:pt idx="924">
                  <c:v>15758.272844872236</c:v>
                </c:pt>
                <c:pt idx="925">
                  <c:v>15703.235822217453</c:v>
                </c:pt>
                <c:pt idx="926">
                  <c:v>15648.390751259785</c:v>
                </c:pt>
                <c:pt idx="927">
                  <c:v>15593.736967005894</c:v>
                </c:pt>
                <c:pt idx="928">
                  <c:v>15539.273806692005</c:v>
                </c:pt>
                <c:pt idx="929">
                  <c:v>15485.00060977771</c:v>
                </c:pt>
                <c:pt idx="930">
                  <c:v>15430.916717939655</c:v>
                </c:pt>
                <c:pt idx="931">
                  <c:v>15377.021475065367</c:v>
                </c:pt>
                <c:pt idx="932">
                  <c:v>15323.314227246967</c:v>
                </c:pt>
                <c:pt idx="933">
                  <c:v>15269.794322774895</c:v>
                </c:pt>
                <c:pt idx="934">
                  <c:v>15216.461112131716</c:v>
                </c:pt>
                <c:pt idx="935">
                  <c:v>15163.313947985816</c:v>
                </c:pt>
                <c:pt idx="936">
                  <c:v>15110.352185185164</c:v>
                </c:pt>
                <c:pt idx="937">
                  <c:v>15057.575180751068</c:v>
                </c:pt>
                <c:pt idx="938">
                  <c:v>15004.982293871879</c:v>
                </c:pt>
                <c:pt idx="939">
                  <c:v>14952.57288589677</c:v>
                </c:pt>
                <c:pt idx="940">
                  <c:v>14900.346320329476</c:v>
                </c:pt>
                <c:pt idx="941">
                  <c:v>14848.301962821999</c:v>
                </c:pt>
                <c:pt idx="942">
                  <c:v>14796.439181168382</c:v>
                </c:pt>
                <c:pt idx="943">
                  <c:v>14744.757345298465</c:v>
                </c:pt>
                <c:pt idx="944">
                  <c:v>14693.255827271601</c:v>
                </c:pt>
                <c:pt idx="945">
                  <c:v>14641.934001270434</c:v>
                </c:pt>
                <c:pt idx="946">
                  <c:v>14590.791243594611</c:v>
                </c:pt>
                <c:pt idx="947">
                  <c:v>14539.826932654585</c:v>
                </c:pt>
                <c:pt idx="948">
                  <c:v>14489.040448965337</c:v>
                </c:pt>
                <c:pt idx="949">
                  <c:v>14438.431175140135</c:v>
                </c:pt>
                <c:pt idx="950">
                  <c:v>14387.998495884307</c:v>
                </c:pt>
                <c:pt idx="951">
                  <c:v>14337.741797989007</c:v>
                </c:pt>
                <c:pt idx="952">
                  <c:v>14287.660470324985</c:v>
                </c:pt>
                <c:pt idx="953">
                  <c:v>14237.753903836365</c:v>
                </c:pt>
                <c:pt idx="954">
                  <c:v>14188.021491534415</c:v>
                </c:pt>
                <c:pt idx="955">
                  <c:v>14138.462628491319</c:v>
                </c:pt>
                <c:pt idx="956">
                  <c:v>14089.076711834032</c:v>
                </c:pt>
                <c:pt idx="957">
                  <c:v>14039.863140737974</c:v>
                </c:pt>
                <c:pt idx="958">
                  <c:v>13990.82131642091</c:v>
                </c:pt>
                <c:pt idx="959">
                  <c:v>13941.950642136719</c:v>
                </c:pt>
                <c:pt idx="960">
                  <c:v>13893.250523169212</c:v>
                </c:pt>
                <c:pt idx="961">
                  <c:v>13844.720366825974</c:v>
                </c:pt>
                <c:pt idx="962">
                  <c:v>13796.359582432155</c:v>
                </c:pt>
                <c:pt idx="963">
                  <c:v>13748.167581324298</c:v>
                </c:pt>
                <c:pt idx="964">
                  <c:v>13700.143776844245</c:v>
                </c:pt>
                <c:pt idx="965">
                  <c:v>13652.287584332891</c:v>
                </c:pt>
                <c:pt idx="966">
                  <c:v>13604.598421124103</c:v>
                </c:pt>
                <c:pt idx="967">
                  <c:v>13557.075706538539</c:v>
                </c:pt>
                <c:pt idx="968">
                  <c:v>13509.718861877554</c:v>
                </c:pt>
                <c:pt idx="969">
                  <c:v>13462.52731041707</c:v>
                </c:pt>
                <c:pt idx="970">
                  <c:v>13415.500477401427</c:v>
                </c:pt>
                <c:pt idx="971">
                  <c:v>13368.637790037303</c:v>
                </c:pt>
                <c:pt idx="972">
                  <c:v>13321.938677487653</c:v>
                </c:pt>
                <c:pt idx="973">
                  <c:v>13275.402570865532</c:v>
                </c:pt>
                <c:pt idx="974">
                  <c:v>13229.028903228094</c:v>
                </c:pt>
                <c:pt idx="975">
                  <c:v>13182.817109570477</c:v>
                </c:pt>
                <c:pt idx="976">
                  <c:v>13136.766626819766</c:v>
                </c:pt>
                <c:pt idx="977">
                  <c:v>13090.876893828936</c:v>
                </c:pt>
                <c:pt idx="978">
                  <c:v>13045.147351370792</c:v>
                </c:pt>
                <c:pt idx="979">
                  <c:v>12999.577442131955</c:v>
                </c:pt>
                <c:pt idx="980">
                  <c:v>12954.166610706819</c:v>
                </c:pt>
                <c:pt idx="981">
                  <c:v>12908.914303591589</c:v>
                </c:pt>
                <c:pt idx="982">
                  <c:v>12863.819969178217</c:v>
                </c:pt>
                <c:pt idx="983">
                  <c:v>12818.883057748426</c:v>
                </c:pt>
                <c:pt idx="984">
                  <c:v>12774.103021467752</c:v>
                </c:pt>
                <c:pt idx="985">
                  <c:v>12729.47931437956</c:v>
                </c:pt>
                <c:pt idx="986">
                  <c:v>12685.011392399074</c:v>
                </c:pt>
                <c:pt idx="987">
                  <c:v>12640.698713307436</c:v>
                </c:pt>
                <c:pt idx="988">
                  <c:v>12596.540736745759</c:v>
                </c:pt>
                <c:pt idx="989">
                  <c:v>12552.536924209244</c:v>
                </c:pt>
                <c:pt idx="990">
                  <c:v>12508.686739041186</c:v>
                </c:pt>
                <c:pt idx="991">
                  <c:v>12464.989646427137</c:v>
                </c:pt>
                <c:pt idx="992">
                  <c:v>12421.445113388963</c:v>
                </c:pt>
                <c:pt idx="993">
                  <c:v>12378.052608779024</c:v>
                </c:pt>
                <c:pt idx="994">
                  <c:v>12334.811603274235</c:v>
                </c:pt>
                <c:pt idx="995">
                  <c:v>12291.721569370249</c:v>
                </c:pt>
                <c:pt idx="996">
                  <c:v>12248.781981375601</c:v>
                </c:pt>
                <c:pt idx="997">
                  <c:v>12205.992315405896</c:v>
                </c:pt>
                <c:pt idx="998">
                  <c:v>12163.352049377938</c:v>
                </c:pt>
                <c:pt idx="999">
                  <c:v>12120.860663003961</c:v>
                </c:pt>
                <c:pt idx="1000">
                  <c:v>12078.517637785813</c:v>
                </c:pt>
              </c:numCache>
            </c:numRef>
          </c:val>
          <c:smooth val="1"/>
          <c:extLst>
            <c:ext xmlns:c16="http://schemas.microsoft.com/office/drawing/2014/chart" uri="{C3380CC4-5D6E-409C-BE32-E72D297353CC}">
              <c16:uniqueId val="{00000001-F4C8-4C7F-9000-170E147B8F54}"/>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0.000"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0;[Red]\(#,##0.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autoTitleDeleted val="1"/>
    <c:plotArea>
      <c:layout/>
      <c:lineChart>
        <c:grouping val="standard"/>
        <c:varyColors val="1"/>
        <c:ser>
          <c:idx val="0"/>
          <c:order val="0"/>
          <c:tx>
            <c:v>Control 1</c:v>
          </c:tx>
          <c:marker>
            <c:symbol val="none"/>
          </c:marker>
          <c:cat>
            <c:numRef>
              <c:f>Durability!$B$20:$B$520</c:f>
              <c:numCache>
                <c:formatCode>0.00</c:formatCode>
                <c:ptCount val="501"/>
                <c:pt idx="0">
                  <c:v>0</c:v>
                </c:pt>
                <c:pt idx="1">
                  <c:v>0.01</c:v>
                </c:pt>
                <c:pt idx="2">
                  <c:v>0.02</c:v>
                </c:pt>
                <c:pt idx="3">
                  <c:v>0.03</c:v>
                </c:pt>
                <c:pt idx="4">
                  <c:v>0.04</c:v>
                </c:pt>
                <c:pt idx="5">
                  <c:v>0.05</c:v>
                </c:pt>
                <c:pt idx="6">
                  <c:v>0.06</c:v>
                </c:pt>
                <c:pt idx="7">
                  <c:v>7.0000000000000007E-2</c:v>
                </c:pt>
                <c:pt idx="8">
                  <c:v>0.08</c:v>
                </c:pt>
                <c:pt idx="9">
                  <c:v>0.09</c:v>
                </c:pt>
                <c:pt idx="10">
                  <c:v>0.1</c:v>
                </c:pt>
                <c:pt idx="11">
                  <c:v>0.11</c:v>
                </c:pt>
                <c:pt idx="12">
                  <c:v>0.12</c:v>
                </c:pt>
                <c:pt idx="13">
                  <c:v>0.13</c:v>
                </c:pt>
                <c:pt idx="14">
                  <c:v>0.14000000000000001</c:v>
                </c:pt>
                <c:pt idx="15">
                  <c:v>0.15</c:v>
                </c:pt>
                <c:pt idx="16">
                  <c:v>0.16</c:v>
                </c:pt>
                <c:pt idx="17">
                  <c:v>0.17</c:v>
                </c:pt>
                <c:pt idx="18">
                  <c:v>0.18</c:v>
                </c:pt>
                <c:pt idx="19">
                  <c:v>0.19</c:v>
                </c:pt>
                <c:pt idx="20">
                  <c:v>0.2</c:v>
                </c:pt>
                <c:pt idx="21">
                  <c:v>0.21</c:v>
                </c:pt>
                <c:pt idx="22">
                  <c:v>0.22</c:v>
                </c:pt>
                <c:pt idx="23">
                  <c:v>0.23</c:v>
                </c:pt>
                <c:pt idx="24">
                  <c:v>0.24</c:v>
                </c:pt>
                <c:pt idx="25">
                  <c:v>0.25</c:v>
                </c:pt>
                <c:pt idx="26">
                  <c:v>0.26</c:v>
                </c:pt>
                <c:pt idx="27">
                  <c:v>0.27</c:v>
                </c:pt>
                <c:pt idx="28">
                  <c:v>0.28000000000000003</c:v>
                </c:pt>
                <c:pt idx="29">
                  <c:v>0.28999999999999998</c:v>
                </c:pt>
                <c:pt idx="30">
                  <c:v>0.3</c:v>
                </c:pt>
                <c:pt idx="31">
                  <c:v>0.31</c:v>
                </c:pt>
                <c:pt idx="32">
                  <c:v>0.32</c:v>
                </c:pt>
                <c:pt idx="33">
                  <c:v>0.33</c:v>
                </c:pt>
                <c:pt idx="34">
                  <c:v>0.34</c:v>
                </c:pt>
                <c:pt idx="35">
                  <c:v>0.35</c:v>
                </c:pt>
                <c:pt idx="36">
                  <c:v>0.36</c:v>
                </c:pt>
                <c:pt idx="37">
                  <c:v>0.37</c:v>
                </c:pt>
                <c:pt idx="38">
                  <c:v>0.38</c:v>
                </c:pt>
                <c:pt idx="39">
                  <c:v>0.39</c:v>
                </c:pt>
                <c:pt idx="40">
                  <c:v>0.4</c:v>
                </c:pt>
                <c:pt idx="41">
                  <c:v>0.41</c:v>
                </c:pt>
                <c:pt idx="42">
                  <c:v>0.42</c:v>
                </c:pt>
                <c:pt idx="43">
                  <c:v>0.43</c:v>
                </c:pt>
                <c:pt idx="44">
                  <c:v>0.44</c:v>
                </c:pt>
                <c:pt idx="45">
                  <c:v>0.45</c:v>
                </c:pt>
                <c:pt idx="46">
                  <c:v>0.46</c:v>
                </c:pt>
                <c:pt idx="47">
                  <c:v>0.47</c:v>
                </c:pt>
                <c:pt idx="48">
                  <c:v>0.48</c:v>
                </c:pt>
                <c:pt idx="49">
                  <c:v>0.49</c:v>
                </c:pt>
                <c:pt idx="50">
                  <c:v>0.5</c:v>
                </c:pt>
                <c:pt idx="51">
                  <c:v>0.51</c:v>
                </c:pt>
                <c:pt idx="52">
                  <c:v>0.52</c:v>
                </c:pt>
                <c:pt idx="53">
                  <c:v>0.53</c:v>
                </c:pt>
                <c:pt idx="54">
                  <c:v>0.54</c:v>
                </c:pt>
                <c:pt idx="55">
                  <c:v>0.55000000000000004</c:v>
                </c:pt>
                <c:pt idx="56">
                  <c:v>0.56000000000000005</c:v>
                </c:pt>
                <c:pt idx="57">
                  <c:v>0.56999999999999995</c:v>
                </c:pt>
                <c:pt idx="58">
                  <c:v>0.57999999999999996</c:v>
                </c:pt>
                <c:pt idx="59">
                  <c:v>0.59</c:v>
                </c:pt>
                <c:pt idx="60">
                  <c:v>0.6</c:v>
                </c:pt>
                <c:pt idx="61">
                  <c:v>0.61</c:v>
                </c:pt>
                <c:pt idx="62">
                  <c:v>0.62</c:v>
                </c:pt>
                <c:pt idx="63">
                  <c:v>0.63</c:v>
                </c:pt>
                <c:pt idx="64">
                  <c:v>0.64</c:v>
                </c:pt>
                <c:pt idx="65">
                  <c:v>0.65</c:v>
                </c:pt>
                <c:pt idx="66">
                  <c:v>0.66</c:v>
                </c:pt>
                <c:pt idx="67">
                  <c:v>0.67</c:v>
                </c:pt>
                <c:pt idx="68">
                  <c:v>0.68</c:v>
                </c:pt>
                <c:pt idx="69">
                  <c:v>0.69</c:v>
                </c:pt>
                <c:pt idx="70">
                  <c:v>0.7</c:v>
                </c:pt>
                <c:pt idx="71">
                  <c:v>0.71</c:v>
                </c:pt>
                <c:pt idx="72">
                  <c:v>0.72</c:v>
                </c:pt>
                <c:pt idx="73">
                  <c:v>0.73</c:v>
                </c:pt>
                <c:pt idx="74">
                  <c:v>0.74</c:v>
                </c:pt>
                <c:pt idx="75">
                  <c:v>0.75</c:v>
                </c:pt>
                <c:pt idx="76">
                  <c:v>0.76</c:v>
                </c:pt>
                <c:pt idx="77">
                  <c:v>0.77</c:v>
                </c:pt>
                <c:pt idx="78">
                  <c:v>0.78</c:v>
                </c:pt>
                <c:pt idx="79">
                  <c:v>0.79</c:v>
                </c:pt>
                <c:pt idx="80">
                  <c:v>0.8</c:v>
                </c:pt>
                <c:pt idx="81">
                  <c:v>0.81</c:v>
                </c:pt>
                <c:pt idx="82">
                  <c:v>0.82</c:v>
                </c:pt>
                <c:pt idx="83">
                  <c:v>0.83</c:v>
                </c:pt>
                <c:pt idx="84">
                  <c:v>0.84</c:v>
                </c:pt>
                <c:pt idx="85">
                  <c:v>0.85</c:v>
                </c:pt>
                <c:pt idx="86">
                  <c:v>0.86</c:v>
                </c:pt>
                <c:pt idx="87">
                  <c:v>0.87</c:v>
                </c:pt>
                <c:pt idx="88">
                  <c:v>0.88</c:v>
                </c:pt>
                <c:pt idx="89">
                  <c:v>0.89</c:v>
                </c:pt>
                <c:pt idx="90">
                  <c:v>0.9</c:v>
                </c:pt>
                <c:pt idx="91">
                  <c:v>0.91</c:v>
                </c:pt>
                <c:pt idx="92">
                  <c:v>0.92</c:v>
                </c:pt>
                <c:pt idx="93">
                  <c:v>0.93</c:v>
                </c:pt>
                <c:pt idx="94">
                  <c:v>0.94</c:v>
                </c:pt>
                <c:pt idx="95">
                  <c:v>0.95</c:v>
                </c:pt>
                <c:pt idx="96">
                  <c:v>0.96</c:v>
                </c:pt>
                <c:pt idx="97">
                  <c:v>0.97</c:v>
                </c:pt>
                <c:pt idx="98">
                  <c:v>0.98</c:v>
                </c:pt>
                <c:pt idx="99">
                  <c:v>0.99</c:v>
                </c:pt>
                <c:pt idx="100">
                  <c:v>1</c:v>
                </c:pt>
                <c:pt idx="101">
                  <c:v>1.01</c:v>
                </c:pt>
                <c:pt idx="102">
                  <c:v>1.02</c:v>
                </c:pt>
                <c:pt idx="103">
                  <c:v>1.03</c:v>
                </c:pt>
                <c:pt idx="104">
                  <c:v>1.04</c:v>
                </c:pt>
                <c:pt idx="105">
                  <c:v>1.05</c:v>
                </c:pt>
                <c:pt idx="106">
                  <c:v>1.06</c:v>
                </c:pt>
                <c:pt idx="107">
                  <c:v>1.07</c:v>
                </c:pt>
                <c:pt idx="108">
                  <c:v>1.08</c:v>
                </c:pt>
                <c:pt idx="109">
                  <c:v>1.0900000000000001</c:v>
                </c:pt>
                <c:pt idx="110">
                  <c:v>1.1000000000000001</c:v>
                </c:pt>
                <c:pt idx="111">
                  <c:v>1.1100000000000001</c:v>
                </c:pt>
                <c:pt idx="112">
                  <c:v>1.1200000000000001</c:v>
                </c:pt>
                <c:pt idx="113">
                  <c:v>1.1299999999999999</c:v>
                </c:pt>
                <c:pt idx="114">
                  <c:v>1.1399999999999999</c:v>
                </c:pt>
                <c:pt idx="115">
                  <c:v>1.1499999999999999</c:v>
                </c:pt>
                <c:pt idx="116">
                  <c:v>1.1599999999999999</c:v>
                </c:pt>
                <c:pt idx="117">
                  <c:v>1.17</c:v>
                </c:pt>
                <c:pt idx="118">
                  <c:v>1.18</c:v>
                </c:pt>
                <c:pt idx="119">
                  <c:v>1.19</c:v>
                </c:pt>
                <c:pt idx="120">
                  <c:v>1.2</c:v>
                </c:pt>
                <c:pt idx="121">
                  <c:v>1.21</c:v>
                </c:pt>
                <c:pt idx="122">
                  <c:v>1.22</c:v>
                </c:pt>
                <c:pt idx="123">
                  <c:v>1.23</c:v>
                </c:pt>
                <c:pt idx="124">
                  <c:v>1.24</c:v>
                </c:pt>
                <c:pt idx="125">
                  <c:v>1.25</c:v>
                </c:pt>
                <c:pt idx="126">
                  <c:v>1.26</c:v>
                </c:pt>
                <c:pt idx="127">
                  <c:v>1.27</c:v>
                </c:pt>
                <c:pt idx="128">
                  <c:v>1.28</c:v>
                </c:pt>
                <c:pt idx="129">
                  <c:v>1.29</c:v>
                </c:pt>
                <c:pt idx="130">
                  <c:v>1.3</c:v>
                </c:pt>
                <c:pt idx="131">
                  <c:v>1.31</c:v>
                </c:pt>
                <c:pt idx="132">
                  <c:v>1.32</c:v>
                </c:pt>
                <c:pt idx="133">
                  <c:v>1.33</c:v>
                </c:pt>
                <c:pt idx="134">
                  <c:v>1.34</c:v>
                </c:pt>
                <c:pt idx="135">
                  <c:v>1.35</c:v>
                </c:pt>
                <c:pt idx="136">
                  <c:v>1.36</c:v>
                </c:pt>
                <c:pt idx="137">
                  <c:v>1.37</c:v>
                </c:pt>
                <c:pt idx="138">
                  <c:v>1.38</c:v>
                </c:pt>
                <c:pt idx="139">
                  <c:v>1.39</c:v>
                </c:pt>
                <c:pt idx="140">
                  <c:v>1.4</c:v>
                </c:pt>
                <c:pt idx="141">
                  <c:v>1.41</c:v>
                </c:pt>
                <c:pt idx="142">
                  <c:v>1.42</c:v>
                </c:pt>
                <c:pt idx="143">
                  <c:v>1.43</c:v>
                </c:pt>
                <c:pt idx="144">
                  <c:v>1.44</c:v>
                </c:pt>
                <c:pt idx="145">
                  <c:v>1.45</c:v>
                </c:pt>
                <c:pt idx="146">
                  <c:v>1.46</c:v>
                </c:pt>
                <c:pt idx="147">
                  <c:v>1.47</c:v>
                </c:pt>
                <c:pt idx="148">
                  <c:v>1.48</c:v>
                </c:pt>
                <c:pt idx="149">
                  <c:v>1.49</c:v>
                </c:pt>
                <c:pt idx="150">
                  <c:v>1.5</c:v>
                </c:pt>
                <c:pt idx="151">
                  <c:v>1.51</c:v>
                </c:pt>
                <c:pt idx="152">
                  <c:v>1.52</c:v>
                </c:pt>
                <c:pt idx="153">
                  <c:v>1.53</c:v>
                </c:pt>
                <c:pt idx="154">
                  <c:v>1.54</c:v>
                </c:pt>
                <c:pt idx="155">
                  <c:v>1.55</c:v>
                </c:pt>
                <c:pt idx="156">
                  <c:v>1.56</c:v>
                </c:pt>
                <c:pt idx="157">
                  <c:v>1.57</c:v>
                </c:pt>
                <c:pt idx="158">
                  <c:v>1.58</c:v>
                </c:pt>
                <c:pt idx="159">
                  <c:v>1.59</c:v>
                </c:pt>
                <c:pt idx="160">
                  <c:v>1.6</c:v>
                </c:pt>
                <c:pt idx="161">
                  <c:v>1.61</c:v>
                </c:pt>
                <c:pt idx="162">
                  <c:v>1.62</c:v>
                </c:pt>
                <c:pt idx="163">
                  <c:v>1.63</c:v>
                </c:pt>
                <c:pt idx="164">
                  <c:v>1.64</c:v>
                </c:pt>
                <c:pt idx="165">
                  <c:v>1.65</c:v>
                </c:pt>
                <c:pt idx="166">
                  <c:v>1.66</c:v>
                </c:pt>
                <c:pt idx="167">
                  <c:v>1.67</c:v>
                </c:pt>
                <c:pt idx="168">
                  <c:v>1.68</c:v>
                </c:pt>
                <c:pt idx="169">
                  <c:v>1.69</c:v>
                </c:pt>
                <c:pt idx="170">
                  <c:v>1.7</c:v>
                </c:pt>
                <c:pt idx="171">
                  <c:v>1.71</c:v>
                </c:pt>
                <c:pt idx="172">
                  <c:v>1.72</c:v>
                </c:pt>
                <c:pt idx="173">
                  <c:v>1.73</c:v>
                </c:pt>
                <c:pt idx="174">
                  <c:v>1.74</c:v>
                </c:pt>
                <c:pt idx="175">
                  <c:v>1.75</c:v>
                </c:pt>
                <c:pt idx="176">
                  <c:v>1.76</c:v>
                </c:pt>
                <c:pt idx="177">
                  <c:v>1.77</c:v>
                </c:pt>
                <c:pt idx="178">
                  <c:v>1.78</c:v>
                </c:pt>
                <c:pt idx="179">
                  <c:v>1.79</c:v>
                </c:pt>
                <c:pt idx="180">
                  <c:v>1.8</c:v>
                </c:pt>
                <c:pt idx="181">
                  <c:v>1.81</c:v>
                </c:pt>
                <c:pt idx="182">
                  <c:v>1.82</c:v>
                </c:pt>
                <c:pt idx="183">
                  <c:v>1.83</c:v>
                </c:pt>
                <c:pt idx="184">
                  <c:v>1.84</c:v>
                </c:pt>
                <c:pt idx="185">
                  <c:v>1.85</c:v>
                </c:pt>
                <c:pt idx="186">
                  <c:v>1.86</c:v>
                </c:pt>
                <c:pt idx="187">
                  <c:v>1.87</c:v>
                </c:pt>
                <c:pt idx="188">
                  <c:v>1.88</c:v>
                </c:pt>
                <c:pt idx="189">
                  <c:v>1.89</c:v>
                </c:pt>
                <c:pt idx="190">
                  <c:v>1.9</c:v>
                </c:pt>
                <c:pt idx="191">
                  <c:v>1.91</c:v>
                </c:pt>
                <c:pt idx="192">
                  <c:v>1.92</c:v>
                </c:pt>
                <c:pt idx="193">
                  <c:v>1.93</c:v>
                </c:pt>
                <c:pt idx="194">
                  <c:v>1.94</c:v>
                </c:pt>
                <c:pt idx="195">
                  <c:v>1.95</c:v>
                </c:pt>
                <c:pt idx="196">
                  <c:v>1.96</c:v>
                </c:pt>
                <c:pt idx="197">
                  <c:v>1.97</c:v>
                </c:pt>
                <c:pt idx="198">
                  <c:v>1.98</c:v>
                </c:pt>
                <c:pt idx="199">
                  <c:v>1.99</c:v>
                </c:pt>
                <c:pt idx="200">
                  <c:v>2</c:v>
                </c:pt>
                <c:pt idx="201">
                  <c:v>2.0099999999999998</c:v>
                </c:pt>
                <c:pt idx="202">
                  <c:v>2.02</c:v>
                </c:pt>
                <c:pt idx="203">
                  <c:v>2.0299999999999998</c:v>
                </c:pt>
                <c:pt idx="204">
                  <c:v>2.04</c:v>
                </c:pt>
                <c:pt idx="205">
                  <c:v>2.0499999999999998</c:v>
                </c:pt>
                <c:pt idx="206">
                  <c:v>2.06</c:v>
                </c:pt>
                <c:pt idx="207">
                  <c:v>2.0699999999999998</c:v>
                </c:pt>
                <c:pt idx="208">
                  <c:v>2.08</c:v>
                </c:pt>
                <c:pt idx="209">
                  <c:v>2.09</c:v>
                </c:pt>
                <c:pt idx="210">
                  <c:v>2.1</c:v>
                </c:pt>
                <c:pt idx="211">
                  <c:v>2.11</c:v>
                </c:pt>
                <c:pt idx="212">
                  <c:v>2.12</c:v>
                </c:pt>
                <c:pt idx="213">
                  <c:v>2.13</c:v>
                </c:pt>
                <c:pt idx="214">
                  <c:v>2.14</c:v>
                </c:pt>
                <c:pt idx="215">
                  <c:v>2.15</c:v>
                </c:pt>
                <c:pt idx="216">
                  <c:v>2.16</c:v>
                </c:pt>
                <c:pt idx="217">
                  <c:v>2.17</c:v>
                </c:pt>
                <c:pt idx="218">
                  <c:v>2.1800000000000002</c:v>
                </c:pt>
                <c:pt idx="219">
                  <c:v>2.19</c:v>
                </c:pt>
                <c:pt idx="220">
                  <c:v>2.2000000000000002</c:v>
                </c:pt>
                <c:pt idx="221">
                  <c:v>2.21</c:v>
                </c:pt>
                <c:pt idx="222">
                  <c:v>2.2200000000000002</c:v>
                </c:pt>
                <c:pt idx="223">
                  <c:v>2.23</c:v>
                </c:pt>
                <c:pt idx="224">
                  <c:v>2.2400000000000002</c:v>
                </c:pt>
                <c:pt idx="225">
                  <c:v>2.25</c:v>
                </c:pt>
                <c:pt idx="226">
                  <c:v>2.2599999999999998</c:v>
                </c:pt>
                <c:pt idx="227">
                  <c:v>2.27</c:v>
                </c:pt>
                <c:pt idx="228">
                  <c:v>2.2799999999999998</c:v>
                </c:pt>
                <c:pt idx="229">
                  <c:v>2.29</c:v>
                </c:pt>
                <c:pt idx="230">
                  <c:v>2.2999999999999998</c:v>
                </c:pt>
                <c:pt idx="231">
                  <c:v>2.31</c:v>
                </c:pt>
                <c:pt idx="232">
                  <c:v>2.3199999999999998</c:v>
                </c:pt>
                <c:pt idx="233">
                  <c:v>2.33</c:v>
                </c:pt>
                <c:pt idx="234">
                  <c:v>2.34</c:v>
                </c:pt>
                <c:pt idx="235">
                  <c:v>2.35</c:v>
                </c:pt>
                <c:pt idx="236">
                  <c:v>2.36</c:v>
                </c:pt>
                <c:pt idx="237">
                  <c:v>2.37</c:v>
                </c:pt>
                <c:pt idx="238">
                  <c:v>2.38</c:v>
                </c:pt>
                <c:pt idx="239">
                  <c:v>2.39</c:v>
                </c:pt>
                <c:pt idx="240">
                  <c:v>2.4</c:v>
                </c:pt>
                <c:pt idx="241">
                  <c:v>2.41</c:v>
                </c:pt>
                <c:pt idx="242">
                  <c:v>2.42</c:v>
                </c:pt>
                <c:pt idx="243">
                  <c:v>2.4300000000000002</c:v>
                </c:pt>
                <c:pt idx="244">
                  <c:v>2.44</c:v>
                </c:pt>
                <c:pt idx="245">
                  <c:v>2.4500000000000002</c:v>
                </c:pt>
                <c:pt idx="246">
                  <c:v>2.46</c:v>
                </c:pt>
                <c:pt idx="247">
                  <c:v>2.4700000000000002</c:v>
                </c:pt>
                <c:pt idx="248">
                  <c:v>2.48</c:v>
                </c:pt>
                <c:pt idx="249">
                  <c:v>2.4900000000000002</c:v>
                </c:pt>
                <c:pt idx="250">
                  <c:v>2.5</c:v>
                </c:pt>
                <c:pt idx="251">
                  <c:v>2.5099999999999998</c:v>
                </c:pt>
                <c:pt idx="252">
                  <c:v>2.52</c:v>
                </c:pt>
                <c:pt idx="253">
                  <c:v>2.5299999999999998</c:v>
                </c:pt>
                <c:pt idx="254">
                  <c:v>2.54</c:v>
                </c:pt>
                <c:pt idx="255">
                  <c:v>2.5499999999999998</c:v>
                </c:pt>
                <c:pt idx="256">
                  <c:v>2.56</c:v>
                </c:pt>
                <c:pt idx="257">
                  <c:v>2.57</c:v>
                </c:pt>
                <c:pt idx="258">
                  <c:v>2.58</c:v>
                </c:pt>
                <c:pt idx="259">
                  <c:v>2.59</c:v>
                </c:pt>
                <c:pt idx="260">
                  <c:v>2.6</c:v>
                </c:pt>
                <c:pt idx="261">
                  <c:v>2.61</c:v>
                </c:pt>
                <c:pt idx="262">
                  <c:v>2.62</c:v>
                </c:pt>
                <c:pt idx="263">
                  <c:v>2.63</c:v>
                </c:pt>
                <c:pt idx="264">
                  <c:v>2.64</c:v>
                </c:pt>
                <c:pt idx="265">
                  <c:v>2.65</c:v>
                </c:pt>
                <c:pt idx="266">
                  <c:v>2.66</c:v>
                </c:pt>
                <c:pt idx="267">
                  <c:v>2.67</c:v>
                </c:pt>
                <c:pt idx="268">
                  <c:v>2.68</c:v>
                </c:pt>
                <c:pt idx="269">
                  <c:v>2.69</c:v>
                </c:pt>
                <c:pt idx="270">
                  <c:v>2.7</c:v>
                </c:pt>
                <c:pt idx="271">
                  <c:v>2.71</c:v>
                </c:pt>
                <c:pt idx="272">
                  <c:v>2.72</c:v>
                </c:pt>
                <c:pt idx="273">
                  <c:v>2.73</c:v>
                </c:pt>
                <c:pt idx="274">
                  <c:v>2.74</c:v>
                </c:pt>
                <c:pt idx="275">
                  <c:v>2.75</c:v>
                </c:pt>
                <c:pt idx="276">
                  <c:v>2.76</c:v>
                </c:pt>
                <c:pt idx="277">
                  <c:v>2.77</c:v>
                </c:pt>
                <c:pt idx="278">
                  <c:v>2.78</c:v>
                </c:pt>
                <c:pt idx="279">
                  <c:v>2.79</c:v>
                </c:pt>
                <c:pt idx="280">
                  <c:v>2.8</c:v>
                </c:pt>
                <c:pt idx="281">
                  <c:v>2.81</c:v>
                </c:pt>
                <c:pt idx="282">
                  <c:v>2.82</c:v>
                </c:pt>
                <c:pt idx="283">
                  <c:v>2.83</c:v>
                </c:pt>
                <c:pt idx="284">
                  <c:v>2.84</c:v>
                </c:pt>
                <c:pt idx="285">
                  <c:v>2.85</c:v>
                </c:pt>
                <c:pt idx="286">
                  <c:v>2.86</c:v>
                </c:pt>
                <c:pt idx="287">
                  <c:v>2.87</c:v>
                </c:pt>
                <c:pt idx="288">
                  <c:v>2.88</c:v>
                </c:pt>
                <c:pt idx="289">
                  <c:v>2.89</c:v>
                </c:pt>
                <c:pt idx="290">
                  <c:v>2.9</c:v>
                </c:pt>
                <c:pt idx="291">
                  <c:v>2.91</c:v>
                </c:pt>
                <c:pt idx="292">
                  <c:v>2.92</c:v>
                </c:pt>
                <c:pt idx="293">
                  <c:v>2.93</c:v>
                </c:pt>
                <c:pt idx="294">
                  <c:v>2.94</c:v>
                </c:pt>
                <c:pt idx="295">
                  <c:v>2.95</c:v>
                </c:pt>
                <c:pt idx="296">
                  <c:v>2.96</c:v>
                </c:pt>
                <c:pt idx="297">
                  <c:v>2.97</c:v>
                </c:pt>
                <c:pt idx="298">
                  <c:v>2.98</c:v>
                </c:pt>
                <c:pt idx="299">
                  <c:v>2.99</c:v>
                </c:pt>
                <c:pt idx="300">
                  <c:v>3</c:v>
                </c:pt>
                <c:pt idx="301">
                  <c:v>3.01</c:v>
                </c:pt>
                <c:pt idx="302">
                  <c:v>3.02</c:v>
                </c:pt>
                <c:pt idx="303">
                  <c:v>3.03</c:v>
                </c:pt>
                <c:pt idx="304">
                  <c:v>3.04</c:v>
                </c:pt>
                <c:pt idx="305">
                  <c:v>3.05</c:v>
                </c:pt>
                <c:pt idx="306">
                  <c:v>3.06</c:v>
                </c:pt>
                <c:pt idx="307">
                  <c:v>3.07</c:v>
                </c:pt>
                <c:pt idx="308">
                  <c:v>3.08</c:v>
                </c:pt>
                <c:pt idx="309">
                  <c:v>3.09</c:v>
                </c:pt>
                <c:pt idx="310">
                  <c:v>3.1</c:v>
                </c:pt>
                <c:pt idx="311">
                  <c:v>3.11</c:v>
                </c:pt>
                <c:pt idx="312">
                  <c:v>3.12</c:v>
                </c:pt>
                <c:pt idx="313">
                  <c:v>3.13</c:v>
                </c:pt>
                <c:pt idx="314">
                  <c:v>3.14</c:v>
                </c:pt>
                <c:pt idx="315">
                  <c:v>3.15</c:v>
                </c:pt>
                <c:pt idx="316">
                  <c:v>3.16</c:v>
                </c:pt>
                <c:pt idx="317">
                  <c:v>3.17</c:v>
                </c:pt>
                <c:pt idx="318">
                  <c:v>3.18</c:v>
                </c:pt>
                <c:pt idx="319">
                  <c:v>3.19</c:v>
                </c:pt>
                <c:pt idx="320">
                  <c:v>3.2</c:v>
                </c:pt>
                <c:pt idx="321">
                  <c:v>3.21</c:v>
                </c:pt>
                <c:pt idx="322">
                  <c:v>3.22</c:v>
                </c:pt>
                <c:pt idx="323">
                  <c:v>3.23</c:v>
                </c:pt>
                <c:pt idx="324">
                  <c:v>3.24</c:v>
                </c:pt>
                <c:pt idx="325">
                  <c:v>3.25</c:v>
                </c:pt>
                <c:pt idx="326">
                  <c:v>3.26</c:v>
                </c:pt>
                <c:pt idx="327">
                  <c:v>3.27</c:v>
                </c:pt>
                <c:pt idx="328">
                  <c:v>3.28</c:v>
                </c:pt>
                <c:pt idx="329">
                  <c:v>3.29</c:v>
                </c:pt>
                <c:pt idx="330">
                  <c:v>3.3</c:v>
                </c:pt>
                <c:pt idx="331">
                  <c:v>3.31</c:v>
                </c:pt>
                <c:pt idx="332">
                  <c:v>3.32</c:v>
                </c:pt>
                <c:pt idx="333">
                  <c:v>3.33</c:v>
                </c:pt>
                <c:pt idx="334">
                  <c:v>3.34</c:v>
                </c:pt>
                <c:pt idx="335">
                  <c:v>3.35</c:v>
                </c:pt>
                <c:pt idx="336">
                  <c:v>3.36</c:v>
                </c:pt>
                <c:pt idx="337">
                  <c:v>3.37</c:v>
                </c:pt>
                <c:pt idx="338">
                  <c:v>3.38</c:v>
                </c:pt>
                <c:pt idx="339">
                  <c:v>3.39</c:v>
                </c:pt>
                <c:pt idx="340">
                  <c:v>3.4</c:v>
                </c:pt>
                <c:pt idx="341">
                  <c:v>3.41</c:v>
                </c:pt>
                <c:pt idx="342">
                  <c:v>3.42</c:v>
                </c:pt>
                <c:pt idx="343">
                  <c:v>3.43</c:v>
                </c:pt>
                <c:pt idx="344">
                  <c:v>3.44</c:v>
                </c:pt>
                <c:pt idx="345">
                  <c:v>3.45</c:v>
                </c:pt>
                <c:pt idx="346">
                  <c:v>3.46</c:v>
                </c:pt>
                <c:pt idx="347">
                  <c:v>3.47</c:v>
                </c:pt>
                <c:pt idx="348">
                  <c:v>3.48</c:v>
                </c:pt>
                <c:pt idx="349">
                  <c:v>3.49</c:v>
                </c:pt>
                <c:pt idx="350">
                  <c:v>3.5</c:v>
                </c:pt>
                <c:pt idx="351">
                  <c:v>3.51</c:v>
                </c:pt>
                <c:pt idx="352">
                  <c:v>3.52</c:v>
                </c:pt>
                <c:pt idx="353">
                  <c:v>3.53</c:v>
                </c:pt>
                <c:pt idx="354">
                  <c:v>3.54</c:v>
                </c:pt>
                <c:pt idx="355">
                  <c:v>3.55</c:v>
                </c:pt>
                <c:pt idx="356">
                  <c:v>3.56</c:v>
                </c:pt>
                <c:pt idx="357">
                  <c:v>3.57</c:v>
                </c:pt>
                <c:pt idx="358">
                  <c:v>3.58</c:v>
                </c:pt>
                <c:pt idx="359">
                  <c:v>3.59</c:v>
                </c:pt>
                <c:pt idx="360">
                  <c:v>3.6</c:v>
                </c:pt>
                <c:pt idx="361">
                  <c:v>3.61</c:v>
                </c:pt>
                <c:pt idx="362">
                  <c:v>3.62</c:v>
                </c:pt>
                <c:pt idx="363">
                  <c:v>3.63</c:v>
                </c:pt>
                <c:pt idx="364">
                  <c:v>3.64</c:v>
                </c:pt>
                <c:pt idx="365">
                  <c:v>3.65</c:v>
                </c:pt>
                <c:pt idx="366">
                  <c:v>3.66</c:v>
                </c:pt>
                <c:pt idx="367">
                  <c:v>3.67</c:v>
                </c:pt>
                <c:pt idx="368">
                  <c:v>3.68</c:v>
                </c:pt>
                <c:pt idx="369">
                  <c:v>3.69</c:v>
                </c:pt>
                <c:pt idx="370">
                  <c:v>3.7</c:v>
                </c:pt>
                <c:pt idx="371">
                  <c:v>3.71</c:v>
                </c:pt>
                <c:pt idx="372">
                  <c:v>3.72</c:v>
                </c:pt>
                <c:pt idx="373">
                  <c:v>3.73</c:v>
                </c:pt>
                <c:pt idx="374">
                  <c:v>3.74</c:v>
                </c:pt>
                <c:pt idx="375">
                  <c:v>3.75</c:v>
                </c:pt>
                <c:pt idx="376">
                  <c:v>3.76</c:v>
                </c:pt>
                <c:pt idx="377">
                  <c:v>3.77</c:v>
                </c:pt>
                <c:pt idx="378">
                  <c:v>3.78</c:v>
                </c:pt>
                <c:pt idx="379">
                  <c:v>3.79</c:v>
                </c:pt>
                <c:pt idx="380">
                  <c:v>3.8</c:v>
                </c:pt>
                <c:pt idx="381">
                  <c:v>3.81</c:v>
                </c:pt>
                <c:pt idx="382">
                  <c:v>3.82</c:v>
                </c:pt>
                <c:pt idx="383">
                  <c:v>3.83</c:v>
                </c:pt>
                <c:pt idx="384">
                  <c:v>3.84</c:v>
                </c:pt>
                <c:pt idx="385">
                  <c:v>3.85</c:v>
                </c:pt>
                <c:pt idx="386">
                  <c:v>3.86</c:v>
                </c:pt>
                <c:pt idx="387">
                  <c:v>3.87</c:v>
                </c:pt>
                <c:pt idx="388">
                  <c:v>3.88</c:v>
                </c:pt>
                <c:pt idx="389">
                  <c:v>3.89</c:v>
                </c:pt>
                <c:pt idx="390">
                  <c:v>3.9</c:v>
                </c:pt>
                <c:pt idx="391">
                  <c:v>3.91</c:v>
                </c:pt>
                <c:pt idx="392">
                  <c:v>3.92</c:v>
                </c:pt>
                <c:pt idx="393">
                  <c:v>3.93</c:v>
                </c:pt>
                <c:pt idx="394">
                  <c:v>3.94</c:v>
                </c:pt>
                <c:pt idx="395">
                  <c:v>3.95</c:v>
                </c:pt>
                <c:pt idx="396">
                  <c:v>3.96</c:v>
                </c:pt>
                <c:pt idx="397">
                  <c:v>3.97</c:v>
                </c:pt>
                <c:pt idx="398">
                  <c:v>3.98</c:v>
                </c:pt>
                <c:pt idx="399">
                  <c:v>3.99</c:v>
                </c:pt>
                <c:pt idx="400">
                  <c:v>4</c:v>
                </c:pt>
                <c:pt idx="401">
                  <c:v>4.01</c:v>
                </c:pt>
                <c:pt idx="402">
                  <c:v>4.0199999999999996</c:v>
                </c:pt>
                <c:pt idx="403">
                  <c:v>4.03</c:v>
                </c:pt>
                <c:pt idx="404">
                  <c:v>4.04</c:v>
                </c:pt>
                <c:pt idx="405">
                  <c:v>4.05</c:v>
                </c:pt>
                <c:pt idx="406">
                  <c:v>4.0599999999999996</c:v>
                </c:pt>
                <c:pt idx="407">
                  <c:v>4.07</c:v>
                </c:pt>
                <c:pt idx="408">
                  <c:v>4.08</c:v>
                </c:pt>
                <c:pt idx="409">
                  <c:v>4.09</c:v>
                </c:pt>
                <c:pt idx="410">
                  <c:v>4.0999999999999996</c:v>
                </c:pt>
                <c:pt idx="411">
                  <c:v>4.1100000000000003</c:v>
                </c:pt>
                <c:pt idx="412">
                  <c:v>4.12</c:v>
                </c:pt>
                <c:pt idx="413">
                  <c:v>4.13</c:v>
                </c:pt>
                <c:pt idx="414">
                  <c:v>4.1399999999999997</c:v>
                </c:pt>
                <c:pt idx="415">
                  <c:v>4.1500000000000004</c:v>
                </c:pt>
                <c:pt idx="416">
                  <c:v>4.16</c:v>
                </c:pt>
                <c:pt idx="417">
                  <c:v>4.17</c:v>
                </c:pt>
                <c:pt idx="418">
                  <c:v>4.18</c:v>
                </c:pt>
                <c:pt idx="419">
                  <c:v>4.1900000000000004</c:v>
                </c:pt>
                <c:pt idx="420">
                  <c:v>4.2</c:v>
                </c:pt>
                <c:pt idx="421">
                  <c:v>4.21</c:v>
                </c:pt>
                <c:pt idx="422">
                  <c:v>4.22</c:v>
                </c:pt>
                <c:pt idx="423">
                  <c:v>4.2300000000000004</c:v>
                </c:pt>
                <c:pt idx="424">
                  <c:v>4.24</c:v>
                </c:pt>
                <c:pt idx="425">
                  <c:v>4.25</c:v>
                </c:pt>
                <c:pt idx="426">
                  <c:v>4.26</c:v>
                </c:pt>
                <c:pt idx="427">
                  <c:v>4.2699999999999996</c:v>
                </c:pt>
                <c:pt idx="428">
                  <c:v>4.28</c:v>
                </c:pt>
                <c:pt idx="429">
                  <c:v>4.29</c:v>
                </c:pt>
                <c:pt idx="430">
                  <c:v>4.3</c:v>
                </c:pt>
                <c:pt idx="431">
                  <c:v>4.3099999999999996</c:v>
                </c:pt>
                <c:pt idx="432">
                  <c:v>4.32</c:v>
                </c:pt>
                <c:pt idx="433">
                  <c:v>4.33</c:v>
                </c:pt>
                <c:pt idx="434">
                  <c:v>4.34</c:v>
                </c:pt>
                <c:pt idx="435">
                  <c:v>4.3499999999999996</c:v>
                </c:pt>
                <c:pt idx="436">
                  <c:v>4.3600000000000003</c:v>
                </c:pt>
                <c:pt idx="437">
                  <c:v>4.37</c:v>
                </c:pt>
                <c:pt idx="438">
                  <c:v>4.38</c:v>
                </c:pt>
                <c:pt idx="439">
                  <c:v>4.3899999999999997</c:v>
                </c:pt>
                <c:pt idx="440">
                  <c:v>4.4000000000000004</c:v>
                </c:pt>
                <c:pt idx="441">
                  <c:v>4.41</c:v>
                </c:pt>
                <c:pt idx="442">
                  <c:v>4.42</c:v>
                </c:pt>
                <c:pt idx="443">
                  <c:v>4.43</c:v>
                </c:pt>
                <c:pt idx="444">
                  <c:v>4.4400000000000004</c:v>
                </c:pt>
                <c:pt idx="445">
                  <c:v>4.45</c:v>
                </c:pt>
                <c:pt idx="446">
                  <c:v>4.46</c:v>
                </c:pt>
                <c:pt idx="447">
                  <c:v>4.47</c:v>
                </c:pt>
                <c:pt idx="448">
                  <c:v>4.4800000000000004</c:v>
                </c:pt>
                <c:pt idx="449">
                  <c:v>4.49</c:v>
                </c:pt>
                <c:pt idx="450">
                  <c:v>4.5</c:v>
                </c:pt>
                <c:pt idx="451">
                  <c:v>4.51</c:v>
                </c:pt>
                <c:pt idx="452">
                  <c:v>4.5199999999999996</c:v>
                </c:pt>
                <c:pt idx="453">
                  <c:v>4.53</c:v>
                </c:pt>
                <c:pt idx="454">
                  <c:v>4.54</c:v>
                </c:pt>
                <c:pt idx="455">
                  <c:v>4.55</c:v>
                </c:pt>
                <c:pt idx="456">
                  <c:v>4.5599999999999996</c:v>
                </c:pt>
                <c:pt idx="457">
                  <c:v>4.57</c:v>
                </c:pt>
                <c:pt idx="458">
                  <c:v>4.58</c:v>
                </c:pt>
                <c:pt idx="459">
                  <c:v>4.59</c:v>
                </c:pt>
                <c:pt idx="460">
                  <c:v>4.5999999999999996</c:v>
                </c:pt>
                <c:pt idx="461">
                  <c:v>4.6100000000000003</c:v>
                </c:pt>
                <c:pt idx="462">
                  <c:v>4.62</c:v>
                </c:pt>
                <c:pt idx="463">
                  <c:v>4.63</c:v>
                </c:pt>
                <c:pt idx="464">
                  <c:v>4.6399999999999997</c:v>
                </c:pt>
                <c:pt idx="465">
                  <c:v>4.6500000000000004</c:v>
                </c:pt>
                <c:pt idx="466">
                  <c:v>4.66</c:v>
                </c:pt>
                <c:pt idx="467">
                  <c:v>4.67</c:v>
                </c:pt>
                <c:pt idx="468">
                  <c:v>4.68</c:v>
                </c:pt>
                <c:pt idx="469">
                  <c:v>4.6900000000000004</c:v>
                </c:pt>
                <c:pt idx="470">
                  <c:v>4.7</c:v>
                </c:pt>
                <c:pt idx="471">
                  <c:v>4.71</c:v>
                </c:pt>
                <c:pt idx="472">
                  <c:v>4.72</c:v>
                </c:pt>
                <c:pt idx="473">
                  <c:v>4.7300000000000004</c:v>
                </c:pt>
                <c:pt idx="474">
                  <c:v>4.74</c:v>
                </c:pt>
                <c:pt idx="475">
                  <c:v>4.75</c:v>
                </c:pt>
                <c:pt idx="476">
                  <c:v>4.76</c:v>
                </c:pt>
                <c:pt idx="477">
                  <c:v>4.7699999999999996</c:v>
                </c:pt>
                <c:pt idx="478">
                  <c:v>4.78</c:v>
                </c:pt>
                <c:pt idx="479">
                  <c:v>4.79</c:v>
                </c:pt>
                <c:pt idx="480">
                  <c:v>4.8</c:v>
                </c:pt>
                <c:pt idx="481">
                  <c:v>4.8099999999999996</c:v>
                </c:pt>
                <c:pt idx="482">
                  <c:v>4.82</c:v>
                </c:pt>
                <c:pt idx="483">
                  <c:v>4.83</c:v>
                </c:pt>
                <c:pt idx="484">
                  <c:v>4.84</c:v>
                </c:pt>
                <c:pt idx="485">
                  <c:v>4.8499999999999996</c:v>
                </c:pt>
                <c:pt idx="486">
                  <c:v>4.8600000000000003</c:v>
                </c:pt>
                <c:pt idx="487">
                  <c:v>4.87</c:v>
                </c:pt>
                <c:pt idx="488">
                  <c:v>4.88</c:v>
                </c:pt>
                <c:pt idx="489">
                  <c:v>4.8899999999999997</c:v>
                </c:pt>
                <c:pt idx="490">
                  <c:v>4.9000000000000004</c:v>
                </c:pt>
                <c:pt idx="491">
                  <c:v>4.91</c:v>
                </c:pt>
                <c:pt idx="492">
                  <c:v>4.92</c:v>
                </c:pt>
                <c:pt idx="493">
                  <c:v>4.93</c:v>
                </c:pt>
                <c:pt idx="494">
                  <c:v>4.9400000000000004</c:v>
                </c:pt>
                <c:pt idx="495">
                  <c:v>4.95</c:v>
                </c:pt>
                <c:pt idx="496">
                  <c:v>4.96</c:v>
                </c:pt>
                <c:pt idx="497">
                  <c:v>4.97</c:v>
                </c:pt>
                <c:pt idx="498">
                  <c:v>4.9800000000000004</c:v>
                </c:pt>
                <c:pt idx="499">
                  <c:v>4.99</c:v>
                </c:pt>
                <c:pt idx="500">
                  <c:v>5</c:v>
                </c:pt>
              </c:numCache>
            </c:numRef>
          </c:cat>
          <c:val>
            <c:numRef>
              <c:f>Durability!$C$20:$C$520</c:f>
              <c:numCache>
                <c:formatCode>#,##0.00</c:formatCode>
                <c:ptCount val="501"/>
                <c:pt idx="0">
                  <c:v>0</c:v>
                </c:pt>
                <c:pt idx="1">
                  <c:v>3760.3778398120794</c:v>
                </c:pt>
                <c:pt idx="2">
                  <c:v>7442.611134502803</c:v>
                </c:pt>
                <c:pt idx="3">
                  <c:v>11048.323808633037</c:v>
                </c:pt>
                <c:pt idx="4">
                  <c:v>14579.106039929822</c:v>
                </c:pt>
                <c:pt idx="5">
                  <c:v>18036.514960580509</c:v>
                </c:pt>
                <c:pt idx="6">
                  <c:v>21422.075343953282</c:v>
                </c:pt>
                <c:pt idx="7">
                  <c:v>24737.280277046964</c:v>
                </c:pt>
                <c:pt idx="8">
                  <c:v>27983.591818966514</c:v>
                </c:pt>
                <c:pt idx="9">
                  <c:v>31162.441645714865</c:v>
                </c:pt>
                <c:pt idx="10">
                  <c:v>34275.231681585188</c:v>
                </c:pt>
                <c:pt idx="11">
                  <c:v>37323.33471743227</c:v>
                </c:pt>
                <c:pt idx="12">
                  <c:v>40308.095016095467</c:v>
                </c:pt>
                <c:pt idx="13">
                  <c:v>43230.828905240458</c:v>
                </c:pt>
                <c:pt idx="14">
                  <c:v>46092.825357881113</c:v>
                </c:pt>
                <c:pt idx="15">
                  <c:v>48895.346560837337</c:v>
                </c:pt>
                <c:pt idx="16">
                  <c:v>51639.628471380114</c:v>
                </c:pt>
                <c:pt idx="17">
                  <c:v>54326.881362308479</c:v>
                </c:pt>
                <c:pt idx="18">
                  <c:v>56958.290355699653</c:v>
                </c:pt>
                <c:pt idx="19">
                  <c:v>59535.015945566942</c:v>
                </c:pt>
                <c:pt idx="20">
                  <c:v>62058.194509656394</c:v>
                </c:pt>
                <c:pt idx="21">
                  <c:v>64528.938810607928</c:v>
                </c:pt>
                <c:pt idx="22">
                  <c:v>66948.338486701599</c:v>
                </c:pt>
                <c:pt idx="23">
                  <c:v>69317.460532405705</c:v>
                </c:pt>
                <c:pt idx="24">
                  <c:v>71637.349768938773</c:v>
                </c:pt>
                <c:pt idx="25">
                  <c:v>73909.029305052507</c:v>
                </c:pt>
                <c:pt idx="26">
                  <c:v>76133.500988239437</c:v>
                </c:pt>
                <c:pt idx="27">
                  <c:v>78311.745846563819</c:v>
                </c:pt>
                <c:pt idx="28">
                  <c:v>80444.724521310985</c:v>
                </c:pt>
                <c:pt idx="29">
                  <c:v>82533.377690645633</c:v>
                </c:pt>
                <c:pt idx="30">
                  <c:v>84578.626484466222</c:v>
                </c:pt>
                <c:pt idx="31">
                  <c:v>86581.372890638158</c:v>
                </c:pt>
                <c:pt idx="32">
                  <c:v>88542.50015278504</c:v>
                </c:pt>
                <c:pt idx="33">
                  <c:v>90462.873159813491</c:v>
                </c:pt>
                <c:pt idx="34">
                  <c:v>92343.338827342974</c:v>
                </c:pt>
                <c:pt idx="35">
                  <c:v>94184.726471209622</c:v>
                </c:pt>
                <c:pt idx="36">
                  <c:v>95987.848173207734</c:v>
                </c:pt>
                <c:pt idx="37">
                  <c:v>97753.499139231048</c:v>
                </c:pt>
                <c:pt idx="38">
                  <c:v>99482.458049971465</c:v>
                </c:pt>
                <c:pt idx="39">
                  <c:v>101175.48740432982</c:v>
                </c:pt>
                <c:pt idx="40">
                  <c:v>102833.33385569035</c:v>
                </c:pt>
                <c:pt idx="41">
                  <c:v>104456.72854120674</c:v>
                </c:pt>
                <c:pt idx="42">
                  <c:v>106046.38740424564</c:v>
                </c:pt>
                <c:pt idx="43">
                  <c:v>107603.01151012926</c:v>
                </c:pt>
                <c:pt idx="44">
                  <c:v>109127.28735531651</c:v>
                </c:pt>
                <c:pt idx="45">
                  <c:v>110619.88717015897</c:v>
                </c:pt>
                <c:pt idx="46">
                  <c:v>112081.46921536559</c:v>
                </c:pt>
                <c:pt idx="47">
                  <c:v>113512.67807230612</c:v>
                </c:pt>
                <c:pt idx="48">
                  <c:v>114914.14492728209</c:v>
                </c:pt>
                <c:pt idx="49">
                  <c:v>116286.48784989005</c:v>
                </c:pt>
                <c:pt idx="50">
                  <c:v>117630.31206560048</c:v>
                </c:pt>
                <c:pt idx="51">
                  <c:v>118946.2102226718</c:v>
                </c:pt>
                <c:pt idx="52">
                  <c:v>120234.76265351799</c:v>
                </c:pt>
                <c:pt idx="53">
                  <c:v>121496.53763064469</c:v>
                </c:pt>
                <c:pt idx="54">
                  <c:v>122732.09161726636</c:v>
                </c:pt>
                <c:pt idx="55">
                  <c:v>123941.9695127157</c:v>
                </c:pt>
                <c:pt idx="56">
                  <c:v>125126.70489275307</c:v>
                </c:pt>
                <c:pt idx="57">
                  <c:v>126286.82024488202</c:v>
                </c:pt>
                <c:pt idx="58">
                  <c:v>127422.82719877493</c:v>
                </c:pt>
                <c:pt idx="59">
                  <c:v>128535.22675190966</c:v>
                </c:pt>
                <c:pt idx="60">
                  <c:v>129624.50949051771</c:v>
                </c:pt>
                <c:pt idx="61">
                  <c:v>130691.15580594094</c:v>
                </c:pt>
                <c:pt idx="62">
                  <c:v>131735.6361064915</c:v>
                </c:pt>
                <c:pt idx="63">
                  <c:v>132758.41102490976</c:v>
                </c:pt>
                <c:pt idx="64">
                  <c:v>133759.93162151094</c:v>
                </c:pt>
                <c:pt idx="65">
                  <c:v>134740.63958310976</c:v>
                </c:pt>
                <c:pt idx="66">
                  <c:v>135700.96741781154</c:v>
                </c:pt>
                <c:pt idx="67">
                  <c:v>136641.33864575549</c:v>
                </c:pt>
                <c:pt idx="68">
                  <c:v>137562.16798589361</c:v>
                </c:pt>
                <c:pt idx="69">
                  <c:v>138463.86153888889</c:v>
                </c:pt>
                <c:pt idx="70">
                  <c:v>139346.81696621189</c:v>
                </c:pt>
                <c:pt idx="71">
                  <c:v>140211.42366551605</c:v>
                </c:pt>
                <c:pt idx="72">
                  <c:v>141058.06294236856</c:v>
                </c:pt>
                <c:pt idx="73">
                  <c:v>141887.10817841187</c:v>
                </c:pt>
                <c:pt idx="74">
                  <c:v>142698.92499603145</c:v>
                </c:pt>
                <c:pt idx="75">
                  <c:v>143493.87141960097</c:v>
                </c:pt>
                <c:pt idx="76">
                  <c:v>144272.29803337689</c:v>
                </c:pt>
                <c:pt idx="77">
                  <c:v>145034.54813611187</c:v>
                </c:pt>
                <c:pt idx="78">
                  <c:v>145780.95789245499</c:v>
                </c:pt>
                <c:pt idx="79">
                  <c:v>146511.85648120585</c:v>
                </c:pt>
                <c:pt idx="80">
                  <c:v>147227.56624048771</c:v>
                </c:pt>
                <c:pt idx="81">
                  <c:v>147928.40280990399</c:v>
                </c:pt>
                <c:pt idx="82">
                  <c:v>148614.67526974017</c:v>
                </c:pt>
                <c:pt idx="83">
                  <c:v>149286.68627727352</c:v>
                </c:pt>
                <c:pt idx="84">
                  <c:v>149944.73220024962</c:v>
                </c:pt>
                <c:pt idx="85">
                  <c:v>150589.10324758542</c:v>
                </c:pt>
                <c:pt idx="86">
                  <c:v>151220.0835973561</c:v>
                </c:pt>
                <c:pt idx="87">
                  <c:v>151837.95152212222</c:v>
                </c:pt>
                <c:pt idx="88">
                  <c:v>152442.9795116524</c:v>
                </c:pt>
                <c:pt idx="89">
                  <c:v>153035.4343930957</c:v>
                </c:pt>
                <c:pt idx="90">
                  <c:v>153615.5774486567</c:v>
                </c:pt>
                <c:pt idx="91">
                  <c:v>154183.66453082534</c:v>
                </c:pt>
                <c:pt idx="92">
                  <c:v>154739.94617521175</c:v>
                </c:pt>
                <c:pt idx="93">
                  <c:v>155284.66771103683</c:v>
                </c:pt>
                <c:pt idx="94">
                  <c:v>155818.06936932617</c:v>
                </c:pt>
                <c:pt idx="95">
                  <c:v>156340.38638885587</c:v>
                </c:pt>
                <c:pt idx="96">
                  <c:v>156851.84911989677</c:v>
                </c:pt>
                <c:pt idx="97">
                  <c:v>157352.68312580249</c:v>
                </c:pt>
                <c:pt idx="98">
                  <c:v>157843.10928248664</c:v>
                </c:pt>
                <c:pt idx="99">
                  <c:v>158323.34387583268</c:v>
                </c:pt>
                <c:pt idx="100">
                  <c:v>158793.59869707946</c:v>
                </c:pt>
                <c:pt idx="101">
                  <c:v>159254.0811362245</c:v>
                </c:pt>
                <c:pt idx="102">
                  <c:v>159704.99427348655</c:v>
                </c:pt>
                <c:pt idx="103">
                  <c:v>160146.53696886703</c:v>
                </c:pt>
                <c:pt idx="104">
                  <c:v>160578.90394985073</c:v>
                </c:pt>
                <c:pt idx="105">
                  <c:v>161002.28589728364</c:v>
                </c:pt>
                <c:pt idx="106">
                  <c:v>161416.86952946626</c:v>
                </c:pt>
                <c:pt idx="107">
                  <c:v>161822.83768449957</c:v>
                </c:pt>
                <c:pt idx="108">
                  <c:v>162220.36940091944</c:v>
                </c:pt>
                <c:pt idx="109">
                  <c:v>162609.63999665569</c:v>
                </c:pt>
                <c:pt idx="110">
                  <c:v>162990.82114634986</c:v>
                </c:pt>
                <c:pt idx="111">
                  <c:v>163364.08095706676</c:v>
                </c:pt>
                <c:pt idx="112">
                  <c:v>163729.58404243234</c:v>
                </c:pt>
                <c:pt idx="113">
                  <c:v>164087.49159523097</c:v>
                </c:pt>
                <c:pt idx="114">
                  <c:v>164437.96145849407</c:v>
                </c:pt>
                <c:pt idx="115">
                  <c:v>164781.14819511134</c:v>
                </c:pt>
                <c:pt idx="116">
                  <c:v>165117.20315599567</c:v>
                </c:pt>
                <c:pt idx="117">
                  <c:v>165446.27454683126</c:v>
                </c:pt>
                <c:pt idx="118">
                  <c:v>165768.50749343471</c:v>
                </c:pt>
                <c:pt idx="119">
                  <c:v>166084.0441057579</c:v>
                </c:pt>
                <c:pt idx="120">
                  <c:v>166393.0235405608</c:v>
                </c:pt>
                <c:pt idx="121">
                  <c:v>166695.58206278173</c:v>
                </c:pt>
                <c:pt idx="122">
                  <c:v>166991.85310563259</c:v>
                </c:pt>
                <c:pt idx="123">
                  <c:v>167281.96732944492</c:v>
                </c:pt>
                <c:pt idx="124">
                  <c:v>167566.05267929329</c:v>
                </c:pt>
                <c:pt idx="125">
                  <c:v>167844.23444142114</c:v>
                </c:pt>
                <c:pt idx="126">
                  <c:v>168116.63529849413</c:v>
                </c:pt>
                <c:pt idx="127">
                  <c:v>168383.37538370496</c:v>
                </c:pt>
                <c:pt idx="128">
                  <c:v>168644.57233375427</c:v>
                </c:pt>
                <c:pt idx="129">
                  <c:v>168900.34134073023</c:v>
                </c:pt>
                <c:pt idx="130">
                  <c:v>169150.79520291023</c:v>
                </c:pt>
                <c:pt idx="131">
                  <c:v>169396.04437450657</c:v>
                </c:pt>
                <c:pt idx="132">
                  <c:v>169636.19701437862</c:v>
                </c:pt>
                <c:pt idx="133">
                  <c:v>169871.35903373273</c:v>
                </c:pt>
                <c:pt idx="134">
                  <c:v>170101.63414283079</c:v>
                </c:pt>
                <c:pt idx="135">
                  <c:v>170327.12389672786</c:v>
                </c:pt>
                <c:pt idx="136">
                  <c:v>170547.92774006</c:v>
                </c:pt>
                <c:pt idx="137">
                  <c:v>170764.14305090063</c:v>
                </c:pt>
                <c:pt idx="138">
                  <c:v>170975.86518370608</c:v>
                </c:pt>
                <c:pt idx="139">
                  <c:v>171183.18751136825</c:v>
                </c:pt>
                <c:pt idx="140">
                  <c:v>171386.20146639372</c:v>
                </c:pt>
                <c:pt idx="141">
                  <c:v>171584.99658122694</c:v>
                </c:pt>
                <c:pt idx="142">
                  <c:v>171779.6605277354</c:v>
                </c:pt>
                <c:pt idx="143">
                  <c:v>171970.27915587439</c:v>
                </c:pt>
                <c:pt idx="144">
                  <c:v>172156.93653154833</c:v>
                </c:pt>
                <c:pt idx="145">
                  <c:v>172339.71497368498</c:v>
                </c:pt>
                <c:pt idx="146">
                  <c:v>172518.69509053967</c:v>
                </c:pt>
                <c:pt idx="147">
                  <c:v>172693.95581524464</c:v>
                </c:pt>
                <c:pt idx="148">
                  <c:v>172865.57444061994</c:v>
                </c:pt>
                <c:pt idx="149">
                  <c:v>173033.62665326076</c:v>
                </c:pt>
                <c:pt idx="150">
                  <c:v>173198.18656691653</c:v>
                </c:pt>
                <c:pt idx="151">
                  <c:v>173359.32675517618</c:v>
                </c:pt>
                <c:pt idx="152">
                  <c:v>173517.11828347426</c:v>
                </c:pt>
                <c:pt idx="153">
                  <c:v>173671.63074043224</c:v>
                </c:pt>
                <c:pt idx="154">
                  <c:v>173822.93226854765</c:v>
                </c:pt>
                <c:pt idx="155">
                  <c:v>173971.08959424662</c:v>
                </c:pt>
                <c:pt idx="156">
                  <c:v>174116.16805731092</c:v>
                </c:pt>
                <c:pt idx="157">
                  <c:v>174258.23163969407</c:v>
                </c:pt>
                <c:pt idx="158">
                  <c:v>174397.34299373833</c:v>
                </c:pt>
                <c:pt idx="159">
                  <c:v>174533.56346980546</c:v>
                </c:pt>
                <c:pt idx="160">
                  <c:v>174666.95314333303</c:v>
                </c:pt>
                <c:pt idx="161">
                  <c:v>174797.57084132894</c:v>
                </c:pt>
                <c:pt idx="162">
                  <c:v>174925.47416831498</c:v>
                </c:pt>
                <c:pt idx="163">
                  <c:v>175050.71953173119</c:v>
                </c:pt>
                <c:pt idx="164">
                  <c:v>175173.36216681279</c:v>
                </c:pt>
                <c:pt idx="165">
                  <c:v>175293.45616094943</c:v>
                </c:pt>
                <c:pt idx="166">
                  <c:v>175411.05447753894</c:v>
                </c:pt>
                <c:pt idx="167">
                  <c:v>175526.20897934484</c:v>
                </c:pt>
                <c:pt idx="168">
                  <c:v>175638.97045136866</c:v>
                </c:pt>
                <c:pt idx="169">
                  <c:v>175749.38862324721</c:v>
                </c:pt>
                <c:pt idx="170">
                  <c:v>175857.51219118378</c:v>
                </c:pt>
                <c:pt idx="171">
                  <c:v>175963.38883942415</c:v>
                </c:pt>
                <c:pt idx="172">
                  <c:v>176067.06526128622</c:v>
                </c:pt>
                <c:pt idx="173">
                  <c:v>176168.58717975221</c:v>
                </c:pt>
                <c:pt idx="174">
                  <c:v>176267.99936763363</c:v>
                </c:pt>
                <c:pt idx="175">
                  <c:v>176365.34566731643</c:v>
                </c:pt>
                <c:pt idx="176">
                  <c:v>176460.66901009649</c:v>
                </c:pt>
                <c:pt idx="177">
                  <c:v>176554.01143511289</c:v>
                </c:pt>
                <c:pt idx="178">
                  <c:v>176645.41410788786</c:v>
                </c:pt>
                <c:pt idx="179">
                  <c:v>176734.91733848141</c:v>
                </c:pt>
                <c:pt idx="180">
                  <c:v>176822.56059926891</c:v>
                </c:pt>
                <c:pt idx="181">
                  <c:v>176908.38254234867</c:v>
                </c:pt>
                <c:pt idx="182">
                  <c:v>176992.4210165886</c:v>
                </c:pt>
                <c:pt idx="183">
                  <c:v>177074.7130843178</c:v>
                </c:pt>
                <c:pt idx="184">
                  <c:v>177155.29503767189</c:v>
                </c:pt>
                <c:pt idx="185">
                  <c:v>177234.20241459829</c:v>
                </c:pt>
                <c:pt idx="186">
                  <c:v>177311.47001452901</c:v>
                </c:pt>
                <c:pt idx="187">
                  <c:v>177387.13191372796</c:v>
                </c:pt>
                <c:pt idx="188">
                  <c:v>177461.22148031893</c:v>
                </c:pt>
                <c:pt idx="189">
                  <c:v>177533.77138900151</c:v>
                </c:pt>
                <c:pt idx="190">
                  <c:v>177604.81363546127</c:v>
                </c:pt>
                <c:pt idx="191">
                  <c:v>177674.37955048028</c:v>
                </c:pt>
                <c:pt idx="192">
                  <c:v>177742.49981375455</c:v>
                </c:pt>
                <c:pt idx="193">
                  <c:v>177809.20446742419</c:v>
                </c:pt>
                <c:pt idx="194">
                  <c:v>177874.52292932253</c:v>
                </c:pt>
                <c:pt idx="195">
                  <c:v>177938.48400594984</c:v>
                </c:pt>
                <c:pt idx="196">
                  <c:v>178001.1159051776</c:v>
                </c:pt>
                <c:pt idx="197">
                  <c:v>178062.4462486885</c:v>
                </c:pt>
                <c:pt idx="198">
                  <c:v>178122.50208415787</c:v>
                </c:pt>
                <c:pt idx="199">
                  <c:v>178181.30989718257</c:v>
                </c:pt>
                <c:pt idx="200">
                  <c:v>178238.89562296116</c:v>
                </c:pt>
                <c:pt idx="201">
                  <c:v>178295.28465773209</c:v>
                </c:pt>
                <c:pt idx="202">
                  <c:v>178350.50186997355</c:v>
                </c:pt>
                <c:pt idx="203">
                  <c:v>178404.57161137104</c:v>
                </c:pt>
                <c:pt idx="204">
                  <c:v>178457.51772755684</c:v>
                </c:pt>
                <c:pt idx="205">
                  <c:v>178509.36356862623</c:v>
                </c:pt>
                <c:pt idx="206">
                  <c:v>178560.13199943549</c:v>
                </c:pt>
                <c:pt idx="207">
                  <c:v>178609.84540968531</c:v>
                </c:pt>
                <c:pt idx="208">
                  <c:v>178658.52572379538</c:v>
                </c:pt>
                <c:pt idx="209">
                  <c:v>178706.19441057314</c:v>
                </c:pt>
                <c:pt idx="210">
                  <c:v>178752.87249268204</c:v>
                </c:pt>
                <c:pt idx="211">
                  <c:v>178798.58055591283</c:v>
                </c:pt>
                <c:pt idx="212">
                  <c:v>178843.33875826214</c:v>
                </c:pt>
                <c:pt idx="213">
                  <c:v>178887.16683882262</c:v>
                </c:pt>
                <c:pt idx="214">
                  <c:v>178930.08412648816</c:v>
                </c:pt>
                <c:pt idx="215">
                  <c:v>178972.1095484781</c:v>
                </c:pt>
                <c:pt idx="216">
                  <c:v>179013.26163868469</c:v>
                </c:pt>
                <c:pt idx="217">
                  <c:v>179053.55854584667</c:v>
                </c:pt>
                <c:pt idx="218">
                  <c:v>179093.01804155312</c:v>
                </c:pt>
                <c:pt idx="219">
                  <c:v>179131.65752808127</c:v>
                </c:pt>
                <c:pt idx="220">
                  <c:v>179169.49404607085</c:v>
                </c:pt>
                <c:pt idx="221">
                  <c:v>179206.54428203954</c:v>
                </c:pt>
                <c:pt idx="222">
                  <c:v>179242.82457574183</c:v>
                </c:pt>
                <c:pt idx="223">
                  <c:v>179278.35092737529</c:v>
                </c:pt>
                <c:pt idx="224">
                  <c:v>179313.13900463673</c:v>
                </c:pt>
                <c:pt idx="225">
                  <c:v>179347.20414963205</c:v>
                </c:pt>
                <c:pt idx="226">
                  <c:v>179380.56138564224</c:v>
                </c:pt>
                <c:pt idx="227">
                  <c:v>179413.22542374904</c:v>
                </c:pt>
                <c:pt idx="228">
                  <c:v>179445.21066932267</c:v>
                </c:pt>
                <c:pt idx="229">
                  <c:v>179476.53122837475</c:v>
                </c:pt>
                <c:pt idx="230">
                  <c:v>179507.2009137795</c:v>
                </c:pt>
                <c:pt idx="231">
                  <c:v>179537.23325136516</c:v>
                </c:pt>
                <c:pt idx="232">
                  <c:v>179566.6414858794</c:v>
                </c:pt>
                <c:pt idx="233">
                  <c:v>179595.43858683028</c:v>
                </c:pt>
                <c:pt idx="234">
                  <c:v>179623.637254206</c:v>
                </c:pt>
                <c:pt idx="235">
                  <c:v>179651.24992407585</c:v>
                </c:pt>
                <c:pt idx="236">
                  <c:v>179678.28877407487</c:v>
                </c:pt>
                <c:pt idx="237">
                  <c:v>179704.76572877401</c:v>
                </c:pt>
                <c:pt idx="238">
                  <c:v>179730.69246493946</c:v>
                </c:pt>
                <c:pt idx="239">
                  <c:v>179756.08041668209</c:v>
                </c:pt>
                <c:pt idx="240">
                  <c:v>179780.94078050001</c:v>
                </c:pt>
                <c:pt idx="241">
                  <c:v>179805.28452021664</c:v>
                </c:pt>
                <c:pt idx="242">
                  <c:v>179829.1223718157</c:v>
                </c:pt>
                <c:pt idx="243">
                  <c:v>179852.46484817605</c:v>
                </c:pt>
                <c:pt idx="244">
                  <c:v>179875.32224370819</c:v>
                </c:pt>
                <c:pt idx="245">
                  <c:v>179897.70463889386</c:v>
                </c:pt>
                <c:pt idx="246">
                  <c:v>179919.62190473219</c:v>
                </c:pt>
                <c:pt idx="247">
                  <c:v>179941.08370709259</c:v>
                </c:pt>
                <c:pt idx="248">
                  <c:v>179962.09951097774</c:v>
                </c:pt>
                <c:pt idx="249">
                  <c:v>179982.67858469774</c:v>
                </c:pt>
                <c:pt idx="250">
                  <c:v>180002.83000395764</c:v>
                </c:pt>
                <c:pt idx="251">
                  <c:v>180022.56265585995</c:v>
                </c:pt>
                <c:pt idx="252">
                  <c:v>180041.88524282389</c:v>
                </c:pt>
                <c:pt idx="253">
                  <c:v>180060.80628642358</c:v>
                </c:pt>
                <c:pt idx="254">
                  <c:v>180079.33413114579</c:v>
                </c:pt>
                <c:pt idx="255">
                  <c:v>180097.4769480704</c:v>
                </c:pt>
                <c:pt idx="256">
                  <c:v>180115.24273847369</c:v>
                </c:pt>
                <c:pt idx="257">
                  <c:v>180132.63933735716</c:v>
                </c:pt>
                <c:pt idx="258">
                  <c:v>180149.67441690282</c:v>
                </c:pt>
                <c:pt idx="259">
                  <c:v>180166.35548985694</c:v>
                </c:pt>
                <c:pt idx="260">
                  <c:v>180182.68991284296</c:v>
                </c:pt>
                <c:pt idx="261">
                  <c:v>180198.6848896062</c:v>
                </c:pt>
                <c:pt idx="262">
                  <c:v>180214.34747419055</c:v>
                </c:pt>
                <c:pt idx="263">
                  <c:v>180229.68457404975</c:v>
                </c:pt>
                <c:pt idx="264">
                  <c:v>180244.70295309337</c:v>
                </c:pt>
                <c:pt idx="265">
                  <c:v>180259.40923466999</c:v>
                </c:pt>
                <c:pt idx="266">
                  <c:v>180273.80990448812</c:v>
                </c:pt>
                <c:pt idx="267">
                  <c:v>180287.91131347651</c:v>
                </c:pt>
                <c:pt idx="268">
                  <c:v>180301.71968058511</c:v>
                </c:pt>
                <c:pt idx="269">
                  <c:v>180315.24109552757</c:v>
                </c:pt>
                <c:pt idx="270">
                  <c:v>180328.48152146704</c:v>
                </c:pt>
                <c:pt idx="271">
                  <c:v>180341.44679764594</c:v>
                </c:pt>
                <c:pt idx="272">
                  <c:v>180354.14264196125</c:v>
                </c:pt>
                <c:pt idx="273">
                  <c:v>180366.57465348599</c:v>
                </c:pt>
                <c:pt idx="274">
                  <c:v>180378.74831493874</c:v>
                </c:pt>
                <c:pt idx="275">
                  <c:v>180390.66899510156</c:v>
                </c:pt>
                <c:pt idx="276">
                  <c:v>180402.34195118753</c:v>
                </c:pt>
                <c:pt idx="277">
                  <c:v>180413.7723311595</c:v>
                </c:pt>
                <c:pt idx="278">
                  <c:v>180424.96517600032</c:v>
                </c:pt>
                <c:pt idx="279">
                  <c:v>180435.92542193591</c:v>
                </c:pt>
                <c:pt idx="280">
                  <c:v>180446.65790261238</c:v>
                </c:pt>
                <c:pt idx="281">
                  <c:v>180457.16735122766</c:v>
                </c:pt>
                <c:pt idx="282">
                  <c:v>180467.45840261891</c:v>
                </c:pt>
                <c:pt idx="283">
                  <c:v>180477.5355953066</c:v>
                </c:pt>
                <c:pt idx="284">
                  <c:v>180487.403373496</c:v>
                </c:pt>
                <c:pt idx="285">
                  <c:v>180497.06608903719</c:v>
                </c:pt>
                <c:pt idx="286">
                  <c:v>180506.5280033444</c:v>
                </c:pt>
                <c:pt idx="287">
                  <c:v>180515.79328927514</c:v>
                </c:pt>
                <c:pt idx="288">
                  <c:v>180524.86603297069</c:v>
                </c:pt>
                <c:pt idx="289">
                  <c:v>180533.75023565799</c:v>
                </c:pt>
                <c:pt idx="290">
                  <c:v>180542.44981541455</c:v>
                </c:pt>
                <c:pt idx="291">
                  <c:v>180550.96860889593</c:v>
                </c:pt>
                <c:pt idx="292">
                  <c:v>180559.31037302816</c:v>
                </c:pt>
                <c:pt idx="293">
                  <c:v>180567.47878666437</c:v>
                </c:pt>
                <c:pt idx="294">
                  <c:v>180575.47745220741</c:v>
                </c:pt>
                <c:pt idx="295">
                  <c:v>180583.30989719843</c:v>
                </c:pt>
                <c:pt idx="296">
                  <c:v>180590.97957587254</c:v>
                </c:pt>
                <c:pt idx="297">
                  <c:v>180598.48987068242</c:v>
                </c:pt>
                <c:pt idx="298">
                  <c:v>180605.84409378975</c:v>
                </c:pt>
                <c:pt idx="299">
                  <c:v>180613.04548852614</c:v>
                </c:pt>
                <c:pt idx="300">
                  <c:v>180620.09723082333</c:v>
                </c:pt>
                <c:pt idx="301">
                  <c:v>180627.00243061403</c:v>
                </c:pt>
                <c:pt idx="302">
                  <c:v>180633.76413320319</c:v>
                </c:pt>
                <c:pt idx="303">
                  <c:v>180640.38532061127</c:v>
                </c:pt>
                <c:pt idx="304">
                  <c:v>180646.86891288924</c:v>
                </c:pt>
                <c:pt idx="305">
                  <c:v>180653.21776940639</c:v>
                </c:pt>
                <c:pt idx="306">
                  <c:v>180659.43469011129</c:v>
                </c:pt>
                <c:pt idx="307">
                  <c:v>180665.52241676676</c:v>
                </c:pt>
                <c:pt idx="308">
                  <c:v>180671.48363415891</c:v>
                </c:pt>
                <c:pt idx="309">
                  <c:v>180677.32097128127</c:v>
                </c:pt>
                <c:pt idx="310">
                  <c:v>180683.03700249401</c:v>
                </c:pt>
                <c:pt idx="311">
                  <c:v>180688.6342486596</c:v>
                </c:pt>
                <c:pt idx="312">
                  <c:v>180694.11517825435</c:v>
                </c:pt>
                <c:pt idx="313">
                  <c:v>180699.48220845693</c:v>
                </c:pt>
                <c:pt idx="314">
                  <c:v>180704.73770621477</c:v>
                </c:pt>
                <c:pt idx="315">
                  <c:v>180709.88398928748</c:v>
                </c:pt>
                <c:pt idx="316">
                  <c:v>180714.92332726932</c:v>
                </c:pt>
                <c:pt idx="317">
                  <c:v>180719.85794259002</c:v>
                </c:pt>
                <c:pt idx="318">
                  <c:v>180724.69001149488</c:v>
                </c:pt>
                <c:pt idx="319">
                  <c:v>180729.42166500466</c:v>
                </c:pt>
                <c:pt idx="320">
                  <c:v>180734.05498985521</c:v>
                </c:pt>
                <c:pt idx="321">
                  <c:v>180738.59202941784</c:v>
                </c:pt>
                <c:pt idx="322">
                  <c:v>180743.03478460063</c:v>
                </c:pt>
                <c:pt idx="323">
                  <c:v>180747.38521473052</c:v>
                </c:pt>
                <c:pt idx="324">
                  <c:v>180751.6452384177</c:v>
                </c:pt>
                <c:pt idx="325">
                  <c:v>180755.8167344018</c:v>
                </c:pt>
                <c:pt idx="326">
                  <c:v>180759.90154237999</c:v>
                </c:pt>
                <c:pt idx="327">
                  <c:v>180763.90146381885</c:v>
                </c:pt>
                <c:pt idx="328">
                  <c:v>180767.81826274859</c:v>
                </c:pt>
                <c:pt idx="329">
                  <c:v>180771.65366654101</c:v>
                </c:pt>
                <c:pt idx="330">
                  <c:v>180775.40936667132</c:v>
                </c:pt>
                <c:pt idx="331">
                  <c:v>180779.08701946412</c:v>
                </c:pt>
                <c:pt idx="332">
                  <c:v>180782.68824682399</c:v>
                </c:pt>
                <c:pt idx="333">
                  <c:v>180786.21463695046</c:v>
                </c:pt>
                <c:pt idx="334">
                  <c:v>180789.66774503881</c:v>
                </c:pt>
                <c:pt idx="335">
                  <c:v>180793.04909396559</c:v>
                </c:pt>
                <c:pt idx="336">
                  <c:v>180796.36017496051</c:v>
                </c:pt>
                <c:pt idx="337">
                  <c:v>180799.60244826402</c:v>
                </c:pt>
                <c:pt idx="338">
                  <c:v>180802.77734377107</c:v>
                </c:pt>
                <c:pt idx="339">
                  <c:v>180805.88626166215</c:v>
                </c:pt>
                <c:pt idx="340">
                  <c:v>180808.93057302036</c:v>
                </c:pt>
                <c:pt idx="341">
                  <c:v>180811.91162043635</c:v>
                </c:pt>
                <c:pt idx="342">
                  <c:v>180814.83071860042</c:v>
                </c:pt>
                <c:pt idx="343">
                  <c:v>180817.6891548821</c:v>
                </c:pt>
                <c:pt idx="344">
                  <c:v>180820.48818989811</c:v>
                </c:pt>
                <c:pt idx="345">
                  <c:v>180823.2290580683</c:v>
                </c:pt>
                <c:pt idx="346">
                  <c:v>180825.91296815992</c:v>
                </c:pt>
                <c:pt idx="347">
                  <c:v>180828.54110382087</c:v>
                </c:pt>
                <c:pt idx="348">
                  <c:v>180831.11462410149</c:v>
                </c:pt>
                <c:pt idx="349">
                  <c:v>180833.63466396599</c:v>
                </c:pt>
                <c:pt idx="350">
                  <c:v>180836.10233479278</c:v>
                </c:pt>
                <c:pt idx="351">
                  <c:v>180838.51872486473</c:v>
                </c:pt>
                <c:pt idx="352">
                  <c:v>180840.88489984893</c:v>
                </c:pt>
                <c:pt idx="353">
                  <c:v>180843.20190326695</c:v>
                </c:pt>
                <c:pt idx="354">
                  <c:v>180845.47075695486</c:v>
                </c:pt>
                <c:pt idx="355">
                  <c:v>180847.69246151391</c:v>
                </c:pt>
                <c:pt idx="356">
                  <c:v>180849.86799675177</c:v>
                </c:pt>
                <c:pt idx="357">
                  <c:v>180851.99832211481</c:v>
                </c:pt>
                <c:pt idx="358">
                  <c:v>180854.08437711096</c:v>
                </c:pt>
                <c:pt idx="359">
                  <c:v>180856.12708172435</c:v>
                </c:pt>
                <c:pt idx="360">
                  <c:v>180858.12733682079</c:v>
                </c:pt>
                <c:pt idx="361">
                  <c:v>180860.08602454519</c:v>
                </c:pt>
                <c:pt idx="362">
                  <c:v>180862.00400871062</c:v>
                </c:pt>
                <c:pt idx="363">
                  <c:v>180863.88213517913</c:v>
                </c:pt>
                <c:pt idx="364">
                  <c:v>180865.721232235</c:v>
                </c:pt>
                <c:pt idx="365">
                  <c:v>180867.52211094971</c:v>
                </c:pt>
                <c:pt idx="366">
                  <c:v>180869.28556554011</c:v>
                </c:pt>
                <c:pt idx="367">
                  <c:v>180871.01237371814</c:v>
                </c:pt>
                <c:pt idx="368">
                  <c:v>180872.70329703428</c:v>
                </c:pt>
                <c:pt idx="369">
                  <c:v>180874.35908121304</c:v>
                </c:pt>
                <c:pt idx="370">
                  <c:v>180875.98045648215</c:v>
                </c:pt>
                <c:pt idx="371">
                  <c:v>180877.56813789436</c:v>
                </c:pt>
                <c:pt idx="372">
                  <c:v>180879.12282564284</c:v>
                </c:pt>
                <c:pt idx="373">
                  <c:v>180880.64520537015</c:v>
                </c:pt>
                <c:pt idx="374">
                  <c:v>180882.13594847042</c:v>
                </c:pt>
                <c:pt idx="375">
                  <c:v>180883.59571238552</c:v>
                </c:pt>
                <c:pt idx="376">
                  <c:v>180885.02514089496</c:v>
                </c:pt>
                <c:pt idx="377">
                  <c:v>180886.42486439992</c:v>
                </c:pt>
                <c:pt idx="378">
                  <c:v>180887.79550020111</c:v>
                </c:pt>
                <c:pt idx="379">
                  <c:v>180889.13765277114</c:v>
                </c:pt>
                <c:pt idx="380">
                  <c:v>180890.45191402108</c:v>
                </c:pt>
                <c:pt idx="381">
                  <c:v>180891.73886356139</c:v>
                </c:pt>
                <c:pt idx="382">
                  <c:v>180892.99906895775</c:v>
                </c:pt>
                <c:pt idx="383">
                  <c:v>180894.23308598113</c:v>
                </c:pt>
                <c:pt idx="384">
                  <c:v>180895.44145885296</c:v>
                </c:pt>
                <c:pt idx="385">
                  <c:v>180896.62472048539</c:v>
                </c:pt>
                <c:pt idx="386">
                  <c:v>180897.78339271588</c:v>
                </c:pt>
                <c:pt idx="387">
                  <c:v>180898.91798653768</c:v>
                </c:pt>
                <c:pt idx="388">
                  <c:v>180900.02900232511</c:v>
                </c:pt>
                <c:pt idx="389">
                  <c:v>180901.11693005406</c:v>
                </c:pt>
                <c:pt idx="390">
                  <c:v>180902.18224951834</c:v>
                </c:pt>
                <c:pt idx="391">
                  <c:v>180903.22543054109</c:v>
                </c:pt>
                <c:pt idx="392">
                  <c:v>180904.24693318206</c:v>
                </c:pt>
                <c:pt idx="393">
                  <c:v>180905.24720794047</c:v>
                </c:pt>
                <c:pt idx="394">
                  <c:v>180906.22669595364</c:v>
                </c:pt>
                <c:pt idx="395">
                  <c:v>180907.1858291917</c:v>
                </c:pt>
                <c:pt idx="396">
                  <c:v>180908.12503064802</c:v>
                </c:pt>
                <c:pt idx="397">
                  <c:v>180909.04471452557</c:v>
                </c:pt>
                <c:pt idx="398">
                  <c:v>180909.94528641988</c:v>
                </c:pt>
                <c:pt idx="399">
                  <c:v>180910.82714349771</c:v>
                </c:pt>
                <c:pt idx="400">
                  <c:v>180911.6906746724</c:v>
                </c:pt>
                <c:pt idx="401">
                  <c:v>180912.53626077512</c:v>
                </c:pt>
                <c:pt idx="402">
                  <c:v>180913.36427472311</c:v>
                </c:pt>
                <c:pt idx="403">
                  <c:v>180914.1750816839</c:v>
                </c:pt>
                <c:pt idx="404">
                  <c:v>180914.96903923649</c:v>
                </c:pt>
                <c:pt idx="405">
                  <c:v>180915.74649752909</c:v>
                </c:pt>
                <c:pt idx="406">
                  <c:v>180916.50779943334</c:v>
                </c:pt>
                <c:pt idx="407">
                  <c:v>180917.25328069576</c:v>
                </c:pt>
                <c:pt idx="408">
                  <c:v>180917.98327008565</c:v>
                </c:pt>
                <c:pt idx="409">
                  <c:v>180918.69808954015</c:v>
                </c:pt>
                <c:pt idx="410">
                  <c:v>180919.39805430625</c:v>
                </c:pt>
                <c:pt idx="411">
                  <c:v>180920.08347307975</c:v>
                </c:pt>
                <c:pt idx="412">
                  <c:v>180920.75464814142</c:v>
                </c:pt>
                <c:pt idx="413">
                  <c:v>180921.41187549036</c:v>
                </c:pt>
                <c:pt idx="414">
                  <c:v>180922.05544497448</c:v>
                </c:pt>
                <c:pt idx="415">
                  <c:v>180922.68564041832</c:v>
                </c:pt>
                <c:pt idx="416">
                  <c:v>180923.30273974832</c:v>
                </c:pt>
                <c:pt idx="417">
                  <c:v>180923.90701511534</c:v>
                </c:pt>
                <c:pt idx="418">
                  <c:v>180924.49873301448</c:v>
                </c:pt>
                <c:pt idx="419">
                  <c:v>180925.07815440302</c:v>
                </c:pt>
                <c:pt idx="420">
                  <c:v>180925.64553481515</c:v>
                </c:pt>
                <c:pt idx="421">
                  <c:v>180926.20112447484</c:v>
                </c:pt>
                <c:pt idx="422">
                  <c:v>180926.74516840611</c:v>
                </c:pt>
                <c:pt idx="423">
                  <c:v>180927.27790654119</c:v>
                </c:pt>
                <c:pt idx="424">
                  <c:v>180927.7995738262</c:v>
                </c:pt>
                <c:pt idx="425">
                  <c:v>180928.31040032487</c:v>
                </c:pt>
                <c:pt idx="426">
                  <c:v>180928.81061131999</c:v>
                </c:pt>
                <c:pt idx="427">
                  <c:v>180929.30042741267</c:v>
                </c:pt>
                <c:pt idx="428">
                  <c:v>180929.78006461982</c:v>
                </c:pt>
                <c:pt idx="429">
                  <c:v>180930.24973446914</c:v>
                </c:pt>
                <c:pt idx="430">
                  <c:v>180930.70964409268</c:v>
                </c:pt>
                <c:pt idx="431">
                  <c:v>180931.15999631805</c:v>
                </c:pt>
                <c:pt idx="432">
                  <c:v>180931.60098975783</c:v>
                </c:pt>
                <c:pt idx="433">
                  <c:v>180932.03281889737</c:v>
                </c:pt>
                <c:pt idx="434">
                  <c:v>180932.45567418024</c:v>
                </c:pt>
                <c:pt idx="435">
                  <c:v>180932.8697420925</c:v>
                </c:pt>
                <c:pt idx="436">
                  <c:v>180933.2752052448</c:v>
                </c:pt>
                <c:pt idx="437">
                  <c:v>180933.67224245294</c:v>
                </c:pt>
                <c:pt idx="438">
                  <c:v>180934.06102881682</c:v>
                </c:pt>
                <c:pt idx="439">
                  <c:v>180934.4417357975</c:v>
                </c:pt>
                <c:pt idx="440">
                  <c:v>180934.81453129291</c:v>
                </c:pt>
                <c:pt idx="441">
                  <c:v>180935.17957971193</c:v>
                </c:pt>
                <c:pt idx="442">
                  <c:v>180935.53704204684</c:v>
                </c:pt>
                <c:pt idx="443">
                  <c:v>180935.88707594425</c:v>
                </c:pt>
                <c:pt idx="444">
                  <c:v>180936.2298357749</c:v>
                </c:pt>
                <c:pt idx="445">
                  <c:v>180936.5654727013</c:v>
                </c:pt>
                <c:pt idx="446">
                  <c:v>180936.89413474489</c:v>
                </c:pt>
                <c:pt idx="447">
                  <c:v>180937.21596685087</c:v>
                </c:pt>
                <c:pt idx="448">
                  <c:v>180937.53111095249</c:v>
                </c:pt>
                <c:pt idx="449">
                  <c:v>180937.83970603335</c:v>
                </c:pt>
                <c:pt idx="450">
                  <c:v>180938.1418881889</c:v>
                </c:pt>
                <c:pt idx="451">
                  <c:v>180938.43779068635</c:v>
                </c:pt>
                <c:pt idx="452">
                  <c:v>180938.72754402357</c:v>
                </c:pt>
                <c:pt idx="453">
                  <c:v>180939.01127598638</c:v>
                </c:pt>
                <c:pt idx="454">
                  <c:v>180939.28911170523</c:v>
                </c:pt>
                <c:pt idx="455">
                  <c:v>180939.56117371016</c:v>
                </c:pt>
                <c:pt idx="456">
                  <c:v>180939.82758198495</c:v>
                </c:pt>
                <c:pt idx="457">
                  <c:v>180940.08845401992</c:v>
                </c:pt>
                <c:pt idx="458">
                  <c:v>180940.34390486387</c:v>
                </c:pt>
                <c:pt idx="459">
                  <c:v>180940.59404717479</c:v>
                </c:pt>
                <c:pt idx="460">
                  <c:v>180940.83899126953</c:v>
                </c:pt>
                <c:pt idx="461">
                  <c:v>180941.07884517231</c:v>
                </c:pt>
                <c:pt idx="462">
                  <c:v>180941.31371466265</c:v>
                </c:pt>
                <c:pt idx="463">
                  <c:v>180941.5437033218</c:v>
                </c:pt>
                <c:pt idx="464">
                  <c:v>180941.76891257847</c:v>
                </c:pt>
                <c:pt idx="465">
                  <c:v>180941.98944175357</c:v>
                </c:pt>
                <c:pt idx="466">
                  <c:v>180942.20538810414</c:v>
                </c:pt>
                <c:pt idx="467">
                  <c:v>180942.41684686588</c:v>
                </c:pt>
                <c:pt idx="468">
                  <c:v>180942.62391129564</c:v>
                </c:pt>
                <c:pt idx="469">
                  <c:v>180942.82667271211</c:v>
                </c:pt>
                <c:pt idx="470">
                  <c:v>180943.02522053642</c:v>
                </c:pt>
                <c:pt idx="471">
                  <c:v>180943.21964233136</c:v>
                </c:pt>
                <c:pt idx="472">
                  <c:v>180943.41002384009</c:v>
                </c:pt>
                <c:pt idx="473">
                  <c:v>180943.59644902396</c:v>
                </c:pt>
                <c:pt idx="474">
                  <c:v>180943.77900009946</c:v>
                </c:pt>
                <c:pt idx="475">
                  <c:v>180943.95775757456</c:v>
                </c:pt>
                <c:pt idx="476">
                  <c:v>180944.13280028428</c:v>
                </c:pt>
                <c:pt idx="477">
                  <c:v>180944.30420542523</c:v>
                </c:pt>
                <c:pt idx="478">
                  <c:v>180944.4720485899</c:v>
                </c:pt>
                <c:pt idx="479">
                  <c:v>180944.63640379978</c:v>
                </c:pt>
                <c:pt idx="480">
                  <c:v>180944.79734353826</c:v>
                </c:pt>
                <c:pt idx="481">
                  <c:v>180944.95493878232</c:v>
                </c:pt>
                <c:pt idx="482">
                  <c:v>180945.10925903401</c:v>
                </c:pt>
                <c:pt idx="483">
                  <c:v>180945.2603723511</c:v>
                </c:pt>
                <c:pt idx="484">
                  <c:v>180945.40834537699</c:v>
                </c:pt>
                <c:pt idx="485">
                  <c:v>180945.55324337014</c:v>
                </c:pt>
                <c:pt idx="486">
                  <c:v>180945.69513023304</c:v>
                </c:pt>
                <c:pt idx="487">
                  <c:v>180945.83406853996</c:v>
                </c:pt>
                <c:pt idx="488">
                  <c:v>180945.97011956503</c:v>
                </c:pt>
                <c:pt idx="489">
                  <c:v>180946.1033433089</c:v>
                </c:pt>
                <c:pt idx="490">
                  <c:v>180946.23379852547</c:v>
                </c:pt>
                <c:pt idx="491">
                  <c:v>180946.36154274753</c:v>
                </c:pt>
                <c:pt idx="492">
                  <c:v>180946.48663231239</c:v>
                </c:pt>
                <c:pt idx="493">
                  <c:v>180946.60912238655</c:v>
                </c:pt>
                <c:pt idx="494">
                  <c:v>180946.7290669902</c:v>
                </c:pt>
                <c:pt idx="495">
                  <c:v>180946.84651902074</c:v>
                </c:pt>
                <c:pt idx="496">
                  <c:v>180946.96153027652</c:v>
                </c:pt>
                <c:pt idx="497">
                  <c:v>180947.07415147926</c:v>
                </c:pt>
                <c:pt idx="498">
                  <c:v>180947.18443229684</c:v>
                </c:pt>
                <c:pt idx="499">
                  <c:v>180947.29242136481</c:v>
                </c:pt>
                <c:pt idx="500">
                  <c:v>180947.39816630812</c:v>
                </c:pt>
              </c:numCache>
            </c:numRef>
          </c:val>
          <c:smooth val="1"/>
          <c:extLst>
            <c:ext xmlns:c16="http://schemas.microsoft.com/office/drawing/2014/chart" uri="{C3380CC4-5D6E-409C-BE32-E72D297353CC}">
              <c16:uniqueId val="{00000000-03A4-46F3-BEB3-3AA000F910FC}"/>
            </c:ext>
          </c:extLst>
        </c:ser>
        <c:ser>
          <c:idx val="1"/>
          <c:order val="1"/>
          <c:tx>
            <c:v>Control 2</c:v>
          </c:tx>
          <c:marker>
            <c:symbol val="none"/>
          </c:marker>
          <c:cat>
            <c:numRef>
              <c:f>Durability!$B$20:$B$520</c:f>
              <c:numCache>
                <c:formatCode>0.00</c:formatCode>
                <c:ptCount val="501"/>
                <c:pt idx="0">
                  <c:v>0</c:v>
                </c:pt>
                <c:pt idx="1">
                  <c:v>0.01</c:v>
                </c:pt>
                <c:pt idx="2">
                  <c:v>0.02</c:v>
                </c:pt>
                <c:pt idx="3">
                  <c:v>0.03</c:v>
                </c:pt>
                <c:pt idx="4">
                  <c:v>0.04</c:v>
                </c:pt>
                <c:pt idx="5">
                  <c:v>0.05</c:v>
                </c:pt>
                <c:pt idx="6">
                  <c:v>0.06</c:v>
                </c:pt>
                <c:pt idx="7">
                  <c:v>7.0000000000000007E-2</c:v>
                </c:pt>
                <c:pt idx="8">
                  <c:v>0.08</c:v>
                </c:pt>
                <c:pt idx="9">
                  <c:v>0.09</c:v>
                </c:pt>
                <c:pt idx="10">
                  <c:v>0.1</c:v>
                </c:pt>
                <c:pt idx="11">
                  <c:v>0.11</c:v>
                </c:pt>
                <c:pt idx="12">
                  <c:v>0.12</c:v>
                </c:pt>
                <c:pt idx="13">
                  <c:v>0.13</c:v>
                </c:pt>
                <c:pt idx="14">
                  <c:v>0.14000000000000001</c:v>
                </c:pt>
                <c:pt idx="15">
                  <c:v>0.15</c:v>
                </c:pt>
                <c:pt idx="16">
                  <c:v>0.16</c:v>
                </c:pt>
                <c:pt idx="17">
                  <c:v>0.17</c:v>
                </c:pt>
                <c:pt idx="18">
                  <c:v>0.18</c:v>
                </c:pt>
                <c:pt idx="19">
                  <c:v>0.19</c:v>
                </c:pt>
                <c:pt idx="20">
                  <c:v>0.2</c:v>
                </c:pt>
                <c:pt idx="21">
                  <c:v>0.21</c:v>
                </c:pt>
                <c:pt idx="22">
                  <c:v>0.22</c:v>
                </c:pt>
                <c:pt idx="23">
                  <c:v>0.23</c:v>
                </c:pt>
                <c:pt idx="24">
                  <c:v>0.24</c:v>
                </c:pt>
                <c:pt idx="25">
                  <c:v>0.25</c:v>
                </c:pt>
                <c:pt idx="26">
                  <c:v>0.26</c:v>
                </c:pt>
                <c:pt idx="27">
                  <c:v>0.27</c:v>
                </c:pt>
                <c:pt idx="28">
                  <c:v>0.28000000000000003</c:v>
                </c:pt>
                <c:pt idx="29">
                  <c:v>0.28999999999999998</c:v>
                </c:pt>
                <c:pt idx="30">
                  <c:v>0.3</c:v>
                </c:pt>
                <c:pt idx="31">
                  <c:v>0.31</c:v>
                </c:pt>
                <c:pt idx="32">
                  <c:v>0.32</c:v>
                </c:pt>
                <c:pt idx="33">
                  <c:v>0.33</c:v>
                </c:pt>
                <c:pt idx="34">
                  <c:v>0.34</c:v>
                </c:pt>
                <c:pt idx="35">
                  <c:v>0.35</c:v>
                </c:pt>
                <c:pt idx="36">
                  <c:v>0.36</c:v>
                </c:pt>
                <c:pt idx="37">
                  <c:v>0.37</c:v>
                </c:pt>
                <c:pt idx="38">
                  <c:v>0.38</c:v>
                </c:pt>
                <c:pt idx="39">
                  <c:v>0.39</c:v>
                </c:pt>
                <c:pt idx="40">
                  <c:v>0.4</c:v>
                </c:pt>
                <c:pt idx="41">
                  <c:v>0.41</c:v>
                </c:pt>
                <c:pt idx="42">
                  <c:v>0.42</c:v>
                </c:pt>
                <c:pt idx="43">
                  <c:v>0.43</c:v>
                </c:pt>
                <c:pt idx="44">
                  <c:v>0.44</c:v>
                </c:pt>
                <c:pt idx="45">
                  <c:v>0.45</c:v>
                </c:pt>
                <c:pt idx="46">
                  <c:v>0.46</c:v>
                </c:pt>
                <c:pt idx="47">
                  <c:v>0.47</c:v>
                </c:pt>
                <c:pt idx="48">
                  <c:v>0.48</c:v>
                </c:pt>
                <c:pt idx="49">
                  <c:v>0.49</c:v>
                </c:pt>
                <c:pt idx="50">
                  <c:v>0.5</c:v>
                </c:pt>
                <c:pt idx="51">
                  <c:v>0.51</c:v>
                </c:pt>
                <c:pt idx="52">
                  <c:v>0.52</c:v>
                </c:pt>
                <c:pt idx="53">
                  <c:v>0.53</c:v>
                </c:pt>
                <c:pt idx="54">
                  <c:v>0.54</c:v>
                </c:pt>
                <c:pt idx="55">
                  <c:v>0.55000000000000004</c:v>
                </c:pt>
                <c:pt idx="56">
                  <c:v>0.56000000000000005</c:v>
                </c:pt>
                <c:pt idx="57">
                  <c:v>0.56999999999999995</c:v>
                </c:pt>
                <c:pt idx="58">
                  <c:v>0.57999999999999996</c:v>
                </c:pt>
                <c:pt idx="59">
                  <c:v>0.59</c:v>
                </c:pt>
                <c:pt idx="60">
                  <c:v>0.6</c:v>
                </c:pt>
                <c:pt idx="61">
                  <c:v>0.61</c:v>
                </c:pt>
                <c:pt idx="62">
                  <c:v>0.62</c:v>
                </c:pt>
                <c:pt idx="63">
                  <c:v>0.63</c:v>
                </c:pt>
                <c:pt idx="64">
                  <c:v>0.64</c:v>
                </c:pt>
                <c:pt idx="65">
                  <c:v>0.65</c:v>
                </c:pt>
                <c:pt idx="66">
                  <c:v>0.66</c:v>
                </c:pt>
                <c:pt idx="67">
                  <c:v>0.67</c:v>
                </c:pt>
                <c:pt idx="68">
                  <c:v>0.68</c:v>
                </c:pt>
                <c:pt idx="69">
                  <c:v>0.69</c:v>
                </c:pt>
                <c:pt idx="70">
                  <c:v>0.7</c:v>
                </c:pt>
                <c:pt idx="71">
                  <c:v>0.71</c:v>
                </c:pt>
                <c:pt idx="72">
                  <c:v>0.72</c:v>
                </c:pt>
                <c:pt idx="73">
                  <c:v>0.73</c:v>
                </c:pt>
                <c:pt idx="74">
                  <c:v>0.74</c:v>
                </c:pt>
                <c:pt idx="75">
                  <c:v>0.75</c:v>
                </c:pt>
                <c:pt idx="76">
                  <c:v>0.76</c:v>
                </c:pt>
                <c:pt idx="77">
                  <c:v>0.77</c:v>
                </c:pt>
                <c:pt idx="78">
                  <c:v>0.78</c:v>
                </c:pt>
                <c:pt idx="79">
                  <c:v>0.79</c:v>
                </c:pt>
                <c:pt idx="80">
                  <c:v>0.8</c:v>
                </c:pt>
                <c:pt idx="81">
                  <c:v>0.81</c:v>
                </c:pt>
                <c:pt idx="82">
                  <c:v>0.82</c:v>
                </c:pt>
                <c:pt idx="83">
                  <c:v>0.83</c:v>
                </c:pt>
                <c:pt idx="84">
                  <c:v>0.84</c:v>
                </c:pt>
                <c:pt idx="85">
                  <c:v>0.85</c:v>
                </c:pt>
                <c:pt idx="86">
                  <c:v>0.86</c:v>
                </c:pt>
                <c:pt idx="87">
                  <c:v>0.87</c:v>
                </c:pt>
                <c:pt idx="88">
                  <c:v>0.88</c:v>
                </c:pt>
                <c:pt idx="89">
                  <c:v>0.89</c:v>
                </c:pt>
                <c:pt idx="90">
                  <c:v>0.9</c:v>
                </c:pt>
                <c:pt idx="91">
                  <c:v>0.91</c:v>
                </c:pt>
                <c:pt idx="92">
                  <c:v>0.92</c:v>
                </c:pt>
                <c:pt idx="93">
                  <c:v>0.93</c:v>
                </c:pt>
                <c:pt idx="94">
                  <c:v>0.94</c:v>
                </c:pt>
                <c:pt idx="95">
                  <c:v>0.95</c:v>
                </c:pt>
                <c:pt idx="96">
                  <c:v>0.96</c:v>
                </c:pt>
                <c:pt idx="97">
                  <c:v>0.97</c:v>
                </c:pt>
                <c:pt idx="98">
                  <c:v>0.98</c:v>
                </c:pt>
                <c:pt idx="99">
                  <c:v>0.99</c:v>
                </c:pt>
                <c:pt idx="100">
                  <c:v>1</c:v>
                </c:pt>
                <c:pt idx="101">
                  <c:v>1.01</c:v>
                </c:pt>
                <c:pt idx="102">
                  <c:v>1.02</c:v>
                </c:pt>
                <c:pt idx="103">
                  <c:v>1.03</c:v>
                </c:pt>
                <c:pt idx="104">
                  <c:v>1.04</c:v>
                </c:pt>
                <c:pt idx="105">
                  <c:v>1.05</c:v>
                </c:pt>
                <c:pt idx="106">
                  <c:v>1.06</c:v>
                </c:pt>
                <c:pt idx="107">
                  <c:v>1.07</c:v>
                </c:pt>
                <c:pt idx="108">
                  <c:v>1.08</c:v>
                </c:pt>
                <c:pt idx="109">
                  <c:v>1.0900000000000001</c:v>
                </c:pt>
                <c:pt idx="110">
                  <c:v>1.1000000000000001</c:v>
                </c:pt>
                <c:pt idx="111">
                  <c:v>1.1100000000000001</c:v>
                </c:pt>
                <c:pt idx="112">
                  <c:v>1.1200000000000001</c:v>
                </c:pt>
                <c:pt idx="113">
                  <c:v>1.1299999999999999</c:v>
                </c:pt>
                <c:pt idx="114">
                  <c:v>1.1399999999999999</c:v>
                </c:pt>
                <c:pt idx="115">
                  <c:v>1.1499999999999999</c:v>
                </c:pt>
                <c:pt idx="116">
                  <c:v>1.1599999999999999</c:v>
                </c:pt>
                <c:pt idx="117">
                  <c:v>1.17</c:v>
                </c:pt>
                <c:pt idx="118">
                  <c:v>1.18</c:v>
                </c:pt>
                <c:pt idx="119">
                  <c:v>1.19</c:v>
                </c:pt>
                <c:pt idx="120">
                  <c:v>1.2</c:v>
                </c:pt>
                <c:pt idx="121">
                  <c:v>1.21</c:v>
                </c:pt>
                <c:pt idx="122">
                  <c:v>1.22</c:v>
                </c:pt>
                <c:pt idx="123">
                  <c:v>1.23</c:v>
                </c:pt>
                <c:pt idx="124">
                  <c:v>1.24</c:v>
                </c:pt>
                <c:pt idx="125">
                  <c:v>1.25</c:v>
                </c:pt>
                <c:pt idx="126">
                  <c:v>1.26</c:v>
                </c:pt>
                <c:pt idx="127">
                  <c:v>1.27</c:v>
                </c:pt>
                <c:pt idx="128">
                  <c:v>1.28</c:v>
                </c:pt>
                <c:pt idx="129">
                  <c:v>1.29</c:v>
                </c:pt>
                <c:pt idx="130">
                  <c:v>1.3</c:v>
                </c:pt>
                <c:pt idx="131">
                  <c:v>1.31</c:v>
                </c:pt>
                <c:pt idx="132">
                  <c:v>1.32</c:v>
                </c:pt>
                <c:pt idx="133">
                  <c:v>1.33</c:v>
                </c:pt>
                <c:pt idx="134">
                  <c:v>1.34</c:v>
                </c:pt>
                <c:pt idx="135">
                  <c:v>1.35</c:v>
                </c:pt>
                <c:pt idx="136">
                  <c:v>1.36</c:v>
                </c:pt>
                <c:pt idx="137">
                  <c:v>1.37</c:v>
                </c:pt>
                <c:pt idx="138">
                  <c:v>1.38</c:v>
                </c:pt>
                <c:pt idx="139">
                  <c:v>1.39</c:v>
                </c:pt>
                <c:pt idx="140">
                  <c:v>1.4</c:v>
                </c:pt>
                <c:pt idx="141">
                  <c:v>1.41</c:v>
                </c:pt>
                <c:pt idx="142">
                  <c:v>1.42</c:v>
                </c:pt>
                <c:pt idx="143">
                  <c:v>1.43</c:v>
                </c:pt>
                <c:pt idx="144">
                  <c:v>1.44</c:v>
                </c:pt>
                <c:pt idx="145">
                  <c:v>1.45</c:v>
                </c:pt>
                <c:pt idx="146">
                  <c:v>1.46</c:v>
                </c:pt>
                <c:pt idx="147">
                  <c:v>1.47</c:v>
                </c:pt>
                <c:pt idx="148">
                  <c:v>1.48</c:v>
                </c:pt>
                <c:pt idx="149">
                  <c:v>1.49</c:v>
                </c:pt>
                <c:pt idx="150">
                  <c:v>1.5</c:v>
                </c:pt>
                <c:pt idx="151">
                  <c:v>1.51</c:v>
                </c:pt>
                <c:pt idx="152">
                  <c:v>1.52</c:v>
                </c:pt>
                <c:pt idx="153">
                  <c:v>1.53</c:v>
                </c:pt>
                <c:pt idx="154">
                  <c:v>1.54</c:v>
                </c:pt>
                <c:pt idx="155">
                  <c:v>1.55</c:v>
                </c:pt>
                <c:pt idx="156">
                  <c:v>1.56</c:v>
                </c:pt>
                <c:pt idx="157">
                  <c:v>1.57</c:v>
                </c:pt>
                <c:pt idx="158">
                  <c:v>1.58</c:v>
                </c:pt>
                <c:pt idx="159">
                  <c:v>1.59</c:v>
                </c:pt>
                <c:pt idx="160">
                  <c:v>1.6</c:v>
                </c:pt>
                <c:pt idx="161">
                  <c:v>1.61</c:v>
                </c:pt>
                <c:pt idx="162">
                  <c:v>1.62</c:v>
                </c:pt>
                <c:pt idx="163">
                  <c:v>1.63</c:v>
                </c:pt>
                <c:pt idx="164">
                  <c:v>1.64</c:v>
                </c:pt>
                <c:pt idx="165">
                  <c:v>1.65</c:v>
                </c:pt>
                <c:pt idx="166">
                  <c:v>1.66</c:v>
                </c:pt>
                <c:pt idx="167">
                  <c:v>1.67</c:v>
                </c:pt>
                <c:pt idx="168">
                  <c:v>1.68</c:v>
                </c:pt>
                <c:pt idx="169">
                  <c:v>1.69</c:v>
                </c:pt>
                <c:pt idx="170">
                  <c:v>1.7</c:v>
                </c:pt>
                <c:pt idx="171">
                  <c:v>1.71</c:v>
                </c:pt>
                <c:pt idx="172">
                  <c:v>1.72</c:v>
                </c:pt>
                <c:pt idx="173">
                  <c:v>1.73</c:v>
                </c:pt>
                <c:pt idx="174">
                  <c:v>1.74</c:v>
                </c:pt>
                <c:pt idx="175">
                  <c:v>1.75</c:v>
                </c:pt>
                <c:pt idx="176">
                  <c:v>1.76</c:v>
                </c:pt>
                <c:pt idx="177">
                  <c:v>1.77</c:v>
                </c:pt>
                <c:pt idx="178">
                  <c:v>1.78</c:v>
                </c:pt>
                <c:pt idx="179">
                  <c:v>1.79</c:v>
                </c:pt>
                <c:pt idx="180">
                  <c:v>1.8</c:v>
                </c:pt>
                <c:pt idx="181">
                  <c:v>1.81</c:v>
                </c:pt>
                <c:pt idx="182">
                  <c:v>1.82</c:v>
                </c:pt>
                <c:pt idx="183">
                  <c:v>1.83</c:v>
                </c:pt>
                <c:pt idx="184">
                  <c:v>1.84</c:v>
                </c:pt>
                <c:pt idx="185">
                  <c:v>1.85</c:v>
                </c:pt>
                <c:pt idx="186">
                  <c:v>1.86</c:v>
                </c:pt>
                <c:pt idx="187">
                  <c:v>1.87</c:v>
                </c:pt>
                <c:pt idx="188">
                  <c:v>1.88</c:v>
                </c:pt>
                <c:pt idx="189">
                  <c:v>1.89</c:v>
                </c:pt>
                <c:pt idx="190">
                  <c:v>1.9</c:v>
                </c:pt>
                <c:pt idx="191">
                  <c:v>1.91</c:v>
                </c:pt>
                <c:pt idx="192">
                  <c:v>1.92</c:v>
                </c:pt>
                <c:pt idx="193">
                  <c:v>1.93</c:v>
                </c:pt>
                <c:pt idx="194">
                  <c:v>1.94</c:v>
                </c:pt>
                <c:pt idx="195">
                  <c:v>1.95</c:v>
                </c:pt>
                <c:pt idx="196">
                  <c:v>1.96</c:v>
                </c:pt>
                <c:pt idx="197">
                  <c:v>1.97</c:v>
                </c:pt>
                <c:pt idx="198">
                  <c:v>1.98</c:v>
                </c:pt>
                <c:pt idx="199">
                  <c:v>1.99</c:v>
                </c:pt>
                <c:pt idx="200">
                  <c:v>2</c:v>
                </c:pt>
                <c:pt idx="201">
                  <c:v>2.0099999999999998</c:v>
                </c:pt>
                <c:pt idx="202">
                  <c:v>2.02</c:v>
                </c:pt>
                <c:pt idx="203">
                  <c:v>2.0299999999999998</c:v>
                </c:pt>
                <c:pt idx="204">
                  <c:v>2.04</c:v>
                </c:pt>
                <c:pt idx="205">
                  <c:v>2.0499999999999998</c:v>
                </c:pt>
                <c:pt idx="206">
                  <c:v>2.06</c:v>
                </c:pt>
                <c:pt idx="207">
                  <c:v>2.0699999999999998</c:v>
                </c:pt>
                <c:pt idx="208">
                  <c:v>2.08</c:v>
                </c:pt>
                <c:pt idx="209">
                  <c:v>2.09</c:v>
                </c:pt>
                <c:pt idx="210">
                  <c:v>2.1</c:v>
                </c:pt>
                <c:pt idx="211">
                  <c:v>2.11</c:v>
                </c:pt>
                <c:pt idx="212">
                  <c:v>2.12</c:v>
                </c:pt>
                <c:pt idx="213">
                  <c:v>2.13</c:v>
                </c:pt>
                <c:pt idx="214">
                  <c:v>2.14</c:v>
                </c:pt>
                <c:pt idx="215">
                  <c:v>2.15</c:v>
                </c:pt>
                <c:pt idx="216">
                  <c:v>2.16</c:v>
                </c:pt>
                <c:pt idx="217">
                  <c:v>2.17</c:v>
                </c:pt>
                <c:pt idx="218">
                  <c:v>2.1800000000000002</c:v>
                </c:pt>
                <c:pt idx="219">
                  <c:v>2.19</c:v>
                </c:pt>
                <c:pt idx="220">
                  <c:v>2.2000000000000002</c:v>
                </c:pt>
                <c:pt idx="221">
                  <c:v>2.21</c:v>
                </c:pt>
                <c:pt idx="222">
                  <c:v>2.2200000000000002</c:v>
                </c:pt>
                <c:pt idx="223">
                  <c:v>2.23</c:v>
                </c:pt>
                <c:pt idx="224">
                  <c:v>2.2400000000000002</c:v>
                </c:pt>
                <c:pt idx="225">
                  <c:v>2.25</c:v>
                </c:pt>
                <c:pt idx="226">
                  <c:v>2.2599999999999998</c:v>
                </c:pt>
                <c:pt idx="227">
                  <c:v>2.27</c:v>
                </c:pt>
                <c:pt idx="228">
                  <c:v>2.2799999999999998</c:v>
                </c:pt>
                <c:pt idx="229">
                  <c:v>2.29</c:v>
                </c:pt>
                <c:pt idx="230">
                  <c:v>2.2999999999999998</c:v>
                </c:pt>
                <c:pt idx="231">
                  <c:v>2.31</c:v>
                </c:pt>
                <c:pt idx="232">
                  <c:v>2.3199999999999998</c:v>
                </c:pt>
                <c:pt idx="233">
                  <c:v>2.33</c:v>
                </c:pt>
                <c:pt idx="234">
                  <c:v>2.34</c:v>
                </c:pt>
                <c:pt idx="235">
                  <c:v>2.35</c:v>
                </c:pt>
                <c:pt idx="236">
                  <c:v>2.36</c:v>
                </c:pt>
                <c:pt idx="237">
                  <c:v>2.37</c:v>
                </c:pt>
                <c:pt idx="238">
                  <c:v>2.38</c:v>
                </c:pt>
                <c:pt idx="239">
                  <c:v>2.39</c:v>
                </c:pt>
                <c:pt idx="240">
                  <c:v>2.4</c:v>
                </c:pt>
                <c:pt idx="241">
                  <c:v>2.41</c:v>
                </c:pt>
                <c:pt idx="242">
                  <c:v>2.42</c:v>
                </c:pt>
                <c:pt idx="243">
                  <c:v>2.4300000000000002</c:v>
                </c:pt>
                <c:pt idx="244">
                  <c:v>2.44</c:v>
                </c:pt>
                <c:pt idx="245">
                  <c:v>2.4500000000000002</c:v>
                </c:pt>
                <c:pt idx="246">
                  <c:v>2.46</c:v>
                </c:pt>
                <c:pt idx="247">
                  <c:v>2.4700000000000002</c:v>
                </c:pt>
                <c:pt idx="248">
                  <c:v>2.48</c:v>
                </c:pt>
                <c:pt idx="249">
                  <c:v>2.4900000000000002</c:v>
                </c:pt>
                <c:pt idx="250">
                  <c:v>2.5</c:v>
                </c:pt>
                <c:pt idx="251">
                  <c:v>2.5099999999999998</c:v>
                </c:pt>
                <c:pt idx="252">
                  <c:v>2.52</c:v>
                </c:pt>
                <c:pt idx="253">
                  <c:v>2.5299999999999998</c:v>
                </c:pt>
                <c:pt idx="254">
                  <c:v>2.54</c:v>
                </c:pt>
                <c:pt idx="255">
                  <c:v>2.5499999999999998</c:v>
                </c:pt>
                <c:pt idx="256">
                  <c:v>2.56</c:v>
                </c:pt>
                <c:pt idx="257">
                  <c:v>2.57</c:v>
                </c:pt>
                <c:pt idx="258">
                  <c:v>2.58</c:v>
                </c:pt>
                <c:pt idx="259">
                  <c:v>2.59</c:v>
                </c:pt>
                <c:pt idx="260">
                  <c:v>2.6</c:v>
                </c:pt>
                <c:pt idx="261">
                  <c:v>2.61</c:v>
                </c:pt>
                <c:pt idx="262">
                  <c:v>2.62</c:v>
                </c:pt>
                <c:pt idx="263">
                  <c:v>2.63</c:v>
                </c:pt>
                <c:pt idx="264">
                  <c:v>2.64</c:v>
                </c:pt>
                <c:pt idx="265">
                  <c:v>2.65</c:v>
                </c:pt>
                <c:pt idx="266">
                  <c:v>2.66</c:v>
                </c:pt>
                <c:pt idx="267">
                  <c:v>2.67</c:v>
                </c:pt>
                <c:pt idx="268">
                  <c:v>2.68</c:v>
                </c:pt>
                <c:pt idx="269">
                  <c:v>2.69</c:v>
                </c:pt>
                <c:pt idx="270">
                  <c:v>2.7</c:v>
                </c:pt>
                <c:pt idx="271">
                  <c:v>2.71</c:v>
                </c:pt>
                <c:pt idx="272">
                  <c:v>2.72</c:v>
                </c:pt>
                <c:pt idx="273">
                  <c:v>2.73</c:v>
                </c:pt>
                <c:pt idx="274">
                  <c:v>2.74</c:v>
                </c:pt>
                <c:pt idx="275">
                  <c:v>2.75</c:v>
                </c:pt>
                <c:pt idx="276">
                  <c:v>2.76</c:v>
                </c:pt>
                <c:pt idx="277">
                  <c:v>2.77</c:v>
                </c:pt>
                <c:pt idx="278">
                  <c:v>2.78</c:v>
                </c:pt>
                <c:pt idx="279">
                  <c:v>2.79</c:v>
                </c:pt>
                <c:pt idx="280">
                  <c:v>2.8</c:v>
                </c:pt>
                <c:pt idx="281">
                  <c:v>2.81</c:v>
                </c:pt>
                <c:pt idx="282">
                  <c:v>2.82</c:v>
                </c:pt>
                <c:pt idx="283">
                  <c:v>2.83</c:v>
                </c:pt>
                <c:pt idx="284">
                  <c:v>2.84</c:v>
                </c:pt>
                <c:pt idx="285">
                  <c:v>2.85</c:v>
                </c:pt>
                <c:pt idx="286">
                  <c:v>2.86</c:v>
                </c:pt>
                <c:pt idx="287">
                  <c:v>2.87</c:v>
                </c:pt>
                <c:pt idx="288">
                  <c:v>2.88</c:v>
                </c:pt>
                <c:pt idx="289">
                  <c:v>2.89</c:v>
                </c:pt>
                <c:pt idx="290">
                  <c:v>2.9</c:v>
                </c:pt>
                <c:pt idx="291">
                  <c:v>2.91</c:v>
                </c:pt>
                <c:pt idx="292">
                  <c:v>2.92</c:v>
                </c:pt>
                <c:pt idx="293">
                  <c:v>2.93</c:v>
                </c:pt>
                <c:pt idx="294">
                  <c:v>2.94</c:v>
                </c:pt>
                <c:pt idx="295">
                  <c:v>2.95</c:v>
                </c:pt>
                <c:pt idx="296">
                  <c:v>2.96</c:v>
                </c:pt>
                <c:pt idx="297">
                  <c:v>2.97</c:v>
                </c:pt>
                <c:pt idx="298">
                  <c:v>2.98</c:v>
                </c:pt>
                <c:pt idx="299">
                  <c:v>2.99</c:v>
                </c:pt>
                <c:pt idx="300">
                  <c:v>3</c:v>
                </c:pt>
                <c:pt idx="301">
                  <c:v>3.01</c:v>
                </c:pt>
                <c:pt idx="302">
                  <c:v>3.02</c:v>
                </c:pt>
                <c:pt idx="303">
                  <c:v>3.03</c:v>
                </c:pt>
                <c:pt idx="304">
                  <c:v>3.04</c:v>
                </c:pt>
                <c:pt idx="305">
                  <c:v>3.05</c:v>
                </c:pt>
                <c:pt idx="306">
                  <c:v>3.06</c:v>
                </c:pt>
                <c:pt idx="307">
                  <c:v>3.07</c:v>
                </c:pt>
                <c:pt idx="308">
                  <c:v>3.08</c:v>
                </c:pt>
                <c:pt idx="309">
                  <c:v>3.09</c:v>
                </c:pt>
                <c:pt idx="310">
                  <c:v>3.1</c:v>
                </c:pt>
                <c:pt idx="311">
                  <c:v>3.11</c:v>
                </c:pt>
                <c:pt idx="312">
                  <c:v>3.12</c:v>
                </c:pt>
                <c:pt idx="313">
                  <c:v>3.13</c:v>
                </c:pt>
                <c:pt idx="314">
                  <c:v>3.14</c:v>
                </c:pt>
                <c:pt idx="315">
                  <c:v>3.15</c:v>
                </c:pt>
                <c:pt idx="316">
                  <c:v>3.16</c:v>
                </c:pt>
                <c:pt idx="317">
                  <c:v>3.17</c:v>
                </c:pt>
                <c:pt idx="318">
                  <c:v>3.18</c:v>
                </c:pt>
                <c:pt idx="319">
                  <c:v>3.19</c:v>
                </c:pt>
                <c:pt idx="320">
                  <c:v>3.2</c:v>
                </c:pt>
                <c:pt idx="321">
                  <c:v>3.21</c:v>
                </c:pt>
                <c:pt idx="322">
                  <c:v>3.22</c:v>
                </c:pt>
                <c:pt idx="323">
                  <c:v>3.23</c:v>
                </c:pt>
                <c:pt idx="324">
                  <c:v>3.24</c:v>
                </c:pt>
                <c:pt idx="325">
                  <c:v>3.25</c:v>
                </c:pt>
                <c:pt idx="326">
                  <c:v>3.26</c:v>
                </c:pt>
                <c:pt idx="327">
                  <c:v>3.27</c:v>
                </c:pt>
                <c:pt idx="328">
                  <c:v>3.28</c:v>
                </c:pt>
                <c:pt idx="329">
                  <c:v>3.29</c:v>
                </c:pt>
                <c:pt idx="330">
                  <c:v>3.3</c:v>
                </c:pt>
                <c:pt idx="331">
                  <c:v>3.31</c:v>
                </c:pt>
                <c:pt idx="332">
                  <c:v>3.32</c:v>
                </c:pt>
                <c:pt idx="333">
                  <c:v>3.33</c:v>
                </c:pt>
                <c:pt idx="334">
                  <c:v>3.34</c:v>
                </c:pt>
                <c:pt idx="335">
                  <c:v>3.35</c:v>
                </c:pt>
                <c:pt idx="336">
                  <c:v>3.36</c:v>
                </c:pt>
                <c:pt idx="337">
                  <c:v>3.37</c:v>
                </c:pt>
                <c:pt idx="338">
                  <c:v>3.38</c:v>
                </c:pt>
                <c:pt idx="339">
                  <c:v>3.39</c:v>
                </c:pt>
                <c:pt idx="340">
                  <c:v>3.4</c:v>
                </c:pt>
                <c:pt idx="341">
                  <c:v>3.41</c:v>
                </c:pt>
                <c:pt idx="342">
                  <c:v>3.42</c:v>
                </c:pt>
                <c:pt idx="343">
                  <c:v>3.43</c:v>
                </c:pt>
                <c:pt idx="344">
                  <c:v>3.44</c:v>
                </c:pt>
                <c:pt idx="345">
                  <c:v>3.45</c:v>
                </c:pt>
                <c:pt idx="346">
                  <c:v>3.46</c:v>
                </c:pt>
                <c:pt idx="347">
                  <c:v>3.47</c:v>
                </c:pt>
                <c:pt idx="348">
                  <c:v>3.48</c:v>
                </c:pt>
                <c:pt idx="349">
                  <c:v>3.49</c:v>
                </c:pt>
                <c:pt idx="350">
                  <c:v>3.5</c:v>
                </c:pt>
                <c:pt idx="351">
                  <c:v>3.51</c:v>
                </c:pt>
                <c:pt idx="352">
                  <c:v>3.52</c:v>
                </c:pt>
                <c:pt idx="353">
                  <c:v>3.53</c:v>
                </c:pt>
                <c:pt idx="354">
                  <c:v>3.54</c:v>
                </c:pt>
                <c:pt idx="355">
                  <c:v>3.55</c:v>
                </c:pt>
                <c:pt idx="356">
                  <c:v>3.56</c:v>
                </c:pt>
                <c:pt idx="357">
                  <c:v>3.57</c:v>
                </c:pt>
                <c:pt idx="358">
                  <c:v>3.58</c:v>
                </c:pt>
                <c:pt idx="359">
                  <c:v>3.59</c:v>
                </c:pt>
                <c:pt idx="360">
                  <c:v>3.6</c:v>
                </c:pt>
                <c:pt idx="361">
                  <c:v>3.61</c:v>
                </c:pt>
                <c:pt idx="362">
                  <c:v>3.62</c:v>
                </c:pt>
                <c:pt idx="363">
                  <c:v>3.63</c:v>
                </c:pt>
                <c:pt idx="364">
                  <c:v>3.64</c:v>
                </c:pt>
                <c:pt idx="365">
                  <c:v>3.65</c:v>
                </c:pt>
                <c:pt idx="366">
                  <c:v>3.66</c:v>
                </c:pt>
                <c:pt idx="367">
                  <c:v>3.67</c:v>
                </c:pt>
                <c:pt idx="368">
                  <c:v>3.68</c:v>
                </c:pt>
                <c:pt idx="369">
                  <c:v>3.69</c:v>
                </c:pt>
                <c:pt idx="370">
                  <c:v>3.7</c:v>
                </c:pt>
                <c:pt idx="371">
                  <c:v>3.71</c:v>
                </c:pt>
                <c:pt idx="372">
                  <c:v>3.72</c:v>
                </c:pt>
                <c:pt idx="373">
                  <c:v>3.73</c:v>
                </c:pt>
                <c:pt idx="374">
                  <c:v>3.74</c:v>
                </c:pt>
                <c:pt idx="375">
                  <c:v>3.75</c:v>
                </c:pt>
                <c:pt idx="376">
                  <c:v>3.76</c:v>
                </c:pt>
                <c:pt idx="377">
                  <c:v>3.77</c:v>
                </c:pt>
                <c:pt idx="378">
                  <c:v>3.78</c:v>
                </c:pt>
                <c:pt idx="379">
                  <c:v>3.79</c:v>
                </c:pt>
                <c:pt idx="380">
                  <c:v>3.8</c:v>
                </c:pt>
                <c:pt idx="381">
                  <c:v>3.81</c:v>
                </c:pt>
                <c:pt idx="382">
                  <c:v>3.82</c:v>
                </c:pt>
                <c:pt idx="383">
                  <c:v>3.83</c:v>
                </c:pt>
                <c:pt idx="384">
                  <c:v>3.84</c:v>
                </c:pt>
                <c:pt idx="385">
                  <c:v>3.85</c:v>
                </c:pt>
                <c:pt idx="386">
                  <c:v>3.86</c:v>
                </c:pt>
                <c:pt idx="387">
                  <c:v>3.87</c:v>
                </c:pt>
                <c:pt idx="388">
                  <c:v>3.88</c:v>
                </c:pt>
                <c:pt idx="389">
                  <c:v>3.89</c:v>
                </c:pt>
                <c:pt idx="390">
                  <c:v>3.9</c:v>
                </c:pt>
                <c:pt idx="391">
                  <c:v>3.91</c:v>
                </c:pt>
                <c:pt idx="392">
                  <c:v>3.92</c:v>
                </c:pt>
                <c:pt idx="393">
                  <c:v>3.93</c:v>
                </c:pt>
                <c:pt idx="394">
                  <c:v>3.94</c:v>
                </c:pt>
                <c:pt idx="395">
                  <c:v>3.95</c:v>
                </c:pt>
                <c:pt idx="396">
                  <c:v>3.96</c:v>
                </c:pt>
                <c:pt idx="397">
                  <c:v>3.97</c:v>
                </c:pt>
                <c:pt idx="398">
                  <c:v>3.98</c:v>
                </c:pt>
                <c:pt idx="399">
                  <c:v>3.99</c:v>
                </c:pt>
                <c:pt idx="400">
                  <c:v>4</c:v>
                </c:pt>
                <c:pt idx="401">
                  <c:v>4.01</c:v>
                </c:pt>
                <c:pt idx="402">
                  <c:v>4.0199999999999996</c:v>
                </c:pt>
                <c:pt idx="403">
                  <c:v>4.03</c:v>
                </c:pt>
                <c:pt idx="404">
                  <c:v>4.04</c:v>
                </c:pt>
                <c:pt idx="405">
                  <c:v>4.05</c:v>
                </c:pt>
                <c:pt idx="406">
                  <c:v>4.0599999999999996</c:v>
                </c:pt>
                <c:pt idx="407">
                  <c:v>4.07</c:v>
                </c:pt>
                <c:pt idx="408">
                  <c:v>4.08</c:v>
                </c:pt>
                <c:pt idx="409">
                  <c:v>4.09</c:v>
                </c:pt>
                <c:pt idx="410">
                  <c:v>4.0999999999999996</c:v>
                </c:pt>
                <c:pt idx="411">
                  <c:v>4.1100000000000003</c:v>
                </c:pt>
                <c:pt idx="412">
                  <c:v>4.12</c:v>
                </c:pt>
                <c:pt idx="413">
                  <c:v>4.13</c:v>
                </c:pt>
                <c:pt idx="414">
                  <c:v>4.1399999999999997</c:v>
                </c:pt>
                <c:pt idx="415">
                  <c:v>4.1500000000000004</c:v>
                </c:pt>
                <c:pt idx="416">
                  <c:v>4.16</c:v>
                </c:pt>
                <c:pt idx="417">
                  <c:v>4.17</c:v>
                </c:pt>
                <c:pt idx="418">
                  <c:v>4.18</c:v>
                </c:pt>
                <c:pt idx="419">
                  <c:v>4.1900000000000004</c:v>
                </c:pt>
                <c:pt idx="420">
                  <c:v>4.2</c:v>
                </c:pt>
                <c:pt idx="421">
                  <c:v>4.21</c:v>
                </c:pt>
                <c:pt idx="422">
                  <c:v>4.22</c:v>
                </c:pt>
                <c:pt idx="423">
                  <c:v>4.2300000000000004</c:v>
                </c:pt>
                <c:pt idx="424">
                  <c:v>4.24</c:v>
                </c:pt>
                <c:pt idx="425">
                  <c:v>4.25</c:v>
                </c:pt>
                <c:pt idx="426">
                  <c:v>4.26</c:v>
                </c:pt>
                <c:pt idx="427">
                  <c:v>4.2699999999999996</c:v>
                </c:pt>
                <c:pt idx="428">
                  <c:v>4.28</c:v>
                </c:pt>
                <c:pt idx="429">
                  <c:v>4.29</c:v>
                </c:pt>
                <c:pt idx="430">
                  <c:v>4.3</c:v>
                </c:pt>
                <c:pt idx="431">
                  <c:v>4.3099999999999996</c:v>
                </c:pt>
                <c:pt idx="432">
                  <c:v>4.32</c:v>
                </c:pt>
                <c:pt idx="433">
                  <c:v>4.33</c:v>
                </c:pt>
                <c:pt idx="434">
                  <c:v>4.34</c:v>
                </c:pt>
                <c:pt idx="435">
                  <c:v>4.3499999999999996</c:v>
                </c:pt>
                <c:pt idx="436">
                  <c:v>4.3600000000000003</c:v>
                </c:pt>
                <c:pt idx="437">
                  <c:v>4.37</c:v>
                </c:pt>
                <c:pt idx="438">
                  <c:v>4.38</c:v>
                </c:pt>
                <c:pt idx="439">
                  <c:v>4.3899999999999997</c:v>
                </c:pt>
                <c:pt idx="440">
                  <c:v>4.4000000000000004</c:v>
                </c:pt>
                <c:pt idx="441">
                  <c:v>4.41</c:v>
                </c:pt>
                <c:pt idx="442">
                  <c:v>4.42</c:v>
                </c:pt>
                <c:pt idx="443">
                  <c:v>4.43</c:v>
                </c:pt>
                <c:pt idx="444">
                  <c:v>4.4400000000000004</c:v>
                </c:pt>
                <c:pt idx="445">
                  <c:v>4.45</c:v>
                </c:pt>
                <c:pt idx="446">
                  <c:v>4.46</c:v>
                </c:pt>
                <c:pt idx="447">
                  <c:v>4.47</c:v>
                </c:pt>
                <c:pt idx="448">
                  <c:v>4.4800000000000004</c:v>
                </c:pt>
                <c:pt idx="449">
                  <c:v>4.49</c:v>
                </c:pt>
                <c:pt idx="450">
                  <c:v>4.5</c:v>
                </c:pt>
                <c:pt idx="451">
                  <c:v>4.51</c:v>
                </c:pt>
                <c:pt idx="452">
                  <c:v>4.5199999999999996</c:v>
                </c:pt>
                <c:pt idx="453">
                  <c:v>4.53</c:v>
                </c:pt>
                <c:pt idx="454">
                  <c:v>4.54</c:v>
                </c:pt>
                <c:pt idx="455">
                  <c:v>4.55</c:v>
                </c:pt>
                <c:pt idx="456">
                  <c:v>4.5599999999999996</c:v>
                </c:pt>
                <c:pt idx="457">
                  <c:v>4.57</c:v>
                </c:pt>
                <c:pt idx="458">
                  <c:v>4.58</c:v>
                </c:pt>
                <c:pt idx="459">
                  <c:v>4.59</c:v>
                </c:pt>
                <c:pt idx="460">
                  <c:v>4.5999999999999996</c:v>
                </c:pt>
                <c:pt idx="461">
                  <c:v>4.6100000000000003</c:v>
                </c:pt>
                <c:pt idx="462">
                  <c:v>4.62</c:v>
                </c:pt>
                <c:pt idx="463">
                  <c:v>4.63</c:v>
                </c:pt>
                <c:pt idx="464">
                  <c:v>4.6399999999999997</c:v>
                </c:pt>
                <c:pt idx="465">
                  <c:v>4.6500000000000004</c:v>
                </c:pt>
                <c:pt idx="466">
                  <c:v>4.66</c:v>
                </c:pt>
                <c:pt idx="467">
                  <c:v>4.67</c:v>
                </c:pt>
                <c:pt idx="468">
                  <c:v>4.68</c:v>
                </c:pt>
                <c:pt idx="469">
                  <c:v>4.6900000000000004</c:v>
                </c:pt>
                <c:pt idx="470">
                  <c:v>4.7</c:v>
                </c:pt>
                <c:pt idx="471">
                  <c:v>4.71</c:v>
                </c:pt>
                <c:pt idx="472">
                  <c:v>4.72</c:v>
                </c:pt>
                <c:pt idx="473">
                  <c:v>4.7300000000000004</c:v>
                </c:pt>
                <c:pt idx="474">
                  <c:v>4.74</c:v>
                </c:pt>
                <c:pt idx="475">
                  <c:v>4.75</c:v>
                </c:pt>
                <c:pt idx="476">
                  <c:v>4.76</c:v>
                </c:pt>
                <c:pt idx="477">
                  <c:v>4.7699999999999996</c:v>
                </c:pt>
                <c:pt idx="478">
                  <c:v>4.78</c:v>
                </c:pt>
                <c:pt idx="479">
                  <c:v>4.79</c:v>
                </c:pt>
                <c:pt idx="480">
                  <c:v>4.8</c:v>
                </c:pt>
                <c:pt idx="481">
                  <c:v>4.8099999999999996</c:v>
                </c:pt>
                <c:pt idx="482">
                  <c:v>4.82</c:v>
                </c:pt>
                <c:pt idx="483">
                  <c:v>4.83</c:v>
                </c:pt>
                <c:pt idx="484">
                  <c:v>4.84</c:v>
                </c:pt>
                <c:pt idx="485">
                  <c:v>4.8499999999999996</c:v>
                </c:pt>
                <c:pt idx="486">
                  <c:v>4.8600000000000003</c:v>
                </c:pt>
                <c:pt idx="487">
                  <c:v>4.87</c:v>
                </c:pt>
                <c:pt idx="488">
                  <c:v>4.88</c:v>
                </c:pt>
                <c:pt idx="489">
                  <c:v>4.8899999999999997</c:v>
                </c:pt>
                <c:pt idx="490">
                  <c:v>4.9000000000000004</c:v>
                </c:pt>
                <c:pt idx="491">
                  <c:v>4.91</c:v>
                </c:pt>
                <c:pt idx="492">
                  <c:v>4.92</c:v>
                </c:pt>
                <c:pt idx="493">
                  <c:v>4.93</c:v>
                </c:pt>
                <c:pt idx="494">
                  <c:v>4.9400000000000004</c:v>
                </c:pt>
                <c:pt idx="495">
                  <c:v>4.95</c:v>
                </c:pt>
                <c:pt idx="496">
                  <c:v>4.96</c:v>
                </c:pt>
                <c:pt idx="497">
                  <c:v>4.97</c:v>
                </c:pt>
                <c:pt idx="498">
                  <c:v>4.9800000000000004</c:v>
                </c:pt>
                <c:pt idx="499">
                  <c:v>4.99</c:v>
                </c:pt>
                <c:pt idx="500">
                  <c:v>5</c:v>
                </c:pt>
              </c:numCache>
            </c:numRef>
          </c:cat>
          <c:val>
            <c:numRef>
              <c:f>Durability!$D$20:$D$520</c:f>
              <c:numCache>
                <c:formatCode>#,##0.00</c:formatCode>
                <c:ptCount val="501"/>
                <c:pt idx="0">
                  <c:v>0</c:v>
                </c:pt>
                <c:pt idx="1">
                  <c:v>2395.206393605109</c:v>
                </c:pt>
                <c:pt idx="2">
                  <c:v>4780.8510977636051</c:v>
                </c:pt>
                <c:pt idx="3">
                  <c:v>7156.9722828416889</c:v>
                </c:pt>
                <c:pt idx="4">
                  <c:v>9523.6079668289167</c:v>
                </c:pt>
                <c:pt idx="5">
                  <c:v>11880.796015946848</c:v>
                </c:pt>
                <c:pt idx="6">
                  <c:v>14228.574145254424</c:v>
                </c:pt>
                <c:pt idx="7">
                  <c:v>16566.979919251888</c:v>
                </c:pt>
                <c:pt idx="8">
                  <c:v>18896.050752481442</c:v>
                </c:pt>
                <c:pt idx="9">
                  <c:v>21215.82391012615</c:v>
                </c:pt>
                <c:pt idx="10">
                  <c:v>23526.336508606095</c:v>
                </c:pt>
                <c:pt idx="11">
                  <c:v>25827.625516171993</c:v>
                </c:pt>
                <c:pt idx="12">
                  <c:v>28119.727753497158</c:v>
                </c:pt>
                <c:pt idx="13">
                  <c:v>30402.679894266283</c:v>
                </c:pt>
                <c:pt idx="14">
                  <c:v>32676.518465762227</c:v>
                </c:pt>
                <c:pt idx="15">
                  <c:v>34941.279849450766</c:v>
                </c:pt>
                <c:pt idx="16">
                  <c:v>37197.000281562316</c:v>
                </c:pt>
                <c:pt idx="17">
                  <c:v>39443.715853671878</c:v>
                </c:pt>
                <c:pt idx="18">
                  <c:v>41681.46251327655</c:v>
                </c:pt>
                <c:pt idx="19">
                  <c:v>43910.27606437065</c:v>
                </c:pt>
                <c:pt idx="20">
                  <c:v>46130.192168018548</c:v>
                </c:pt>
                <c:pt idx="21">
                  <c:v>48341.246342925202</c:v>
                </c:pt>
                <c:pt idx="22">
                  <c:v>50543.473966004618</c:v>
                </c:pt>
                <c:pt idx="23">
                  <c:v>52736.910272945774</c:v>
                </c:pt>
                <c:pt idx="24">
                  <c:v>54921.59035877628</c:v>
                </c:pt>
                <c:pt idx="25">
                  <c:v>57097.549178424284</c:v>
                </c:pt>
                <c:pt idx="26">
                  <c:v>59264.82154727717</c:v>
                </c:pt>
                <c:pt idx="27">
                  <c:v>61423.442141739069</c:v>
                </c:pt>
                <c:pt idx="28">
                  <c:v>63573.445499785674</c:v>
                </c:pt>
                <c:pt idx="29">
                  <c:v>65714.866021516413</c:v>
                </c:pt>
                <c:pt idx="30">
                  <c:v>67847.737969705515</c:v>
                </c:pt>
                <c:pt idx="31">
                  <c:v>69972.09547034945</c:v>
                </c:pt>
                <c:pt idx="32">
                  <c:v>72087.972513213725</c:v>
                </c:pt>
                <c:pt idx="33">
                  <c:v>74195.402952376055</c:v>
                </c:pt>
                <c:pt idx="34">
                  <c:v>76294.420506768409</c:v>
                </c:pt>
                <c:pt idx="35">
                  <c:v>78385.058760716478</c:v>
                </c:pt>
                <c:pt idx="36">
                  <c:v>80467.351164477004</c:v>
                </c:pt>
                <c:pt idx="37">
                  <c:v>82541.331034772695</c:v>
                </c:pt>
                <c:pt idx="38">
                  <c:v>84607.031555325928</c:v>
                </c:pt>
                <c:pt idx="39">
                  <c:v>86664.485777388923</c:v>
                </c:pt>
                <c:pt idx="40">
                  <c:v>88713.726620273184</c:v>
                </c:pt>
                <c:pt idx="41">
                  <c:v>90754.786871875942</c:v>
                </c:pt>
                <c:pt idx="42">
                  <c:v>92787.699189204752</c:v>
                </c:pt>
                <c:pt idx="43">
                  <c:v>94812.496098900054</c:v>
                </c:pt>
                <c:pt idx="44">
                  <c:v>96829.209997755635</c:v>
                </c:pt>
                <c:pt idx="45">
                  <c:v>98837.873153236796</c:v>
                </c:pt>
                <c:pt idx="46">
                  <c:v>100838.51770399694</c:v>
                </c:pt>
                <c:pt idx="47">
                  <c:v>102831.17566039163</c:v>
                </c:pt>
                <c:pt idx="48">
                  <c:v>104815.8789049906</c:v>
                </c:pt>
                <c:pt idx="49">
                  <c:v>106792.65919308808</c:v>
                </c:pt>
                <c:pt idx="50">
                  <c:v>108761.54815321091</c:v>
                </c:pt>
                <c:pt idx="51">
                  <c:v>110722.57728762437</c:v>
                </c:pt>
                <c:pt idx="52">
                  <c:v>112675.77797283663</c:v>
                </c:pt>
                <c:pt idx="53">
                  <c:v>114621.18146010012</c:v>
                </c:pt>
                <c:pt idx="54">
                  <c:v>116558.81887591221</c:v>
                </c:pt>
                <c:pt idx="55">
                  <c:v>118488.7212225129</c:v>
                </c:pt>
                <c:pt idx="56">
                  <c:v>120410.91937838095</c:v>
                </c:pt>
                <c:pt idx="57">
                  <c:v>122325.44409872775</c:v>
                </c:pt>
                <c:pt idx="58">
                  <c:v>124232.32601598978</c:v>
                </c:pt>
                <c:pt idx="59">
                  <c:v>126131.59564031837</c:v>
                </c:pt>
                <c:pt idx="60">
                  <c:v>128023.28336006792</c:v>
                </c:pt>
                <c:pt idx="61">
                  <c:v>129907.41944228249</c:v>
                </c:pt>
                <c:pt idx="62">
                  <c:v>131784.03403317943</c:v>
                </c:pt>
                <c:pt idx="63">
                  <c:v>133653.15715863233</c:v>
                </c:pt>
                <c:pt idx="64">
                  <c:v>135514.81872465095</c:v>
                </c:pt>
                <c:pt idx="65">
                  <c:v>137369.04851786024</c:v>
                </c:pt>
                <c:pt idx="66">
                  <c:v>139215.87620597632</c:v>
                </c:pt>
                <c:pt idx="67">
                  <c:v>141055.33133828163</c:v>
                </c:pt>
                <c:pt idx="68">
                  <c:v>142887.44334609745</c:v>
                </c:pt>
                <c:pt idx="69">
                  <c:v>144712.24154325514</c:v>
                </c:pt>
                <c:pt idx="70">
                  <c:v>146529.75512656471</c:v>
                </c:pt>
                <c:pt idx="71">
                  <c:v>148340.01317628223</c:v>
                </c:pt>
                <c:pt idx="72">
                  <c:v>150143.04465657522</c:v>
                </c:pt>
                <c:pt idx="73">
                  <c:v>151938.87841598573</c:v>
                </c:pt>
                <c:pt idx="74">
                  <c:v>153727.54318789224</c:v>
                </c:pt>
                <c:pt idx="75">
                  <c:v>155509.06759096927</c:v>
                </c:pt>
                <c:pt idx="76">
                  <c:v>157283.48012964532</c:v>
                </c:pt>
                <c:pt idx="77">
                  <c:v>159050.80919455877</c:v>
                </c:pt>
                <c:pt idx="78">
                  <c:v>160811.0830630124</c:v>
                </c:pt>
                <c:pt idx="79">
                  <c:v>162564.32989942573</c:v>
                </c:pt>
                <c:pt idx="80">
                  <c:v>164310.57775578549</c:v>
                </c:pt>
                <c:pt idx="81">
                  <c:v>166049.85457209457</c:v>
                </c:pt>
                <c:pt idx="82">
                  <c:v>167782.18817681918</c:v>
                </c:pt>
                <c:pt idx="83">
                  <c:v>169507.606287334</c:v>
                </c:pt>
                <c:pt idx="84">
                  <c:v>171226.13651036564</c:v>
                </c:pt>
                <c:pt idx="85">
                  <c:v>172937.8063424342</c:v>
                </c:pt>
                <c:pt idx="86">
                  <c:v>174642.6431702936</c:v>
                </c:pt>
                <c:pt idx="87">
                  <c:v>176340.67427136935</c:v>
                </c:pt>
                <c:pt idx="88">
                  <c:v>178031.92681419541</c:v>
                </c:pt>
                <c:pt idx="89">
                  <c:v>179716.42785884856</c:v>
                </c:pt>
                <c:pt idx="90">
                  <c:v>181394.20435738139</c:v>
                </c:pt>
                <c:pt idx="91">
                  <c:v>183065.28315425362</c:v>
                </c:pt>
                <c:pt idx="92">
                  <c:v>184729.69098676177</c:v>
                </c:pt>
                <c:pt idx="93">
                  <c:v>186387.45448546653</c:v>
                </c:pt>
                <c:pt idx="94">
                  <c:v>188038.60017461938</c:v>
                </c:pt>
                <c:pt idx="95">
                  <c:v>189683.1544725865</c:v>
                </c:pt>
                <c:pt idx="96">
                  <c:v>191321.14369227173</c:v>
                </c:pt>
                <c:pt idx="97">
                  <c:v>192952.59404153755</c:v>
                </c:pt>
                <c:pt idx="98">
                  <c:v>194577.53162362438</c:v>
                </c:pt>
                <c:pt idx="99">
                  <c:v>196195.98243756816</c:v>
                </c:pt>
                <c:pt idx="100">
                  <c:v>197807.9723786164</c:v>
                </c:pt>
                <c:pt idx="101">
                  <c:v>199413.52723864262</c:v>
                </c:pt>
                <c:pt idx="102">
                  <c:v>201012.67270655883</c:v>
                </c:pt>
                <c:pt idx="103">
                  <c:v>202605.43436872665</c:v>
                </c:pt>
                <c:pt idx="104">
                  <c:v>204191.83770936658</c:v>
                </c:pt>
                <c:pt idx="105">
                  <c:v>205771.90811096595</c:v>
                </c:pt>
                <c:pt idx="106">
                  <c:v>207345.67085468481</c:v>
                </c:pt>
                <c:pt idx="107">
                  <c:v>208913.15112076083</c:v>
                </c:pt>
                <c:pt idx="108">
                  <c:v>210474.3739889116</c:v>
                </c:pt>
                <c:pt idx="109">
                  <c:v>212029.36443873623</c:v>
                </c:pt>
                <c:pt idx="110">
                  <c:v>213578.14735011521</c:v>
                </c:pt>
                <c:pt idx="111">
                  <c:v>215120.74750360809</c:v>
                </c:pt>
                <c:pt idx="112">
                  <c:v>216657.1895808503</c:v>
                </c:pt>
                <c:pt idx="113">
                  <c:v>218187.49816494776</c:v>
                </c:pt>
                <c:pt idx="114">
                  <c:v>219711.69774087053</c:v>
                </c:pt>
                <c:pt idx="115">
                  <c:v>221229.81269584445</c:v>
                </c:pt>
                <c:pt idx="116">
                  <c:v>222741.86731974094</c:v>
                </c:pt>
                <c:pt idx="117">
                  <c:v>224247.88580546642</c:v>
                </c:pt>
                <c:pt idx="118">
                  <c:v>225747.89224934869</c:v>
                </c:pt>
                <c:pt idx="119">
                  <c:v>227241.91065152295</c:v>
                </c:pt>
                <c:pt idx="120">
                  <c:v>228729.96491631551</c:v>
                </c:pt>
                <c:pt idx="121">
                  <c:v>230212.0788526262</c:v>
                </c:pt>
                <c:pt idx="122">
                  <c:v>231688.27617430972</c:v>
                </c:pt>
                <c:pt idx="123">
                  <c:v>233158.58050055476</c:v>
                </c:pt>
                <c:pt idx="124">
                  <c:v>234623.01535626189</c:v>
                </c:pt>
                <c:pt idx="125">
                  <c:v>236081.60417241993</c:v>
                </c:pt>
                <c:pt idx="126">
                  <c:v>237534.37028648116</c:v>
                </c:pt>
                <c:pt idx="127">
                  <c:v>238981.33694273437</c:v>
                </c:pt>
                <c:pt idx="128">
                  <c:v>240422.52729267697</c:v>
                </c:pt>
                <c:pt idx="129">
                  <c:v>241857.96439538521</c:v>
                </c:pt>
                <c:pt idx="130">
                  <c:v>243287.67121788335</c:v>
                </c:pt>
                <c:pt idx="131">
                  <c:v>244711.6706355112</c:v>
                </c:pt>
                <c:pt idx="132">
                  <c:v>246129.98543228974</c:v>
                </c:pt>
                <c:pt idx="133">
                  <c:v>247542.63830128594</c:v>
                </c:pt>
                <c:pt idx="134">
                  <c:v>248949.65184497589</c:v>
                </c:pt>
                <c:pt idx="135">
                  <c:v>250351.0485756062</c:v>
                </c:pt>
                <c:pt idx="136">
                  <c:v>251746.85091555456</c:v>
                </c:pt>
                <c:pt idx="137">
                  <c:v>253137.08119768824</c:v>
                </c:pt>
                <c:pt idx="138">
                  <c:v>254521.76166572122</c:v>
                </c:pt>
                <c:pt idx="139">
                  <c:v>255900.91447457075</c:v>
                </c:pt>
                <c:pt idx="140">
                  <c:v>257274.56169071107</c:v>
                </c:pt>
                <c:pt idx="141">
                  <c:v>258642.72529252694</c:v>
                </c:pt>
                <c:pt idx="142">
                  <c:v>260005.42717066521</c:v>
                </c:pt>
                <c:pt idx="143">
                  <c:v>261362.68912838495</c:v>
                </c:pt>
                <c:pt idx="144">
                  <c:v>262714.53288190649</c:v>
                </c:pt>
                <c:pt idx="145">
                  <c:v>264060.98006075877</c:v>
                </c:pt>
                <c:pt idx="146">
                  <c:v>265402.05220812524</c:v>
                </c:pt>
                <c:pt idx="147">
                  <c:v>266737.77078118903</c:v>
                </c:pt>
                <c:pt idx="148">
                  <c:v>268068.15715147567</c:v>
                </c:pt>
                <c:pt idx="149">
                  <c:v>269393.23260519555</c:v>
                </c:pt>
                <c:pt idx="150">
                  <c:v>270713.01834358415</c:v>
                </c:pt>
                <c:pt idx="151">
                  <c:v>272027.53548324149</c:v>
                </c:pt>
                <c:pt idx="152">
                  <c:v>273336.80505646975</c:v>
                </c:pt>
                <c:pt idx="153">
                  <c:v>274640.8480116101</c:v>
                </c:pt>
                <c:pt idx="154">
                  <c:v>275939.68521337764</c:v>
                </c:pt>
                <c:pt idx="155">
                  <c:v>277233.33744319528</c:v>
                </c:pt>
                <c:pt idx="156">
                  <c:v>278521.82539952639</c:v>
                </c:pt>
                <c:pt idx="157">
                  <c:v>279805.16969820566</c:v>
                </c:pt>
                <c:pt idx="158">
                  <c:v>281083.39087276923</c:v>
                </c:pt>
                <c:pt idx="159">
                  <c:v>282356.50937478326</c:v>
                </c:pt>
                <c:pt idx="160">
                  <c:v>283624.54557417089</c:v>
                </c:pt>
                <c:pt idx="161">
                  <c:v>284887.51975953835</c:v>
                </c:pt>
                <c:pt idx="162">
                  <c:v>286145.45213849953</c:v>
                </c:pt>
                <c:pt idx="163">
                  <c:v>287398.3628379993</c:v>
                </c:pt>
                <c:pt idx="164">
                  <c:v>288646.27190463577</c:v>
                </c:pt>
                <c:pt idx="165">
                  <c:v>289889.19930498046</c:v>
                </c:pt>
                <c:pt idx="166">
                  <c:v>291127.16492589825</c:v>
                </c:pt>
                <c:pt idx="167">
                  <c:v>292360.18857486569</c:v>
                </c:pt>
                <c:pt idx="168">
                  <c:v>293588.28998028726</c:v>
                </c:pt>
                <c:pt idx="169">
                  <c:v>294811.48879181175</c:v>
                </c:pt>
                <c:pt idx="170">
                  <c:v>296029.80458064628</c:v>
                </c:pt>
                <c:pt idx="171">
                  <c:v>297243.25683986925</c:v>
                </c:pt>
                <c:pt idx="172">
                  <c:v>298451.86498474301</c:v>
                </c:pt>
                <c:pt idx="173">
                  <c:v>299655.6483530234</c:v>
                </c:pt>
                <c:pt idx="174">
                  <c:v>300854.62620527006</c:v>
                </c:pt>
                <c:pt idx="175">
                  <c:v>302048.81772515434</c:v>
                </c:pt>
                <c:pt idx="176">
                  <c:v>303238.24201976584</c:v>
                </c:pt>
                <c:pt idx="177">
                  <c:v>304422.91811991873</c:v>
                </c:pt>
                <c:pt idx="178">
                  <c:v>305602.86498045595</c:v>
                </c:pt>
                <c:pt idx="179">
                  <c:v>306778.10148055229</c:v>
                </c:pt>
                <c:pt idx="180">
                  <c:v>307948.64642401703</c:v>
                </c:pt>
                <c:pt idx="181">
                  <c:v>309114.51853959408</c:v>
                </c:pt>
                <c:pt idx="182">
                  <c:v>310275.73648126214</c:v>
                </c:pt>
                <c:pt idx="183">
                  <c:v>311432.31882853317</c:v>
                </c:pt>
                <c:pt idx="184">
                  <c:v>312584.28408674937</c:v>
                </c:pt>
                <c:pt idx="185">
                  <c:v>313731.65068737941</c:v>
                </c:pt>
                <c:pt idx="186">
                  <c:v>314874.43698831327</c:v>
                </c:pt>
                <c:pt idx="187">
                  <c:v>316012.66127415642</c:v>
                </c:pt>
                <c:pt idx="188">
                  <c:v>317146.34175652149</c:v>
                </c:pt>
                <c:pt idx="189">
                  <c:v>318275.49657432042</c:v>
                </c:pt>
                <c:pt idx="190">
                  <c:v>319400.14379405446</c:v>
                </c:pt>
                <c:pt idx="191">
                  <c:v>320520.30141010298</c:v>
                </c:pt>
                <c:pt idx="192">
                  <c:v>321635.98734501196</c:v>
                </c:pt>
                <c:pt idx="193">
                  <c:v>322747.21944978001</c:v>
                </c:pt>
                <c:pt idx="194">
                  <c:v>323854.01550414448</c:v>
                </c:pt>
                <c:pt idx="195">
                  <c:v>324956.39321686589</c:v>
                </c:pt>
                <c:pt idx="196">
                  <c:v>326054.3702260112</c:v>
                </c:pt>
                <c:pt idx="197">
                  <c:v>327147.96409923589</c:v>
                </c:pt>
                <c:pt idx="198">
                  <c:v>328237.19233406539</c:v>
                </c:pt>
                <c:pt idx="199">
                  <c:v>329322.0723581746</c:v>
                </c:pt>
                <c:pt idx="200">
                  <c:v>330402.62152966706</c:v>
                </c:pt>
                <c:pt idx="201">
                  <c:v>331478.85713735252</c:v>
                </c:pt>
                <c:pt idx="202">
                  <c:v>332550.79640102386</c:v>
                </c:pt>
                <c:pt idx="203">
                  <c:v>333618.45647173194</c:v>
                </c:pt>
                <c:pt idx="204">
                  <c:v>334681.85443206079</c:v>
                </c:pt>
                <c:pt idx="205">
                  <c:v>335741.00729640038</c:v>
                </c:pt>
                <c:pt idx="206">
                  <c:v>336795.93201121932</c:v>
                </c:pt>
                <c:pt idx="207">
                  <c:v>337846.64545533527</c:v>
                </c:pt>
                <c:pt idx="208">
                  <c:v>338893.164440186</c:v>
                </c:pt>
                <c:pt idx="209">
                  <c:v>339935.50571009738</c:v>
                </c:pt>
                <c:pt idx="210">
                  <c:v>340973.68594255217</c:v>
                </c:pt>
                <c:pt idx="211">
                  <c:v>342007.72174845613</c:v>
                </c:pt>
                <c:pt idx="212">
                  <c:v>343037.6296724042</c:v>
                </c:pt>
                <c:pt idx="213">
                  <c:v>344063.42619294516</c:v>
                </c:pt>
                <c:pt idx="214">
                  <c:v>345085.12772284518</c:v>
                </c:pt>
                <c:pt idx="215">
                  <c:v>346102.75060935068</c:v>
                </c:pt>
                <c:pt idx="216">
                  <c:v>347116.31113444938</c:v>
                </c:pt>
                <c:pt idx="217">
                  <c:v>348125.82551513141</c:v>
                </c:pt>
                <c:pt idx="218">
                  <c:v>349131.30990364839</c:v>
                </c:pt>
                <c:pt idx="219">
                  <c:v>350132.7803877719</c:v>
                </c:pt>
                <c:pt idx="220">
                  <c:v>351130.25299105124</c:v>
                </c:pt>
                <c:pt idx="221">
                  <c:v>352123.743673069</c:v>
                </c:pt>
                <c:pt idx="222">
                  <c:v>353113.26832969766</c:v>
                </c:pt>
                <c:pt idx="223">
                  <c:v>354098.84279335255</c:v>
                </c:pt>
                <c:pt idx="224">
                  <c:v>355080.48283324635</c:v>
                </c:pt>
                <c:pt idx="225">
                  <c:v>356058.20415564056</c:v>
                </c:pt>
                <c:pt idx="226">
                  <c:v>357032.02240409696</c:v>
                </c:pt>
                <c:pt idx="227">
                  <c:v>358001.95315972873</c:v>
                </c:pt>
                <c:pt idx="228">
                  <c:v>358968.01194144832</c:v>
                </c:pt>
                <c:pt idx="229">
                  <c:v>359930.21420621703</c:v>
                </c:pt>
                <c:pt idx="230">
                  <c:v>360888.5753492915</c:v>
                </c:pt>
                <c:pt idx="231">
                  <c:v>361843.11070447048</c:v>
                </c:pt>
                <c:pt idx="232">
                  <c:v>362793.83554434008</c:v>
                </c:pt>
                <c:pt idx="233">
                  <c:v>363740.76508051803</c:v>
                </c:pt>
                <c:pt idx="234">
                  <c:v>364683.91446389694</c:v>
                </c:pt>
                <c:pt idx="235">
                  <c:v>365623.29878488736</c:v>
                </c:pt>
                <c:pt idx="236">
                  <c:v>366558.93307365815</c:v>
                </c:pt>
                <c:pt idx="237">
                  <c:v>367490.83230037813</c:v>
                </c:pt>
                <c:pt idx="238">
                  <c:v>368419.01137545472</c:v>
                </c:pt>
                <c:pt idx="239">
                  <c:v>369343.4851497729</c:v>
                </c:pt>
                <c:pt idx="240">
                  <c:v>370264.26841493271</c:v>
                </c:pt>
                <c:pt idx="241">
                  <c:v>371181.37590348633</c:v>
                </c:pt>
                <c:pt idx="242">
                  <c:v>372094.82228917273</c:v>
                </c:pt>
                <c:pt idx="243">
                  <c:v>373004.6221871539</c:v>
                </c:pt>
                <c:pt idx="244">
                  <c:v>373910.79015424749</c:v>
                </c:pt>
                <c:pt idx="245">
                  <c:v>374813.34068916028</c:v>
                </c:pt>
                <c:pt idx="246">
                  <c:v>375712.28823272005</c:v>
                </c:pt>
                <c:pt idx="247">
                  <c:v>376607.64716810681</c:v>
                </c:pt>
                <c:pt idx="248">
                  <c:v>377499.4318210826</c:v>
                </c:pt>
                <c:pt idx="249">
                  <c:v>378387.65646022081</c:v>
                </c:pt>
                <c:pt idx="250">
                  <c:v>379272.33529713459</c:v>
                </c:pt>
                <c:pt idx="251">
                  <c:v>380153.48248670431</c:v>
                </c:pt>
                <c:pt idx="252">
                  <c:v>381031.11212730379</c:v>
                </c:pt>
                <c:pt idx="253">
                  <c:v>381905.23826102586</c:v>
                </c:pt>
                <c:pt idx="254">
                  <c:v>382775.87487390748</c:v>
                </c:pt>
                <c:pt idx="255">
                  <c:v>383643.03589615301</c:v>
                </c:pt>
                <c:pt idx="256">
                  <c:v>384506.73520235723</c:v>
                </c:pt>
                <c:pt idx="257">
                  <c:v>385366.98661172745</c:v>
                </c:pt>
                <c:pt idx="258">
                  <c:v>386223.80388830468</c:v>
                </c:pt>
                <c:pt idx="259">
                  <c:v>387077.20074118354</c:v>
                </c:pt>
                <c:pt idx="260">
                  <c:v>387927.19082473184</c:v>
                </c:pt>
                <c:pt idx="261">
                  <c:v>388773.78773880925</c:v>
                </c:pt>
                <c:pt idx="262">
                  <c:v>389617.00502898428</c:v>
                </c:pt>
                <c:pt idx="263">
                  <c:v>390456.85618675145</c:v>
                </c:pt>
                <c:pt idx="264">
                  <c:v>391293.35464974755</c:v>
                </c:pt>
                <c:pt idx="265">
                  <c:v>392126.51380196551</c:v>
                </c:pt>
                <c:pt idx="266">
                  <c:v>392956.34697396978</c:v>
                </c:pt>
                <c:pt idx="267">
                  <c:v>393782.86744310858</c:v>
                </c:pt>
                <c:pt idx="268">
                  <c:v>394606.08843372716</c:v>
                </c:pt>
                <c:pt idx="269">
                  <c:v>395426.02311737905</c:v>
                </c:pt>
                <c:pt idx="270">
                  <c:v>396242.68461303652</c:v>
                </c:pt>
                <c:pt idx="271">
                  <c:v>397056.08598730096</c:v>
                </c:pt>
                <c:pt idx="272">
                  <c:v>397866.24025461165</c:v>
                </c:pt>
                <c:pt idx="273">
                  <c:v>398673.16037745436</c:v>
                </c:pt>
                <c:pt idx="274">
                  <c:v>399476.85926656809</c:v>
                </c:pt>
                <c:pt idx="275">
                  <c:v>400277.34978115227</c:v>
                </c:pt>
                <c:pt idx="276">
                  <c:v>401074.64472907217</c:v>
                </c:pt>
                <c:pt idx="277">
                  <c:v>401868.75686706399</c:v>
                </c:pt>
                <c:pt idx="278">
                  <c:v>402659.69890093885</c:v>
                </c:pt>
                <c:pt idx="279">
                  <c:v>403447.48348578624</c:v>
                </c:pt>
                <c:pt idx="280">
                  <c:v>404232.12322617625</c:v>
                </c:pt>
                <c:pt idx="281">
                  <c:v>405013.63067636162</c:v>
                </c:pt>
                <c:pt idx="282">
                  <c:v>405792.01834047795</c:v>
                </c:pt>
                <c:pt idx="283">
                  <c:v>406567.29867274471</c:v>
                </c:pt>
                <c:pt idx="284">
                  <c:v>407339.48407766357</c:v>
                </c:pt>
                <c:pt idx="285">
                  <c:v>408108.58691021771</c:v>
                </c:pt>
                <c:pt idx="286">
                  <c:v>408874.61947606859</c:v>
                </c:pt>
                <c:pt idx="287">
                  <c:v>409637.59403175383</c:v>
                </c:pt>
                <c:pt idx="288">
                  <c:v>410397.52278488246</c:v>
                </c:pt>
                <c:pt idx="289">
                  <c:v>411154.41789433081</c:v>
                </c:pt>
                <c:pt idx="290">
                  <c:v>411908.29147043679</c:v>
                </c:pt>
                <c:pt idx="291">
                  <c:v>412659.1555751937</c:v>
                </c:pt>
                <c:pt idx="292">
                  <c:v>413407.02222244319</c:v>
                </c:pt>
                <c:pt idx="293">
                  <c:v>414151.90337806754</c:v>
                </c:pt>
                <c:pt idx="294">
                  <c:v>414893.81096018112</c:v>
                </c:pt>
                <c:pt idx="295">
                  <c:v>415632.75683932129</c:v>
                </c:pt>
                <c:pt idx="296">
                  <c:v>416368.75283863756</c:v>
                </c:pt>
                <c:pt idx="297">
                  <c:v>417101.81073408184</c:v>
                </c:pt>
                <c:pt idx="298">
                  <c:v>417831.94225459604</c:v>
                </c:pt>
                <c:pt idx="299">
                  <c:v>418559.15908230009</c:v>
                </c:pt>
                <c:pt idx="300">
                  <c:v>419283.47285267879</c:v>
                </c:pt>
                <c:pt idx="301">
                  <c:v>420004.89515476773</c:v>
                </c:pt>
                <c:pt idx="302">
                  <c:v>420723.4375313393</c:v>
                </c:pt>
                <c:pt idx="303">
                  <c:v>421439.11147908668</c:v>
                </c:pt>
                <c:pt idx="304">
                  <c:v>422151.92844880861</c:v>
                </c:pt>
                <c:pt idx="305">
                  <c:v>422861.89984559146</c:v>
                </c:pt>
                <c:pt idx="306">
                  <c:v>423569.03702899296</c:v>
                </c:pt>
                <c:pt idx="307">
                  <c:v>424273.35131322301</c:v>
                </c:pt>
                <c:pt idx="308">
                  <c:v>424974.85396732547</c:v>
                </c:pt>
                <c:pt idx="309">
                  <c:v>425673.55621535721</c:v>
                </c:pt>
                <c:pt idx="310">
                  <c:v>426369.4692365696</c:v>
                </c:pt>
                <c:pt idx="311">
                  <c:v>427062.60416558565</c:v>
                </c:pt>
                <c:pt idx="312">
                  <c:v>427752.972092579</c:v>
                </c:pt>
                <c:pt idx="313">
                  <c:v>428440.58406345116</c:v>
                </c:pt>
                <c:pt idx="314">
                  <c:v>429125.45108000853</c:v>
                </c:pt>
                <c:pt idx="315">
                  <c:v>429807.58410013776</c:v>
                </c:pt>
                <c:pt idx="316">
                  <c:v>430486.99403798184</c:v>
                </c:pt>
                <c:pt idx="317">
                  <c:v>431163.69176411425</c:v>
                </c:pt>
                <c:pt idx="318">
                  <c:v>431837.68810571305</c:v>
                </c:pt>
                <c:pt idx="319">
                  <c:v>432508.99384673405</c:v>
                </c:pt>
                <c:pt idx="320">
                  <c:v>433177.61972808349</c:v>
                </c:pt>
                <c:pt idx="321">
                  <c:v>433843.57644778967</c:v>
                </c:pt>
                <c:pt idx="322">
                  <c:v>434506.87466117443</c:v>
                </c:pt>
                <c:pt idx="323">
                  <c:v>435167.52498102316</c:v>
                </c:pt>
                <c:pt idx="324">
                  <c:v>435825.53797775519</c:v>
                </c:pt>
                <c:pt idx="325">
                  <c:v>436480.92417959246</c:v>
                </c:pt>
                <c:pt idx="326">
                  <c:v>437133.6940727281</c:v>
                </c:pt>
                <c:pt idx="327">
                  <c:v>437783.85810149455</c:v>
                </c:pt>
                <c:pt idx="328">
                  <c:v>438431.42666852992</c:v>
                </c:pt>
                <c:pt idx="329">
                  <c:v>439076.4101349453</c:v>
                </c:pt>
                <c:pt idx="330">
                  <c:v>439718.8188204898</c:v>
                </c:pt>
                <c:pt idx="331">
                  <c:v>440358.66300371604</c:v>
                </c:pt>
                <c:pt idx="332">
                  <c:v>440995.95292214467</c:v>
                </c:pt>
                <c:pt idx="333">
                  <c:v>441630.69877242792</c:v>
                </c:pt>
                <c:pt idx="334">
                  <c:v>442262.91071051301</c:v>
                </c:pt>
                <c:pt idx="335">
                  <c:v>442892.59885180439</c:v>
                </c:pt>
                <c:pt idx="336">
                  <c:v>443519.7732713258</c:v>
                </c:pt>
                <c:pt idx="337">
                  <c:v>444144.44400388136</c:v>
                </c:pt>
                <c:pt idx="338">
                  <c:v>444766.62104421598</c:v>
                </c:pt>
                <c:pt idx="339">
                  <c:v>445386.31434717565</c:v>
                </c:pt>
                <c:pt idx="340">
                  <c:v>446003.53382786649</c:v>
                </c:pt>
                <c:pt idx="341">
                  <c:v>446618.28936181328</c:v>
                </c:pt>
                <c:pt idx="342">
                  <c:v>447230.5907851177</c:v>
                </c:pt>
                <c:pt idx="343">
                  <c:v>447840.4478946157</c:v>
                </c:pt>
                <c:pt idx="344">
                  <c:v>448447.87044803385</c:v>
                </c:pt>
                <c:pt idx="345">
                  <c:v>449052.86816414603</c:v>
                </c:pt>
                <c:pt idx="346">
                  <c:v>449655.45072292868</c:v>
                </c:pt>
                <c:pt idx="347">
                  <c:v>450255.62776571559</c:v>
                </c:pt>
                <c:pt idx="348">
                  <c:v>450853.40889535222</c:v>
                </c:pt>
                <c:pt idx="349">
                  <c:v>451448.80367634923</c:v>
                </c:pt>
                <c:pt idx="350">
                  <c:v>452041.82163503609</c:v>
                </c:pt>
                <c:pt idx="351">
                  <c:v>452632.47225971264</c:v>
                </c:pt>
                <c:pt idx="352">
                  <c:v>453220.76500080153</c:v>
                </c:pt>
                <c:pt idx="353">
                  <c:v>453806.70927099901</c:v>
                </c:pt>
                <c:pt idx="354">
                  <c:v>454390.31444542616</c:v>
                </c:pt>
                <c:pt idx="355">
                  <c:v>454971.58986177808</c:v>
                </c:pt>
                <c:pt idx="356">
                  <c:v>455550.54482047394</c:v>
                </c:pt>
                <c:pt idx="357">
                  <c:v>456127.18858480512</c:v>
                </c:pt>
                <c:pt idx="358">
                  <c:v>456701.53038108459</c:v>
                </c:pt>
                <c:pt idx="359">
                  <c:v>457273.57939879294</c:v>
                </c:pt>
                <c:pt idx="360">
                  <c:v>457843.34479072696</c:v>
                </c:pt>
                <c:pt idx="361">
                  <c:v>458410.8356731449</c:v>
                </c:pt>
                <c:pt idx="362">
                  <c:v>458976.06112591299</c:v>
                </c:pt>
                <c:pt idx="363">
                  <c:v>459539.03019265068</c:v>
                </c:pt>
                <c:pt idx="364">
                  <c:v>460099.75188087497</c:v>
                </c:pt>
                <c:pt idx="365">
                  <c:v>460658.2351621447</c:v>
                </c:pt>
                <c:pt idx="366">
                  <c:v>461214.48897220445</c:v>
                </c:pt>
                <c:pt idx="367">
                  <c:v>461768.52221112698</c:v>
                </c:pt>
                <c:pt idx="368">
                  <c:v>462320.343743456</c:v>
                </c:pt>
                <c:pt idx="369">
                  <c:v>462869.96239834768</c:v>
                </c:pt>
                <c:pt idx="370">
                  <c:v>463417.38696971239</c:v>
                </c:pt>
                <c:pt idx="371">
                  <c:v>463962.62621635466</c:v>
                </c:pt>
                <c:pt idx="372">
                  <c:v>464505.6888621145</c:v>
                </c:pt>
                <c:pt idx="373">
                  <c:v>465046.5835960054</c:v>
                </c:pt>
                <c:pt idx="374">
                  <c:v>465585.31907235493</c:v>
                </c:pt>
                <c:pt idx="375">
                  <c:v>466121.90391094208</c:v>
                </c:pt>
                <c:pt idx="376">
                  <c:v>466656.34669713571</c:v>
                </c:pt>
                <c:pt idx="377">
                  <c:v>467188.65598203189</c:v>
                </c:pt>
                <c:pt idx="378">
                  <c:v>467718.84028259042</c:v>
                </c:pt>
                <c:pt idx="379">
                  <c:v>468246.90808177151</c:v>
                </c:pt>
                <c:pt idx="380">
                  <c:v>468772.86782867112</c:v>
                </c:pt>
                <c:pt idx="381">
                  <c:v>469296.72793865652</c:v>
                </c:pt>
                <c:pt idx="382">
                  <c:v>469818.49679350056</c:v>
                </c:pt>
                <c:pt idx="383">
                  <c:v>470338.1827415161</c:v>
                </c:pt>
                <c:pt idx="384">
                  <c:v>470855.7940976895</c:v>
                </c:pt>
                <c:pt idx="385">
                  <c:v>471371.33914381324</c:v>
                </c:pt>
                <c:pt idx="386">
                  <c:v>471884.8261286192</c:v>
                </c:pt>
                <c:pt idx="387">
                  <c:v>472396.26326791017</c:v>
                </c:pt>
                <c:pt idx="388">
                  <c:v>472905.65874469117</c:v>
                </c:pt>
                <c:pt idx="389">
                  <c:v>473413.02070930076</c:v>
                </c:pt>
                <c:pt idx="390">
                  <c:v>473918.35727954115</c:v>
                </c:pt>
                <c:pt idx="391">
                  <c:v>474421.67654080823</c:v>
                </c:pt>
                <c:pt idx="392">
                  <c:v>474922.98654622107</c:v>
                </c:pt>
                <c:pt idx="393">
                  <c:v>475422.29531675024</c:v>
                </c:pt>
                <c:pt idx="394">
                  <c:v>475919.61084134685</c:v>
                </c:pt>
                <c:pt idx="395">
                  <c:v>476414.94107706985</c:v>
                </c:pt>
                <c:pt idx="396">
                  <c:v>476908.29394921369</c:v>
                </c:pt>
                <c:pt idx="397">
                  <c:v>477399.67735143472</c:v>
                </c:pt>
                <c:pt idx="398">
                  <c:v>477889.09914587787</c:v>
                </c:pt>
                <c:pt idx="399">
                  <c:v>478376.56716330239</c:v>
                </c:pt>
                <c:pt idx="400">
                  <c:v>478862.08920320676</c:v>
                </c:pt>
                <c:pt idx="401">
                  <c:v>479345.67303395411</c:v>
                </c:pt>
                <c:pt idx="402">
                  <c:v>479827.32639289612</c:v>
                </c:pt>
                <c:pt idx="403">
                  <c:v>480307.05698649673</c:v>
                </c:pt>
                <c:pt idx="404">
                  <c:v>480784.87249045575</c:v>
                </c:pt>
                <c:pt idx="405">
                  <c:v>481260.78054983116</c:v>
                </c:pt>
                <c:pt idx="406">
                  <c:v>481734.78877916239</c:v>
                </c:pt>
                <c:pt idx="407">
                  <c:v>482206.90476259106</c:v>
                </c:pt>
                <c:pt idx="408">
                  <c:v>482677.13605398301</c:v>
                </c:pt>
                <c:pt idx="409">
                  <c:v>483145.49017704895</c:v>
                </c:pt>
                <c:pt idx="410">
                  <c:v>483611.97462546482</c:v>
                </c:pt>
                <c:pt idx="411">
                  <c:v>484076.59686299175</c:v>
                </c:pt>
                <c:pt idx="412">
                  <c:v>484539.36432359548</c:v>
                </c:pt>
                <c:pt idx="413">
                  <c:v>485000.28441156523</c:v>
                </c:pt>
                <c:pt idx="414">
                  <c:v>485459.36450163211</c:v>
                </c:pt>
                <c:pt idx="415">
                  <c:v>485916.61193908763</c:v>
                </c:pt>
                <c:pt idx="416">
                  <c:v>486372.03403990046</c:v>
                </c:pt>
                <c:pt idx="417">
                  <c:v>486825.63809083373</c:v>
                </c:pt>
                <c:pt idx="418">
                  <c:v>487277.43134956207</c:v>
                </c:pt>
                <c:pt idx="419">
                  <c:v>487727.42104478722</c:v>
                </c:pt>
                <c:pt idx="420">
                  <c:v>488175.61437635397</c:v>
                </c:pt>
                <c:pt idx="421">
                  <c:v>488622.01851536526</c:v>
                </c:pt>
                <c:pt idx="422">
                  <c:v>489066.64060429658</c:v>
                </c:pt>
                <c:pt idx="423">
                  <c:v>489509.48775711103</c:v>
                </c:pt>
                <c:pt idx="424">
                  <c:v>489950.56705937255</c:v>
                </c:pt>
                <c:pt idx="425">
                  <c:v>490389.88556835923</c:v>
                </c:pt>
                <c:pt idx="426">
                  <c:v>490827.45031317655</c:v>
                </c:pt>
                <c:pt idx="427">
                  <c:v>491263.26829487004</c:v>
                </c:pt>
                <c:pt idx="428">
                  <c:v>491697.34648653644</c:v>
                </c:pt>
                <c:pt idx="429">
                  <c:v>492129.6918334362</c:v>
                </c:pt>
                <c:pt idx="430">
                  <c:v>492560.31125310407</c:v>
                </c:pt>
                <c:pt idx="431">
                  <c:v>492989.21163545991</c:v>
                </c:pt>
                <c:pt idx="432">
                  <c:v>493416.39984291903</c:v>
                </c:pt>
                <c:pt idx="433">
                  <c:v>493841.88271050184</c:v>
                </c:pt>
                <c:pt idx="434">
                  <c:v>494265.66704594332</c:v>
                </c:pt>
                <c:pt idx="435">
                  <c:v>494687.75962980191</c:v>
                </c:pt>
                <c:pt idx="436">
                  <c:v>495108.16721556784</c:v>
                </c:pt>
                <c:pt idx="437">
                  <c:v>495526.8965297715</c:v>
                </c:pt>
                <c:pt idx="438">
                  <c:v>495943.95427209098</c:v>
                </c:pt>
                <c:pt idx="439">
                  <c:v>496359.34711545892</c:v>
                </c:pt>
                <c:pt idx="440">
                  <c:v>496773.08170616964</c:v>
                </c:pt>
                <c:pt idx="441">
                  <c:v>497185.1646639856</c:v>
                </c:pt>
                <c:pt idx="442">
                  <c:v>497595.60258224269</c:v>
                </c:pt>
                <c:pt idx="443">
                  <c:v>498004.4020279565</c:v>
                </c:pt>
                <c:pt idx="444">
                  <c:v>498411.56954192684</c:v>
                </c:pt>
                <c:pt idx="445">
                  <c:v>498817.11163884267</c:v>
                </c:pt>
                <c:pt idx="446">
                  <c:v>499221.03480738617</c:v>
                </c:pt>
                <c:pt idx="447">
                  <c:v>499623.34551033663</c:v>
                </c:pt>
                <c:pt idx="448">
                  <c:v>500024.0501846738</c:v>
                </c:pt>
                <c:pt idx="449">
                  <c:v>500423.15524168115</c:v>
                </c:pt>
                <c:pt idx="450">
                  <c:v>500820.66706704802</c:v>
                </c:pt>
                <c:pt idx="451">
                  <c:v>501216.59202097222</c:v>
                </c:pt>
                <c:pt idx="452">
                  <c:v>501610.9364382613</c:v>
                </c:pt>
                <c:pt idx="453">
                  <c:v>502003.70662843448</c:v>
                </c:pt>
                <c:pt idx="454">
                  <c:v>502394.90887582314</c:v>
                </c:pt>
                <c:pt idx="455">
                  <c:v>502784.54943967151</c:v>
                </c:pt>
                <c:pt idx="456">
                  <c:v>503172.63455423701</c:v>
                </c:pt>
                <c:pt idx="457">
                  <c:v>503559.17042888975</c:v>
                </c:pt>
                <c:pt idx="458">
                  <c:v>503944.16324821196</c:v>
                </c:pt>
                <c:pt idx="459">
                  <c:v>504327.61917209689</c:v>
                </c:pt>
                <c:pt idx="460">
                  <c:v>504709.54433584749</c:v>
                </c:pt>
                <c:pt idx="461">
                  <c:v>505089.94485027483</c:v>
                </c:pt>
                <c:pt idx="462">
                  <c:v>505468.82680179481</c:v>
                </c:pt>
                <c:pt idx="463">
                  <c:v>505846.19625252706</c:v>
                </c:pt>
                <c:pt idx="464">
                  <c:v>506222.05924039066</c:v>
                </c:pt>
                <c:pt idx="465">
                  <c:v>506596.4217792016</c:v>
                </c:pt>
                <c:pt idx="466">
                  <c:v>506969.28985876834</c:v>
                </c:pt>
                <c:pt idx="467">
                  <c:v>507340.66944498813</c:v>
                </c:pt>
                <c:pt idx="468">
                  <c:v>507710.56647994241</c:v>
                </c:pt>
                <c:pt idx="469">
                  <c:v>508078.9868819915</c:v>
                </c:pt>
                <c:pt idx="470">
                  <c:v>508445.93654586963</c:v>
                </c:pt>
                <c:pt idx="471">
                  <c:v>508811.42134277942</c:v>
                </c:pt>
                <c:pt idx="472">
                  <c:v>509175.4471204853</c:v>
                </c:pt>
                <c:pt idx="473">
                  <c:v>509538.0197034076</c:v>
                </c:pt>
                <c:pt idx="474">
                  <c:v>509899.14489271515</c:v>
                </c:pt>
                <c:pt idx="475">
                  <c:v>510258.8284664189</c:v>
                </c:pt>
                <c:pt idx="476">
                  <c:v>510617.07617946365</c:v>
                </c:pt>
                <c:pt idx="477">
                  <c:v>510973.89376382041</c:v>
                </c:pt>
                <c:pt idx="478">
                  <c:v>511329.28692857828</c:v>
                </c:pt>
                <c:pt idx="479">
                  <c:v>511683.26136003522</c:v>
                </c:pt>
                <c:pt idx="480">
                  <c:v>512035.82272178988</c:v>
                </c:pt>
                <c:pt idx="481">
                  <c:v>512386.97665483155</c:v>
                </c:pt>
                <c:pt idx="482">
                  <c:v>512736.7287776306</c:v>
                </c:pt>
                <c:pt idx="483">
                  <c:v>513085.08468622842</c:v>
                </c:pt>
                <c:pt idx="484">
                  <c:v>513432.04995432706</c:v>
                </c:pt>
                <c:pt idx="485">
                  <c:v>513777.63013337826</c:v>
                </c:pt>
                <c:pt idx="486">
                  <c:v>514121.8307526721</c:v>
                </c:pt>
                <c:pt idx="487">
                  <c:v>514464.65731942595</c:v>
                </c:pt>
                <c:pt idx="488">
                  <c:v>514806.11531887215</c:v>
                </c:pt>
                <c:pt idx="489">
                  <c:v>515146.21021434595</c:v>
                </c:pt>
                <c:pt idx="490">
                  <c:v>515484.94744737301</c:v>
                </c:pt>
                <c:pt idx="491">
                  <c:v>515822.33243775618</c:v>
                </c:pt>
                <c:pt idx="492">
                  <c:v>516158.37058366259</c:v>
                </c:pt>
                <c:pt idx="493">
                  <c:v>516493.06726170972</c:v>
                </c:pt>
                <c:pt idx="494">
                  <c:v>516826.42782705167</c:v>
                </c:pt>
                <c:pt idx="495">
                  <c:v>517158.45761346427</c:v>
                </c:pt>
                <c:pt idx="496">
                  <c:v>517489.16193343152</c:v>
                </c:pt>
                <c:pt idx="497">
                  <c:v>517818.54607822944</c:v>
                </c:pt>
                <c:pt idx="498">
                  <c:v>518146.61531801143</c:v>
                </c:pt>
                <c:pt idx="499">
                  <c:v>518473.37490189227</c:v>
                </c:pt>
                <c:pt idx="500">
                  <c:v>518798.83005803236</c:v>
                </c:pt>
              </c:numCache>
            </c:numRef>
          </c:val>
          <c:smooth val="1"/>
          <c:extLst>
            <c:ext xmlns:c16="http://schemas.microsoft.com/office/drawing/2014/chart" uri="{C3380CC4-5D6E-409C-BE32-E72D297353CC}">
              <c16:uniqueId val="{00000001-03A4-46F3-BEB3-3AA000F910FC}"/>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0.00"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autoTitleDeleted val="1"/>
    <c:plotArea>
      <c:layout/>
      <c:lineChart>
        <c:grouping val="standard"/>
        <c:varyColors val="1"/>
        <c:ser>
          <c:idx val="0"/>
          <c:order val="0"/>
          <c:tx>
            <c:v>Total improvement</c:v>
          </c:tx>
          <c:marker>
            <c:symbol val="none"/>
          </c:marker>
          <c:cat>
            <c:numRef>
              <c:f>Stacking!$B$11:$B$20</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Stacking!$D$11:$D$20</c:f>
              <c:numCache>
                <c:formatCode>0.000</c:formatCode>
                <c:ptCount val="10"/>
                <c:pt idx="0">
                  <c:v>1</c:v>
                </c:pt>
                <c:pt idx="1">
                  <c:v>5.2631578947368416</c:v>
                </c:pt>
                <c:pt idx="2">
                  <c:v>9.1743119266055029</c:v>
                </c:pt>
                <c:pt idx="3">
                  <c:v>9.9108027750247754</c:v>
                </c:pt>
                <c:pt idx="4">
                  <c:v>9.9910080927165534</c:v>
                </c:pt>
                <c:pt idx="5">
                  <c:v>9.9991000809927097</c:v>
                </c:pt>
                <c:pt idx="6">
                  <c:v>9.9999100008099919</c:v>
                </c:pt>
                <c:pt idx="7">
                  <c:v>9.999991000008098</c:v>
                </c:pt>
                <c:pt idx="8">
                  <c:v>9.9999991000000801</c:v>
                </c:pt>
                <c:pt idx="9">
                  <c:v>9.9999999099999997</c:v>
                </c:pt>
              </c:numCache>
            </c:numRef>
          </c:val>
          <c:smooth val="1"/>
          <c:extLst>
            <c:ext xmlns:c16="http://schemas.microsoft.com/office/drawing/2014/chart" uri="{C3380CC4-5D6E-409C-BE32-E72D297353CC}">
              <c16:uniqueId val="{00000000-98ED-4799-9101-09925E0B0427}"/>
            </c:ext>
          </c:extLst>
        </c:ser>
        <c:ser>
          <c:idx val="1"/>
          <c:order val="1"/>
          <c:tx>
            <c:v>Ceiling</c:v>
          </c:tx>
          <c:marker>
            <c:symbol val="none"/>
          </c:marker>
          <c:cat>
            <c:numRef>
              <c:f>Stacking!$B$11:$B$20</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Stacking!$E$11:$E$20</c:f>
              <c:numCache>
                <c:formatCode>0.000</c:formatCode>
                <c:ptCount val="10"/>
                <c:pt idx="0">
                  <c:v>10</c:v>
                </c:pt>
                <c:pt idx="1">
                  <c:v>10</c:v>
                </c:pt>
                <c:pt idx="2">
                  <c:v>10</c:v>
                </c:pt>
                <c:pt idx="3">
                  <c:v>10</c:v>
                </c:pt>
                <c:pt idx="4">
                  <c:v>10</c:v>
                </c:pt>
                <c:pt idx="5">
                  <c:v>10</c:v>
                </c:pt>
                <c:pt idx="6">
                  <c:v>10</c:v>
                </c:pt>
                <c:pt idx="7">
                  <c:v>10</c:v>
                </c:pt>
                <c:pt idx="8">
                  <c:v>10</c:v>
                </c:pt>
                <c:pt idx="9">
                  <c:v>10</c:v>
                </c:pt>
              </c:numCache>
            </c:numRef>
          </c:val>
          <c:smooth val="1"/>
          <c:extLst>
            <c:ext xmlns:c16="http://schemas.microsoft.com/office/drawing/2014/chart" uri="{C3380CC4-5D6E-409C-BE32-E72D297353CC}">
              <c16:uniqueId val="{00000001-98ED-4799-9101-09925E0B0427}"/>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8740157499999996" l="0.7" r="0.7" t="0.78740157499999996"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autoTitleDeleted val="1"/>
    <c:plotArea>
      <c:layout/>
      <c:lineChart>
        <c:grouping val="standard"/>
        <c:varyColors val="1"/>
        <c:ser>
          <c:idx val="0"/>
          <c:order val="0"/>
          <c:tx>
            <c:v>Total mixed risk</c:v>
          </c:tx>
          <c:marker>
            <c:symbol val="none"/>
          </c:marker>
          <c:cat>
            <c:numRef>
              <c:f>BoundedMigration!$B$25:$B$1025</c:f>
              <c:numCache>
                <c:formatCode>0.000</c:formatCode>
                <c:ptCount val="1001"/>
                <c:pt idx="0">
                  <c:v>0</c:v>
                </c:pt>
                <c:pt idx="1">
                  <c:v>0.01</c:v>
                </c:pt>
                <c:pt idx="2">
                  <c:v>0.02</c:v>
                </c:pt>
                <c:pt idx="3">
                  <c:v>0.03</c:v>
                </c:pt>
                <c:pt idx="4">
                  <c:v>0.04</c:v>
                </c:pt>
                <c:pt idx="5">
                  <c:v>0.05</c:v>
                </c:pt>
                <c:pt idx="6">
                  <c:v>0.06</c:v>
                </c:pt>
                <c:pt idx="7">
                  <c:v>7.0000000000000007E-2</c:v>
                </c:pt>
                <c:pt idx="8">
                  <c:v>0.08</c:v>
                </c:pt>
                <c:pt idx="9">
                  <c:v>0.09</c:v>
                </c:pt>
                <c:pt idx="10">
                  <c:v>0.1</c:v>
                </c:pt>
                <c:pt idx="11">
                  <c:v>0.11</c:v>
                </c:pt>
                <c:pt idx="12">
                  <c:v>0.12</c:v>
                </c:pt>
                <c:pt idx="13">
                  <c:v>0.13</c:v>
                </c:pt>
                <c:pt idx="14">
                  <c:v>0.14000000000000001</c:v>
                </c:pt>
                <c:pt idx="15">
                  <c:v>0.15</c:v>
                </c:pt>
                <c:pt idx="16">
                  <c:v>0.16</c:v>
                </c:pt>
                <c:pt idx="17">
                  <c:v>0.17</c:v>
                </c:pt>
                <c:pt idx="18">
                  <c:v>0.18</c:v>
                </c:pt>
                <c:pt idx="19">
                  <c:v>0.19</c:v>
                </c:pt>
                <c:pt idx="20">
                  <c:v>0.2</c:v>
                </c:pt>
                <c:pt idx="21">
                  <c:v>0.21</c:v>
                </c:pt>
                <c:pt idx="22">
                  <c:v>0.22</c:v>
                </c:pt>
                <c:pt idx="23">
                  <c:v>0.23</c:v>
                </c:pt>
                <c:pt idx="24">
                  <c:v>0.24</c:v>
                </c:pt>
                <c:pt idx="25">
                  <c:v>0.25</c:v>
                </c:pt>
                <c:pt idx="26">
                  <c:v>0.26</c:v>
                </c:pt>
                <c:pt idx="27">
                  <c:v>0.27</c:v>
                </c:pt>
                <c:pt idx="28">
                  <c:v>0.28000000000000003</c:v>
                </c:pt>
                <c:pt idx="29">
                  <c:v>0.28999999999999998</c:v>
                </c:pt>
                <c:pt idx="30">
                  <c:v>0.3</c:v>
                </c:pt>
                <c:pt idx="31">
                  <c:v>0.31</c:v>
                </c:pt>
                <c:pt idx="32">
                  <c:v>0.32</c:v>
                </c:pt>
                <c:pt idx="33">
                  <c:v>0.33</c:v>
                </c:pt>
                <c:pt idx="34">
                  <c:v>0.34</c:v>
                </c:pt>
                <c:pt idx="35">
                  <c:v>0.35</c:v>
                </c:pt>
                <c:pt idx="36">
                  <c:v>0.36</c:v>
                </c:pt>
                <c:pt idx="37">
                  <c:v>0.37</c:v>
                </c:pt>
                <c:pt idx="38">
                  <c:v>0.38</c:v>
                </c:pt>
                <c:pt idx="39">
                  <c:v>0.39</c:v>
                </c:pt>
                <c:pt idx="40">
                  <c:v>0.4</c:v>
                </c:pt>
                <c:pt idx="41">
                  <c:v>0.41</c:v>
                </c:pt>
                <c:pt idx="42">
                  <c:v>0.42</c:v>
                </c:pt>
                <c:pt idx="43">
                  <c:v>0.43</c:v>
                </c:pt>
                <c:pt idx="44">
                  <c:v>0.44</c:v>
                </c:pt>
                <c:pt idx="45">
                  <c:v>0.45</c:v>
                </c:pt>
                <c:pt idx="46">
                  <c:v>0.46</c:v>
                </c:pt>
                <c:pt idx="47">
                  <c:v>0.47</c:v>
                </c:pt>
                <c:pt idx="48">
                  <c:v>0.48</c:v>
                </c:pt>
                <c:pt idx="49">
                  <c:v>0.49</c:v>
                </c:pt>
                <c:pt idx="50">
                  <c:v>0.5</c:v>
                </c:pt>
                <c:pt idx="51">
                  <c:v>0.51</c:v>
                </c:pt>
                <c:pt idx="52">
                  <c:v>0.52</c:v>
                </c:pt>
                <c:pt idx="53">
                  <c:v>0.53</c:v>
                </c:pt>
                <c:pt idx="54">
                  <c:v>0.54</c:v>
                </c:pt>
                <c:pt idx="55">
                  <c:v>0.55000000000000004</c:v>
                </c:pt>
                <c:pt idx="56">
                  <c:v>0.56000000000000005</c:v>
                </c:pt>
                <c:pt idx="57">
                  <c:v>0.56999999999999995</c:v>
                </c:pt>
                <c:pt idx="58">
                  <c:v>0.57999999999999996</c:v>
                </c:pt>
                <c:pt idx="59">
                  <c:v>0.59</c:v>
                </c:pt>
                <c:pt idx="60">
                  <c:v>0.6</c:v>
                </c:pt>
                <c:pt idx="61">
                  <c:v>0.61</c:v>
                </c:pt>
                <c:pt idx="62">
                  <c:v>0.62</c:v>
                </c:pt>
                <c:pt idx="63">
                  <c:v>0.63</c:v>
                </c:pt>
                <c:pt idx="64">
                  <c:v>0.64</c:v>
                </c:pt>
                <c:pt idx="65">
                  <c:v>0.65</c:v>
                </c:pt>
                <c:pt idx="66">
                  <c:v>0.66</c:v>
                </c:pt>
                <c:pt idx="67">
                  <c:v>0.67</c:v>
                </c:pt>
                <c:pt idx="68">
                  <c:v>0.68</c:v>
                </c:pt>
                <c:pt idx="69">
                  <c:v>0.69</c:v>
                </c:pt>
                <c:pt idx="70">
                  <c:v>0.7</c:v>
                </c:pt>
                <c:pt idx="71">
                  <c:v>0.71</c:v>
                </c:pt>
                <c:pt idx="72">
                  <c:v>0.72</c:v>
                </c:pt>
                <c:pt idx="73">
                  <c:v>0.73</c:v>
                </c:pt>
                <c:pt idx="74">
                  <c:v>0.74</c:v>
                </c:pt>
                <c:pt idx="75">
                  <c:v>0.75</c:v>
                </c:pt>
                <c:pt idx="76">
                  <c:v>0.76</c:v>
                </c:pt>
                <c:pt idx="77">
                  <c:v>0.77</c:v>
                </c:pt>
                <c:pt idx="78">
                  <c:v>0.78</c:v>
                </c:pt>
                <c:pt idx="79">
                  <c:v>0.79</c:v>
                </c:pt>
                <c:pt idx="80">
                  <c:v>0.8</c:v>
                </c:pt>
                <c:pt idx="81">
                  <c:v>0.81</c:v>
                </c:pt>
                <c:pt idx="82">
                  <c:v>0.82</c:v>
                </c:pt>
                <c:pt idx="83">
                  <c:v>0.83</c:v>
                </c:pt>
                <c:pt idx="84">
                  <c:v>0.84</c:v>
                </c:pt>
                <c:pt idx="85">
                  <c:v>0.85</c:v>
                </c:pt>
                <c:pt idx="86">
                  <c:v>0.86</c:v>
                </c:pt>
                <c:pt idx="87">
                  <c:v>0.87</c:v>
                </c:pt>
                <c:pt idx="88">
                  <c:v>0.88</c:v>
                </c:pt>
                <c:pt idx="89">
                  <c:v>0.89</c:v>
                </c:pt>
                <c:pt idx="90">
                  <c:v>0.9</c:v>
                </c:pt>
                <c:pt idx="91">
                  <c:v>0.91</c:v>
                </c:pt>
                <c:pt idx="92">
                  <c:v>0.92</c:v>
                </c:pt>
                <c:pt idx="93">
                  <c:v>0.93</c:v>
                </c:pt>
                <c:pt idx="94">
                  <c:v>0.94</c:v>
                </c:pt>
                <c:pt idx="95">
                  <c:v>0.95</c:v>
                </c:pt>
                <c:pt idx="96">
                  <c:v>0.96</c:v>
                </c:pt>
                <c:pt idx="97">
                  <c:v>0.97</c:v>
                </c:pt>
                <c:pt idx="98">
                  <c:v>0.98</c:v>
                </c:pt>
                <c:pt idx="99">
                  <c:v>0.99</c:v>
                </c:pt>
                <c:pt idx="100">
                  <c:v>1</c:v>
                </c:pt>
                <c:pt idx="101">
                  <c:v>1.01</c:v>
                </c:pt>
                <c:pt idx="102">
                  <c:v>1.02</c:v>
                </c:pt>
                <c:pt idx="103">
                  <c:v>1.03</c:v>
                </c:pt>
                <c:pt idx="104">
                  <c:v>1.04</c:v>
                </c:pt>
                <c:pt idx="105">
                  <c:v>1.05</c:v>
                </c:pt>
                <c:pt idx="106">
                  <c:v>1.06</c:v>
                </c:pt>
                <c:pt idx="107">
                  <c:v>1.07</c:v>
                </c:pt>
                <c:pt idx="108">
                  <c:v>1.08</c:v>
                </c:pt>
                <c:pt idx="109">
                  <c:v>1.0900000000000001</c:v>
                </c:pt>
                <c:pt idx="110">
                  <c:v>1.1000000000000001</c:v>
                </c:pt>
                <c:pt idx="111">
                  <c:v>1.1100000000000001</c:v>
                </c:pt>
                <c:pt idx="112">
                  <c:v>1.1200000000000001</c:v>
                </c:pt>
                <c:pt idx="113">
                  <c:v>1.1299999999999999</c:v>
                </c:pt>
                <c:pt idx="114">
                  <c:v>1.1399999999999999</c:v>
                </c:pt>
                <c:pt idx="115">
                  <c:v>1.1499999999999999</c:v>
                </c:pt>
                <c:pt idx="116">
                  <c:v>1.1599999999999999</c:v>
                </c:pt>
                <c:pt idx="117">
                  <c:v>1.17</c:v>
                </c:pt>
                <c:pt idx="118">
                  <c:v>1.18</c:v>
                </c:pt>
                <c:pt idx="119">
                  <c:v>1.19</c:v>
                </c:pt>
                <c:pt idx="120">
                  <c:v>1.2</c:v>
                </c:pt>
                <c:pt idx="121">
                  <c:v>1.21</c:v>
                </c:pt>
                <c:pt idx="122">
                  <c:v>1.22</c:v>
                </c:pt>
                <c:pt idx="123">
                  <c:v>1.23</c:v>
                </c:pt>
                <c:pt idx="124">
                  <c:v>1.24</c:v>
                </c:pt>
                <c:pt idx="125">
                  <c:v>1.25</c:v>
                </c:pt>
                <c:pt idx="126">
                  <c:v>1.26</c:v>
                </c:pt>
                <c:pt idx="127">
                  <c:v>1.27</c:v>
                </c:pt>
                <c:pt idx="128">
                  <c:v>1.28</c:v>
                </c:pt>
                <c:pt idx="129">
                  <c:v>1.29</c:v>
                </c:pt>
                <c:pt idx="130">
                  <c:v>1.3</c:v>
                </c:pt>
                <c:pt idx="131">
                  <c:v>1.31</c:v>
                </c:pt>
                <c:pt idx="132">
                  <c:v>1.32</c:v>
                </c:pt>
                <c:pt idx="133">
                  <c:v>1.33</c:v>
                </c:pt>
                <c:pt idx="134">
                  <c:v>1.34</c:v>
                </c:pt>
                <c:pt idx="135">
                  <c:v>1.35</c:v>
                </c:pt>
                <c:pt idx="136">
                  <c:v>1.36</c:v>
                </c:pt>
                <c:pt idx="137">
                  <c:v>1.37</c:v>
                </c:pt>
                <c:pt idx="138">
                  <c:v>1.38</c:v>
                </c:pt>
                <c:pt idx="139">
                  <c:v>1.39</c:v>
                </c:pt>
                <c:pt idx="140">
                  <c:v>1.4</c:v>
                </c:pt>
                <c:pt idx="141">
                  <c:v>1.41</c:v>
                </c:pt>
                <c:pt idx="142">
                  <c:v>1.42</c:v>
                </c:pt>
                <c:pt idx="143">
                  <c:v>1.43</c:v>
                </c:pt>
                <c:pt idx="144">
                  <c:v>1.44</c:v>
                </c:pt>
                <c:pt idx="145">
                  <c:v>1.45</c:v>
                </c:pt>
                <c:pt idx="146">
                  <c:v>1.46</c:v>
                </c:pt>
                <c:pt idx="147">
                  <c:v>1.47</c:v>
                </c:pt>
                <c:pt idx="148">
                  <c:v>1.48</c:v>
                </c:pt>
                <c:pt idx="149">
                  <c:v>1.49</c:v>
                </c:pt>
                <c:pt idx="150">
                  <c:v>1.5</c:v>
                </c:pt>
                <c:pt idx="151">
                  <c:v>1.51</c:v>
                </c:pt>
                <c:pt idx="152">
                  <c:v>1.52</c:v>
                </c:pt>
                <c:pt idx="153">
                  <c:v>1.53</c:v>
                </c:pt>
                <c:pt idx="154">
                  <c:v>1.54</c:v>
                </c:pt>
                <c:pt idx="155">
                  <c:v>1.55</c:v>
                </c:pt>
                <c:pt idx="156">
                  <c:v>1.56</c:v>
                </c:pt>
                <c:pt idx="157">
                  <c:v>1.57</c:v>
                </c:pt>
                <c:pt idx="158">
                  <c:v>1.58</c:v>
                </c:pt>
                <c:pt idx="159">
                  <c:v>1.59</c:v>
                </c:pt>
                <c:pt idx="160">
                  <c:v>1.6</c:v>
                </c:pt>
                <c:pt idx="161">
                  <c:v>1.61</c:v>
                </c:pt>
                <c:pt idx="162">
                  <c:v>1.62</c:v>
                </c:pt>
                <c:pt idx="163">
                  <c:v>1.63</c:v>
                </c:pt>
                <c:pt idx="164">
                  <c:v>1.64</c:v>
                </c:pt>
                <c:pt idx="165">
                  <c:v>1.65</c:v>
                </c:pt>
                <c:pt idx="166">
                  <c:v>1.66</c:v>
                </c:pt>
                <c:pt idx="167">
                  <c:v>1.67</c:v>
                </c:pt>
                <c:pt idx="168">
                  <c:v>1.68</c:v>
                </c:pt>
                <c:pt idx="169">
                  <c:v>1.69</c:v>
                </c:pt>
                <c:pt idx="170">
                  <c:v>1.7</c:v>
                </c:pt>
                <c:pt idx="171">
                  <c:v>1.71</c:v>
                </c:pt>
                <c:pt idx="172">
                  <c:v>1.72</c:v>
                </c:pt>
                <c:pt idx="173">
                  <c:v>1.73</c:v>
                </c:pt>
                <c:pt idx="174">
                  <c:v>1.74</c:v>
                </c:pt>
                <c:pt idx="175">
                  <c:v>1.75</c:v>
                </c:pt>
                <c:pt idx="176">
                  <c:v>1.76</c:v>
                </c:pt>
                <c:pt idx="177">
                  <c:v>1.77</c:v>
                </c:pt>
                <c:pt idx="178">
                  <c:v>1.78</c:v>
                </c:pt>
                <c:pt idx="179">
                  <c:v>1.79</c:v>
                </c:pt>
                <c:pt idx="180">
                  <c:v>1.8</c:v>
                </c:pt>
                <c:pt idx="181">
                  <c:v>1.81</c:v>
                </c:pt>
                <c:pt idx="182">
                  <c:v>1.82</c:v>
                </c:pt>
                <c:pt idx="183">
                  <c:v>1.83</c:v>
                </c:pt>
                <c:pt idx="184">
                  <c:v>1.84</c:v>
                </c:pt>
                <c:pt idx="185">
                  <c:v>1.85</c:v>
                </c:pt>
                <c:pt idx="186">
                  <c:v>1.86</c:v>
                </c:pt>
                <c:pt idx="187">
                  <c:v>1.87</c:v>
                </c:pt>
                <c:pt idx="188">
                  <c:v>1.88</c:v>
                </c:pt>
                <c:pt idx="189">
                  <c:v>1.89</c:v>
                </c:pt>
                <c:pt idx="190">
                  <c:v>1.9</c:v>
                </c:pt>
                <c:pt idx="191">
                  <c:v>1.91</c:v>
                </c:pt>
                <c:pt idx="192">
                  <c:v>1.92</c:v>
                </c:pt>
                <c:pt idx="193">
                  <c:v>1.93</c:v>
                </c:pt>
                <c:pt idx="194">
                  <c:v>1.94</c:v>
                </c:pt>
                <c:pt idx="195">
                  <c:v>1.95</c:v>
                </c:pt>
                <c:pt idx="196">
                  <c:v>1.96</c:v>
                </c:pt>
                <c:pt idx="197">
                  <c:v>1.97</c:v>
                </c:pt>
                <c:pt idx="198">
                  <c:v>1.98</c:v>
                </c:pt>
                <c:pt idx="199">
                  <c:v>1.99</c:v>
                </c:pt>
                <c:pt idx="200">
                  <c:v>2</c:v>
                </c:pt>
                <c:pt idx="201">
                  <c:v>2.0099999999999998</c:v>
                </c:pt>
                <c:pt idx="202">
                  <c:v>2.02</c:v>
                </c:pt>
                <c:pt idx="203">
                  <c:v>2.0299999999999998</c:v>
                </c:pt>
                <c:pt idx="204">
                  <c:v>2.04</c:v>
                </c:pt>
                <c:pt idx="205">
                  <c:v>2.0499999999999998</c:v>
                </c:pt>
                <c:pt idx="206">
                  <c:v>2.06</c:v>
                </c:pt>
                <c:pt idx="207">
                  <c:v>2.0699999999999998</c:v>
                </c:pt>
                <c:pt idx="208">
                  <c:v>2.08</c:v>
                </c:pt>
                <c:pt idx="209">
                  <c:v>2.09</c:v>
                </c:pt>
                <c:pt idx="210">
                  <c:v>2.1</c:v>
                </c:pt>
                <c:pt idx="211">
                  <c:v>2.11</c:v>
                </c:pt>
                <c:pt idx="212">
                  <c:v>2.12</c:v>
                </c:pt>
                <c:pt idx="213">
                  <c:v>2.13</c:v>
                </c:pt>
                <c:pt idx="214">
                  <c:v>2.14</c:v>
                </c:pt>
                <c:pt idx="215">
                  <c:v>2.15</c:v>
                </c:pt>
                <c:pt idx="216">
                  <c:v>2.16</c:v>
                </c:pt>
                <c:pt idx="217">
                  <c:v>2.17</c:v>
                </c:pt>
                <c:pt idx="218">
                  <c:v>2.1800000000000002</c:v>
                </c:pt>
                <c:pt idx="219">
                  <c:v>2.19</c:v>
                </c:pt>
                <c:pt idx="220">
                  <c:v>2.2000000000000002</c:v>
                </c:pt>
                <c:pt idx="221">
                  <c:v>2.21</c:v>
                </c:pt>
                <c:pt idx="222">
                  <c:v>2.2200000000000002</c:v>
                </c:pt>
                <c:pt idx="223">
                  <c:v>2.23</c:v>
                </c:pt>
                <c:pt idx="224">
                  <c:v>2.2400000000000002</c:v>
                </c:pt>
                <c:pt idx="225">
                  <c:v>2.25</c:v>
                </c:pt>
                <c:pt idx="226">
                  <c:v>2.2599999999999998</c:v>
                </c:pt>
                <c:pt idx="227">
                  <c:v>2.27</c:v>
                </c:pt>
                <c:pt idx="228">
                  <c:v>2.2799999999999998</c:v>
                </c:pt>
                <c:pt idx="229">
                  <c:v>2.29</c:v>
                </c:pt>
                <c:pt idx="230">
                  <c:v>2.2999999999999998</c:v>
                </c:pt>
                <c:pt idx="231">
                  <c:v>2.31</c:v>
                </c:pt>
                <c:pt idx="232">
                  <c:v>2.3199999999999998</c:v>
                </c:pt>
                <c:pt idx="233">
                  <c:v>2.33</c:v>
                </c:pt>
                <c:pt idx="234">
                  <c:v>2.34</c:v>
                </c:pt>
                <c:pt idx="235">
                  <c:v>2.35</c:v>
                </c:pt>
                <c:pt idx="236">
                  <c:v>2.36</c:v>
                </c:pt>
                <c:pt idx="237">
                  <c:v>2.37</c:v>
                </c:pt>
                <c:pt idx="238">
                  <c:v>2.38</c:v>
                </c:pt>
                <c:pt idx="239">
                  <c:v>2.39</c:v>
                </c:pt>
                <c:pt idx="240">
                  <c:v>2.4</c:v>
                </c:pt>
                <c:pt idx="241">
                  <c:v>2.41</c:v>
                </c:pt>
                <c:pt idx="242">
                  <c:v>2.42</c:v>
                </c:pt>
                <c:pt idx="243">
                  <c:v>2.4300000000000002</c:v>
                </c:pt>
                <c:pt idx="244">
                  <c:v>2.44</c:v>
                </c:pt>
                <c:pt idx="245">
                  <c:v>2.4500000000000002</c:v>
                </c:pt>
                <c:pt idx="246">
                  <c:v>2.46</c:v>
                </c:pt>
                <c:pt idx="247">
                  <c:v>2.4700000000000002</c:v>
                </c:pt>
                <c:pt idx="248">
                  <c:v>2.48</c:v>
                </c:pt>
                <c:pt idx="249">
                  <c:v>2.4900000000000002</c:v>
                </c:pt>
                <c:pt idx="250">
                  <c:v>2.5</c:v>
                </c:pt>
                <c:pt idx="251">
                  <c:v>2.5099999999999998</c:v>
                </c:pt>
                <c:pt idx="252">
                  <c:v>2.52</c:v>
                </c:pt>
                <c:pt idx="253">
                  <c:v>2.5299999999999998</c:v>
                </c:pt>
                <c:pt idx="254">
                  <c:v>2.54</c:v>
                </c:pt>
                <c:pt idx="255">
                  <c:v>2.5499999999999998</c:v>
                </c:pt>
                <c:pt idx="256">
                  <c:v>2.56</c:v>
                </c:pt>
                <c:pt idx="257">
                  <c:v>2.57</c:v>
                </c:pt>
                <c:pt idx="258">
                  <c:v>2.58</c:v>
                </c:pt>
                <c:pt idx="259">
                  <c:v>2.59</c:v>
                </c:pt>
                <c:pt idx="260">
                  <c:v>2.6</c:v>
                </c:pt>
                <c:pt idx="261">
                  <c:v>2.61</c:v>
                </c:pt>
                <c:pt idx="262">
                  <c:v>2.62</c:v>
                </c:pt>
                <c:pt idx="263">
                  <c:v>2.63</c:v>
                </c:pt>
                <c:pt idx="264">
                  <c:v>2.64</c:v>
                </c:pt>
                <c:pt idx="265">
                  <c:v>2.65</c:v>
                </c:pt>
                <c:pt idx="266">
                  <c:v>2.66</c:v>
                </c:pt>
                <c:pt idx="267">
                  <c:v>2.67</c:v>
                </c:pt>
                <c:pt idx="268">
                  <c:v>2.68</c:v>
                </c:pt>
                <c:pt idx="269">
                  <c:v>2.69</c:v>
                </c:pt>
                <c:pt idx="270">
                  <c:v>2.7</c:v>
                </c:pt>
                <c:pt idx="271">
                  <c:v>2.71</c:v>
                </c:pt>
                <c:pt idx="272">
                  <c:v>2.72</c:v>
                </c:pt>
                <c:pt idx="273">
                  <c:v>2.73</c:v>
                </c:pt>
                <c:pt idx="274">
                  <c:v>2.74</c:v>
                </c:pt>
                <c:pt idx="275">
                  <c:v>2.75</c:v>
                </c:pt>
                <c:pt idx="276">
                  <c:v>2.76</c:v>
                </c:pt>
                <c:pt idx="277">
                  <c:v>2.77</c:v>
                </c:pt>
                <c:pt idx="278">
                  <c:v>2.78</c:v>
                </c:pt>
                <c:pt idx="279">
                  <c:v>2.79</c:v>
                </c:pt>
                <c:pt idx="280">
                  <c:v>2.8</c:v>
                </c:pt>
                <c:pt idx="281">
                  <c:v>2.81</c:v>
                </c:pt>
                <c:pt idx="282">
                  <c:v>2.82</c:v>
                </c:pt>
                <c:pt idx="283">
                  <c:v>2.83</c:v>
                </c:pt>
                <c:pt idx="284">
                  <c:v>2.84</c:v>
                </c:pt>
                <c:pt idx="285">
                  <c:v>2.85</c:v>
                </c:pt>
                <c:pt idx="286">
                  <c:v>2.86</c:v>
                </c:pt>
                <c:pt idx="287">
                  <c:v>2.87</c:v>
                </c:pt>
                <c:pt idx="288">
                  <c:v>2.88</c:v>
                </c:pt>
                <c:pt idx="289">
                  <c:v>2.89</c:v>
                </c:pt>
                <c:pt idx="290">
                  <c:v>2.9</c:v>
                </c:pt>
                <c:pt idx="291">
                  <c:v>2.91</c:v>
                </c:pt>
                <c:pt idx="292">
                  <c:v>2.92</c:v>
                </c:pt>
                <c:pt idx="293">
                  <c:v>2.93</c:v>
                </c:pt>
                <c:pt idx="294">
                  <c:v>2.94</c:v>
                </c:pt>
                <c:pt idx="295">
                  <c:v>2.95</c:v>
                </c:pt>
                <c:pt idx="296">
                  <c:v>2.96</c:v>
                </c:pt>
                <c:pt idx="297">
                  <c:v>2.97</c:v>
                </c:pt>
                <c:pt idx="298">
                  <c:v>2.98</c:v>
                </c:pt>
                <c:pt idx="299">
                  <c:v>2.99</c:v>
                </c:pt>
                <c:pt idx="300">
                  <c:v>3</c:v>
                </c:pt>
                <c:pt idx="301">
                  <c:v>3.01</c:v>
                </c:pt>
                <c:pt idx="302">
                  <c:v>3.02</c:v>
                </c:pt>
                <c:pt idx="303">
                  <c:v>3.03</c:v>
                </c:pt>
                <c:pt idx="304">
                  <c:v>3.04</c:v>
                </c:pt>
                <c:pt idx="305">
                  <c:v>3.05</c:v>
                </c:pt>
                <c:pt idx="306">
                  <c:v>3.06</c:v>
                </c:pt>
                <c:pt idx="307">
                  <c:v>3.07</c:v>
                </c:pt>
                <c:pt idx="308">
                  <c:v>3.08</c:v>
                </c:pt>
                <c:pt idx="309">
                  <c:v>3.09</c:v>
                </c:pt>
                <c:pt idx="310">
                  <c:v>3.1</c:v>
                </c:pt>
                <c:pt idx="311">
                  <c:v>3.11</c:v>
                </c:pt>
                <c:pt idx="312">
                  <c:v>3.12</c:v>
                </c:pt>
                <c:pt idx="313">
                  <c:v>3.13</c:v>
                </c:pt>
                <c:pt idx="314">
                  <c:v>3.14</c:v>
                </c:pt>
                <c:pt idx="315">
                  <c:v>3.15</c:v>
                </c:pt>
                <c:pt idx="316">
                  <c:v>3.16</c:v>
                </c:pt>
                <c:pt idx="317">
                  <c:v>3.17</c:v>
                </c:pt>
                <c:pt idx="318">
                  <c:v>3.18</c:v>
                </c:pt>
                <c:pt idx="319">
                  <c:v>3.19</c:v>
                </c:pt>
                <c:pt idx="320">
                  <c:v>3.2</c:v>
                </c:pt>
                <c:pt idx="321">
                  <c:v>3.21</c:v>
                </c:pt>
                <c:pt idx="322">
                  <c:v>3.22</c:v>
                </c:pt>
                <c:pt idx="323">
                  <c:v>3.23</c:v>
                </c:pt>
                <c:pt idx="324">
                  <c:v>3.24</c:v>
                </c:pt>
                <c:pt idx="325">
                  <c:v>3.25</c:v>
                </c:pt>
                <c:pt idx="326">
                  <c:v>3.26</c:v>
                </c:pt>
                <c:pt idx="327">
                  <c:v>3.27</c:v>
                </c:pt>
                <c:pt idx="328">
                  <c:v>3.28</c:v>
                </c:pt>
                <c:pt idx="329">
                  <c:v>3.29</c:v>
                </c:pt>
                <c:pt idx="330">
                  <c:v>3.3</c:v>
                </c:pt>
                <c:pt idx="331">
                  <c:v>3.31</c:v>
                </c:pt>
                <c:pt idx="332">
                  <c:v>3.32</c:v>
                </c:pt>
                <c:pt idx="333">
                  <c:v>3.33</c:v>
                </c:pt>
                <c:pt idx="334">
                  <c:v>3.34</c:v>
                </c:pt>
                <c:pt idx="335">
                  <c:v>3.35</c:v>
                </c:pt>
                <c:pt idx="336">
                  <c:v>3.36</c:v>
                </c:pt>
                <c:pt idx="337">
                  <c:v>3.37</c:v>
                </c:pt>
                <c:pt idx="338">
                  <c:v>3.38</c:v>
                </c:pt>
                <c:pt idx="339">
                  <c:v>3.39</c:v>
                </c:pt>
                <c:pt idx="340">
                  <c:v>3.4</c:v>
                </c:pt>
                <c:pt idx="341">
                  <c:v>3.41</c:v>
                </c:pt>
                <c:pt idx="342">
                  <c:v>3.42</c:v>
                </c:pt>
                <c:pt idx="343">
                  <c:v>3.43</c:v>
                </c:pt>
                <c:pt idx="344">
                  <c:v>3.44</c:v>
                </c:pt>
                <c:pt idx="345">
                  <c:v>3.45</c:v>
                </c:pt>
                <c:pt idx="346">
                  <c:v>3.46</c:v>
                </c:pt>
                <c:pt idx="347">
                  <c:v>3.47</c:v>
                </c:pt>
                <c:pt idx="348">
                  <c:v>3.48</c:v>
                </c:pt>
                <c:pt idx="349">
                  <c:v>3.49</c:v>
                </c:pt>
                <c:pt idx="350">
                  <c:v>3.5</c:v>
                </c:pt>
                <c:pt idx="351">
                  <c:v>3.51</c:v>
                </c:pt>
                <c:pt idx="352">
                  <c:v>3.52</c:v>
                </c:pt>
                <c:pt idx="353">
                  <c:v>3.53</c:v>
                </c:pt>
                <c:pt idx="354">
                  <c:v>3.54</c:v>
                </c:pt>
                <c:pt idx="355">
                  <c:v>3.55</c:v>
                </c:pt>
                <c:pt idx="356">
                  <c:v>3.56</c:v>
                </c:pt>
                <c:pt idx="357">
                  <c:v>3.57</c:v>
                </c:pt>
                <c:pt idx="358">
                  <c:v>3.58</c:v>
                </c:pt>
                <c:pt idx="359">
                  <c:v>3.59</c:v>
                </c:pt>
                <c:pt idx="360">
                  <c:v>3.6</c:v>
                </c:pt>
                <c:pt idx="361">
                  <c:v>3.61</c:v>
                </c:pt>
                <c:pt idx="362">
                  <c:v>3.62</c:v>
                </c:pt>
                <c:pt idx="363">
                  <c:v>3.63</c:v>
                </c:pt>
                <c:pt idx="364">
                  <c:v>3.64</c:v>
                </c:pt>
                <c:pt idx="365">
                  <c:v>3.65</c:v>
                </c:pt>
                <c:pt idx="366">
                  <c:v>3.66</c:v>
                </c:pt>
                <c:pt idx="367">
                  <c:v>3.67</c:v>
                </c:pt>
                <c:pt idx="368">
                  <c:v>3.68</c:v>
                </c:pt>
                <c:pt idx="369">
                  <c:v>3.69</c:v>
                </c:pt>
                <c:pt idx="370">
                  <c:v>3.7</c:v>
                </c:pt>
                <c:pt idx="371">
                  <c:v>3.71</c:v>
                </c:pt>
                <c:pt idx="372">
                  <c:v>3.72</c:v>
                </c:pt>
                <c:pt idx="373">
                  <c:v>3.73</c:v>
                </c:pt>
                <c:pt idx="374">
                  <c:v>3.74</c:v>
                </c:pt>
                <c:pt idx="375">
                  <c:v>3.75</c:v>
                </c:pt>
                <c:pt idx="376">
                  <c:v>3.76</c:v>
                </c:pt>
                <c:pt idx="377">
                  <c:v>3.77</c:v>
                </c:pt>
                <c:pt idx="378">
                  <c:v>3.78</c:v>
                </c:pt>
                <c:pt idx="379">
                  <c:v>3.79</c:v>
                </c:pt>
                <c:pt idx="380">
                  <c:v>3.8</c:v>
                </c:pt>
                <c:pt idx="381">
                  <c:v>3.81</c:v>
                </c:pt>
                <c:pt idx="382">
                  <c:v>3.82</c:v>
                </c:pt>
                <c:pt idx="383">
                  <c:v>3.83</c:v>
                </c:pt>
                <c:pt idx="384">
                  <c:v>3.84</c:v>
                </c:pt>
                <c:pt idx="385">
                  <c:v>3.85</c:v>
                </c:pt>
                <c:pt idx="386">
                  <c:v>3.86</c:v>
                </c:pt>
                <c:pt idx="387">
                  <c:v>3.87</c:v>
                </c:pt>
                <c:pt idx="388">
                  <c:v>3.88</c:v>
                </c:pt>
                <c:pt idx="389">
                  <c:v>3.89</c:v>
                </c:pt>
                <c:pt idx="390">
                  <c:v>3.9</c:v>
                </c:pt>
                <c:pt idx="391">
                  <c:v>3.91</c:v>
                </c:pt>
                <c:pt idx="392">
                  <c:v>3.92</c:v>
                </c:pt>
                <c:pt idx="393">
                  <c:v>3.93</c:v>
                </c:pt>
                <c:pt idx="394">
                  <c:v>3.94</c:v>
                </c:pt>
                <c:pt idx="395">
                  <c:v>3.95</c:v>
                </c:pt>
                <c:pt idx="396">
                  <c:v>3.96</c:v>
                </c:pt>
                <c:pt idx="397">
                  <c:v>3.97</c:v>
                </c:pt>
                <c:pt idx="398">
                  <c:v>3.98</c:v>
                </c:pt>
                <c:pt idx="399">
                  <c:v>3.99</c:v>
                </c:pt>
                <c:pt idx="400">
                  <c:v>4</c:v>
                </c:pt>
                <c:pt idx="401">
                  <c:v>4.01</c:v>
                </c:pt>
                <c:pt idx="402">
                  <c:v>4.0199999999999996</c:v>
                </c:pt>
                <c:pt idx="403">
                  <c:v>4.03</c:v>
                </c:pt>
                <c:pt idx="404">
                  <c:v>4.04</c:v>
                </c:pt>
                <c:pt idx="405">
                  <c:v>4.05</c:v>
                </c:pt>
                <c:pt idx="406">
                  <c:v>4.0599999999999996</c:v>
                </c:pt>
                <c:pt idx="407">
                  <c:v>4.07</c:v>
                </c:pt>
                <c:pt idx="408">
                  <c:v>4.08</c:v>
                </c:pt>
                <c:pt idx="409">
                  <c:v>4.09</c:v>
                </c:pt>
                <c:pt idx="410">
                  <c:v>4.0999999999999996</c:v>
                </c:pt>
                <c:pt idx="411">
                  <c:v>4.1100000000000003</c:v>
                </c:pt>
                <c:pt idx="412">
                  <c:v>4.12</c:v>
                </c:pt>
                <c:pt idx="413">
                  <c:v>4.13</c:v>
                </c:pt>
                <c:pt idx="414">
                  <c:v>4.1399999999999997</c:v>
                </c:pt>
                <c:pt idx="415">
                  <c:v>4.1500000000000004</c:v>
                </c:pt>
                <c:pt idx="416">
                  <c:v>4.16</c:v>
                </c:pt>
                <c:pt idx="417">
                  <c:v>4.17</c:v>
                </c:pt>
                <c:pt idx="418">
                  <c:v>4.18</c:v>
                </c:pt>
                <c:pt idx="419">
                  <c:v>4.1900000000000004</c:v>
                </c:pt>
                <c:pt idx="420">
                  <c:v>4.2</c:v>
                </c:pt>
                <c:pt idx="421">
                  <c:v>4.21</c:v>
                </c:pt>
                <c:pt idx="422">
                  <c:v>4.22</c:v>
                </c:pt>
                <c:pt idx="423">
                  <c:v>4.2300000000000004</c:v>
                </c:pt>
                <c:pt idx="424">
                  <c:v>4.24</c:v>
                </c:pt>
                <c:pt idx="425">
                  <c:v>4.25</c:v>
                </c:pt>
                <c:pt idx="426">
                  <c:v>4.26</c:v>
                </c:pt>
                <c:pt idx="427">
                  <c:v>4.2699999999999996</c:v>
                </c:pt>
                <c:pt idx="428">
                  <c:v>4.28</c:v>
                </c:pt>
                <c:pt idx="429">
                  <c:v>4.29</c:v>
                </c:pt>
                <c:pt idx="430">
                  <c:v>4.3</c:v>
                </c:pt>
                <c:pt idx="431">
                  <c:v>4.3099999999999996</c:v>
                </c:pt>
                <c:pt idx="432">
                  <c:v>4.32</c:v>
                </c:pt>
                <c:pt idx="433">
                  <c:v>4.33</c:v>
                </c:pt>
                <c:pt idx="434">
                  <c:v>4.34</c:v>
                </c:pt>
                <c:pt idx="435">
                  <c:v>4.3499999999999996</c:v>
                </c:pt>
                <c:pt idx="436">
                  <c:v>4.3600000000000003</c:v>
                </c:pt>
                <c:pt idx="437">
                  <c:v>4.37</c:v>
                </c:pt>
                <c:pt idx="438">
                  <c:v>4.38</c:v>
                </c:pt>
                <c:pt idx="439">
                  <c:v>4.3899999999999997</c:v>
                </c:pt>
                <c:pt idx="440">
                  <c:v>4.4000000000000004</c:v>
                </c:pt>
                <c:pt idx="441">
                  <c:v>4.41</c:v>
                </c:pt>
                <c:pt idx="442">
                  <c:v>4.42</c:v>
                </c:pt>
                <c:pt idx="443">
                  <c:v>4.43</c:v>
                </c:pt>
                <c:pt idx="444">
                  <c:v>4.4400000000000004</c:v>
                </c:pt>
                <c:pt idx="445">
                  <c:v>4.45</c:v>
                </c:pt>
                <c:pt idx="446">
                  <c:v>4.46</c:v>
                </c:pt>
                <c:pt idx="447">
                  <c:v>4.47</c:v>
                </c:pt>
                <c:pt idx="448">
                  <c:v>4.4800000000000004</c:v>
                </c:pt>
                <c:pt idx="449">
                  <c:v>4.49</c:v>
                </c:pt>
                <c:pt idx="450">
                  <c:v>4.5</c:v>
                </c:pt>
                <c:pt idx="451">
                  <c:v>4.51</c:v>
                </c:pt>
                <c:pt idx="452">
                  <c:v>4.5199999999999996</c:v>
                </c:pt>
                <c:pt idx="453">
                  <c:v>4.53</c:v>
                </c:pt>
                <c:pt idx="454">
                  <c:v>4.54</c:v>
                </c:pt>
                <c:pt idx="455">
                  <c:v>4.55</c:v>
                </c:pt>
                <c:pt idx="456">
                  <c:v>4.5599999999999996</c:v>
                </c:pt>
                <c:pt idx="457">
                  <c:v>4.57</c:v>
                </c:pt>
                <c:pt idx="458">
                  <c:v>4.58</c:v>
                </c:pt>
                <c:pt idx="459">
                  <c:v>4.59</c:v>
                </c:pt>
                <c:pt idx="460">
                  <c:v>4.5999999999999996</c:v>
                </c:pt>
                <c:pt idx="461">
                  <c:v>4.6100000000000003</c:v>
                </c:pt>
                <c:pt idx="462">
                  <c:v>4.62</c:v>
                </c:pt>
                <c:pt idx="463">
                  <c:v>4.63</c:v>
                </c:pt>
                <c:pt idx="464">
                  <c:v>4.6399999999999997</c:v>
                </c:pt>
                <c:pt idx="465">
                  <c:v>4.6500000000000004</c:v>
                </c:pt>
                <c:pt idx="466">
                  <c:v>4.66</c:v>
                </c:pt>
                <c:pt idx="467">
                  <c:v>4.67</c:v>
                </c:pt>
                <c:pt idx="468">
                  <c:v>4.68</c:v>
                </c:pt>
                <c:pt idx="469">
                  <c:v>4.6900000000000004</c:v>
                </c:pt>
                <c:pt idx="470">
                  <c:v>4.7</c:v>
                </c:pt>
                <c:pt idx="471">
                  <c:v>4.71</c:v>
                </c:pt>
                <c:pt idx="472">
                  <c:v>4.72</c:v>
                </c:pt>
                <c:pt idx="473">
                  <c:v>4.7300000000000004</c:v>
                </c:pt>
                <c:pt idx="474">
                  <c:v>4.74</c:v>
                </c:pt>
                <c:pt idx="475">
                  <c:v>4.75</c:v>
                </c:pt>
                <c:pt idx="476">
                  <c:v>4.76</c:v>
                </c:pt>
                <c:pt idx="477">
                  <c:v>4.7699999999999996</c:v>
                </c:pt>
                <c:pt idx="478">
                  <c:v>4.78</c:v>
                </c:pt>
                <c:pt idx="479">
                  <c:v>4.79</c:v>
                </c:pt>
                <c:pt idx="480">
                  <c:v>4.8</c:v>
                </c:pt>
                <c:pt idx="481">
                  <c:v>4.8099999999999996</c:v>
                </c:pt>
                <c:pt idx="482">
                  <c:v>4.82</c:v>
                </c:pt>
                <c:pt idx="483">
                  <c:v>4.83</c:v>
                </c:pt>
                <c:pt idx="484">
                  <c:v>4.84</c:v>
                </c:pt>
                <c:pt idx="485">
                  <c:v>4.8499999999999996</c:v>
                </c:pt>
                <c:pt idx="486">
                  <c:v>4.8600000000000003</c:v>
                </c:pt>
                <c:pt idx="487">
                  <c:v>4.87</c:v>
                </c:pt>
                <c:pt idx="488">
                  <c:v>4.88</c:v>
                </c:pt>
                <c:pt idx="489">
                  <c:v>4.8899999999999997</c:v>
                </c:pt>
                <c:pt idx="490">
                  <c:v>4.9000000000000004</c:v>
                </c:pt>
                <c:pt idx="491">
                  <c:v>4.91</c:v>
                </c:pt>
                <c:pt idx="492">
                  <c:v>4.92</c:v>
                </c:pt>
                <c:pt idx="493">
                  <c:v>4.93</c:v>
                </c:pt>
                <c:pt idx="494">
                  <c:v>4.9400000000000004</c:v>
                </c:pt>
                <c:pt idx="495">
                  <c:v>4.95</c:v>
                </c:pt>
                <c:pt idx="496">
                  <c:v>4.96</c:v>
                </c:pt>
                <c:pt idx="497">
                  <c:v>4.97</c:v>
                </c:pt>
                <c:pt idx="498">
                  <c:v>4.9800000000000004</c:v>
                </c:pt>
                <c:pt idx="499">
                  <c:v>4.99</c:v>
                </c:pt>
                <c:pt idx="500">
                  <c:v>5</c:v>
                </c:pt>
                <c:pt idx="501">
                  <c:v>5.01</c:v>
                </c:pt>
                <c:pt idx="502">
                  <c:v>5.0199999999999996</c:v>
                </c:pt>
                <c:pt idx="503">
                  <c:v>5.03</c:v>
                </c:pt>
                <c:pt idx="504">
                  <c:v>5.04</c:v>
                </c:pt>
                <c:pt idx="505">
                  <c:v>5.05</c:v>
                </c:pt>
                <c:pt idx="506">
                  <c:v>5.0599999999999996</c:v>
                </c:pt>
                <c:pt idx="507">
                  <c:v>5.07</c:v>
                </c:pt>
                <c:pt idx="508">
                  <c:v>5.08</c:v>
                </c:pt>
                <c:pt idx="509">
                  <c:v>5.09</c:v>
                </c:pt>
                <c:pt idx="510">
                  <c:v>5.0999999999999996</c:v>
                </c:pt>
                <c:pt idx="511">
                  <c:v>5.1100000000000003</c:v>
                </c:pt>
                <c:pt idx="512">
                  <c:v>5.12</c:v>
                </c:pt>
                <c:pt idx="513">
                  <c:v>5.13</c:v>
                </c:pt>
                <c:pt idx="514">
                  <c:v>5.14</c:v>
                </c:pt>
                <c:pt idx="515">
                  <c:v>5.15</c:v>
                </c:pt>
                <c:pt idx="516">
                  <c:v>5.16</c:v>
                </c:pt>
                <c:pt idx="517">
                  <c:v>5.17</c:v>
                </c:pt>
                <c:pt idx="518">
                  <c:v>5.18</c:v>
                </c:pt>
                <c:pt idx="519">
                  <c:v>5.19</c:v>
                </c:pt>
                <c:pt idx="520">
                  <c:v>5.2</c:v>
                </c:pt>
                <c:pt idx="521">
                  <c:v>5.21</c:v>
                </c:pt>
                <c:pt idx="522">
                  <c:v>5.22</c:v>
                </c:pt>
                <c:pt idx="523">
                  <c:v>5.23</c:v>
                </c:pt>
                <c:pt idx="524">
                  <c:v>5.24</c:v>
                </c:pt>
                <c:pt idx="525">
                  <c:v>5.25</c:v>
                </c:pt>
                <c:pt idx="526">
                  <c:v>5.26</c:v>
                </c:pt>
                <c:pt idx="527">
                  <c:v>5.27</c:v>
                </c:pt>
                <c:pt idx="528">
                  <c:v>5.28</c:v>
                </c:pt>
                <c:pt idx="529">
                  <c:v>5.29</c:v>
                </c:pt>
                <c:pt idx="530">
                  <c:v>5.3</c:v>
                </c:pt>
                <c:pt idx="531">
                  <c:v>5.31</c:v>
                </c:pt>
                <c:pt idx="532">
                  <c:v>5.32</c:v>
                </c:pt>
                <c:pt idx="533">
                  <c:v>5.33</c:v>
                </c:pt>
                <c:pt idx="534">
                  <c:v>5.34</c:v>
                </c:pt>
                <c:pt idx="535">
                  <c:v>5.35</c:v>
                </c:pt>
                <c:pt idx="536">
                  <c:v>5.36</c:v>
                </c:pt>
                <c:pt idx="537">
                  <c:v>5.37</c:v>
                </c:pt>
                <c:pt idx="538">
                  <c:v>5.38</c:v>
                </c:pt>
                <c:pt idx="539">
                  <c:v>5.39</c:v>
                </c:pt>
                <c:pt idx="540">
                  <c:v>5.4</c:v>
                </c:pt>
                <c:pt idx="541">
                  <c:v>5.41</c:v>
                </c:pt>
                <c:pt idx="542">
                  <c:v>5.42</c:v>
                </c:pt>
                <c:pt idx="543">
                  <c:v>5.43</c:v>
                </c:pt>
                <c:pt idx="544">
                  <c:v>5.44</c:v>
                </c:pt>
                <c:pt idx="545">
                  <c:v>5.45</c:v>
                </c:pt>
                <c:pt idx="546">
                  <c:v>5.46</c:v>
                </c:pt>
                <c:pt idx="547">
                  <c:v>5.47</c:v>
                </c:pt>
                <c:pt idx="548">
                  <c:v>5.48</c:v>
                </c:pt>
                <c:pt idx="549">
                  <c:v>5.49</c:v>
                </c:pt>
                <c:pt idx="550">
                  <c:v>5.5</c:v>
                </c:pt>
                <c:pt idx="551">
                  <c:v>5.51</c:v>
                </c:pt>
                <c:pt idx="552">
                  <c:v>5.52</c:v>
                </c:pt>
                <c:pt idx="553">
                  <c:v>5.53</c:v>
                </c:pt>
                <c:pt idx="554">
                  <c:v>5.54</c:v>
                </c:pt>
                <c:pt idx="555">
                  <c:v>5.55</c:v>
                </c:pt>
                <c:pt idx="556">
                  <c:v>5.56</c:v>
                </c:pt>
                <c:pt idx="557">
                  <c:v>5.57</c:v>
                </c:pt>
                <c:pt idx="558">
                  <c:v>5.58</c:v>
                </c:pt>
                <c:pt idx="559">
                  <c:v>5.59</c:v>
                </c:pt>
                <c:pt idx="560">
                  <c:v>5.6</c:v>
                </c:pt>
                <c:pt idx="561">
                  <c:v>5.61</c:v>
                </c:pt>
                <c:pt idx="562">
                  <c:v>5.62</c:v>
                </c:pt>
                <c:pt idx="563">
                  <c:v>5.63</c:v>
                </c:pt>
                <c:pt idx="564">
                  <c:v>5.64</c:v>
                </c:pt>
                <c:pt idx="565">
                  <c:v>5.65</c:v>
                </c:pt>
                <c:pt idx="566">
                  <c:v>5.66</c:v>
                </c:pt>
                <c:pt idx="567">
                  <c:v>5.67</c:v>
                </c:pt>
                <c:pt idx="568">
                  <c:v>5.68</c:v>
                </c:pt>
                <c:pt idx="569">
                  <c:v>5.69</c:v>
                </c:pt>
                <c:pt idx="570">
                  <c:v>5.7</c:v>
                </c:pt>
                <c:pt idx="571">
                  <c:v>5.71</c:v>
                </c:pt>
                <c:pt idx="572">
                  <c:v>5.72</c:v>
                </c:pt>
                <c:pt idx="573">
                  <c:v>5.73</c:v>
                </c:pt>
                <c:pt idx="574">
                  <c:v>5.74</c:v>
                </c:pt>
                <c:pt idx="575">
                  <c:v>5.75</c:v>
                </c:pt>
                <c:pt idx="576">
                  <c:v>5.76</c:v>
                </c:pt>
                <c:pt idx="577">
                  <c:v>5.77</c:v>
                </c:pt>
                <c:pt idx="578">
                  <c:v>5.78</c:v>
                </c:pt>
                <c:pt idx="579">
                  <c:v>5.79</c:v>
                </c:pt>
                <c:pt idx="580">
                  <c:v>5.8</c:v>
                </c:pt>
                <c:pt idx="581">
                  <c:v>5.81</c:v>
                </c:pt>
                <c:pt idx="582">
                  <c:v>5.82</c:v>
                </c:pt>
                <c:pt idx="583">
                  <c:v>5.83</c:v>
                </c:pt>
                <c:pt idx="584">
                  <c:v>5.84</c:v>
                </c:pt>
                <c:pt idx="585">
                  <c:v>5.85</c:v>
                </c:pt>
                <c:pt idx="586">
                  <c:v>5.86</c:v>
                </c:pt>
                <c:pt idx="587">
                  <c:v>5.87</c:v>
                </c:pt>
                <c:pt idx="588">
                  <c:v>5.88</c:v>
                </c:pt>
                <c:pt idx="589">
                  <c:v>5.89</c:v>
                </c:pt>
                <c:pt idx="590">
                  <c:v>5.9</c:v>
                </c:pt>
                <c:pt idx="591">
                  <c:v>5.91</c:v>
                </c:pt>
                <c:pt idx="592">
                  <c:v>5.92</c:v>
                </c:pt>
                <c:pt idx="593">
                  <c:v>5.93</c:v>
                </c:pt>
                <c:pt idx="594">
                  <c:v>5.94</c:v>
                </c:pt>
                <c:pt idx="595">
                  <c:v>5.95</c:v>
                </c:pt>
                <c:pt idx="596">
                  <c:v>5.96</c:v>
                </c:pt>
                <c:pt idx="597">
                  <c:v>5.97</c:v>
                </c:pt>
                <c:pt idx="598">
                  <c:v>5.98</c:v>
                </c:pt>
                <c:pt idx="599">
                  <c:v>5.99</c:v>
                </c:pt>
                <c:pt idx="600">
                  <c:v>6</c:v>
                </c:pt>
                <c:pt idx="601">
                  <c:v>6.01</c:v>
                </c:pt>
                <c:pt idx="602">
                  <c:v>6.02</c:v>
                </c:pt>
                <c:pt idx="603">
                  <c:v>6.03</c:v>
                </c:pt>
                <c:pt idx="604">
                  <c:v>6.04</c:v>
                </c:pt>
                <c:pt idx="605">
                  <c:v>6.05</c:v>
                </c:pt>
                <c:pt idx="606">
                  <c:v>6.06</c:v>
                </c:pt>
                <c:pt idx="607">
                  <c:v>6.07</c:v>
                </c:pt>
                <c:pt idx="608">
                  <c:v>6.08</c:v>
                </c:pt>
                <c:pt idx="609">
                  <c:v>6.09</c:v>
                </c:pt>
                <c:pt idx="610">
                  <c:v>6.1</c:v>
                </c:pt>
                <c:pt idx="611">
                  <c:v>6.11</c:v>
                </c:pt>
                <c:pt idx="612">
                  <c:v>6.12</c:v>
                </c:pt>
                <c:pt idx="613">
                  <c:v>6.13</c:v>
                </c:pt>
                <c:pt idx="614">
                  <c:v>6.14</c:v>
                </c:pt>
                <c:pt idx="615">
                  <c:v>6.15</c:v>
                </c:pt>
                <c:pt idx="616">
                  <c:v>6.16</c:v>
                </c:pt>
                <c:pt idx="617">
                  <c:v>6.17</c:v>
                </c:pt>
                <c:pt idx="618">
                  <c:v>6.18</c:v>
                </c:pt>
                <c:pt idx="619">
                  <c:v>6.19</c:v>
                </c:pt>
                <c:pt idx="620">
                  <c:v>6.2</c:v>
                </c:pt>
                <c:pt idx="621">
                  <c:v>6.21</c:v>
                </c:pt>
                <c:pt idx="622">
                  <c:v>6.22</c:v>
                </c:pt>
                <c:pt idx="623">
                  <c:v>6.23</c:v>
                </c:pt>
                <c:pt idx="624">
                  <c:v>6.24</c:v>
                </c:pt>
                <c:pt idx="625">
                  <c:v>6.25</c:v>
                </c:pt>
                <c:pt idx="626">
                  <c:v>6.26</c:v>
                </c:pt>
                <c:pt idx="627">
                  <c:v>6.27</c:v>
                </c:pt>
                <c:pt idx="628">
                  <c:v>6.28</c:v>
                </c:pt>
                <c:pt idx="629">
                  <c:v>6.29</c:v>
                </c:pt>
                <c:pt idx="630">
                  <c:v>6.3</c:v>
                </c:pt>
                <c:pt idx="631">
                  <c:v>6.31</c:v>
                </c:pt>
                <c:pt idx="632">
                  <c:v>6.32</c:v>
                </c:pt>
                <c:pt idx="633">
                  <c:v>6.33</c:v>
                </c:pt>
                <c:pt idx="634">
                  <c:v>6.34</c:v>
                </c:pt>
                <c:pt idx="635">
                  <c:v>6.35</c:v>
                </c:pt>
                <c:pt idx="636">
                  <c:v>6.36</c:v>
                </c:pt>
                <c:pt idx="637">
                  <c:v>6.37</c:v>
                </c:pt>
                <c:pt idx="638">
                  <c:v>6.38</c:v>
                </c:pt>
                <c:pt idx="639">
                  <c:v>6.39</c:v>
                </c:pt>
                <c:pt idx="640">
                  <c:v>6.4</c:v>
                </c:pt>
                <c:pt idx="641">
                  <c:v>6.41</c:v>
                </c:pt>
                <c:pt idx="642">
                  <c:v>6.42</c:v>
                </c:pt>
                <c:pt idx="643">
                  <c:v>6.43</c:v>
                </c:pt>
                <c:pt idx="644">
                  <c:v>6.44</c:v>
                </c:pt>
                <c:pt idx="645">
                  <c:v>6.45</c:v>
                </c:pt>
                <c:pt idx="646">
                  <c:v>6.46</c:v>
                </c:pt>
                <c:pt idx="647">
                  <c:v>6.47</c:v>
                </c:pt>
                <c:pt idx="648">
                  <c:v>6.48</c:v>
                </c:pt>
                <c:pt idx="649">
                  <c:v>6.49</c:v>
                </c:pt>
                <c:pt idx="650">
                  <c:v>6.5</c:v>
                </c:pt>
                <c:pt idx="651">
                  <c:v>6.51</c:v>
                </c:pt>
                <c:pt idx="652">
                  <c:v>6.52</c:v>
                </c:pt>
                <c:pt idx="653">
                  <c:v>6.53</c:v>
                </c:pt>
                <c:pt idx="654">
                  <c:v>6.54</c:v>
                </c:pt>
                <c:pt idx="655">
                  <c:v>6.55</c:v>
                </c:pt>
                <c:pt idx="656">
                  <c:v>6.56</c:v>
                </c:pt>
                <c:pt idx="657">
                  <c:v>6.57</c:v>
                </c:pt>
                <c:pt idx="658">
                  <c:v>6.58</c:v>
                </c:pt>
                <c:pt idx="659">
                  <c:v>6.59</c:v>
                </c:pt>
                <c:pt idx="660">
                  <c:v>6.6</c:v>
                </c:pt>
                <c:pt idx="661">
                  <c:v>6.61</c:v>
                </c:pt>
                <c:pt idx="662">
                  <c:v>6.62</c:v>
                </c:pt>
                <c:pt idx="663">
                  <c:v>6.63</c:v>
                </c:pt>
                <c:pt idx="664">
                  <c:v>6.64</c:v>
                </c:pt>
                <c:pt idx="665">
                  <c:v>6.65</c:v>
                </c:pt>
                <c:pt idx="666">
                  <c:v>6.66</c:v>
                </c:pt>
                <c:pt idx="667">
                  <c:v>6.67</c:v>
                </c:pt>
                <c:pt idx="668">
                  <c:v>6.68</c:v>
                </c:pt>
                <c:pt idx="669">
                  <c:v>6.69</c:v>
                </c:pt>
                <c:pt idx="670">
                  <c:v>6.7</c:v>
                </c:pt>
                <c:pt idx="671">
                  <c:v>6.71</c:v>
                </c:pt>
                <c:pt idx="672">
                  <c:v>6.72</c:v>
                </c:pt>
                <c:pt idx="673">
                  <c:v>6.73</c:v>
                </c:pt>
                <c:pt idx="674">
                  <c:v>6.74</c:v>
                </c:pt>
                <c:pt idx="675">
                  <c:v>6.75</c:v>
                </c:pt>
                <c:pt idx="676">
                  <c:v>6.76</c:v>
                </c:pt>
                <c:pt idx="677">
                  <c:v>6.77</c:v>
                </c:pt>
                <c:pt idx="678">
                  <c:v>6.78</c:v>
                </c:pt>
                <c:pt idx="679">
                  <c:v>6.79</c:v>
                </c:pt>
                <c:pt idx="680">
                  <c:v>6.8</c:v>
                </c:pt>
                <c:pt idx="681">
                  <c:v>6.81</c:v>
                </c:pt>
                <c:pt idx="682">
                  <c:v>6.82</c:v>
                </c:pt>
                <c:pt idx="683">
                  <c:v>6.83</c:v>
                </c:pt>
                <c:pt idx="684">
                  <c:v>6.84</c:v>
                </c:pt>
                <c:pt idx="685">
                  <c:v>6.85</c:v>
                </c:pt>
                <c:pt idx="686">
                  <c:v>6.86</c:v>
                </c:pt>
                <c:pt idx="687">
                  <c:v>6.87</c:v>
                </c:pt>
                <c:pt idx="688">
                  <c:v>6.88</c:v>
                </c:pt>
                <c:pt idx="689">
                  <c:v>6.89</c:v>
                </c:pt>
                <c:pt idx="690">
                  <c:v>6.9</c:v>
                </c:pt>
                <c:pt idx="691">
                  <c:v>6.91</c:v>
                </c:pt>
                <c:pt idx="692">
                  <c:v>6.92</c:v>
                </c:pt>
                <c:pt idx="693">
                  <c:v>6.93</c:v>
                </c:pt>
                <c:pt idx="694">
                  <c:v>6.94</c:v>
                </c:pt>
                <c:pt idx="695">
                  <c:v>6.95</c:v>
                </c:pt>
                <c:pt idx="696">
                  <c:v>6.96</c:v>
                </c:pt>
                <c:pt idx="697">
                  <c:v>6.97</c:v>
                </c:pt>
                <c:pt idx="698">
                  <c:v>6.98</c:v>
                </c:pt>
                <c:pt idx="699">
                  <c:v>6.99</c:v>
                </c:pt>
                <c:pt idx="700">
                  <c:v>7</c:v>
                </c:pt>
                <c:pt idx="701">
                  <c:v>7.01</c:v>
                </c:pt>
                <c:pt idx="702">
                  <c:v>7.02</c:v>
                </c:pt>
                <c:pt idx="703">
                  <c:v>7.03</c:v>
                </c:pt>
                <c:pt idx="704">
                  <c:v>7.04</c:v>
                </c:pt>
                <c:pt idx="705">
                  <c:v>7.05</c:v>
                </c:pt>
                <c:pt idx="706">
                  <c:v>7.06</c:v>
                </c:pt>
                <c:pt idx="707">
                  <c:v>7.07</c:v>
                </c:pt>
                <c:pt idx="708">
                  <c:v>7.08</c:v>
                </c:pt>
                <c:pt idx="709">
                  <c:v>7.09</c:v>
                </c:pt>
                <c:pt idx="710">
                  <c:v>7.1</c:v>
                </c:pt>
                <c:pt idx="711">
                  <c:v>7.11</c:v>
                </c:pt>
                <c:pt idx="712">
                  <c:v>7.12</c:v>
                </c:pt>
                <c:pt idx="713">
                  <c:v>7.13</c:v>
                </c:pt>
                <c:pt idx="714">
                  <c:v>7.14</c:v>
                </c:pt>
                <c:pt idx="715">
                  <c:v>7.15</c:v>
                </c:pt>
                <c:pt idx="716">
                  <c:v>7.16</c:v>
                </c:pt>
                <c:pt idx="717">
                  <c:v>7.17</c:v>
                </c:pt>
                <c:pt idx="718">
                  <c:v>7.18</c:v>
                </c:pt>
                <c:pt idx="719">
                  <c:v>7.19</c:v>
                </c:pt>
                <c:pt idx="720">
                  <c:v>7.2</c:v>
                </c:pt>
                <c:pt idx="721">
                  <c:v>7.21</c:v>
                </c:pt>
                <c:pt idx="722">
                  <c:v>7.22</c:v>
                </c:pt>
                <c:pt idx="723">
                  <c:v>7.23</c:v>
                </c:pt>
                <c:pt idx="724">
                  <c:v>7.24</c:v>
                </c:pt>
                <c:pt idx="725">
                  <c:v>7.25</c:v>
                </c:pt>
                <c:pt idx="726">
                  <c:v>7.26</c:v>
                </c:pt>
                <c:pt idx="727">
                  <c:v>7.27</c:v>
                </c:pt>
                <c:pt idx="728">
                  <c:v>7.28</c:v>
                </c:pt>
                <c:pt idx="729">
                  <c:v>7.29</c:v>
                </c:pt>
                <c:pt idx="730">
                  <c:v>7.3</c:v>
                </c:pt>
                <c:pt idx="731">
                  <c:v>7.31</c:v>
                </c:pt>
                <c:pt idx="732">
                  <c:v>7.32</c:v>
                </c:pt>
                <c:pt idx="733">
                  <c:v>7.33</c:v>
                </c:pt>
                <c:pt idx="734">
                  <c:v>7.34</c:v>
                </c:pt>
                <c:pt idx="735">
                  <c:v>7.35</c:v>
                </c:pt>
                <c:pt idx="736">
                  <c:v>7.36</c:v>
                </c:pt>
                <c:pt idx="737">
                  <c:v>7.37</c:v>
                </c:pt>
                <c:pt idx="738">
                  <c:v>7.38</c:v>
                </c:pt>
                <c:pt idx="739">
                  <c:v>7.39</c:v>
                </c:pt>
                <c:pt idx="740">
                  <c:v>7.4</c:v>
                </c:pt>
                <c:pt idx="741">
                  <c:v>7.41</c:v>
                </c:pt>
                <c:pt idx="742">
                  <c:v>7.42</c:v>
                </c:pt>
                <c:pt idx="743">
                  <c:v>7.43</c:v>
                </c:pt>
                <c:pt idx="744">
                  <c:v>7.44</c:v>
                </c:pt>
                <c:pt idx="745">
                  <c:v>7.45</c:v>
                </c:pt>
                <c:pt idx="746">
                  <c:v>7.46</c:v>
                </c:pt>
                <c:pt idx="747">
                  <c:v>7.47</c:v>
                </c:pt>
                <c:pt idx="748">
                  <c:v>7.48</c:v>
                </c:pt>
                <c:pt idx="749">
                  <c:v>7.49</c:v>
                </c:pt>
                <c:pt idx="750">
                  <c:v>7.5</c:v>
                </c:pt>
                <c:pt idx="751">
                  <c:v>7.51</c:v>
                </c:pt>
                <c:pt idx="752">
                  <c:v>7.52</c:v>
                </c:pt>
                <c:pt idx="753">
                  <c:v>7.53</c:v>
                </c:pt>
                <c:pt idx="754">
                  <c:v>7.54</c:v>
                </c:pt>
                <c:pt idx="755">
                  <c:v>7.55</c:v>
                </c:pt>
                <c:pt idx="756">
                  <c:v>7.56</c:v>
                </c:pt>
                <c:pt idx="757">
                  <c:v>7.57</c:v>
                </c:pt>
                <c:pt idx="758">
                  <c:v>7.58</c:v>
                </c:pt>
                <c:pt idx="759">
                  <c:v>7.59</c:v>
                </c:pt>
                <c:pt idx="760">
                  <c:v>7.6</c:v>
                </c:pt>
                <c:pt idx="761">
                  <c:v>7.61</c:v>
                </c:pt>
                <c:pt idx="762">
                  <c:v>7.62</c:v>
                </c:pt>
                <c:pt idx="763">
                  <c:v>7.63</c:v>
                </c:pt>
                <c:pt idx="764">
                  <c:v>7.64</c:v>
                </c:pt>
                <c:pt idx="765">
                  <c:v>7.65</c:v>
                </c:pt>
                <c:pt idx="766">
                  <c:v>7.66</c:v>
                </c:pt>
                <c:pt idx="767">
                  <c:v>7.67</c:v>
                </c:pt>
                <c:pt idx="768">
                  <c:v>7.68</c:v>
                </c:pt>
                <c:pt idx="769">
                  <c:v>7.69</c:v>
                </c:pt>
                <c:pt idx="770">
                  <c:v>7.7</c:v>
                </c:pt>
                <c:pt idx="771">
                  <c:v>7.71</c:v>
                </c:pt>
                <c:pt idx="772">
                  <c:v>7.72</c:v>
                </c:pt>
                <c:pt idx="773">
                  <c:v>7.73</c:v>
                </c:pt>
                <c:pt idx="774">
                  <c:v>7.74</c:v>
                </c:pt>
                <c:pt idx="775">
                  <c:v>7.75</c:v>
                </c:pt>
                <c:pt idx="776">
                  <c:v>7.76</c:v>
                </c:pt>
                <c:pt idx="777">
                  <c:v>7.77</c:v>
                </c:pt>
                <c:pt idx="778">
                  <c:v>7.78</c:v>
                </c:pt>
                <c:pt idx="779">
                  <c:v>7.79</c:v>
                </c:pt>
                <c:pt idx="780">
                  <c:v>7.8</c:v>
                </c:pt>
                <c:pt idx="781">
                  <c:v>7.81</c:v>
                </c:pt>
                <c:pt idx="782">
                  <c:v>7.82</c:v>
                </c:pt>
                <c:pt idx="783">
                  <c:v>7.83</c:v>
                </c:pt>
                <c:pt idx="784">
                  <c:v>7.84</c:v>
                </c:pt>
                <c:pt idx="785">
                  <c:v>7.85</c:v>
                </c:pt>
                <c:pt idx="786">
                  <c:v>7.86</c:v>
                </c:pt>
                <c:pt idx="787">
                  <c:v>7.87</c:v>
                </c:pt>
                <c:pt idx="788">
                  <c:v>7.88</c:v>
                </c:pt>
                <c:pt idx="789">
                  <c:v>7.89</c:v>
                </c:pt>
                <c:pt idx="790">
                  <c:v>7.9</c:v>
                </c:pt>
                <c:pt idx="791">
                  <c:v>7.91</c:v>
                </c:pt>
                <c:pt idx="792">
                  <c:v>7.92</c:v>
                </c:pt>
                <c:pt idx="793">
                  <c:v>7.93</c:v>
                </c:pt>
                <c:pt idx="794">
                  <c:v>7.94</c:v>
                </c:pt>
                <c:pt idx="795">
                  <c:v>7.95</c:v>
                </c:pt>
                <c:pt idx="796">
                  <c:v>7.96</c:v>
                </c:pt>
                <c:pt idx="797">
                  <c:v>7.97</c:v>
                </c:pt>
                <c:pt idx="798">
                  <c:v>7.98</c:v>
                </c:pt>
                <c:pt idx="799">
                  <c:v>7.99</c:v>
                </c:pt>
                <c:pt idx="800">
                  <c:v>8</c:v>
                </c:pt>
                <c:pt idx="801">
                  <c:v>8.01</c:v>
                </c:pt>
                <c:pt idx="802">
                  <c:v>8.02</c:v>
                </c:pt>
                <c:pt idx="803">
                  <c:v>8.0299999999999994</c:v>
                </c:pt>
                <c:pt idx="804">
                  <c:v>8.0399999999999991</c:v>
                </c:pt>
                <c:pt idx="805">
                  <c:v>8.0500000000000007</c:v>
                </c:pt>
                <c:pt idx="806">
                  <c:v>8.06</c:v>
                </c:pt>
                <c:pt idx="807">
                  <c:v>8.07</c:v>
                </c:pt>
                <c:pt idx="808">
                  <c:v>8.08</c:v>
                </c:pt>
                <c:pt idx="809">
                  <c:v>8.09</c:v>
                </c:pt>
                <c:pt idx="810">
                  <c:v>8.1</c:v>
                </c:pt>
                <c:pt idx="811">
                  <c:v>8.11</c:v>
                </c:pt>
                <c:pt idx="812">
                  <c:v>8.1199999999999992</c:v>
                </c:pt>
                <c:pt idx="813">
                  <c:v>8.1300000000000008</c:v>
                </c:pt>
                <c:pt idx="814">
                  <c:v>8.14</c:v>
                </c:pt>
                <c:pt idx="815">
                  <c:v>8.15</c:v>
                </c:pt>
                <c:pt idx="816">
                  <c:v>8.16</c:v>
                </c:pt>
                <c:pt idx="817">
                  <c:v>8.17</c:v>
                </c:pt>
                <c:pt idx="818">
                  <c:v>8.18</c:v>
                </c:pt>
                <c:pt idx="819">
                  <c:v>8.19</c:v>
                </c:pt>
                <c:pt idx="820">
                  <c:v>8.1999999999999993</c:v>
                </c:pt>
                <c:pt idx="821">
                  <c:v>8.2100000000000009</c:v>
                </c:pt>
                <c:pt idx="822">
                  <c:v>8.2200000000000006</c:v>
                </c:pt>
                <c:pt idx="823">
                  <c:v>8.23</c:v>
                </c:pt>
                <c:pt idx="824">
                  <c:v>8.24</c:v>
                </c:pt>
                <c:pt idx="825">
                  <c:v>8.25</c:v>
                </c:pt>
                <c:pt idx="826">
                  <c:v>8.26</c:v>
                </c:pt>
                <c:pt idx="827">
                  <c:v>8.27</c:v>
                </c:pt>
                <c:pt idx="828">
                  <c:v>8.2799999999999994</c:v>
                </c:pt>
                <c:pt idx="829">
                  <c:v>8.2899999999999991</c:v>
                </c:pt>
                <c:pt idx="830">
                  <c:v>8.3000000000000007</c:v>
                </c:pt>
                <c:pt idx="831">
                  <c:v>8.31</c:v>
                </c:pt>
                <c:pt idx="832">
                  <c:v>8.32</c:v>
                </c:pt>
                <c:pt idx="833">
                  <c:v>8.33</c:v>
                </c:pt>
                <c:pt idx="834">
                  <c:v>8.34</c:v>
                </c:pt>
                <c:pt idx="835">
                  <c:v>8.35</c:v>
                </c:pt>
                <c:pt idx="836">
                  <c:v>8.36</c:v>
                </c:pt>
                <c:pt idx="837">
                  <c:v>8.3699999999999992</c:v>
                </c:pt>
                <c:pt idx="838">
                  <c:v>8.3800000000000008</c:v>
                </c:pt>
                <c:pt idx="839">
                  <c:v>8.39</c:v>
                </c:pt>
                <c:pt idx="840">
                  <c:v>8.4</c:v>
                </c:pt>
                <c:pt idx="841">
                  <c:v>8.41</c:v>
                </c:pt>
                <c:pt idx="842">
                  <c:v>8.42</c:v>
                </c:pt>
                <c:pt idx="843">
                  <c:v>8.43</c:v>
                </c:pt>
                <c:pt idx="844">
                  <c:v>8.44</c:v>
                </c:pt>
                <c:pt idx="845">
                  <c:v>8.4499999999999993</c:v>
                </c:pt>
                <c:pt idx="846">
                  <c:v>8.4600000000000009</c:v>
                </c:pt>
                <c:pt idx="847">
                  <c:v>8.4700000000000006</c:v>
                </c:pt>
                <c:pt idx="848">
                  <c:v>8.48</c:v>
                </c:pt>
                <c:pt idx="849">
                  <c:v>8.49</c:v>
                </c:pt>
                <c:pt idx="850">
                  <c:v>8.5</c:v>
                </c:pt>
                <c:pt idx="851">
                  <c:v>8.51</c:v>
                </c:pt>
                <c:pt idx="852">
                  <c:v>8.52</c:v>
                </c:pt>
                <c:pt idx="853">
                  <c:v>8.5299999999999994</c:v>
                </c:pt>
                <c:pt idx="854">
                  <c:v>8.5399999999999991</c:v>
                </c:pt>
                <c:pt idx="855">
                  <c:v>8.5500000000000007</c:v>
                </c:pt>
                <c:pt idx="856">
                  <c:v>8.56</c:v>
                </c:pt>
                <c:pt idx="857">
                  <c:v>8.57</c:v>
                </c:pt>
                <c:pt idx="858">
                  <c:v>8.58</c:v>
                </c:pt>
                <c:pt idx="859">
                  <c:v>8.59</c:v>
                </c:pt>
                <c:pt idx="860">
                  <c:v>8.6</c:v>
                </c:pt>
                <c:pt idx="861">
                  <c:v>8.61</c:v>
                </c:pt>
                <c:pt idx="862">
                  <c:v>8.6199999999999992</c:v>
                </c:pt>
                <c:pt idx="863">
                  <c:v>8.6300000000000008</c:v>
                </c:pt>
                <c:pt idx="864">
                  <c:v>8.64</c:v>
                </c:pt>
                <c:pt idx="865">
                  <c:v>8.65</c:v>
                </c:pt>
                <c:pt idx="866">
                  <c:v>8.66</c:v>
                </c:pt>
                <c:pt idx="867">
                  <c:v>8.67</c:v>
                </c:pt>
                <c:pt idx="868">
                  <c:v>8.68</c:v>
                </c:pt>
                <c:pt idx="869">
                  <c:v>8.69</c:v>
                </c:pt>
                <c:pt idx="870">
                  <c:v>8.6999999999999993</c:v>
                </c:pt>
                <c:pt idx="871">
                  <c:v>8.7100000000000009</c:v>
                </c:pt>
                <c:pt idx="872">
                  <c:v>8.7200000000000006</c:v>
                </c:pt>
                <c:pt idx="873">
                  <c:v>8.73</c:v>
                </c:pt>
                <c:pt idx="874">
                  <c:v>8.74</c:v>
                </c:pt>
                <c:pt idx="875">
                  <c:v>8.75</c:v>
                </c:pt>
                <c:pt idx="876">
                  <c:v>8.76</c:v>
                </c:pt>
                <c:pt idx="877">
                  <c:v>8.77</c:v>
                </c:pt>
                <c:pt idx="878">
                  <c:v>8.7799999999999994</c:v>
                </c:pt>
                <c:pt idx="879">
                  <c:v>8.7899999999999991</c:v>
                </c:pt>
                <c:pt idx="880">
                  <c:v>8.8000000000000007</c:v>
                </c:pt>
                <c:pt idx="881">
                  <c:v>8.81</c:v>
                </c:pt>
                <c:pt idx="882">
                  <c:v>8.82</c:v>
                </c:pt>
                <c:pt idx="883">
                  <c:v>8.83</c:v>
                </c:pt>
                <c:pt idx="884">
                  <c:v>8.84</c:v>
                </c:pt>
                <c:pt idx="885">
                  <c:v>8.85</c:v>
                </c:pt>
                <c:pt idx="886">
                  <c:v>8.86</c:v>
                </c:pt>
                <c:pt idx="887">
                  <c:v>8.8699999999999992</c:v>
                </c:pt>
                <c:pt idx="888">
                  <c:v>8.8800000000000008</c:v>
                </c:pt>
                <c:pt idx="889">
                  <c:v>8.89</c:v>
                </c:pt>
                <c:pt idx="890">
                  <c:v>8.9</c:v>
                </c:pt>
                <c:pt idx="891">
                  <c:v>8.91</c:v>
                </c:pt>
                <c:pt idx="892">
                  <c:v>8.92</c:v>
                </c:pt>
                <c:pt idx="893">
                  <c:v>8.93</c:v>
                </c:pt>
                <c:pt idx="894">
                  <c:v>8.94</c:v>
                </c:pt>
                <c:pt idx="895">
                  <c:v>8.9499999999999993</c:v>
                </c:pt>
                <c:pt idx="896">
                  <c:v>8.9600000000000009</c:v>
                </c:pt>
                <c:pt idx="897">
                  <c:v>8.9700000000000006</c:v>
                </c:pt>
                <c:pt idx="898">
                  <c:v>8.98</c:v>
                </c:pt>
                <c:pt idx="899">
                  <c:v>8.99</c:v>
                </c:pt>
                <c:pt idx="900">
                  <c:v>9</c:v>
                </c:pt>
                <c:pt idx="901">
                  <c:v>9.01</c:v>
                </c:pt>
                <c:pt idx="902">
                  <c:v>9.02</c:v>
                </c:pt>
                <c:pt idx="903">
                  <c:v>9.0299999999999994</c:v>
                </c:pt>
                <c:pt idx="904">
                  <c:v>9.0399999999999991</c:v>
                </c:pt>
                <c:pt idx="905">
                  <c:v>9.0500000000000007</c:v>
                </c:pt>
                <c:pt idx="906">
                  <c:v>9.06</c:v>
                </c:pt>
                <c:pt idx="907">
                  <c:v>9.07</c:v>
                </c:pt>
                <c:pt idx="908">
                  <c:v>9.08</c:v>
                </c:pt>
                <c:pt idx="909">
                  <c:v>9.09</c:v>
                </c:pt>
                <c:pt idx="910">
                  <c:v>9.1</c:v>
                </c:pt>
                <c:pt idx="911">
                  <c:v>9.11</c:v>
                </c:pt>
                <c:pt idx="912">
                  <c:v>9.1199999999999992</c:v>
                </c:pt>
                <c:pt idx="913">
                  <c:v>9.1300000000000008</c:v>
                </c:pt>
                <c:pt idx="914">
                  <c:v>9.14</c:v>
                </c:pt>
                <c:pt idx="915">
                  <c:v>9.15</c:v>
                </c:pt>
                <c:pt idx="916">
                  <c:v>9.16</c:v>
                </c:pt>
                <c:pt idx="917">
                  <c:v>9.17</c:v>
                </c:pt>
                <c:pt idx="918">
                  <c:v>9.18</c:v>
                </c:pt>
                <c:pt idx="919">
                  <c:v>9.19</c:v>
                </c:pt>
                <c:pt idx="920">
                  <c:v>9.1999999999999993</c:v>
                </c:pt>
                <c:pt idx="921">
                  <c:v>9.2100000000000009</c:v>
                </c:pt>
                <c:pt idx="922">
                  <c:v>9.2200000000000006</c:v>
                </c:pt>
                <c:pt idx="923">
                  <c:v>9.23</c:v>
                </c:pt>
                <c:pt idx="924">
                  <c:v>9.24</c:v>
                </c:pt>
                <c:pt idx="925">
                  <c:v>9.25</c:v>
                </c:pt>
                <c:pt idx="926">
                  <c:v>9.26</c:v>
                </c:pt>
                <c:pt idx="927">
                  <c:v>9.27</c:v>
                </c:pt>
                <c:pt idx="928">
                  <c:v>9.2799999999999994</c:v>
                </c:pt>
                <c:pt idx="929">
                  <c:v>9.2899999999999991</c:v>
                </c:pt>
                <c:pt idx="930">
                  <c:v>9.3000000000000007</c:v>
                </c:pt>
                <c:pt idx="931">
                  <c:v>9.31</c:v>
                </c:pt>
                <c:pt idx="932">
                  <c:v>9.32</c:v>
                </c:pt>
                <c:pt idx="933">
                  <c:v>9.33</c:v>
                </c:pt>
                <c:pt idx="934">
                  <c:v>9.34</c:v>
                </c:pt>
                <c:pt idx="935">
                  <c:v>9.35</c:v>
                </c:pt>
                <c:pt idx="936">
                  <c:v>9.36</c:v>
                </c:pt>
                <c:pt idx="937">
                  <c:v>9.3699999999999992</c:v>
                </c:pt>
                <c:pt idx="938">
                  <c:v>9.3800000000000008</c:v>
                </c:pt>
                <c:pt idx="939">
                  <c:v>9.39</c:v>
                </c:pt>
                <c:pt idx="940">
                  <c:v>9.4</c:v>
                </c:pt>
                <c:pt idx="941">
                  <c:v>9.41</c:v>
                </c:pt>
                <c:pt idx="942">
                  <c:v>9.42</c:v>
                </c:pt>
                <c:pt idx="943">
                  <c:v>9.43</c:v>
                </c:pt>
                <c:pt idx="944">
                  <c:v>9.44</c:v>
                </c:pt>
                <c:pt idx="945">
                  <c:v>9.4499999999999993</c:v>
                </c:pt>
                <c:pt idx="946">
                  <c:v>9.4600000000000009</c:v>
                </c:pt>
                <c:pt idx="947">
                  <c:v>9.4700000000000006</c:v>
                </c:pt>
                <c:pt idx="948">
                  <c:v>9.48</c:v>
                </c:pt>
                <c:pt idx="949">
                  <c:v>9.49</c:v>
                </c:pt>
                <c:pt idx="950">
                  <c:v>9.5</c:v>
                </c:pt>
                <c:pt idx="951">
                  <c:v>9.51</c:v>
                </c:pt>
                <c:pt idx="952">
                  <c:v>9.52</c:v>
                </c:pt>
                <c:pt idx="953">
                  <c:v>9.5299999999999994</c:v>
                </c:pt>
                <c:pt idx="954">
                  <c:v>9.5399999999999991</c:v>
                </c:pt>
                <c:pt idx="955">
                  <c:v>9.5500000000000007</c:v>
                </c:pt>
                <c:pt idx="956">
                  <c:v>9.56</c:v>
                </c:pt>
                <c:pt idx="957">
                  <c:v>9.57</c:v>
                </c:pt>
                <c:pt idx="958">
                  <c:v>9.58</c:v>
                </c:pt>
                <c:pt idx="959">
                  <c:v>9.59</c:v>
                </c:pt>
                <c:pt idx="960">
                  <c:v>9.6</c:v>
                </c:pt>
                <c:pt idx="961">
                  <c:v>9.61</c:v>
                </c:pt>
                <c:pt idx="962">
                  <c:v>9.6199999999999992</c:v>
                </c:pt>
                <c:pt idx="963">
                  <c:v>9.6300000000000008</c:v>
                </c:pt>
                <c:pt idx="964">
                  <c:v>9.64</c:v>
                </c:pt>
                <c:pt idx="965">
                  <c:v>9.65</c:v>
                </c:pt>
                <c:pt idx="966">
                  <c:v>9.66</c:v>
                </c:pt>
                <c:pt idx="967">
                  <c:v>9.67</c:v>
                </c:pt>
                <c:pt idx="968">
                  <c:v>9.68</c:v>
                </c:pt>
                <c:pt idx="969">
                  <c:v>9.69</c:v>
                </c:pt>
                <c:pt idx="970">
                  <c:v>9.6999999999999993</c:v>
                </c:pt>
                <c:pt idx="971">
                  <c:v>9.7100000000000009</c:v>
                </c:pt>
                <c:pt idx="972">
                  <c:v>9.7200000000000006</c:v>
                </c:pt>
                <c:pt idx="973">
                  <c:v>9.73</c:v>
                </c:pt>
                <c:pt idx="974">
                  <c:v>9.74</c:v>
                </c:pt>
                <c:pt idx="975">
                  <c:v>9.75</c:v>
                </c:pt>
                <c:pt idx="976">
                  <c:v>9.76</c:v>
                </c:pt>
                <c:pt idx="977">
                  <c:v>9.77</c:v>
                </c:pt>
                <c:pt idx="978">
                  <c:v>9.7799999999999994</c:v>
                </c:pt>
                <c:pt idx="979">
                  <c:v>9.7899999999999991</c:v>
                </c:pt>
                <c:pt idx="980">
                  <c:v>9.8000000000000007</c:v>
                </c:pt>
                <c:pt idx="981">
                  <c:v>9.81</c:v>
                </c:pt>
                <c:pt idx="982">
                  <c:v>9.82</c:v>
                </c:pt>
                <c:pt idx="983">
                  <c:v>9.83</c:v>
                </c:pt>
                <c:pt idx="984">
                  <c:v>9.84</c:v>
                </c:pt>
                <c:pt idx="985">
                  <c:v>9.85</c:v>
                </c:pt>
                <c:pt idx="986">
                  <c:v>9.86</c:v>
                </c:pt>
                <c:pt idx="987">
                  <c:v>9.8699999999999992</c:v>
                </c:pt>
                <c:pt idx="988">
                  <c:v>9.8800000000000008</c:v>
                </c:pt>
                <c:pt idx="989">
                  <c:v>9.89</c:v>
                </c:pt>
                <c:pt idx="990">
                  <c:v>9.9</c:v>
                </c:pt>
                <c:pt idx="991">
                  <c:v>9.91</c:v>
                </c:pt>
                <c:pt idx="992">
                  <c:v>9.92</c:v>
                </c:pt>
                <c:pt idx="993">
                  <c:v>9.93</c:v>
                </c:pt>
                <c:pt idx="994">
                  <c:v>9.94</c:v>
                </c:pt>
                <c:pt idx="995">
                  <c:v>9.9499999999999993</c:v>
                </c:pt>
                <c:pt idx="996">
                  <c:v>9.9600000000000009</c:v>
                </c:pt>
                <c:pt idx="997">
                  <c:v>9.9700000000000006</c:v>
                </c:pt>
                <c:pt idx="998">
                  <c:v>9.98</c:v>
                </c:pt>
                <c:pt idx="999">
                  <c:v>9.99</c:v>
                </c:pt>
                <c:pt idx="1000">
                  <c:v>10</c:v>
                </c:pt>
              </c:numCache>
            </c:numRef>
          </c:cat>
          <c:val>
            <c:numRef>
              <c:f>BoundedMigration!$E$25:$E$1025</c:f>
              <c:numCache>
                <c:formatCode>#,##0.00</c:formatCode>
                <c:ptCount val="1001"/>
                <c:pt idx="0">
                  <c:v>400000</c:v>
                </c:pt>
                <c:pt idx="1">
                  <c:v>398406.78575487412</c:v>
                </c:pt>
                <c:pt idx="2">
                  <c:v>396827.08621090581</c:v>
                </c:pt>
                <c:pt idx="3">
                  <c:v>395260.81654062192</c:v>
                </c:pt>
                <c:pt idx="4">
                  <c:v>393707.89242797048</c:v>
                </c:pt>
                <c:pt idx="5">
                  <c:v>392168.2300652574</c:v>
                </c:pt>
                <c:pt idx="6">
                  <c:v>390641.74615010095</c:v>
                </c:pt>
                <c:pt idx="7">
                  <c:v>389128.35788240569</c:v>
                </c:pt>
                <c:pt idx="8">
                  <c:v>387627.98296135332</c:v>
                </c:pt>
                <c:pt idx="9">
                  <c:v>386140.53958241246</c:v>
                </c:pt>
                <c:pt idx="10">
                  <c:v>384665.94643436506</c:v>
                </c:pt>
                <c:pt idx="11">
                  <c:v>383204.12269635254</c:v>
                </c:pt>
                <c:pt idx="12">
                  <c:v>381754.98803493788</c:v>
                </c:pt>
                <c:pt idx="13">
                  <c:v>380318.46260118566</c:v>
                </c:pt>
                <c:pt idx="14">
                  <c:v>378894.46702776034</c:v>
                </c:pt>
                <c:pt idx="15">
                  <c:v>377482.92242604116</c:v>
                </c:pt>
                <c:pt idx="16">
                  <c:v>376083.75038325432</c:v>
                </c:pt>
                <c:pt idx="17">
                  <c:v>374696.87295962306</c:v>
                </c:pt>
                <c:pt idx="18">
                  <c:v>373322.21268553333</c:v>
                </c:pt>
                <c:pt idx="19">
                  <c:v>371959.6925587185</c:v>
                </c:pt>
                <c:pt idx="20">
                  <c:v>370609.23604145879</c:v>
                </c:pt>
                <c:pt idx="21">
                  <c:v>369270.7670577988</c:v>
                </c:pt>
                <c:pt idx="22">
                  <c:v>367944.20999078127</c:v>
                </c:pt>
                <c:pt idx="23">
                  <c:v>366629.48967969767</c:v>
                </c:pt>
                <c:pt idx="24">
                  <c:v>365326.53141735453</c:v>
                </c:pt>
                <c:pt idx="25">
                  <c:v>364035.26094735705</c:v>
                </c:pt>
                <c:pt idx="26">
                  <c:v>362755.60446140787</c:v>
                </c:pt>
                <c:pt idx="27">
                  <c:v>361487.48859662376</c:v>
                </c:pt>
                <c:pt idx="28">
                  <c:v>360230.84043286601</c:v>
                </c:pt>
                <c:pt idx="29">
                  <c:v>358985.58749008871</c:v>
                </c:pt>
                <c:pt idx="30">
                  <c:v>357751.65772570227</c:v>
                </c:pt>
                <c:pt idx="31">
                  <c:v>356528.9795319523</c:v>
                </c:pt>
                <c:pt idx="32">
                  <c:v>355317.48173331487</c:v>
                </c:pt>
                <c:pt idx="33">
                  <c:v>354117.09358390683</c:v>
                </c:pt>
                <c:pt idx="34">
                  <c:v>352927.74476491177</c:v>
                </c:pt>
                <c:pt idx="35">
                  <c:v>351749.36538202164</c:v>
                </c:pt>
                <c:pt idx="36">
                  <c:v>350581.88596289343</c:v>
                </c:pt>
                <c:pt idx="37">
                  <c:v>349425.23745462089</c:v>
                </c:pt>
                <c:pt idx="38">
                  <c:v>348279.35122122185</c:v>
                </c:pt>
                <c:pt idx="39">
                  <c:v>347144.15904114017</c:v>
                </c:pt>
                <c:pt idx="40">
                  <c:v>346019.59310476278</c:v>
                </c:pt>
                <c:pt idx="41">
                  <c:v>344905.58601195179</c:v>
                </c:pt>
                <c:pt idx="42">
                  <c:v>343802.07076959079</c:v>
                </c:pt>
                <c:pt idx="43">
                  <c:v>342708.98078914668</c:v>
                </c:pt>
                <c:pt idx="44">
                  <c:v>341626.2498842451</c:v>
                </c:pt>
                <c:pt idx="45">
                  <c:v>340553.81226826145</c:v>
                </c:pt>
                <c:pt idx="46">
                  <c:v>339491.60255192494</c:v>
                </c:pt>
                <c:pt idx="47">
                  <c:v>338439.5557409387</c:v>
                </c:pt>
                <c:pt idx="48">
                  <c:v>337397.60723361274</c:v>
                </c:pt>
                <c:pt idx="49">
                  <c:v>336365.69281851157</c:v>
                </c:pt>
                <c:pt idx="50">
                  <c:v>335343.74867211597</c:v>
                </c:pt>
                <c:pt idx="51">
                  <c:v>334331.71135649853</c:v>
                </c:pt>
                <c:pt idx="52">
                  <c:v>333329.51781701337</c:v>
                </c:pt>
                <c:pt idx="53">
                  <c:v>332337.10537999962</c:v>
                </c:pt>
                <c:pt idx="54">
                  <c:v>331354.41175049829</c:v>
                </c:pt>
                <c:pt idx="55">
                  <c:v>330381.37500998343</c:v>
                </c:pt>
                <c:pt idx="56">
                  <c:v>329417.93361410586</c:v>
                </c:pt>
                <c:pt idx="57">
                  <c:v>328464.02639045223</c:v>
                </c:pt>
                <c:pt idx="58">
                  <c:v>327519.59253631497</c:v>
                </c:pt>
                <c:pt idx="59">
                  <c:v>326584.57161647786</c:v>
                </c:pt>
                <c:pt idx="60">
                  <c:v>325658.90356101346</c:v>
                </c:pt>
                <c:pt idx="61">
                  <c:v>324742.52866309456</c:v>
                </c:pt>
                <c:pt idx="62">
                  <c:v>323835.38757681783</c:v>
                </c:pt>
                <c:pt idx="63">
                  <c:v>322937.42131504155</c:v>
                </c:pt>
                <c:pt idx="64">
                  <c:v>322048.57124723529</c:v>
                </c:pt>
                <c:pt idx="65">
                  <c:v>321168.77909734321</c:v>
                </c:pt>
                <c:pt idx="66">
                  <c:v>320297.98694165953</c:v>
                </c:pt>
                <c:pt idx="67">
                  <c:v>319436.13720671745</c:v>
                </c:pt>
                <c:pt idx="68">
                  <c:v>318583.17266718991</c:v>
                </c:pt>
                <c:pt idx="69">
                  <c:v>317739.0364438034</c:v>
                </c:pt>
                <c:pt idx="70">
                  <c:v>316903.67200126412</c:v>
                </c:pt>
                <c:pt idx="71">
                  <c:v>316077.02314619656</c:v>
                </c:pt>
                <c:pt idx="72">
                  <c:v>315259.03402509436</c:v>
                </c:pt>
                <c:pt idx="73">
                  <c:v>314449.64912228368</c:v>
                </c:pt>
                <c:pt idx="74">
                  <c:v>313648.8132578982</c:v>
                </c:pt>
                <c:pt idx="75">
                  <c:v>312856.471585867</c:v>
                </c:pt>
                <c:pt idx="76">
                  <c:v>312072.56959191378</c:v>
                </c:pt>
                <c:pt idx="77">
                  <c:v>311297.05309156864</c:v>
                </c:pt>
                <c:pt idx="78">
                  <c:v>310529.86822819093</c:v>
                </c:pt>
                <c:pt idx="79">
                  <c:v>309770.96147100534</c:v>
                </c:pt>
                <c:pt idx="80">
                  <c:v>309020.27961314778</c:v>
                </c:pt>
                <c:pt idx="81">
                  <c:v>308277.76976972498</c:v>
                </c:pt>
                <c:pt idx="82">
                  <c:v>307543.37937588454</c:v>
                </c:pt>
                <c:pt idx="83">
                  <c:v>306817.05618489633</c:v>
                </c:pt>
                <c:pt idx="84">
                  <c:v>306098.74826624617</c:v>
                </c:pt>
                <c:pt idx="85">
                  <c:v>305388.40400374046</c:v>
                </c:pt>
                <c:pt idx="86">
                  <c:v>304685.97209362243</c:v>
                </c:pt>
                <c:pt idx="87">
                  <c:v>303991.40154269896</c:v>
                </c:pt>
                <c:pt idx="88">
                  <c:v>303304.6416664797</c:v>
                </c:pt>
                <c:pt idx="89">
                  <c:v>302625.64208732627</c:v>
                </c:pt>
                <c:pt idx="90">
                  <c:v>301954.35273261333</c:v>
                </c:pt>
                <c:pt idx="91">
                  <c:v>301290.72383290023</c:v>
                </c:pt>
                <c:pt idx="92">
                  <c:v>300634.70592011354</c:v>
                </c:pt>
                <c:pt idx="93">
                  <c:v>299986.24982574087</c:v>
                </c:pt>
                <c:pt idx="94">
                  <c:v>299345.30667903513</c:v>
                </c:pt>
                <c:pt idx="95">
                  <c:v>298711.8279052297</c:v>
                </c:pt>
                <c:pt idx="96">
                  <c:v>298085.765223764</c:v>
                </c:pt>
                <c:pt idx="97">
                  <c:v>297467.07064652035</c:v>
                </c:pt>
                <c:pt idx="98">
                  <c:v>296855.69647607056</c:v>
                </c:pt>
                <c:pt idx="99">
                  <c:v>296251.59530393343</c:v>
                </c:pt>
                <c:pt idx="100">
                  <c:v>295654.72000884294</c:v>
                </c:pt>
                <c:pt idx="101">
                  <c:v>295065.02375502605</c:v>
                </c:pt>
                <c:pt idx="102">
                  <c:v>294482.45999049186</c:v>
                </c:pt>
                <c:pt idx="103">
                  <c:v>293906.9824453296</c:v>
                </c:pt>
                <c:pt idx="104">
                  <c:v>293338.54513001861</c:v>
                </c:pt>
                <c:pt idx="105">
                  <c:v>292777.10233374638</c:v>
                </c:pt>
                <c:pt idx="106">
                  <c:v>292222.60862273857</c:v>
                </c:pt>
                <c:pt idx="107">
                  <c:v>291675.01883859769</c:v>
                </c:pt>
                <c:pt idx="108">
                  <c:v>291134.28809665242</c:v>
                </c:pt>
                <c:pt idx="109">
                  <c:v>290600.37178431638</c:v>
                </c:pt>
                <c:pt idx="110">
                  <c:v>290073.22555945709</c:v>
                </c:pt>
                <c:pt idx="111">
                  <c:v>289552.80534877453</c:v>
                </c:pt>
                <c:pt idx="112">
                  <c:v>289039.06734618935</c:v>
                </c:pt>
                <c:pt idx="113">
                  <c:v>288531.96801124071</c:v>
                </c:pt>
                <c:pt idx="114">
                  <c:v>288031.46406749386</c:v>
                </c:pt>
                <c:pt idx="115">
                  <c:v>287537.51250095712</c:v>
                </c:pt>
                <c:pt idx="116">
                  <c:v>287050.07055850851</c:v>
                </c:pt>
                <c:pt idx="117">
                  <c:v>286569.0957463315</c:v>
                </c:pt>
                <c:pt idx="118">
                  <c:v>286094.54582836031</c:v>
                </c:pt>
                <c:pt idx="119">
                  <c:v>285626.37882473442</c:v>
                </c:pt>
                <c:pt idx="120">
                  <c:v>285164.55301026267</c:v>
                </c:pt>
                <c:pt idx="121">
                  <c:v>284709.02691289596</c:v>
                </c:pt>
                <c:pt idx="122">
                  <c:v>284259.75931220956</c:v>
                </c:pt>
                <c:pt idx="123">
                  <c:v>283816.70923789433</c:v>
                </c:pt>
                <c:pt idx="124">
                  <c:v>283379.83596825704</c:v>
                </c:pt>
                <c:pt idx="125">
                  <c:v>282949.09902872954</c:v>
                </c:pt>
                <c:pt idx="126">
                  <c:v>282524.45819038688</c:v>
                </c:pt>
                <c:pt idx="127">
                  <c:v>282105.87346847437</c:v>
                </c:pt>
                <c:pt idx="128">
                  <c:v>281693.30512094364</c:v>
                </c:pt>
                <c:pt idx="129">
                  <c:v>281286.71364699688</c:v>
                </c:pt>
                <c:pt idx="130">
                  <c:v>280886.05978564033</c:v>
                </c:pt>
                <c:pt idx="131">
                  <c:v>280491.30451424664</c:v>
                </c:pt>
                <c:pt idx="132">
                  <c:v>280102.40904712444</c:v>
                </c:pt>
                <c:pt idx="133">
                  <c:v>279719.33483409882</c:v>
                </c:pt>
                <c:pt idx="134">
                  <c:v>279342.04355909774</c:v>
                </c:pt>
                <c:pt idx="135">
                  <c:v>278970.49713874893</c:v>
                </c:pt>
                <c:pt idx="136">
                  <c:v>278604.65772098402</c:v>
                </c:pt>
                <c:pt idx="137">
                  <c:v>278244.4876836515</c:v>
                </c:pt>
                <c:pt idx="138">
                  <c:v>277889.94963313779</c:v>
                </c:pt>
                <c:pt idx="139">
                  <c:v>277541.00640299672</c:v>
                </c:pt>
                <c:pt idx="140">
                  <c:v>277197.62105258717</c:v>
                </c:pt>
                <c:pt idx="141">
                  <c:v>276859.75686571869</c:v>
                </c:pt>
                <c:pt idx="142">
                  <c:v>276527.37734930532</c:v>
                </c:pt>
                <c:pt idx="143">
                  <c:v>276200.44623202772</c:v>
                </c:pt>
                <c:pt idx="144">
                  <c:v>275878.92746300303</c:v>
                </c:pt>
                <c:pt idx="145">
                  <c:v>275562.78521046252</c:v>
                </c:pt>
                <c:pt idx="146">
                  <c:v>275251.98386043782</c:v>
                </c:pt>
                <c:pt idx="147">
                  <c:v>274946.48801545415</c:v>
                </c:pt>
                <c:pt idx="148">
                  <c:v>274646.2624932318</c:v>
                </c:pt>
                <c:pt idx="149">
                  <c:v>274351.27232539613</c:v>
                </c:pt>
                <c:pt idx="150">
                  <c:v>274061.48275619338</c:v>
                </c:pt>
                <c:pt idx="151">
                  <c:v>273776.85924121621</c:v>
                </c:pt>
                <c:pt idx="152">
                  <c:v>273497.36744613567</c:v>
                </c:pt>
                <c:pt idx="153">
                  <c:v>273222.97324544092</c:v>
                </c:pt>
                <c:pt idx="154">
                  <c:v>272953.64272118709</c:v>
                </c:pt>
                <c:pt idx="155">
                  <c:v>272689.34216174961</c:v>
                </c:pt>
                <c:pt idx="156">
                  <c:v>272430.03806058719</c:v>
                </c:pt>
                <c:pt idx="157">
                  <c:v>272175.69711501111</c:v>
                </c:pt>
                <c:pt idx="158">
                  <c:v>271926.28622496256</c:v>
                </c:pt>
                <c:pt idx="159">
                  <c:v>271681.77249179687</c:v>
                </c:pt>
                <c:pt idx="160">
                  <c:v>271442.12321707571</c:v>
                </c:pt>
                <c:pt idx="161">
                  <c:v>271207.3059013657</c:v>
                </c:pt>
                <c:pt idx="162">
                  <c:v>270977.28824304434</c:v>
                </c:pt>
                <c:pt idx="163">
                  <c:v>270752.03813711391</c:v>
                </c:pt>
                <c:pt idx="164">
                  <c:v>270531.52367402118</c:v>
                </c:pt>
                <c:pt idx="165">
                  <c:v>270315.71313848556</c:v>
                </c:pt>
                <c:pt idx="166">
                  <c:v>270104.57500833308</c:v>
                </c:pt>
                <c:pt idx="167">
                  <c:v>269898.07795333781</c:v>
                </c:pt>
                <c:pt idx="168">
                  <c:v>269696.1908340705</c:v>
                </c:pt>
                <c:pt idx="169">
                  <c:v>269498.88270075386</c:v>
                </c:pt>
                <c:pt idx="170">
                  <c:v>269306.1227921244</c:v>
                </c:pt>
                <c:pt idx="171">
                  <c:v>269117.88053430163</c:v>
                </c:pt>
                <c:pt idx="172">
                  <c:v>268934.1255396636</c:v>
                </c:pt>
                <c:pt idx="173">
                  <c:v>268754.82760572957</c:v>
                </c:pt>
                <c:pt idx="174">
                  <c:v>268579.95671404869</c:v>
                </c:pt>
                <c:pt idx="175">
                  <c:v>268409.48302909627</c:v>
                </c:pt>
                <c:pt idx="176">
                  <c:v>268243.3768971758</c:v>
                </c:pt>
                <c:pt idx="177">
                  <c:v>268081.60884532804</c:v>
                </c:pt>
                <c:pt idx="178">
                  <c:v>267924.14958024654</c:v>
                </c:pt>
                <c:pt idx="179">
                  <c:v>267770.96998719941</c:v>
                </c:pt>
                <c:pt idx="180">
                  <c:v>267622.04112895805</c:v>
                </c:pt>
                <c:pt idx="181">
                  <c:v>267477.3342447317</c:v>
                </c:pt>
                <c:pt idx="182">
                  <c:v>267336.8207491088</c:v>
                </c:pt>
                <c:pt idx="183">
                  <c:v>267200.4722310045</c:v>
                </c:pt>
                <c:pt idx="184">
                  <c:v>267068.26045261446</c:v>
                </c:pt>
                <c:pt idx="185">
                  <c:v>266940.15734837507</c:v>
                </c:pt>
                <c:pt idx="186">
                  <c:v>266816.13502392964</c:v>
                </c:pt>
                <c:pt idx="187">
                  <c:v>266696.16575510101</c:v>
                </c:pt>
                <c:pt idx="188">
                  <c:v>266580.22198687022</c:v>
                </c:pt>
                <c:pt idx="189">
                  <c:v>266468.27633236116</c:v>
                </c:pt>
                <c:pt idx="190">
                  <c:v>266360.30157183175</c:v>
                </c:pt>
                <c:pt idx="191">
                  <c:v>266256.27065167035</c:v>
                </c:pt>
                <c:pt idx="192">
                  <c:v>266156.15668339917</c:v>
                </c:pt>
                <c:pt idx="193">
                  <c:v>266059.93294268264</c:v>
                </c:pt>
                <c:pt idx="194">
                  <c:v>265967.57286834269</c:v>
                </c:pt>
                <c:pt idx="195">
                  <c:v>265879.05006137927</c:v>
                </c:pt>
                <c:pt idx="196">
                  <c:v>265794.33828399668</c:v>
                </c:pt>
                <c:pt idx="197">
                  <c:v>265713.41145863605</c:v>
                </c:pt>
                <c:pt idx="198">
                  <c:v>265636.24366701388</c:v>
                </c:pt>
                <c:pt idx="199">
                  <c:v>265562.80914916564</c:v>
                </c:pt>
                <c:pt idx="200">
                  <c:v>265493.08230249537</c:v>
                </c:pt>
                <c:pt idx="201">
                  <c:v>265427.03768083116</c:v>
                </c:pt>
                <c:pt idx="202">
                  <c:v>265364.64999348624</c:v>
                </c:pt>
                <c:pt idx="203">
                  <c:v>265305.89410432539</c:v>
                </c:pt>
                <c:pt idx="204">
                  <c:v>265250.74503083719</c:v>
                </c:pt>
                <c:pt idx="205">
                  <c:v>265199.1779432121</c:v>
                </c:pt>
                <c:pt idx="206">
                  <c:v>265151.16816342529</c:v>
                </c:pt>
                <c:pt idx="207">
                  <c:v>265106.69116432546</c:v>
                </c:pt>
                <c:pt idx="208">
                  <c:v>265065.72256872948</c:v>
                </c:pt>
                <c:pt idx="209">
                  <c:v>265028.23814852152</c:v>
                </c:pt>
                <c:pt idx="210">
                  <c:v>264994.21382375847</c:v>
                </c:pt>
                <c:pt idx="211">
                  <c:v>264963.62566178007</c:v>
                </c:pt>
                <c:pt idx="212">
                  <c:v>264936.44987632474</c:v>
                </c:pt>
                <c:pt idx="213">
                  <c:v>264912.6628266506</c:v>
                </c:pt>
                <c:pt idx="214">
                  <c:v>264892.24101666163</c:v>
                </c:pt>
                <c:pt idx="215">
                  <c:v>264875.16109403945</c:v>
                </c:pt>
                <c:pt idx="216">
                  <c:v>264861.39984937949</c:v>
                </c:pt>
                <c:pt idx="217">
                  <c:v>264850.93421533343</c:v>
                </c:pt>
                <c:pt idx="218">
                  <c:v>264843.7412657559</c:v>
                </c:pt>
                <c:pt idx="219">
                  <c:v>264839.79821485654</c:v>
                </c:pt>
                <c:pt idx="220">
                  <c:v>264839.08241635736</c:v>
                </c:pt>
                <c:pt idx="221">
                  <c:v>264841.57136265491</c:v>
                </c:pt>
                <c:pt idx="222">
                  <c:v>264847.24268398742</c:v>
                </c:pt>
                <c:pt idx="223">
                  <c:v>264856.07414760708</c:v>
                </c:pt>
                <c:pt idx="224">
                  <c:v>264868.04365695739</c:v>
                </c:pt>
                <c:pt idx="225">
                  <c:v>264883.12925085495</c:v>
                </c:pt>
                <c:pt idx="226">
                  <c:v>264901.30910267681</c:v>
                </c:pt>
                <c:pt idx="227">
                  <c:v>264922.56151955202</c:v>
                </c:pt>
                <c:pt idx="228">
                  <c:v>264946.86494155851</c:v>
                </c:pt>
                <c:pt idx="229">
                  <c:v>264974.19794092467</c:v>
                </c:pt>
                <c:pt idx="230">
                  <c:v>265004.53922123538</c:v>
                </c:pt>
                <c:pt idx="231">
                  <c:v>265037.86761664343</c:v>
                </c:pt>
                <c:pt idx="232">
                  <c:v>265074.16209108493</c:v>
                </c:pt>
                <c:pt idx="233">
                  <c:v>265113.40173749998</c:v>
                </c:pt>
                <c:pt idx="234">
                  <c:v>265155.56577705778</c:v>
                </c:pt>
                <c:pt idx="235">
                  <c:v>265200.63355838635</c:v>
                </c:pt>
                <c:pt idx="236">
                  <c:v>265248.58455680701</c:v>
                </c:pt>
                <c:pt idx="237">
                  <c:v>265299.39837357303</c:v>
                </c:pt>
                <c:pt idx="238">
                  <c:v>265353.05473511352</c:v>
                </c:pt>
                <c:pt idx="239">
                  <c:v>265409.53349228151</c:v>
                </c:pt>
                <c:pt idx="240">
                  <c:v>265468.81461960595</c:v>
                </c:pt>
                <c:pt idx="241">
                  <c:v>265530.87821454951</c:v>
                </c:pt>
                <c:pt idx="242">
                  <c:v>265595.70449676923</c:v>
                </c:pt>
                <c:pt idx="243">
                  <c:v>265663.27380738326</c:v>
                </c:pt>
                <c:pt idx="244">
                  <c:v>265733.56660824036</c:v>
                </c:pt>
                <c:pt idx="245">
                  <c:v>265806.56348119501</c:v>
                </c:pt>
                <c:pt idx="246">
                  <c:v>265882.24512738641</c:v>
                </c:pt>
                <c:pt idx="247">
                  <c:v>265960.59236652154</c:v>
                </c:pt>
                <c:pt idx="248">
                  <c:v>266041.58613616292</c:v>
                </c:pt>
                <c:pt idx="249">
                  <c:v>266125.20749102056</c:v>
                </c:pt>
                <c:pt idx="250">
                  <c:v>266211.43760224804</c:v>
                </c:pt>
                <c:pt idx="251">
                  <c:v>266300.25775674247</c:v>
                </c:pt>
                <c:pt idx="252">
                  <c:v>266391.64935644949</c:v>
                </c:pt>
                <c:pt idx="253">
                  <c:v>266485.59391767165</c:v>
                </c:pt>
                <c:pt idx="254">
                  <c:v>266582.07307038148</c:v>
                </c:pt>
                <c:pt idx="255">
                  <c:v>266681.06855753809</c:v>
                </c:pt>
                <c:pt idx="256">
                  <c:v>266782.56223440834</c:v>
                </c:pt>
                <c:pt idx="257">
                  <c:v>266886.53606789204</c:v>
                </c:pt>
                <c:pt idx="258">
                  <c:v>266992.97213585081</c:v>
                </c:pt>
                <c:pt idx="259">
                  <c:v>267101.85262644145</c:v>
                </c:pt>
                <c:pt idx="260">
                  <c:v>267213.15983745287</c:v>
                </c:pt>
                <c:pt idx="261">
                  <c:v>267326.87617564749</c:v>
                </c:pt>
                <c:pt idx="262">
                  <c:v>267442.98415610578</c:v>
                </c:pt>
                <c:pt idx="263">
                  <c:v>267561.46640157595</c:v>
                </c:pt>
                <c:pt idx="264">
                  <c:v>267682.30564182595</c:v>
                </c:pt>
                <c:pt idx="265">
                  <c:v>267805.48471300083</c:v>
                </c:pt>
                <c:pt idx="266">
                  <c:v>267930.98655698309</c:v>
                </c:pt>
                <c:pt idx="267">
                  <c:v>268058.79422075738</c:v>
                </c:pt>
                <c:pt idx="268">
                  <c:v>268188.89085577807</c:v>
                </c:pt>
                <c:pt idx="269">
                  <c:v>268321.2597173418</c:v>
                </c:pt>
                <c:pt idx="270">
                  <c:v>268455.88416396338</c:v>
                </c:pt>
                <c:pt idx="271">
                  <c:v>268592.74765675457</c:v>
                </c:pt>
                <c:pt idx="272">
                  <c:v>268731.83375880792</c:v>
                </c:pt>
                <c:pt idx="273">
                  <c:v>268873.12613458367</c:v>
                </c:pt>
                <c:pt idx="274">
                  <c:v>269016.60854929977</c:v>
                </c:pt>
                <c:pt idx="275">
                  <c:v>269162.26486832683</c:v>
                </c:pt>
                <c:pt idx="276">
                  <c:v>269310.07905658538</c:v>
                </c:pt>
                <c:pt idx="277">
                  <c:v>269460.03517794766</c:v>
                </c:pt>
                <c:pt idx="278">
                  <c:v>269612.11739464244</c:v>
                </c:pt>
                <c:pt idx="279">
                  <c:v>269766.30996666395</c:v>
                </c:pt>
                <c:pt idx="280">
                  <c:v>269922.59725118359</c:v>
                </c:pt>
                <c:pt idx="281">
                  <c:v>270080.9637019661</c:v>
                </c:pt>
                <c:pt idx="282">
                  <c:v>270241.39386878815</c:v>
                </c:pt>
                <c:pt idx="283">
                  <c:v>270403.87239686149</c:v>
                </c:pt>
                <c:pt idx="284">
                  <c:v>270568.3840262586</c:v>
                </c:pt>
                <c:pt idx="285">
                  <c:v>270734.91359134275</c:v>
                </c:pt>
                <c:pt idx="286">
                  <c:v>270903.44602020038</c:v>
                </c:pt>
                <c:pt idx="287">
                  <c:v>271073.96633407782</c:v>
                </c:pt>
                <c:pt idx="288">
                  <c:v>271246.45964682096</c:v>
                </c:pt>
                <c:pt idx="289">
                  <c:v>271420.91116431809</c:v>
                </c:pt>
                <c:pt idx="290">
                  <c:v>271597.30618394655</c:v>
                </c:pt>
                <c:pt idx="291">
                  <c:v>271775.63009402255</c:v>
                </c:pt>
                <c:pt idx="292">
                  <c:v>271955.86837325362</c:v>
                </c:pt>
                <c:pt idx="293">
                  <c:v>272138.0065901957</c:v>
                </c:pt>
                <c:pt idx="294">
                  <c:v>272322.03040271206</c:v>
                </c:pt>
                <c:pt idx="295">
                  <c:v>272507.92555743631</c:v>
                </c:pt>
                <c:pt idx="296">
                  <c:v>272695.6778892384</c:v>
                </c:pt>
                <c:pt idx="297">
                  <c:v>272885.27332069387</c:v>
                </c:pt>
                <c:pt idx="298">
                  <c:v>273076.69786155608</c:v>
                </c:pt>
                <c:pt idx="299">
                  <c:v>273269.93760823202</c:v>
                </c:pt>
                <c:pt idx="300">
                  <c:v>273464.97874326032</c:v>
                </c:pt>
                <c:pt idx="301">
                  <c:v>273661.80753479409</c:v>
                </c:pt>
                <c:pt idx="302">
                  <c:v>273860.4103360849</c:v>
                </c:pt>
                <c:pt idx="303">
                  <c:v>274060.77358497109</c:v>
                </c:pt>
                <c:pt idx="304">
                  <c:v>274262.88380336907</c:v>
                </c:pt>
                <c:pt idx="305">
                  <c:v>274466.7275967669</c:v>
                </c:pt>
                <c:pt idx="306">
                  <c:v>274672.29165372206</c:v>
                </c:pt>
                <c:pt idx="307">
                  <c:v>274879.56274536066</c:v>
                </c:pt>
                <c:pt idx="308">
                  <c:v>275088.52772488177</c:v>
                </c:pt>
                <c:pt idx="309">
                  <c:v>275299.17352706252</c:v>
                </c:pt>
                <c:pt idx="310">
                  <c:v>275511.48716776754</c:v>
                </c:pt>
                <c:pt idx="311">
                  <c:v>275725.45574346103</c:v>
                </c:pt>
                <c:pt idx="312">
                  <c:v>275941.06643072161</c:v>
                </c:pt>
                <c:pt idx="313">
                  <c:v>276158.30648576008</c:v>
                </c:pt>
                <c:pt idx="314">
                  <c:v>276377.16324394051</c:v>
                </c:pt>
                <c:pt idx="315">
                  <c:v>276597.6241193029</c:v>
                </c:pt>
                <c:pt idx="316">
                  <c:v>276819.67660409084</c:v>
                </c:pt>
                <c:pt idx="317">
                  <c:v>277043.30826827988</c:v>
                </c:pt>
                <c:pt idx="318">
                  <c:v>277268.50675910997</c:v>
                </c:pt>
                <c:pt idx="319">
                  <c:v>277495.25980062038</c:v>
                </c:pt>
                <c:pt idx="320">
                  <c:v>277723.55519318738</c:v>
                </c:pt>
                <c:pt idx="321">
                  <c:v>277953.38081306429</c:v>
                </c:pt>
                <c:pt idx="322">
                  <c:v>278184.72461192543</c:v>
                </c:pt>
                <c:pt idx="323">
                  <c:v>278417.57461641135</c:v>
                </c:pt>
                <c:pt idx="324">
                  <c:v>278651.91892767802</c:v>
                </c:pt>
                <c:pt idx="325">
                  <c:v>278887.74572094769</c:v>
                </c:pt>
                <c:pt idx="326">
                  <c:v>279125.04324506334</c:v>
                </c:pt>
                <c:pt idx="327">
                  <c:v>279363.79982204532</c:v>
                </c:pt>
                <c:pt idx="328">
                  <c:v>279604.00384665048</c:v>
                </c:pt>
                <c:pt idx="329">
                  <c:v>279845.64378593449</c:v>
                </c:pt>
                <c:pt idx="330">
                  <c:v>280088.70817881619</c:v>
                </c:pt>
                <c:pt idx="331">
                  <c:v>280333.18563564506</c:v>
                </c:pt>
                <c:pt idx="332">
                  <c:v>280579.06483777106</c:v>
                </c:pt>
                <c:pt idx="333">
                  <c:v>280826.33453711669</c:v>
                </c:pt>
                <c:pt idx="334">
                  <c:v>281074.98355575249</c:v>
                </c:pt>
                <c:pt idx="335">
                  <c:v>281325.00078547408</c:v>
                </c:pt>
                <c:pt idx="336">
                  <c:v>281576.37518738245</c:v>
                </c:pt>
                <c:pt idx="337">
                  <c:v>281829.09579146642</c:v>
                </c:pt>
                <c:pt idx="338">
                  <c:v>282083.15169618779</c:v>
                </c:pt>
                <c:pt idx="339">
                  <c:v>282338.53206806892</c:v>
                </c:pt>
                <c:pt idx="340">
                  <c:v>282595.22614128265</c:v>
                </c:pt>
                <c:pt idx="341">
                  <c:v>282853.22321724449</c:v>
                </c:pt>
                <c:pt idx="342">
                  <c:v>283112.51266420819</c:v>
                </c:pt>
                <c:pt idx="343">
                  <c:v>283373.08391686255</c:v>
                </c:pt>
                <c:pt idx="344">
                  <c:v>283634.92647593142</c:v>
                </c:pt>
                <c:pt idx="345">
                  <c:v>283898.02990777552</c:v>
                </c:pt>
                <c:pt idx="346">
                  <c:v>284162.38384399738</c:v>
                </c:pt>
                <c:pt idx="347">
                  <c:v>284427.97798104817</c:v>
                </c:pt>
                <c:pt idx="348">
                  <c:v>284694.80207983649</c:v>
                </c:pt>
                <c:pt idx="349">
                  <c:v>284962.84596534068</c:v>
                </c:pt>
                <c:pt idx="350">
                  <c:v>285232.09952622198</c:v>
                </c:pt>
                <c:pt idx="351">
                  <c:v>285502.55271444155</c:v>
                </c:pt>
                <c:pt idx="352">
                  <c:v>285774.19554487843</c:v>
                </c:pt>
                <c:pt idx="353">
                  <c:v>286047.0180949503</c:v>
                </c:pt>
                <c:pt idx="354">
                  <c:v>286321.01050423714</c:v>
                </c:pt>
                <c:pt idx="355">
                  <c:v>286596.16297410592</c:v>
                </c:pt>
                <c:pt idx="356">
                  <c:v>286872.4657673387</c:v>
                </c:pt>
                <c:pt idx="357">
                  <c:v>287149.90920776199</c:v>
                </c:pt>
                <c:pt idx="358">
                  <c:v>287428.48367987928</c:v>
                </c:pt>
                <c:pt idx="359">
                  <c:v>287708.17962850473</c:v>
                </c:pt>
                <c:pt idx="360">
                  <c:v>287988.9875584002</c:v>
                </c:pt>
                <c:pt idx="361">
                  <c:v>288270.89803391322</c:v>
                </c:pt>
                <c:pt idx="362">
                  <c:v>288553.90167861845</c:v>
                </c:pt>
                <c:pt idx="363">
                  <c:v>288837.98917495972</c:v>
                </c:pt>
                <c:pt idx="364">
                  <c:v>289123.15126389614</c:v>
                </c:pt>
                <c:pt idx="365">
                  <c:v>289409.37874454842</c:v>
                </c:pt>
                <c:pt idx="366">
                  <c:v>289696.66247384873</c:v>
                </c:pt>
                <c:pt idx="367">
                  <c:v>289984.99336619151</c:v>
                </c:pt>
                <c:pt idx="368">
                  <c:v>290274.36239308777</c:v>
                </c:pt>
                <c:pt idx="369">
                  <c:v>290564.76058281981</c:v>
                </c:pt>
                <c:pt idx="370">
                  <c:v>290856.17902009946</c:v>
                </c:pt>
                <c:pt idx="371">
                  <c:v>291148.60884572763</c:v>
                </c:pt>
                <c:pt idx="372">
                  <c:v>291442.0412562557</c:v>
                </c:pt>
                <c:pt idx="373">
                  <c:v>291736.46750364971</c:v>
                </c:pt>
                <c:pt idx="374">
                  <c:v>292031.87889495573</c:v>
                </c:pt>
                <c:pt idx="375">
                  <c:v>292328.26679196797</c:v>
                </c:pt>
                <c:pt idx="376">
                  <c:v>292625.6226108984</c:v>
                </c:pt>
                <c:pt idx="377">
                  <c:v>292923.93782204809</c:v>
                </c:pt>
                <c:pt idx="378">
                  <c:v>293223.20394948177</c:v>
                </c:pt>
                <c:pt idx="379">
                  <c:v>293523.41257070261</c:v>
                </c:pt>
                <c:pt idx="380">
                  <c:v>293824.55531633034</c:v>
                </c:pt>
                <c:pt idx="381">
                  <c:v>294126.62386978045</c:v>
                </c:pt>
                <c:pt idx="382">
                  <c:v>294429.60996694589</c:v>
                </c:pt>
                <c:pt idx="383">
                  <c:v>294733.50539588043</c:v>
                </c:pt>
                <c:pt idx="384">
                  <c:v>295038.30199648358</c:v>
                </c:pt>
                <c:pt idx="385">
                  <c:v>295343.99166018813</c:v>
                </c:pt>
                <c:pt idx="386">
                  <c:v>295650.56632964895</c:v>
                </c:pt>
                <c:pt idx="387">
                  <c:v>295958.01799843379</c:v>
                </c:pt>
                <c:pt idx="388">
                  <c:v>296266.33871071617</c:v>
                </c:pt>
                <c:pt idx="389">
                  <c:v>296575.52056096989</c:v>
                </c:pt>
                <c:pt idx="390">
                  <c:v>296885.55569366546</c:v>
                </c:pt>
                <c:pt idx="391">
                  <c:v>297196.43630296818</c:v>
                </c:pt>
                <c:pt idx="392">
                  <c:v>297508.15463243821</c:v>
                </c:pt>
                <c:pt idx="393">
                  <c:v>297820.70297473262</c:v>
                </c:pt>
                <c:pt idx="394">
                  <c:v>298134.07367130864</c:v>
                </c:pt>
                <c:pt idx="395">
                  <c:v>298448.25911212928</c:v>
                </c:pt>
                <c:pt idx="396">
                  <c:v>298763.25173537043</c:v>
                </c:pt>
                <c:pt idx="397">
                  <c:v>299079.04402712965</c:v>
                </c:pt>
                <c:pt idx="398">
                  <c:v>299395.62852113682</c:v>
                </c:pt>
                <c:pt idx="399">
                  <c:v>299712.997798467</c:v>
                </c:pt>
                <c:pt idx="400">
                  <c:v>300031.14448725356</c:v>
                </c:pt>
                <c:pt idx="401">
                  <c:v>300350.06126240507</c:v>
                </c:pt>
                <c:pt idx="402">
                  <c:v>300669.74084532197</c:v>
                </c:pt>
                <c:pt idx="403">
                  <c:v>300990.17600361636</c:v>
                </c:pt>
                <c:pt idx="404">
                  <c:v>301311.35955083242</c:v>
                </c:pt>
                <c:pt idx="405">
                  <c:v>301633.28434616956</c:v>
                </c:pt>
                <c:pt idx="406">
                  <c:v>301955.94329420576</c:v>
                </c:pt>
                <c:pt idx="407">
                  <c:v>302279.32934462454</c:v>
                </c:pt>
                <c:pt idx="408">
                  <c:v>302603.43549194164</c:v>
                </c:pt>
                <c:pt idx="409">
                  <c:v>302928.2547752345</c:v>
                </c:pt>
                <c:pt idx="410">
                  <c:v>303253.78027787298</c:v>
                </c:pt>
                <c:pt idx="411">
                  <c:v>303580.00512725185</c:v>
                </c:pt>
                <c:pt idx="412">
                  <c:v>303906.92249452474</c:v>
                </c:pt>
                <c:pt idx="413">
                  <c:v>304234.52559433936</c:v>
                </c:pt>
                <c:pt idx="414">
                  <c:v>304562.80768457532</c:v>
                </c:pt>
                <c:pt idx="415">
                  <c:v>304891.7620660828</c:v>
                </c:pt>
                <c:pt idx="416">
                  <c:v>305221.38208242197</c:v>
                </c:pt>
                <c:pt idx="417">
                  <c:v>305551.661119606</c:v>
                </c:pt>
                <c:pt idx="418">
                  <c:v>305882.59260584379</c:v>
                </c:pt>
                <c:pt idx="419">
                  <c:v>306214.17001128528</c:v>
                </c:pt>
                <c:pt idx="420">
                  <c:v>306546.38684776757</c:v>
                </c:pt>
                <c:pt idx="421">
                  <c:v>306879.23666856327</c:v>
                </c:pt>
                <c:pt idx="422">
                  <c:v>307212.71306812973</c:v>
                </c:pt>
                <c:pt idx="423">
                  <c:v>307546.80968186044</c:v>
                </c:pt>
                <c:pt idx="424">
                  <c:v>307881.52018583694</c:v>
                </c:pt>
                <c:pt idx="425">
                  <c:v>308216.83829658345</c:v>
                </c:pt>
                <c:pt idx="426">
                  <c:v>308552.75777082174</c:v>
                </c:pt>
                <c:pt idx="427">
                  <c:v>308889.27240522869</c:v>
                </c:pt>
                <c:pt idx="428">
                  <c:v>309226.37603619392</c:v>
                </c:pt>
                <c:pt idx="429">
                  <c:v>309564.06253958034</c:v>
                </c:pt>
                <c:pt idx="430">
                  <c:v>309902.32583048497</c:v>
                </c:pt>
                <c:pt idx="431">
                  <c:v>310241.15986300178</c:v>
                </c:pt>
                <c:pt idx="432">
                  <c:v>310580.55862998602</c:v>
                </c:pt>
                <c:pt idx="433">
                  <c:v>310920.51616281917</c:v>
                </c:pt>
                <c:pt idx="434">
                  <c:v>311261.02653117647</c:v>
                </c:pt>
                <c:pt idx="435">
                  <c:v>311602.08384279517</c:v>
                </c:pt>
                <c:pt idx="436">
                  <c:v>311943.68224324385</c:v>
                </c:pt>
                <c:pt idx="437">
                  <c:v>312285.81591569423</c:v>
                </c:pt>
                <c:pt idx="438">
                  <c:v>312628.47908069263</c:v>
                </c:pt>
                <c:pt idx="439">
                  <c:v>312971.66599593504</c:v>
                </c:pt>
                <c:pt idx="440">
                  <c:v>313315.37095604138</c:v>
                </c:pt>
                <c:pt idx="441">
                  <c:v>313659.58829233231</c:v>
                </c:pt>
                <c:pt idx="442">
                  <c:v>314004.31237260712</c:v>
                </c:pt>
                <c:pt idx="443">
                  <c:v>314349.53760092345</c:v>
                </c:pt>
                <c:pt idx="444">
                  <c:v>314695.2584173769</c:v>
                </c:pt>
                <c:pt idx="445">
                  <c:v>315041.46929788339</c:v>
                </c:pt>
                <c:pt idx="446">
                  <c:v>315388.16475396254</c:v>
                </c:pt>
                <c:pt idx="447">
                  <c:v>315735.3393325216</c:v>
                </c:pt>
                <c:pt idx="448">
                  <c:v>316082.98761564185</c:v>
                </c:pt>
                <c:pt idx="449">
                  <c:v>316431.10422036482</c:v>
                </c:pt>
                <c:pt idx="450">
                  <c:v>316779.68379848124</c:v>
                </c:pt>
                <c:pt idx="451">
                  <c:v>317128.72103632079</c:v>
                </c:pt>
                <c:pt idx="452">
                  <c:v>317478.21065454191</c:v>
                </c:pt>
                <c:pt idx="453">
                  <c:v>317828.14740792522</c:v>
                </c:pt>
                <c:pt idx="454">
                  <c:v>318178.52608516585</c:v>
                </c:pt>
                <c:pt idx="455">
                  <c:v>318529.34150866844</c:v>
                </c:pt>
                <c:pt idx="456">
                  <c:v>318880.58853434311</c:v>
                </c:pt>
                <c:pt idx="457">
                  <c:v>319232.2620514023</c:v>
                </c:pt>
                <c:pt idx="458">
                  <c:v>319584.3569821585</c:v>
                </c:pt>
                <c:pt idx="459">
                  <c:v>319936.8682818251</c:v>
                </c:pt>
                <c:pt idx="460">
                  <c:v>320289.79093831551</c:v>
                </c:pt>
                <c:pt idx="461">
                  <c:v>320643.11997204606</c:v>
                </c:pt>
                <c:pt idx="462">
                  <c:v>320996.85043573845</c:v>
                </c:pt>
                <c:pt idx="463">
                  <c:v>321350.97741422453</c:v>
                </c:pt>
                <c:pt idx="464">
                  <c:v>321705.49602425128</c:v>
                </c:pt>
                <c:pt idx="465">
                  <c:v>322060.40141428745</c:v>
                </c:pt>
                <c:pt idx="466">
                  <c:v>322415.68876433134</c:v>
                </c:pt>
                <c:pt idx="467">
                  <c:v>322771.35328571964</c:v>
                </c:pt>
                <c:pt idx="468">
                  <c:v>323127.3902209379</c:v>
                </c:pt>
                <c:pt idx="469">
                  <c:v>323483.79484343075</c:v>
                </c:pt>
                <c:pt idx="470">
                  <c:v>323840.56245741516</c:v>
                </c:pt>
                <c:pt idx="471">
                  <c:v>324197.68839769321</c:v>
                </c:pt>
                <c:pt idx="472">
                  <c:v>324555.16802946699</c:v>
                </c:pt>
                <c:pt idx="473">
                  <c:v>324912.9967481544</c:v>
                </c:pt>
                <c:pt idx="474">
                  <c:v>325271.16997920512</c:v>
                </c:pt>
                <c:pt idx="475">
                  <c:v>325629.68317791936</c:v>
                </c:pt>
                <c:pt idx="476">
                  <c:v>325988.5318292664</c:v>
                </c:pt>
                <c:pt idx="477">
                  <c:v>326347.71144770487</c:v>
                </c:pt>
                <c:pt idx="478">
                  <c:v>326707.21757700335</c:v>
                </c:pt>
                <c:pt idx="479">
                  <c:v>327067.04579006298</c:v>
                </c:pt>
                <c:pt idx="480">
                  <c:v>327427.1916887408</c:v>
                </c:pt>
                <c:pt idx="481">
                  <c:v>327787.65090367378</c:v>
                </c:pt>
                <c:pt idx="482">
                  <c:v>328148.41909410432</c:v>
                </c:pt>
                <c:pt idx="483">
                  <c:v>328509.49194770656</c:v>
                </c:pt>
                <c:pt idx="484">
                  <c:v>328870.86518041394</c:v>
                </c:pt>
                <c:pt idx="485">
                  <c:v>329232.53453624784</c:v>
                </c:pt>
                <c:pt idx="486">
                  <c:v>329594.49578714673</c:v>
                </c:pt>
                <c:pt idx="487">
                  <c:v>329956.74473279709</c:v>
                </c:pt>
                <c:pt idx="488">
                  <c:v>330319.27720046451</c:v>
                </c:pt>
                <c:pt idx="489">
                  <c:v>330682.08904482692</c:v>
                </c:pt>
                <c:pt idx="490">
                  <c:v>331045.17614780733</c:v>
                </c:pt>
                <c:pt idx="491">
                  <c:v>331408.53441840917</c:v>
                </c:pt>
                <c:pt idx="492">
                  <c:v>331772.15979255148</c:v>
                </c:pt>
                <c:pt idx="493">
                  <c:v>332136.04823290551</c:v>
                </c:pt>
                <c:pt idx="494">
                  <c:v>332500.19572873192</c:v>
                </c:pt>
                <c:pt idx="495">
                  <c:v>332864.59829572024</c:v>
                </c:pt>
                <c:pt idx="496">
                  <c:v>333229.25197582715</c:v>
                </c:pt>
                <c:pt idx="497">
                  <c:v>333594.15283711755</c:v>
                </c:pt>
                <c:pt idx="498">
                  <c:v>333959.29697360628</c:v>
                </c:pt>
                <c:pt idx="499">
                  <c:v>334324.68050509953</c:v>
                </c:pt>
                <c:pt idx="500">
                  <c:v>334690.29957703885</c:v>
                </c:pt>
                <c:pt idx="501">
                  <c:v>335056.15036034526</c:v>
                </c:pt>
                <c:pt idx="502">
                  <c:v>335422.22905126429</c:v>
                </c:pt>
                <c:pt idx="503">
                  <c:v>335788.53187121212</c:v>
                </c:pt>
                <c:pt idx="504">
                  <c:v>336155.0550666225</c:v>
                </c:pt>
                <c:pt idx="505">
                  <c:v>336521.79490879469</c:v>
                </c:pt>
                <c:pt idx="506">
                  <c:v>336888.74769374257</c:v>
                </c:pt>
                <c:pt idx="507">
                  <c:v>337255.90974204411</c:v>
                </c:pt>
                <c:pt idx="508">
                  <c:v>337623.27739869204</c:v>
                </c:pt>
                <c:pt idx="509">
                  <c:v>337990.84703294554</c:v>
                </c:pt>
                <c:pt idx="510">
                  <c:v>338358.6150381827</c:v>
                </c:pt>
                <c:pt idx="511">
                  <c:v>338726.57783175335</c:v>
                </c:pt>
                <c:pt idx="512">
                  <c:v>339094.73185483419</c:v>
                </c:pt>
                <c:pt idx="513">
                  <c:v>339463.0735722828</c:v>
                </c:pt>
                <c:pt idx="514">
                  <c:v>339831.5994724945</c:v>
                </c:pt>
                <c:pt idx="515">
                  <c:v>340200.30606725864</c:v>
                </c:pt>
                <c:pt idx="516">
                  <c:v>340569.18989161641</c:v>
                </c:pt>
                <c:pt idx="517">
                  <c:v>340938.24750371918</c:v>
                </c:pt>
                <c:pt idx="518">
                  <c:v>341307.47548468842</c:v>
                </c:pt>
                <c:pt idx="519">
                  <c:v>341676.87043847516</c:v>
                </c:pt>
                <c:pt idx="520">
                  <c:v>342046.42899172165</c:v>
                </c:pt>
                <c:pt idx="521">
                  <c:v>342416.14779362309</c:v>
                </c:pt>
                <c:pt idx="522">
                  <c:v>342786.02351578989</c:v>
                </c:pt>
                <c:pt idx="523">
                  <c:v>343156.05285211198</c:v>
                </c:pt>
                <c:pt idx="524">
                  <c:v>343526.23251862277</c:v>
                </c:pt>
                <c:pt idx="525">
                  <c:v>343896.55925336399</c:v>
                </c:pt>
                <c:pt idx="526">
                  <c:v>344267.02981625241</c:v>
                </c:pt>
                <c:pt idx="527">
                  <c:v>344637.64098894614</c:v>
                </c:pt>
                <c:pt idx="528">
                  <c:v>345008.38957471214</c:v>
                </c:pt>
                <c:pt idx="529">
                  <c:v>345379.27239829476</c:v>
                </c:pt>
                <c:pt idx="530">
                  <c:v>345750.28630578512</c:v>
                </c:pt>
                <c:pt idx="531">
                  <c:v>346121.42816449073</c:v>
                </c:pt>
                <c:pt idx="532">
                  <c:v>346492.69486280653</c:v>
                </c:pt>
                <c:pt idx="533">
                  <c:v>346864.08331008576</c:v>
                </c:pt>
                <c:pt idx="534">
                  <c:v>347235.59043651313</c:v>
                </c:pt>
                <c:pt idx="535">
                  <c:v>347607.21319297742</c:v>
                </c:pt>
                <c:pt idx="536">
                  <c:v>347978.94855094509</c:v>
                </c:pt>
                <c:pt idx="537">
                  <c:v>348350.79350233509</c:v>
                </c:pt>
                <c:pt idx="538">
                  <c:v>348722.7450593941</c:v>
                </c:pt>
                <c:pt idx="539">
                  <c:v>349094.80025457311</c:v>
                </c:pt>
                <c:pt idx="540">
                  <c:v>349466.95614040311</c:v>
                </c:pt>
                <c:pt idx="541">
                  <c:v>349839.20978937368</c:v>
                </c:pt>
                <c:pt idx="542">
                  <c:v>350211.55829381075</c:v>
                </c:pt>
                <c:pt idx="543">
                  <c:v>350583.99876575585</c:v>
                </c:pt>
                <c:pt idx="544">
                  <c:v>350956.52833684569</c:v>
                </c:pt>
                <c:pt idx="545">
                  <c:v>351329.14415819262</c:v>
                </c:pt>
                <c:pt idx="546">
                  <c:v>351701.84340026602</c:v>
                </c:pt>
                <c:pt idx="547">
                  <c:v>352074.62325277389</c:v>
                </c:pt>
                <c:pt idx="548">
                  <c:v>352447.48092454579</c:v>
                </c:pt>
                <c:pt idx="549">
                  <c:v>352820.41364341573</c:v>
                </c:pt>
                <c:pt idx="550">
                  <c:v>353193.41865610669</c:v>
                </c:pt>
                <c:pt idx="551">
                  <c:v>353566.49322811473</c:v>
                </c:pt>
                <c:pt idx="552">
                  <c:v>353939.63464359497</c:v>
                </c:pt>
                <c:pt idx="553">
                  <c:v>354312.84020524734</c:v>
                </c:pt>
                <c:pt idx="554">
                  <c:v>354686.1072342032</c:v>
                </c:pt>
                <c:pt idx="555">
                  <c:v>355059.43306991336</c:v>
                </c:pt>
                <c:pt idx="556">
                  <c:v>355432.81507003534</c:v>
                </c:pt>
                <c:pt idx="557">
                  <c:v>355806.25061032339</c:v>
                </c:pt>
                <c:pt idx="558">
                  <c:v>356179.73708451638</c:v>
                </c:pt>
                <c:pt idx="559">
                  <c:v>356553.27190422936</c:v>
                </c:pt>
                <c:pt idx="560">
                  <c:v>356926.85249884357</c:v>
                </c:pt>
                <c:pt idx="561">
                  <c:v>357300.47631539789</c:v>
                </c:pt>
                <c:pt idx="562">
                  <c:v>357674.14081848145</c:v>
                </c:pt>
                <c:pt idx="563">
                  <c:v>358047.84349012567</c:v>
                </c:pt>
                <c:pt idx="564">
                  <c:v>358421.58182969812</c:v>
                </c:pt>
                <c:pt idx="565">
                  <c:v>358795.35335379664</c:v>
                </c:pt>
                <c:pt idx="566">
                  <c:v>359169.15559614333</c:v>
                </c:pt>
                <c:pt idx="567">
                  <c:v>359542.98610748065</c:v>
                </c:pt>
                <c:pt idx="568">
                  <c:v>359916.84245546692</c:v>
                </c:pt>
                <c:pt idx="569">
                  <c:v>360290.72222457262</c:v>
                </c:pt>
                <c:pt idx="570">
                  <c:v>360664.62301597826</c:v>
                </c:pt>
                <c:pt idx="571">
                  <c:v>361038.54244747153</c:v>
                </c:pt>
                <c:pt idx="572">
                  <c:v>361412.47815334599</c:v>
                </c:pt>
                <c:pt idx="573">
                  <c:v>361786.42778430006</c:v>
                </c:pt>
                <c:pt idx="574">
                  <c:v>362160.38900733646</c:v>
                </c:pt>
                <c:pt idx="575">
                  <c:v>362534.35950566264</c:v>
                </c:pt>
                <c:pt idx="576">
                  <c:v>362908.33697859151</c:v>
                </c:pt>
                <c:pt idx="577">
                  <c:v>363282.31914144277</c:v>
                </c:pt>
                <c:pt idx="578">
                  <c:v>363656.30372544541</c:v>
                </c:pt>
                <c:pt idx="579">
                  <c:v>364030.28847763909</c:v>
                </c:pt>
                <c:pt idx="580">
                  <c:v>364404.27116077882</c:v>
                </c:pt>
                <c:pt idx="581">
                  <c:v>364778.24955323775</c:v>
                </c:pt>
                <c:pt idx="582">
                  <c:v>365152.22144891176</c:v>
                </c:pt>
                <c:pt idx="583">
                  <c:v>365526.18465712434</c:v>
                </c:pt>
                <c:pt idx="584">
                  <c:v>365900.13700253225</c:v>
                </c:pt>
                <c:pt idx="585">
                  <c:v>366274.0763250314</c:v>
                </c:pt>
                <c:pt idx="586">
                  <c:v>366648.00047966349</c:v>
                </c:pt>
                <c:pt idx="587">
                  <c:v>367021.90733652288</c:v>
                </c:pt>
                <c:pt idx="588">
                  <c:v>367395.79478066514</c:v>
                </c:pt>
                <c:pt idx="589">
                  <c:v>367769.66071201453</c:v>
                </c:pt>
                <c:pt idx="590">
                  <c:v>368143.50304527325</c:v>
                </c:pt>
                <c:pt idx="591">
                  <c:v>368517.31970983045</c:v>
                </c:pt>
                <c:pt idx="592">
                  <c:v>368891.10864967288</c:v>
                </c:pt>
                <c:pt idx="593">
                  <c:v>369264.86782329448</c:v>
                </c:pt>
                <c:pt idx="594">
                  <c:v>369638.59520360798</c:v>
                </c:pt>
                <c:pt idx="595">
                  <c:v>370012.28877785627</c:v>
                </c:pt>
                <c:pt idx="596">
                  <c:v>370385.94654752436</c:v>
                </c:pt>
                <c:pt idx="597">
                  <c:v>370759.56652825233</c:v>
                </c:pt>
                <c:pt idx="598">
                  <c:v>371133.14674974792</c:v>
                </c:pt>
                <c:pt idx="599">
                  <c:v>371506.68525570072</c:v>
                </c:pt>
                <c:pt idx="600">
                  <c:v>371880.18010369589</c:v>
                </c:pt>
                <c:pt idx="601">
                  <c:v>372253.62936512922</c:v>
                </c:pt>
                <c:pt idx="602">
                  <c:v>372627.03112512216</c:v>
                </c:pt>
                <c:pt idx="603">
                  <c:v>373000.38348243741</c:v>
                </c:pt>
                <c:pt idx="604">
                  <c:v>373373.68454939523</c:v>
                </c:pt>
                <c:pt idx="605">
                  <c:v>373746.93245179014</c:v>
                </c:pt>
                <c:pt idx="606">
                  <c:v>374120.12532880838</c:v>
                </c:pt>
                <c:pt idx="607">
                  <c:v>374493.26133294526</c:v>
                </c:pt>
                <c:pt idx="608">
                  <c:v>374866.33862992335</c:v>
                </c:pt>
                <c:pt idx="609">
                  <c:v>375239.35539861163</c:v>
                </c:pt>
                <c:pt idx="610">
                  <c:v>375612.30983094417</c:v>
                </c:pt>
                <c:pt idx="611">
                  <c:v>375985.20013184013</c:v>
                </c:pt>
                <c:pt idx="612">
                  <c:v>376358.02451912384</c:v>
                </c:pt>
                <c:pt idx="613">
                  <c:v>376730.78122344514</c:v>
                </c:pt>
                <c:pt idx="614">
                  <c:v>377103.46848820121</c:v>
                </c:pt>
                <c:pt idx="615">
                  <c:v>377476.08456945728</c:v>
                </c:pt>
                <c:pt idx="616">
                  <c:v>377848.6277358692</c:v>
                </c:pt>
                <c:pt idx="617">
                  <c:v>378221.09626860596</c:v>
                </c:pt>
                <c:pt idx="618">
                  <c:v>378593.48846127262</c:v>
                </c:pt>
                <c:pt idx="619">
                  <c:v>378965.80261983362</c:v>
                </c:pt>
                <c:pt idx="620">
                  <c:v>379338.03706253687</c:v>
                </c:pt>
                <c:pt idx="621">
                  <c:v>379710.19011983805</c:v>
                </c:pt>
                <c:pt idx="622">
                  <c:v>380082.26013432554</c:v>
                </c:pt>
                <c:pt idx="623">
                  <c:v>380454.24546064553</c:v>
                </c:pt>
                <c:pt idx="624">
                  <c:v>380826.14446542761</c:v>
                </c:pt>
                <c:pt idx="625">
                  <c:v>381197.95552721142</c:v>
                </c:pt>
                <c:pt idx="626">
                  <c:v>381569.67703637318</c:v>
                </c:pt>
                <c:pt idx="627">
                  <c:v>381941.30739505211</c:v>
                </c:pt>
                <c:pt idx="628">
                  <c:v>382312.8450170788</c:v>
                </c:pt>
                <c:pt idx="629">
                  <c:v>382684.28832790232</c:v>
                </c:pt>
                <c:pt idx="630">
                  <c:v>383055.63576451945</c:v>
                </c:pt>
                <c:pt idx="631">
                  <c:v>383426.88577540277</c:v>
                </c:pt>
                <c:pt idx="632">
                  <c:v>383798.03682043002</c:v>
                </c:pt>
                <c:pt idx="633">
                  <c:v>384169.08737081423</c:v>
                </c:pt>
                <c:pt idx="634">
                  <c:v>384540.03590903321</c:v>
                </c:pt>
                <c:pt idx="635">
                  <c:v>384910.8809287601</c:v>
                </c:pt>
                <c:pt idx="636">
                  <c:v>385281.62093479495</c:v>
                </c:pt>
                <c:pt idx="637">
                  <c:v>385652.25444299501</c:v>
                </c:pt>
                <c:pt idx="638">
                  <c:v>386022.77998020733</c:v>
                </c:pt>
                <c:pt idx="639">
                  <c:v>386393.1960842004</c:v>
                </c:pt>
                <c:pt idx="640">
                  <c:v>386763.50130359712</c:v>
                </c:pt>
                <c:pt idx="641">
                  <c:v>387133.69419780734</c:v>
                </c:pt>
                <c:pt idx="642">
                  <c:v>387503.77333696152</c:v>
                </c:pt>
                <c:pt idx="643">
                  <c:v>387873.73730184429</c:v>
                </c:pt>
                <c:pt idx="644">
                  <c:v>388243.58468382905</c:v>
                </c:pt>
                <c:pt idx="645">
                  <c:v>388613.3140848116</c:v>
                </c:pt>
                <c:pt idx="646">
                  <c:v>388982.92411714635</c:v>
                </c:pt>
                <c:pt idx="647">
                  <c:v>389352.41340358072</c:v>
                </c:pt>
                <c:pt idx="648">
                  <c:v>389721.78057719127</c:v>
                </c:pt>
                <c:pt idx="649">
                  <c:v>390091.02428131952</c:v>
                </c:pt>
                <c:pt idx="650">
                  <c:v>390460.14316950896</c:v>
                </c:pt>
                <c:pt idx="651">
                  <c:v>390829.13590544142</c:v>
                </c:pt>
                <c:pt idx="652">
                  <c:v>391198.00116287469</c:v>
                </c:pt>
                <c:pt idx="653">
                  <c:v>391566.73762558005</c:v>
                </c:pt>
                <c:pt idx="654">
                  <c:v>391935.3439872801</c:v>
                </c:pt>
                <c:pt idx="655">
                  <c:v>392303.81895158754</c:v>
                </c:pt>
                <c:pt idx="656">
                  <c:v>392672.16123194376</c:v>
                </c:pt>
                <c:pt idx="657">
                  <c:v>393040.3695515577</c:v>
                </c:pt>
                <c:pt idx="658">
                  <c:v>393408.44264334568</c:v>
                </c:pt>
                <c:pt idx="659">
                  <c:v>393776.37924987118</c:v>
                </c:pt>
                <c:pt idx="660">
                  <c:v>394144.17812328535</c:v>
                </c:pt>
                <c:pt idx="661">
                  <c:v>394511.83802526654</c:v>
                </c:pt>
                <c:pt idx="662">
                  <c:v>394879.35772696289</c:v>
                </c:pt>
                <c:pt idx="663">
                  <c:v>395246.73600893212</c:v>
                </c:pt>
                <c:pt idx="664">
                  <c:v>395613.97166108398</c:v>
                </c:pt>
                <c:pt idx="665">
                  <c:v>395981.06348262215</c:v>
                </c:pt>
                <c:pt idx="666">
                  <c:v>396348.01028198638</c:v>
                </c:pt>
                <c:pt idx="667">
                  <c:v>396714.81087679532</c:v>
                </c:pt>
                <c:pt idx="668">
                  <c:v>397081.46409378963</c:v>
                </c:pt>
                <c:pt idx="669">
                  <c:v>397447.96876877523</c:v>
                </c:pt>
                <c:pt idx="670">
                  <c:v>397814.32374656718</c:v>
                </c:pt>
                <c:pt idx="671">
                  <c:v>398180.52788093343</c:v>
                </c:pt>
                <c:pt idx="672">
                  <c:v>398546.58003453957</c:v>
                </c:pt>
                <c:pt idx="673">
                  <c:v>398912.47907889361</c:v>
                </c:pt>
                <c:pt idx="674">
                  <c:v>399278.22389429051</c:v>
                </c:pt>
                <c:pt idx="675">
                  <c:v>399643.81336975808</c:v>
                </c:pt>
                <c:pt idx="676">
                  <c:v>400009.24640300276</c:v>
                </c:pt>
                <c:pt idx="677">
                  <c:v>400374.52190035518</c:v>
                </c:pt>
                <c:pt idx="678">
                  <c:v>400739.63877671701</c:v>
                </c:pt>
                <c:pt idx="679">
                  <c:v>401104.5959555076</c:v>
                </c:pt>
                <c:pt idx="680">
                  <c:v>401469.39236861048</c:v>
                </c:pt>
                <c:pt idx="681">
                  <c:v>401834.02695632144</c:v>
                </c:pt>
                <c:pt idx="682">
                  <c:v>402198.49866729596</c:v>
                </c:pt>
                <c:pt idx="683">
                  <c:v>402562.80645849678</c:v>
                </c:pt>
                <c:pt idx="684">
                  <c:v>402926.94929514261</c:v>
                </c:pt>
                <c:pt idx="685">
                  <c:v>403290.92615065665</c:v>
                </c:pt>
                <c:pt idx="686">
                  <c:v>403654.73600661545</c:v>
                </c:pt>
                <c:pt idx="687">
                  <c:v>404018.37785269809</c:v>
                </c:pt>
                <c:pt idx="688">
                  <c:v>404381.85068663571</c:v>
                </c:pt>
                <c:pt idx="689">
                  <c:v>404745.15351416136</c:v>
                </c:pt>
                <c:pt idx="690">
                  <c:v>405108.28534896031</c:v>
                </c:pt>
                <c:pt idx="691">
                  <c:v>405471.24521262001</c:v>
                </c:pt>
                <c:pt idx="692">
                  <c:v>405834.03213458147</c:v>
                </c:pt>
                <c:pt idx="693">
                  <c:v>406196.64515208959</c:v>
                </c:pt>
                <c:pt idx="694">
                  <c:v>406559.0833101449</c:v>
                </c:pt>
                <c:pt idx="695">
                  <c:v>406921.34566145507</c:v>
                </c:pt>
                <c:pt idx="696">
                  <c:v>407283.43126638694</c:v>
                </c:pt>
                <c:pt idx="697">
                  <c:v>407645.33919291844</c:v>
                </c:pt>
                <c:pt idx="698">
                  <c:v>408007.06851659133</c:v>
                </c:pt>
                <c:pt idx="699">
                  <c:v>408368.61832046381</c:v>
                </c:pt>
                <c:pt idx="700">
                  <c:v>408729.98769506358</c:v>
                </c:pt>
                <c:pt idx="701">
                  <c:v>409091.17573834112</c:v>
                </c:pt>
                <c:pt idx="702">
                  <c:v>409452.18155562365</c:v>
                </c:pt>
                <c:pt idx="703">
                  <c:v>409813.0042595687</c:v>
                </c:pt>
                <c:pt idx="704">
                  <c:v>410173.64297011821</c:v>
                </c:pt>
                <c:pt idx="705">
                  <c:v>410534.09681445314</c:v>
                </c:pt>
                <c:pt idx="706">
                  <c:v>410894.36492694827</c:v>
                </c:pt>
                <c:pt idx="707">
                  <c:v>411254.44644912722</c:v>
                </c:pt>
                <c:pt idx="708">
                  <c:v>411614.3405296171</c:v>
                </c:pt>
                <c:pt idx="709">
                  <c:v>411974.04632410518</c:v>
                </c:pt>
                <c:pt idx="710">
                  <c:v>412333.56299529353</c:v>
                </c:pt>
                <c:pt idx="711">
                  <c:v>412692.88971285598</c:v>
                </c:pt>
                <c:pt idx="712">
                  <c:v>413052.02565339394</c:v>
                </c:pt>
                <c:pt idx="713">
                  <c:v>413410.97000039299</c:v>
                </c:pt>
                <c:pt idx="714">
                  <c:v>413769.72194418008</c:v>
                </c:pt>
                <c:pt idx="715">
                  <c:v>414128.28068188077</c:v>
                </c:pt>
                <c:pt idx="716">
                  <c:v>414486.64541737561</c:v>
                </c:pt>
                <c:pt idx="717">
                  <c:v>414844.81536125898</c:v>
                </c:pt>
                <c:pt idx="718">
                  <c:v>415202.78973079636</c:v>
                </c:pt>
                <c:pt idx="719">
                  <c:v>415560.5677498827</c:v>
                </c:pt>
                <c:pt idx="720">
                  <c:v>415918.14864900021</c:v>
                </c:pt>
                <c:pt idx="721">
                  <c:v>416275.53166517807</c:v>
                </c:pt>
                <c:pt idx="722">
                  <c:v>416632.71604195057</c:v>
                </c:pt>
                <c:pt idx="723">
                  <c:v>416989.70102931658</c:v>
                </c:pt>
                <c:pt idx="724">
                  <c:v>417346.48588369833</c:v>
                </c:pt>
                <c:pt idx="725">
                  <c:v>417703.06986790209</c:v>
                </c:pt>
                <c:pt idx="726">
                  <c:v>418059.45225107687</c:v>
                </c:pt>
                <c:pt idx="727">
                  <c:v>418415.63230867602</c:v>
                </c:pt>
                <c:pt idx="728">
                  <c:v>418771.60932241584</c:v>
                </c:pt>
                <c:pt idx="729">
                  <c:v>419127.3825802377</c:v>
                </c:pt>
                <c:pt idx="730">
                  <c:v>419482.95137626777</c:v>
                </c:pt>
                <c:pt idx="731">
                  <c:v>419838.3150107789</c:v>
                </c:pt>
                <c:pt idx="732">
                  <c:v>420193.47279015154</c:v>
                </c:pt>
                <c:pt idx="733">
                  <c:v>420548.42402683519</c:v>
                </c:pt>
                <c:pt idx="734">
                  <c:v>420903.16803931037</c:v>
                </c:pt>
                <c:pt idx="735">
                  <c:v>421257.70415205066</c:v>
                </c:pt>
                <c:pt idx="736">
                  <c:v>421612.031695485</c:v>
                </c:pt>
                <c:pt idx="737">
                  <c:v>421966.15000595967</c:v>
                </c:pt>
                <c:pt idx="738">
                  <c:v>422320.0584257014</c:v>
                </c:pt>
                <c:pt idx="739">
                  <c:v>422673.75630278036</c:v>
                </c:pt>
                <c:pt idx="740">
                  <c:v>423027.24299107312</c:v>
                </c:pt>
                <c:pt idx="741">
                  <c:v>423380.51785022591</c:v>
                </c:pt>
                <c:pt idx="742">
                  <c:v>423733.58024561842</c:v>
                </c:pt>
                <c:pt idx="743">
                  <c:v>424086.42954832746</c:v>
                </c:pt>
                <c:pt idx="744">
                  <c:v>424439.06513509096</c:v>
                </c:pt>
                <c:pt idx="745">
                  <c:v>424791.48638827243</c:v>
                </c:pt>
                <c:pt idx="746">
                  <c:v>425143.69269582495</c:v>
                </c:pt>
                <c:pt idx="747">
                  <c:v>425495.68345125654</c:v>
                </c:pt>
                <c:pt idx="748">
                  <c:v>425847.45805359422</c:v>
                </c:pt>
                <c:pt idx="749">
                  <c:v>426199.01590734994</c:v>
                </c:pt>
                <c:pt idx="750">
                  <c:v>426550.3564224852</c:v>
                </c:pt>
                <c:pt idx="751">
                  <c:v>426901.4790143767</c:v>
                </c:pt>
                <c:pt idx="752">
                  <c:v>427252.38310378266</c:v>
                </c:pt>
                <c:pt idx="753">
                  <c:v>427603.06811680773</c:v>
                </c:pt>
                <c:pt idx="754">
                  <c:v>427953.53348486999</c:v>
                </c:pt>
                <c:pt idx="755">
                  <c:v>428303.77864466689</c:v>
                </c:pt>
                <c:pt idx="756">
                  <c:v>428653.80303814175</c:v>
                </c:pt>
                <c:pt idx="757">
                  <c:v>429003.606112451</c:v>
                </c:pt>
                <c:pt idx="758">
                  <c:v>429353.18731993018</c:v>
                </c:pt>
                <c:pt idx="759">
                  <c:v>429702.54611806205</c:v>
                </c:pt>
                <c:pt idx="760">
                  <c:v>430051.68196944334</c:v>
                </c:pt>
                <c:pt idx="761">
                  <c:v>430400.59434175276</c:v>
                </c:pt>
                <c:pt idx="762">
                  <c:v>430749.28270771779</c:v>
                </c:pt>
                <c:pt idx="763">
                  <c:v>431097.74654508417</c:v>
                </c:pt>
                <c:pt idx="764">
                  <c:v>431445.98533658235</c:v>
                </c:pt>
                <c:pt idx="765">
                  <c:v>431793.9985698972</c:v>
                </c:pt>
                <c:pt idx="766">
                  <c:v>432141.78573763533</c:v>
                </c:pt>
                <c:pt idx="767">
                  <c:v>432489.34633729479</c:v>
                </c:pt>
                <c:pt idx="768">
                  <c:v>432836.67987123324</c:v>
                </c:pt>
                <c:pt idx="769">
                  <c:v>433183.7858466375</c:v>
                </c:pt>
                <c:pt idx="770">
                  <c:v>433530.6637754924</c:v>
                </c:pt>
                <c:pt idx="771">
                  <c:v>433877.31317455083</c:v>
                </c:pt>
                <c:pt idx="772">
                  <c:v>434223.73356530268</c:v>
                </c:pt>
                <c:pt idx="773">
                  <c:v>434569.92447394488</c:v>
                </c:pt>
                <c:pt idx="774">
                  <c:v>434915.88543135166</c:v>
                </c:pt>
                <c:pt idx="775">
                  <c:v>435261.61597304477</c:v>
                </c:pt>
                <c:pt idx="776">
                  <c:v>435607.11563916318</c:v>
                </c:pt>
                <c:pt idx="777">
                  <c:v>435952.38397443428</c:v>
                </c:pt>
                <c:pt idx="778">
                  <c:v>436297.42052814434</c:v>
                </c:pt>
                <c:pt idx="779">
                  <c:v>436642.22485410975</c:v>
                </c:pt>
                <c:pt idx="780">
                  <c:v>436986.79651064711</c:v>
                </c:pt>
                <c:pt idx="781">
                  <c:v>437331.13506054558</c:v>
                </c:pt>
                <c:pt idx="782">
                  <c:v>437675.24007103813</c:v>
                </c:pt>
                <c:pt idx="783">
                  <c:v>438019.11111377232</c:v>
                </c:pt>
                <c:pt idx="784">
                  <c:v>438362.74776478286</c:v>
                </c:pt>
                <c:pt idx="785">
                  <c:v>438706.14960446325</c:v>
                </c:pt>
                <c:pt idx="786">
                  <c:v>439049.31621753803</c:v>
                </c:pt>
                <c:pt idx="787">
                  <c:v>439392.2471930348</c:v>
                </c:pt>
                <c:pt idx="788">
                  <c:v>439734.94212425698</c:v>
                </c:pt>
                <c:pt idx="789">
                  <c:v>440077.40060875606</c:v>
                </c:pt>
                <c:pt idx="790">
                  <c:v>440419.6222483046</c:v>
                </c:pt>
                <c:pt idx="791">
                  <c:v>440761.60664886935</c:v>
                </c:pt>
                <c:pt idx="792">
                  <c:v>441103.35342058388</c:v>
                </c:pt>
                <c:pt idx="793">
                  <c:v>441444.86217772204</c:v>
                </c:pt>
                <c:pt idx="794">
                  <c:v>441786.13253867149</c:v>
                </c:pt>
                <c:pt idx="795">
                  <c:v>442127.16412590747</c:v>
                </c:pt>
                <c:pt idx="796">
                  <c:v>442467.95656596625</c:v>
                </c:pt>
                <c:pt idx="797">
                  <c:v>442808.50948941853</c:v>
                </c:pt>
                <c:pt idx="798">
                  <c:v>443148.82253084483</c:v>
                </c:pt>
                <c:pt idx="799">
                  <c:v>443488.89532880858</c:v>
                </c:pt>
                <c:pt idx="800">
                  <c:v>443828.72752583079</c:v>
                </c:pt>
                <c:pt idx="801">
                  <c:v>444168.31876836467</c:v>
                </c:pt>
                <c:pt idx="802">
                  <c:v>444507.66870677058</c:v>
                </c:pt>
                <c:pt idx="803">
                  <c:v>444846.77699529025</c:v>
                </c:pt>
                <c:pt idx="804">
                  <c:v>445185.64329202229</c:v>
                </c:pt>
                <c:pt idx="805">
                  <c:v>445524.26725889713</c:v>
                </c:pt>
                <c:pt idx="806">
                  <c:v>445862.64856165199</c:v>
                </c:pt>
                <c:pt idx="807">
                  <c:v>446200.78686980717</c:v>
                </c:pt>
                <c:pt idx="808">
                  <c:v>446538.68185664079</c:v>
                </c:pt>
                <c:pt idx="809">
                  <c:v>446876.333199165</c:v>
                </c:pt>
                <c:pt idx="810">
                  <c:v>447213.74057810177</c:v>
                </c:pt>
                <c:pt idx="811">
                  <c:v>447550.9036778587</c:v>
                </c:pt>
                <c:pt idx="812">
                  <c:v>447887.8221865056</c:v>
                </c:pt>
                <c:pt idx="813">
                  <c:v>448224.49579575052</c:v>
                </c:pt>
                <c:pt idx="814">
                  <c:v>448560.92420091596</c:v>
                </c:pt>
                <c:pt idx="815">
                  <c:v>448897.10710091639</c:v>
                </c:pt>
                <c:pt idx="816">
                  <c:v>449233.04419823404</c:v>
                </c:pt>
                <c:pt idx="817">
                  <c:v>449568.73519889609</c:v>
                </c:pt>
                <c:pt idx="818">
                  <c:v>449904.17981245194</c:v>
                </c:pt>
                <c:pt idx="819">
                  <c:v>450239.37775195023</c:v>
                </c:pt>
                <c:pt idx="820">
                  <c:v>450574.32873391599</c:v>
                </c:pt>
                <c:pt idx="821">
                  <c:v>450909.03247832839</c:v>
                </c:pt>
                <c:pt idx="822">
                  <c:v>451243.48870859784</c:v>
                </c:pt>
                <c:pt idx="823">
                  <c:v>451577.69715154445</c:v>
                </c:pt>
                <c:pt idx="824">
                  <c:v>451911.65753737488</c:v>
                </c:pt>
                <c:pt idx="825">
                  <c:v>452245.36959966156</c:v>
                </c:pt>
                <c:pt idx="826">
                  <c:v>452578.83307531942</c:v>
                </c:pt>
                <c:pt idx="827">
                  <c:v>452912.04770458565</c:v>
                </c:pt>
                <c:pt idx="828">
                  <c:v>453245.01323099661</c:v>
                </c:pt>
                <c:pt idx="829">
                  <c:v>453577.72940136737</c:v>
                </c:pt>
                <c:pt idx="830">
                  <c:v>453910.19596577011</c:v>
                </c:pt>
                <c:pt idx="831">
                  <c:v>454242.41267751239</c:v>
                </c:pt>
                <c:pt idx="832">
                  <c:v>454574.37929311686</c:v>
                </c:pt>
                <c:pt idx="833">
                  <c:v>454906.09557229967</c:v>
                </c:pt>
                <c:pt idx="834">
                  <c:v>455237.56127795018</c:v>
                </c:pt>
                <c:pt idx="835">
                  <c:v>455568.77617610939</c:v>
                </c:pt>
                <c:pt idx="836">
                  <c:v>455899.74003595038</c:v>
                </c:pt>
                <c:pt idx="837">
                  <c:v>456230.45262975706</c:v>
                </c:pt>
                <c:pt idx="838">
                  <c:v>456560.9137329043</c:v>
                </c:pt>
                <c:pt idx="839">
                  <c:v>456891.1231238374</c:v>
                </c:pt>
                <c:pt idx="840">
                  <c:v>457221.08058405202</c:v>
                </c:pt>
                <c:pt idx="841">
                  <c:v>457550.78589807462</c:v>
                </c:pt>
                <c:pt idx="842">
                  <c:v>457880.23885344213</c:v>
                </c:pt>
                <c:pt idx="843">
                  <c:v>458209.43924068223</c:v>
                </c:pt>
                <c:pt idx="844">
                  <c:v>458538.38685329427</c:v>
                </c:pt>
                <c:pt idx="845">
                  <c:v>458867.0814877291</c:v>
                </c:pt>
                <c:pt idx="846">
                  <c:v>459195.52294337028</c:v>
                </c:pt>
                <c:pt idx="847">
                  <c:v>459523.71102251421</c:v>
                </c:pt>
                <c:pt idx="848">
                  <c:v>459851.6455303515</c:v>
                </c:pt>
                <c:pt idx="849">
                  <c:v>460179.32627494779</c:v>
                </c:pt>
                <c:pt idx="850">
                  <c:v>460506.75306722498</c:v>
                </c:pt>
                <c:pt idx="851">
                  <c:v>460833.92572094197</c:v>
                </c:pt>
                <c:pt idx="852">
                  <c:v>461160.84405267652</c:v>
                </c:pt>
                <c:pt idx="853">
                  <c:v>461487.50788180646</c:v>
                </c:pt>
                <c:pt idx="854">
                  <c:v>461813.91703049123</c:v>
                </c:pt>
                <c:pt idx="855">
                  <c:v>462140.07132365351</c:v>
                </c:pt>
                <c:pt idx="856">
                  <c:v>462465.9705889608</c:v>
                </c:pt>
                <c:pt idx="857">
                  <c:v>462791.61465680803</c:v>
                </c:pt>
                <c:pt idx="858">
                  <c:v>463117.00336029887</c:v>
                </c:pt>
                <c:pt idx="859">
                  <c:v>463442.13653522782</c:v>
                </c:pt>
                <c:pt idx="860">
                  <c:v>463767.01402006258</c:v>
                </c:pt>
                <c:pt idx="861">
                  <c:v>464091.63565592701</c:v>
                </c:pt>
                <c:pt idx="862">
                  <c:v>464416.00128658209</c:v>
                </c:pt>
                <c:pt idx="863">
                  <c:v>464740.11075841024</c:v>
                </c:pt>
                <c:pt idx="864">
                  <c:v>465063.96392039623</c:v>
                </c:pt>
                <c:pt idx="865">
                  <c:v>465387.56062411115</c:v>
                </c:pt>
                <c:pt idx="866">
                  <c:v>465710.90072369465</c:v>
                </c:pt>
                <c:pt idx="867">
                  <c:v>466033.98407583835</c:v>
                </c:pt>
                <c:pt idx="868">
                  <c:v>466356.81053976837</c:v>
                </c:pt>
                <c:pt idx="869">
                  <c:v>466679.37997722888</c:v>
                </c:pt>
                <c:pt idx="870">
                  <c:v>467001.69225246517</c:v>
                </c:pt>
                <c:pt idx="871">
                  <c:v>467323.74723220721</c:v>
                </c:pt>
                <c:pt idx="872">
                  <c:v>467645.54478565289</c:v>
                </c:pt>
                <c:pt idx="873">
                  <c:v>467967.08478445152</c:v>
                </c:pt>
                <c:pt idx="874">
                  <c:v>468288.36710268789</c:v>
                </c:pt>
                <c:pt idx="875">
                  <c:v>468609.39161686582</c:v>
                </c:pt>
                <c:pt idx="876">
                  <c:v>468930.15820589184</c:v>
                </c:pt>
                <c:pt idx="877">
                  <c:v>469250.66675105941</c:v>
                </c:pt>
                <c:pt idx="878">
                  <c:v>469570.91713603295</c:v>
                </c:pt>
                <c:pt idx="879">
                  <c:v>469890.90924683172</c:v>
                </c:pt>
                <c:pt idx="880">
                  <c:v>470210.64297181461</c:v>
                </c:pt>
                <c:pt idx="881">
                  <c:v>470530.11820166389</c:v>
                </c:pt>
                <c:pt idx="882">
                  <c:v>470849.33482936997</c:v>
                </c:pt>
                <c:pt idx="883">
                  <c:v>471168.29275021615</c:v>
                </c:pt>
                <c:pt idx="884">
                  <c:v>471486.99186176277</c:v>
                </c:pt>
                <c:pt idx="885">
                  <c:v>471805.4320638323</c:v>
                </c:pt>
                <c:pt idx="886">
                  <c:v>472123.61325849371</c:v>
                </c:pt>
                <c:pt idx="887">
                  <c:v>472441.53535004833</c:v>
                </c:pt>
                <c:pt idx="888">
                  <c:v>472759.19824501377</c:v>
                </c:pt>
                <c:pt idx="889">
                  <c:v>473076.6018521096</c:v>
                </c:pt>
                <c:pt idx="890">
                  <c:v>473393.74608224223</c:v>
                </c:pt>
                <c:pt idx="891">
                  <c:v>473710.63084849075</c:v>
                </c:pt>
                <c:pt idx="892">
                  <c:v>474027.25606609153</c:v>
                </c:pt>
                <c:pt idx="893">
                  <c:v>474343.62165242463</c:v>
                </c:pt>
                <c:pt idx="894">
                  <c:v>474659.72752699803</c:v>
                </c:pt>
                <c:pt idx="895">
                  <c:v>474975.57361143461</c:v>
                </c:pt>
                <c:pt idx="896">
                  <c:v>475291.15982945682</c:v>
                </c:pt>
                <c:pt idx="897">
                  <c:v>475606.48610687349</c:v>
                </c:pt>
                <c:pt idx="898">
                  <c:v>475921.55237156455</c:v>
                </c:pt>
                <c:pt idx="899">
                  <c:v>476236.35855346802</c:v>
                </c:pt>
                <c:pt idx="900">
                  <c:v>476550.90458456578</c:v>
                </c:pt>
                <c:pt idx="901">
                  <c:v>476865.19039886928</c:v>
                </c:pt>
                <c:pt idx="902">
                  <c:v>477179.21593240637</c:v>
                </c:pt>
                <c:pt idx="903">
                  <c:v>477492.98112320725</c:v>
                </c:pt>
                <c:pt idx="904">
                  <c:v>477806.48591129115</c:v>
                </c:pt>
                <c:pt idx="905">
                  <c:v>478119.73023865256</c:v>
                </c:pt>
                <c:pt idx="906">
                  <c:v>478432.71404924768</c:v>
                </c:pt>
                <c:pt idx="907">
                  <c:v>478745.43728898169</c:v>
                </c:pt>
                <c:pt idx="908">
                  <c:v>479057.89990569482</c:v>
                </c:pt>
                <c:pt idx="909">
                  <c:v>479370.10184914962</c:v>
                </c:pt>
                <c:pt idx="910">
                  <c:v>479682.04307101725</c:v>
                </c:pt>
                <c:pt idx="911">
                  <c:v>479993.72352486546</c:v>
                </c:pt>
                <c:pt idx="912">
                  <c:v>480305.14316614432</c:v>
                </c:pt>
                <c:pt idx="913">
                  <c:v>480616.3019521751</c:v>
                </c:pt>
                <c:pt idx="914">
                  <c:v>480927.19984213496</c:v>
                </c:pt>
                <c:pt idx="915">
                  <c:v>481237.83679704712</c:v>
                </c:pt>
                <c:pt idx="916">
                  <c:v>481548.21277976618</c:v>
                </c:pt>
                <c:pt idx="917">
                  <c:v>481858.32775496627</c:v>
                </c:pt>
                <c:pt idx="918">
                  <c:v>482168.1816891284</c:v>
                </c:pt>
                <c:pt idx="919">
                  <c:v>482477.77455052873</c:v>
                </c:pt>
                <c:pt idx="920">
                  <c:v>482787.10630922485</c:v>
                </c:pt>
                <c:pt idx="921">
                  <c:v>483096.17693704495</c:v>
                </c:pt>
                <c:pt idx="922">
                  <c:v>483404.98640757502</c:v>
                </c:pt>
                <c:pt idx="923">
                  <c:v>483713.53469614638</c:v>
                </c:pt>
                <c:pt idx="924">
                  <c:v>484021.82177982444</c:v>
                </c:pt>
                <c:pt idx="925">
                  <c:v>484329.84763739613</c:v>
                </c:pt>
                <c:pt idx="926">
                  <c:v>484637.61224935844</c:v>
                </c:pt>
                <c:pt idx="927">
                  <c:v>484945.11559790623</c:v>
                </c:pt>
                <c:pt idx="928">
                  <c:v>485252.35766692064</c:v>
                </c:pt>
                <c:pt idx="929">
                  <c:v>485559.3384419576</c:v>
                </c:pt>
                <c:pt idx="930">
                  <c:v>485866.05791023606</c:v>
                </c:pt>
                <c:pt idx="931">
                  <c:v>486172.51606062613</c:v>
                </c:pt>
                <c:pt idx="932">
                  <c:v>486478.7128836388</c:v>
                </c:pt>
                <c:pt idx="933">
                  <c:v>486784.64837141283</c:v>
                </c:pt>
                <c:pt idx="934">
                  <c:v>487090.32251770492</c:v>
                </c:pt>
                <c:pt idx="935">
                  <c:v>487395.73531787767</c:v>
                </c:pt>
                <c:pt idx="936">
                  <c:v>487700.88676888874</c:v>
                </c:pt>
                <c:pt idx="937">
                  <c:v>488005.77686927962</c:v>
                </c:pt>
                <c:pt idx="938">
                  <c:v>488310.40561916458</c:v>
                </c:pt>
                <c:pt idx="939">
                  <c:v>488614.77302021958</c:v>
                </c:pt>
                <c:pt idx="940">
                  <c:v>488918.87907567166</c:v>
                </c:pt>
                <c:pt idx="941">
                  <c:v>489222.72379028797</c:v>
                </c:pt>
                <c:pt idx="942">
                  <c:v>489526.30717036483</c:v>
                </c:pt>
                <c:pt idx="943">
                  <c:v>489829.62922371749</c:v>
                </c:pt>
                <c:pt idx="944">
                  <c:v>490132.68995966867</c:v>
                </c:pt>
                <c:pt idx="945">
                  <c:v>490435.48938903888</c:v>
                </c:pt>
                <c:pt idx="946">
                  <c:v>490738.02752413542</c:v>
                </c:pt>
                <c:pt idx="947">
                  <c:v>491040.30437874183</c:v>
                </c:pt>
                <c:pt idx="948">
                  <c:v>491342.31996810815</c:v>
                </c:pt>
                <c:pt idx="949">
                  <c:v>491644.07430893974</c:v>
                </c:pt>
                <c:pt idx="950">
                  <c:v>491945.56741938752</c:v>
                </c:pt>
                <c:pt idx="951">
                  <c:v>492246.79931903799</c:v>
                </c:pt>
                <c:pt idx="952">
                  <c:v>492547.77002890245</c:v>
                </c:pt>
                <c:pt idx="953">
                  <c:v>492848.47957140749</c:v>
                </c:pt>
                <c:pt idx="954">
                  <c:v>493148.92797038489</c:v>
                </c:pt>
                <c:pt idx="955">
                  <c:v>493449.11525106145</c:v>
                </c:pt>
                <c:pt idx="956">
                  <c:v>493749.04144004895</c:v>
                </c:pt>
                <c:pt idx="957">
                  <c:v>494048.70656533522</c:v>
                </c:pt>
                <c:pt idx="958">
                  <c:v>494348.11065627338</c:v>
                </c:pt>
                <c:pt idx="959">
                  <c:v>494647.25374357245</c:v>
                </c:pt>
                <c:pt idx="960">
                  <c:v>494946.1358592881</c:v>
                </c:pt>
                <c:pt idx="961">
                  <c:v>495244.75703681266</c:v>
                </c:pt>
                <c:pt idx="962">
                  <c:v>495543.11731086561</c:v>
                </c:pt>
                <c:pt idx="963">
                  <c:v>495841.21671748412</c:v>
                </c:pt>
                <c:pt idx="964">
                  <c:v>496139.05529401387</c:v>
                </c:pt>
                <c:pt idx="965">
                  <c:v>496436.63307909959</c:v>
                </c:pt>
                <c:pt idx="966">
                  <c:v>496733.95011267549</c:v>
                </c:pt>
                <c:pt idx="967">
                  <c:v>497031.00643595646</c:v>
                </c:pt>
                <c:pt idx="968">
                  <c:v>497327.80209142872</c:v>
                </c:pt>
                <c:pt idx="969">
                  <c:v>497624.33712284046</c:v>
                </c:pt>
                <c:pt idx="970">
                  <c:v>497920.61157519335</c:v>
                </c:pt>
                <c:pt idx="971">
                  <c:v>498216.6254947327</c:v>
                </c:pt>
                <c:pt idx="972">
                  <c:v>498512.37892893917</c:v>
                </c:pt>
                <c:pt idx="973">
                  <c:v>498807.8719265199</c:v>
                </c:pt>
                <c:pt idx="974">
                  <c:v>499103.10453739914</c:v>
                </c:pt>
                <c:pt idx="975">
                  <c:v>499398.07681270974</c:v>
                </c:pt>
                <c:pt idx="976">
                  <c:v>499692.78880478471</c:v>
                </c:pt>
                <c:pt idx="977">
                  <c:v>499987.24056714802</c:v>
                </c:pt>
                <c:pt idx="978">
                  <c:v>500281.43215450615</c:v>
                </c:pt>
                <c:pt idx="979">
                  <c:v>500575.36362273985</c:v>
                </c:pt>
                <c:pt idx="980">
                  <c:v>500869.03502889519</c:v>
                </c:pt>
                <c:pt idx="981">
                  <c:v>501162.44643117499</c:v>
                </c:pt>
                <c:pt idx="982">
                  <c:v>501455.59788893105</c:v>
                </c:pt>
                <c:pt idx="983">
                  <c:v>501748.48946265504</c:v>
                </c:pt>
                <c:pt idx="984">
                  <c:v>502041.12121397094</c:v>
                </c:pt>
                <c:pt idx="985">
                  <c:v>502333.49320562597</c:v>
                </c:pt>
                <c:pt idx="986">
                  <c:v>502625.60550148279</c:v>
                </c:pt>
                <c:pt idx="987">
                  <c:v>502917.45816651161</c:v>
                </c:pt>
                <c:pt idx="988">
                  <c:v>503209.05126678146</c:v>
                </c:pt>
                <c:pt idx="989">
                  <c:v>503500.38486945286</c:v>
                </c:pt>
                <c:pt idx="990">
                  <c:v>503791.45904276869</c:v>
                </c:pt>
                <c:pt idx="991">
                  <c:v>504082.27385604783</c:v>
                </c:pt>
                <c:pt idx="992">
                  <c:v>504372.82937967544</c:v>
                </c:pt>
                <c:pt idx="993">
                  <c:v>504663.12568509683</c:v>
                </c:pt>
                <c:pt idx="994">
                  <c:v>504953.16284480836</c:v>
                </c:pt>
                <c:pt idx="995">
                  <c:v>505242.94093235006</c:v>
                </c:pt>
                <c:pt idx="996">
                  <c:v>505532.46002229827</c:v>
                </c:pt>
                <c:pt idx="997">
                  <c:v>505821.72019025759</c:v>
                </c:pt>
                <c:pt idx="998">
                  <c:v>506110.72151285323</c:v>
                </c:pt>
                <c:pt idx="999">
                  <c:v>506399.4640677236</c:v>
                </c:pt>
                <c:pt idx="1000">
                  <c:v>506687.94793351268</c:v>
                </c:pt>
              </c:numCache>
            </c:numRef>
          </c:val>
          <c:smooth val="1"/>
          <c:extLst>
            <c:ext xmlns:c16="http://schemas.microsoft.com/office/drawing/2014/chart" uri="{C3380CC4-5D6E-409C-BE32-E72D297353CC}">
              <c16:uniqueId val="{00000000-EE1B-46D7-BC0E-5D98B6F40C5C}"/>
            </c:ext>
          </c:extLst>
        </c:ser>
        <c:ser>
          <c:idx val="1"/>
          <c:order val="1"/>
          <c:tx>
            <c:v>Full-workload governed risk</c:v>
          </c:tx>
          <c:marker>
            <c:symbol val="none"/>
          </c:marker>
          <c:cat>
            <c:numRef>
              <c:f>BoundedMigration!$B$25:$B$1025</c:f>
              <c:numCache>
                <c:formatCode>0.000</c:formatCode>
                <c:ptCount val="1001"/>
                <c:pt idx="0">
                  <c:v>0</c:v>
                </c:pt>
                <c:pt idx="1">
                  <c:v>0.01</c:v>
                </c:pt>
                <c:pt idx="2">
                  <c:v>0.02</c:v>
                </c:pt>
                <c:pt idx="3">
                  <c:v>0.03</c:v>
                </c:pt>
                <c:pt idx="4">
                  <c:v>0.04</c:v>
                </c:pt>
                <c:pt idx="5">
                  <c:v>0.05</c:v>
                </c:pt>
                <c:pt idx="6">
                  <c:v>0.06</c:v>
                </c:pt>
                <c:pt idx="7">
                  <c:v>7.0000000000000007E-2</c:v>
                </c:pt>
                <c:pt idx="8">
                  <c:v>0.08</c:v>
                </c:pt>
                <c:pt idx="9">
                  <c:v>0.09</c:v>
                </c:pt>
                <c:pt idx="10">
                  <c:v>0.1</c:v>
                </c:pt>
                <c:pt idx="11">
                  <c:v>0.11</c:v>
                </c:pt>
                <c:pt idx="12">
                  <c:v>0.12</c:v>
                </c:pt>
                <c:pt idx="13">
                  <c:v>0.13</c:v>
                </c:pt>
                <c:pt idx="14">
                  <c:v>0.14000000000000001</c:v>
                </c:pt>
                <c:pt idx="15">
                  <c:v>0.15</c:v>
                </c:pt>
                <c:pt idx="16">
                  <c:v>0.16</c:v>
                </c:pt>
                <c:pt idx="17">
                  <c:v>0.17</c:v>
                </c:pt>
                <c:pt idx="18">
                  <c:v>0.18</c:v>
                </c:pt>
                <c:pt idx="19">
                  <c:v>0.19</c:v>
                </c:pt>
                <c:pt idx="20">
                  <c:v>0.2</c:v>
                </c:pt>
                <c:pt idx="21">
                  <c:v>0.21</c:v>
                </c:pt>
                <c:pt idx="22">
                  <c:v>0.22</c:v>
                </c:pt>
                <c:pt idx="23">
                  <c:v>0.23</c:v>
                </c:pt>
                <c:pt idx="24">
                  <c:v>0.24</c:v>
                </c:pt>
                <c:pt idx="25">
                  <c:v>0.25</c:v>
                </c:pt>
                <c:pt idx="26">
                  <c:v>0.26</c:v>
                </c:pt>
                <c:pt idx="27">
                  <c:v>0.27</c:v>
                </c:pt>
                <c:pt idx="28">
                  <c:v>0.28000000000000003</c:v>
                </c:pt>
                <c:pt idx="29">
                  <c:v>0.28999999999999998</c:v>
                </c:pt>
                <c:pt idx="30">
                  <c:v>0.3</c:v>
                </c:pt>
                <c:pt idx="31">
                  <c:v>0.31</c:v>
                </c:pt>
                <c:pt idx="32">
                  <c:v>0.32</c:v>
                </c:pt>
                <c:pt idx="33">
                  <c:v>0.33</c:v>
                </c:pt>
                <c:pt idx="34">
                  <c:v>0.34</c:v>
                </c:pt>
                <c:pt idx="35">
                  <c:v>0.35</c:v>
                </c:pt>
                <c:pt idx="36">
                  <c:v>0.36</c:v>
                </c:pt>
                <c:pt idx="37">
                  <c:v>0.37</c:v>
                </c:pt>
                <c:pt idx="38">
                  <c:v>0.38</c:v>
                </c:pt>
                <c:pt idx="39">
                  <c:v>0.39</c:v>
                </c:pt>
                <c:pt idx="40">
                  <c:v>0.4</c:v>
                </c:pt>
                <c:pt idx="41">
                  <c:v>0.41</c:v>
                </c:pt>
                <c:pt idx="42">
                  <c:v>0.42</c:v>
                </c:pt>
                <c:pt idx="43">
                  <c:v>0.43</c:v>
                </c:pt>
                <c:pt idx="44">
                  <c:v>0.44</c:v>
                </c:pt>
                <c:pt idx="45">
                  <c:v>0.45</c:v>
                </c:pt>
                <c:pt idx="46">
                  <c:v>0.46</c:v>
                </c:pt>
                <c:pt idx="47">
                  <c:v>0.47</c:v>
                </c:pt>
                <c:pt idx="48">
                  <c:v>0.48</c:v>
                </c:pt>
                <c:pt idx="49">
                  <c:v>0.49</c:v>
                </c:pt>
                <c:pt idx="50">
                  <c:v>0.5</c:v>
                </c:pt>
                <c:pt idx="51">
                  <c:v>0.51</c:v>
                </c:pt>
                <c:pt idx="52">
                  <c:v>0.52</c:v>
                </c:pt>
                <c:pt idx="53">
                  <c:v>0.53</c:v>
                </c:pt>
                <c:pt idx="54">
                  <c:v>0.54</c:v>
                </c:pt>
                <c:pt idx="55">
                  <c:v>0.55000000000000004</c:v>
                </c:pt>
                <c:pt idx="56">
                  <c:v>0.56000000000000005</c:v>
                </c:pt>
                <c:pt idx="57">
                  <c:v>0.56999999999999995</c:v>
                </c:pt>
                <c:pt idx="58">
                  <c:v>0.57999999999999996</c:v>
                </c:pt>
                <c:pt idx="59">
                  <c:v>0.59</c:v>
                </c:pt>
                <c:pt idx="60">
                  <c:v>0.6</c:v>
                </c:pt>
                <c:pt idx="61">
                  <c:v>0.61</c:v>
                </c:pt>
                <c:pt idx="62">
                  <c:v>0.62</c:v>
                </c:pt>
                <c:pt idx="63">
                  <c:v>0.63</c:v>
                </c:pt>
                <c:pt idx="64">
                  <c:v>0.64</c:v>
                </c:pt>
                <c:pt idx="65">
                  <c:v>0.65</c:v>
                </c:pt>
                <c:pt idx="66">
                  <c:v>0.66</c:v>
                </c:pt>
                <c:pt idx="67">
                  <c:v>0.67</c:v>
                </c:pt>
                <c:pt idx="68">
                  <c:v>0.68</c:v>
                </c:pt>
                <c:pt idx="69">
                  <c:v>0.69</c:v>
                </c:pt>
                <c:pt idx="70">
                  <c:v>0.7</c:v>
                </c:pt>
                <c:pt idx="71">
                  <c:v>0.71</c:v>
                </c:pt>
                <c:pt idx="72">
                  <c:v>0.72</c:v>
                </c:pt>
                <c:pt idx="73">
                  <c:v>0.73</c:v>
                </c:pt>
                <c:pt idx="74">
                  <c:v>0.74</c:v>
                </c:pt>
                <c:pt idx="75">
                  <c:v>0.75</c:v>
                </c:pt>
                <c:pt idx="76">
                  <c:v>0.76</c:v>
                </c:pt>
                <c:pt idx="77">
                  <c:v>0.77</c:v>
                </c:pt>
                <c:pt idx="78">
                  <c:v>0.78</c:v>
                </c:pt>
                <c:pt idx="79">
                  <c:v>0.79</c:v>
                </c:pt>
                <c:pt idx="80">
                  <c:v>0.8</c:v>
                </c:pt>
                <c:pt idx="81">
                  <c:v>0.81</c:v>
                </c:pt>
                <c:pt idx="82">
                  <c:v>0.82</c:v>
                </c:pt>
                <c:pt idx="83">
                  <c:v>0.83</c:v>
                </c:pt>
                <c:pt idx="84">
                  <c:v>0.84</c:v>
                </c:pt>
                <c:pt idx="85">
                  <c:v>0.85</c:v>
                </c:pt>
                <c:pt idx="86">
                  <c:v>0.86</c:v>
                </c:pt>
                <c:pt idx="87">
                  <c:v>0.87</c:v>
                </c:pt>
                <c:pt idx="88">
                  <c:v>0.88</c:v>
                </c:pt>
                <c:pt idx="89">
                  <c:v>0.89</c:v>
                </c:pt>
                <c:pt idx="90">
                  <c:v>0.9</c:v>
                </c:pt>
                <c:pt idx="91">
                  <c:v>0.91</c:v>
                </c:pt>
                <c:pt idx="92">
                  <c:v>0.92</c:v>
                </c:pt>
                <c:pt idx="93">
                  <c:v>0.93</c:v>
                </c:pt>
                <c:pt idx="94">
                  <c:v>0.94</c:v>
                </c:pt>
                <c:pt idx="95">
                  <c:v>0.95</c:v>
                </c:pt>
                <c:pt idx="96">
                  <c:v>0.96</c:v>
                </c:pt>
                <c:pt idx="97">
                  <c:v>0.97</c:v>
                </c:pt>
                <c:pt idx="98">
                  <c:v>0.98</c:v>
                </c:pt>
                <c:pt idx="99">
                  <c:v>0.99</c:v>
                </c:pt>
                <c:pt idx="100">
                  <c:v>1</c:v>
                </c:pt>
                <c:pt idx="101">
                  <c:v>1.01</c:v>
                </c:pt>
                <c:pt idx="102">
                  <c:v>1.02</c:v>
                </c:pt>
                <c:pt idx="103">
                  <c:v>1.03</c:v>
                </c:pt>
                <c:pt idx="104">
                  <c:v>1.04</c:v>
                </c:pt>
                <c:pt idx="105">
                  <c:v>1.05</c:v>
                </c:pt>
                <c:pt idx="106">
                  <c:v>1.06</c:v>
                </c:pt>
                <c:pt idx="107">
                  <c:v>1.07</c:v>
                </c:pt>
                <c:pt idx="108">
                  <c:v>1.08</c:v>
                </c:pt>
                <c:pt idx="109">
                  <c:v>1.0900000000000001</c:v>
                </c:pt>
                <c:pt idx="110">
                  <c:v>1.1000000000000001</c:v>
                </c:pt>
                <c:pt idx="111">
                  <c:v>1.1100000000000001</c:v>
                </c:pt>
                <c:pt idx="112">
                  <c:v>1.1200000000000001</c:v>
                </c:pt>
                <c:pt idx="113">
                  <c:v>1.1299999999999999</c:v>
                </c:pt>
                <c:pt idx="114">
                  <c:v>1.1399999999999999</c:v>
                </c:pt>
                <c:pt idx="115">
                  <c:v>1.1499999999999999</c:v>
                </c:pt>
                <c:pt idx="116">
                  <c:v>1.1599999999999999</c:v>
                </c:pt>
                <c:pt idx="117">
                  <c:v>1.17</c:v>
                </c:pt>
                <c:pt idx="118">
                  <c:v>1.18</c:v>
                </c:pt>
                <c:pt idx="119">
                  <c:v>1.19</c:v>
                </c:pt>
                <c:pt idx="120">
                  <c:v>1.2</c:v>
                </c:pt>
                <c:pt idx="121">
                  <c:v>1.21</c:v>
                </c:pt>
                <c:pt idx="122">
                  <c:v>1.22</c:v>
                </c:pt>
                <c:pt idx="123">
                  <c:v>1.23</c:v>
                </c:pt>
                <c:pt idx="124">
                  <c:v>1.24</c:v>
                </c:pt>
                <c:pt idx="125">
                  <c:v>1.25</c:v>
                </c:pt>
                <c:pt idx="126">
                  <c:v>1.26</c:v>
                </c:pt>
                <c:pt idx="127">
                  <c:v>1.27</c:v>
                </c:pt>
                <c:pt idx="128">
                  <c:v>1.28</c:v>
                </c:pt>
                <c:pt idx="129">
                  <c:v>1.29</c:v>
                </c:pt>
                <c:pt idx="130">
                  <c:v>1.3</c:v>
                </c:pt>
                <c:pt idx="131">
                  <c:v>1.31</c:v>
                </c:pt>
                <c:pt idx="132">
                  <c:v>1.32</c:v>
                </c:pt>
                <c:pt idx="133">
                  <c:v>1.33</c:v>
                </c:pt>
                <c:pt idx="134">
                  <c:v>1.34</c:v>
                </c:pt>
                <c:pt idx="135">
                  <c:v>1.35</c:v>
                </c:pt>
                <c:pt idx="136">
                  <c:v>1.36</c:v>
                </c:pt>
                <c:pt idx="137">
                  <c:v>1.37</c:v>
                </c:pt>
                <c:pt idx="138">
                  <c:v>1.38</c:v>
                </c:pt>
                <c:pt idx="139">
                  <c:v>1.39</c:v>
                </c:pt>
                <c:pt idx="140">
                  <c:v>1.4</c:v>
                </c:pt>
                <c:pt idx="141">
                  <c:v>1.41</c:v>
                </c:pt>
                <c:pt idx="142">
                  <c:v>1.42</c:v>
                </c:pt>
                <c:pt idx="143">
                  <c:v>1.43</c:v>
                </c:pt>
                <c:pt idx="144">
                  <c:v>1.44</c:v>
                </c:pt>
                <c:pt idx="145">
                  <c:v>1.45</c:v>
                </c:pt>
                <c:pt idx="146">
                  <c:v>1.46</c:v>
                </c:pt>
                <c:pt idx="147">
                  <c:v>1.47</c:v>
                </c:pt>
                <c:pt idx="148">
                  <c:v>1.48</c:v>
                </c:pt>
                <c:pt idx="149">
                  <c:v>1.49</c:v>
                </c:pt>
                <c:pt idx="150">
                  <c:v>1.5</c:v>
                </c:pt>
                <c:pt idx="151">
                  <c:v>1.51</c:v>
                </c:pt>
                <c:pt idx="152">
                  <c:v>1.52</c:v>
                </c:pt>
                <c:pt idx="153">
                  <c:v>1.53</c:v>
                </c:pt>
                <c:pt idx="154">
                  <c:v>1.54</c:v>
                </c:pt>
                <c:pt idx="155">
                  <c:v>1.55</c:v>
                </c:pt>
                <c:pt idx="156">
                  <c:v>1.56</c:v>
                </c:pt>
                <c:pt idx="157">
                  <c:v>1.57</c:v>
                </c:pt>
                <c:pt idx="158">
                  <c:v>1.58</c:v>
                </c:pt>
                <c:pt idx="159">
                  <c:v>1.59</c:v>
                </c:pt>
                <c:pt idx="160">
                  <c:v>1.6</c:v>
                </c:pt>
                <c:pt idx="161">
                  <c:v>1.61</c:v>
                </c:pt>
                <c:pt idx="162">
                  <c:v>1.62</c:v>
                </c:pt>
                <c:pt idx="163">
                  <c:v>1.63</c:v>
                </c:pt>
                <c:pt idx="164">
                  <c:v>1.64</c:v>
                </c:pt>
                <c:pt idx="165">
                  <c:v>1.65</c:v>
                </c:pt>
                <c:pt idx="166">
                  <c:v>1.66</c:v>
                </c:pt>
                <c:pt idx="167">
                  <c:v>1.67</c:v>
                </c:pt>
                <c:pt idx="168">
                  <c:v>1.68</c:v>
                </c:pt>
                <c:pt idx="169">
                  <c:v>1.69</c:v>
                </c:pt>
                <c:pt idx="170">
                  <c:v>1.7</c:v>
                </c:pt>
                <c:pt idx="171">
                  <c:v>1.71</c:v>
                </c:pt>
                <c:pt idx="172">
                  <c:v>1.72</c:v>
                </c:pt>
                <c:pt idx="173">
                  <c:v>1.73</c:v>
                </c:pt>
                <c:pt idx="174">
                  <c:v>1.74</c:v>
                </c:pt>
                <c:pt idx="175">
                  <c:v>1.75</c:v>
                </c:pt>
                <c:pt idx="176">
                  <c:v>1.76</c:v>
                </c:pt>
                <c:pt idx="177">
                  <c:v>1.77</c:v>
                </c:pt>
                <c:pt idx="178">
                  <c:v>1.78</c:v>
                </c:pt>
                <c:pt idx="179">
                  <c:v>1.79</c:v>
                </c:pt>
                <c:pt idx="180">
                  <c:v>1.8</c:v>
                </c:pt>
                <c:pt idx="181">
                  <c:v>1.81</c:v>
                </c:pt>
                <c:pt idx="182">
                  <c:v>1.82</c:v>
                </c:pt>
                <c:pt idx="183">
                  <c:v>1.83</c:v>
                </c:pt>
                <c:pt idx="184">
                  <c:v>1.84</c:v>
                </c:pt>
                <c:pt idx="185">
                  <c:v>1.85</c:v>
                </c:pt>
                <c:pt idx="186">
                  <c:v>1.86</c:v>
                </c:pt>
                <c:pt idx="187">
                  <c:v>1.87</c:v>
                </c:pt>
                <c:pt idx="188">
                  <c:v>1.88</c:v>
                </c:pt>
                <c:pt idx="189">
                  <c:v>1.89</c:v>
                </c:pt>
                <c:pt idx="190">
                  <c:v>1.9</c:v>
                </c:pt>
                <c:pt idx="191">
                  <c:v>1.91</c:v>
                </c:pt>
                <c:pt idx="192">
                  <c:v>1.92</c:v>
                </c:pt>
                <c:pt idx="193">
                  <c:v>1.93</c:v>
                </c:pt>
                <c:pt idx="194">
                  <c:v>1.94</c:v>
                </c:pt>
                <c:pt idx="195">
                  <c:v>1.95</c:v>
                </c:pt>
                <c:pt idx="196">
                  <c:v>1.96</c:v>
                </c:pt>
                <c:pt idx="197">
                  <c:v>1.97</c:v>
                </c:pt>
                <c:pt idx="198">
                  <c:v>1.98</c:v>
                </c:pt>
                <c:pt idx="199">
                  <c:v>1.99</c:v>
                </c:pt>
                <c:pt idx="200">
                  <c:v>2</c:v>
                </c:pt>
                <c:pt idx="201">
                  <c:v>2.0099999999999998</c:v>
                </c:pt>
                <c:pt idx="202">
                  <c:v>2.02</c:v>
                </c:pt>
                <c:pt idx="203">
                  <c:v>2.0299999999999998</c:v>
                </c:pt>
                <c:pt idx="204">
                  <c:v>2.04</c:v>
                </c:pt>
                <c:pt idx="205">
                  <c:v>2.0499999999999998</c:v>
                </c:pt>
                <c:pt idx="206">
                  <c:v>2.06</c:v>
                </c:pt>
                <c:pt idx="207">
                  <c:v>2.0699999999999998</c:v>
                </c:pt>
                <c:pt idx="208">
                  <c:v>2.08</c:v>
                </c:pt>
                <c:pt idx="209">
                  <c:v>2.09</c:v>
                </c:pt>
                <c:pt idx="210">
                  <c:v>2.1</c:v>
                </c:pt>
                <c:pt idx="211">
                  <c:v>2.11</c:v>
                </c:pt>
                <c:pt idx="212">
                  <c:v>2.12</c:v>
                </c:pt>
                <c:pt idx="213">
                  <c:v>2.13</c:v>
                </c:pt>
                <c:pt idx="214">
                  <c:v>2.14</c:v>
                </c:pt>
                <c:pt idx="215">
                  <c:v>2.15</c:v>
                </c:pt>
                <c:pt idx="216">
                  <c:v>2.16</c:v>
                </c:pt>
                <c:pt idx="217">
                  <c:v>2.17</c:v>
                </c:pt>
                <c:pt idx="218">
                  <c:v>2.1800000000000002</c:v>
                </c:pt>
                <c:pt idx="219">
                  <c:v>2.19</c:v>
                </c:pt>
                <c:pt idx="220">
                  <c:v>2.2000000000000002</c:v>
                </c:pt>
                <c:pt idx="221">
                  <c:v>2.21</c:v>
                </c:pt>
                <c:pt idx="222">
                  <c:v>2.2200000000000002</c:v>
                </c:pt>
                <c:pt idx="223">
                  <c:v>2.23</c:v>
                </c:pt>
                <c:pt idx="224">
                  <c:v>2.2400000000000002</c:v>
                </c:pt>
                <c:pt idx="225">
                  <c:v>2.25</c:v>
                </c:pt>
                <c:pt idx="226">
                  <c:v>2.2599999999999998</c:v>
                </c:pt>
                <c:pt idx="227">
                  <c:v>2.27</c:v>
                </c:pt>
                <c:pt idx="228">
                  <c:v>2.2799999999999998</c:v>
                </c:pt>
                <c:pt idx="229">
                  <c:v>2.29</c:v>
                </c:pt>
                <c:pt idx="230">
                  <c:v>2.2999999999999998</c:v>
                </c:pt>
                <c:pt idx="231">
                  <c:v>2.31</c:v>
                </c:pt>
                <c:pt idx="232">
                  <c:v>2.3199999999999998</c:v>
                </c:pt>
                <c:pt idx="233">
                  <c:v>2.33</c:v>
                </c:pt>
                <c:pt idx="234">
                  <c:v>2.34</c:v>
                </c:pt>
                <c:pt idx="235">
                  <c:v>2.35</c:v>
                </c:pt>
                <c:pt idx="236">
                  <c:v>2.36</c:v>
                </c:pt>
                <c:pt idx="237">
                  <c:v>2.37</c:v>
                </c:pt>
                <c:pt idx="238">
                  <c:v>2.38</c:v>
                </c:pt>
                <c:pt idx="239">
                  <c:v>2.39</c:v>
                </c:pt>
                <c:pt idx="240">
                  <c:v>2.4</c:v>
                </c:pt>
                <c:pt idx="241">
                  <c:v>2.41</c:v>
                </c:pt>
                <c:pt idx="242">
                  <c:v>2.42</c:v>
                </c:pt>
                <c:pt idx="243">
                  <c:v>2.4300000000000002</c:v>
                </c:pt>
                <c:pt idx="244">
                  <c:v>2.44</c:v>
                </c:pt>
                <c:pt idx="245">
                  <c:v>2.4500000000000002</c:v>
                </c:pt>
                <c:pt idx="246">
                  <c:v>2.46</c:v>
                </c:pt>
                <c:pt idx="247">
                  <c:v>2.4700000000000002</c:v>
                </c:pt>
                <c:pt idx="248">
                  <c:v>2.48</c:v>
                </c:pt>
                <c:pt idx="249">
                  <c:v>2.4900000000000002</c:v>
                </c:pt>
                <c:pt idx="250">
                  <c:v>2.5</c:v>
                </c:pt>
                <c:pt idx="251">
                  <c:v>2.5099999999999998</c:v>
                </c:pt>
                <c:pt idx="252">
                  <c:v>2.52</c:v>
                </c:pt>
                <c:pt idx="253">
                  <c:v>2.5299999999999998</c:v>
                </c:pt>
                <c:pt idx="254">
                  <c:v>2.54</c:v>
                </c:pt>
                <c:pt idx="255">
                  <c:v>2.5499999999999998</c:v>
                </c:pt>
                <c:pt idx="256">
                  <c:v>2.56</c:v>
                </c:pt>
                <c:pt idx="257">
                  <c:v>2.57</c:v>
                </c:pt>
                <c:pt idx="258">
                  <c:v>2.58</c:v>
                </c:pt>
                <c:pt idx="259">
                  <c:v>2.59</c:v>
                </c:pt>
                <c:pt idx="260">
                  <c:v>2.6</c:v>
                </c:pt>
                <c:pt idx="261">
                  <c:v>2.61</c:v>
                </c:pt>
                <c:pt idx="262">
                  <c:v>2.62</c:v>
                </c:pt>
                <c:pt idx="263">
                  <c:v>2.63</c:v>
                </c:pt>
                <c:pt idx="264">
                  <c:v>2.64</c:v>
                </c:pt>
                <c:pt idx="265">
                  <c:v>2.65</c:v>
                </c:pt>
                <c:pt idx="266">
                  <c:v>2.66</c:v>
                </c:pt>
                <c:pt idx="267">
                  <c:v>2.67</c:v>
                </c:pt>
                <c:pt idx="268">
                  <c:v>2.68</c:v>
                </c:pt>
                <c:pt idx="269">
                  <c:v>2.69</c:v>
                </c:pt>
                <c:pt idx="270">
                  <c:v>2.7</c:v>
                </c:pt>
                <c:pt idx="271">
                  <c:v>2.71</c:v>
                </c:pt>
                <c:pt idx="272">
                  <c:v>2.72</c:v>
                </c:pt>
                <c:pt idx="273">
                  <c:v>2.73</c:v>
                </c:pt>
                <c:pt idx="274">
                  <c:v>2.74</c:v>
                </c:pt>
                <c:pt idx="275">
                  <c:v>2.75</c:v>
                </c:pt>
                <c:pt idx="276">
                  <c:v>2.76</c:v>
                </c:pt>
                <c:pt idx="277">
                  <c:v>2.77</c:v>
                </c:pt>
                <c:pt idx="278">
                  <c:v>2.78</c:v>
                </c:pt>
                <c:pt idx="279">
                  <c:v>2.79</c:v>
                </c:pt>
                <c:pt idx="280">
                  <c:v>2.8</c:v>
                </c:pt>
                <c:pt idx="281">
                  <c:v>2.81</c:v>
                </c:pt>
                <c:pt idx="282">
                  <c:v>2.82</c:v>
                </c:pt>
                <c:pt idx="283">
                  <c:v>2.83</c:v>
                </c:pt>
                <c:pt idx="284">
                  <c:v>2.84</c:v>
                </c:pt>
                <c:pt idx="285">
                  <c:v>2.85</c:v>
                </c:pt>
                <c:pt idx="286">
                  <c:v>2.86</c:v>
                </c:pt>
                <c:pt idx="287">
                  <c:v>2.87</c:v>
                </c:pt>
                <c:pt idx="288">
                  <c:v>2.88</c:v>
                </c:pt>
                <c:pt idx="289">
                  <c:v>2.89</c:v>
                </c:pt>
                <c:pt idx="290">
                  <c:v>2.9</c:v>
                </c:pt>
                <c:pt idx="291">
                  <c:v>2.91</c:v>
                </c:pt>
                <c:pt idx="292">
                  <c:v>2.92</c:v>
                </c:pt>
                <c:pt idx="293">
                  <c:v>2.93</c:v>
                </c:pt>
                <c:pt idx="294">
                  <c:v>2.94</c:v>
                </c:pt>
                <c:pt idx="295">
                  <c:v>2.95</c:v>
                </c:pt>
                <c:pt idx="296">
                  <c:v>2.96</c:v>
                </c:pt>
                <c:pt idx="297">
                  <c:v>2.97</c:v>
                </c:pt>
                <c:pt idx="298">
                  <c:v>2.98</c:v>
                </c:pt>
                <c:pt idx="299">
                  <c:v>2.99</c:v>
                </c:pt>
                <c:pt idx="300">
                  <c:v>3</c:v>
                </c:pt>
                <c:pt idx="301">
                  <c:v>3.01</c:v>
                </c:pt>
                <c:pt idx="302">
                  <c:v>3.02</c:v>
                </c:pt>
                <c:pt idx="303">
                  <c:v>3.03</c:v>
                </c:pt>
                <c:pt idx="304">
                  <c:v>3.04</c:v>
                </c:pt>
                <c:pt idx="305">
                  <c:v>3.05</c:v>
                </c:pt>
                <c:pt idx="306">
                  <c:v>3.06</c:v>
                </c:pt>
                <c:pt idx="307">
                  <c:v>3.07</c:v>
                </c:pt>
                <c:pt idx="308">
                  <c:v>3.08</c:v>
                </c:pt>
                <c:pt idx="309">
                  <c:v>3.09</c:v>
                </c:pt>
                <c:pt idx="310">
                  <c:v>3.1</c:v>
                </c:pt>
                <c:pt idx="311">
                  <c:v>3.11</c:v>
                </c:pt>
                <c:pt idx="312">
                  <c:v>3.12</c:v>
                </c:pt>
                <c:pt idx="313">
                  <c:v>3.13</c:v>
                </c:pt>
                <c:pt idx="314">
                  <c:v>3.14</c:v>
                </c:pt>
                <c:pt idx="315">
                  <c:v>3.15</c:v>
                </c:pt>
                <c:pt idx="316">
                  <c:v>3.16</c:v>
                </c:pt>
                <c:pt idx="317">
                  <c:v>3.17</c:v>
                </c:pt>
                <c:pt idx="318">
                  <c:v>3.18</c:v>
                </c:pt>
                <c:pt idx="319">
                  <c:v>3.19</c:v>
                </c:pt>
                <c:pt idx="320">
                  <c:v>3.2</c:v>
                </c:pt>
                <c:pt idx="321">
                  <c:v>3.21</c:v>
                </c:pt>
                <c:pt idx="322">
                  <c:v>3.22</c:v>
                </c:pt>
                <c:pt idx="323">
                  <c:v>3.23</c:v>
                </c:pt>
                <c:pt idx="324">
                  <c:v>3.24</c:v>
                </c:pt>
                <c:pt idx="325">
                  <c:v>3.25</c:v>
                </c:pt>
                <c:pt idx="326">
                  <c:v>3.26</c:v>
                </c:pt>
                <c:pt idx="327">
                  <c:v>3.27</c:v>
                </c:pt>
                <c:pt idx="328">
                  <c:v>3.28</c:v>
                </c:pt>
                <c:pt idx="329">
                  <c:v>3.29</c:v>
                </c:pt>
                <c:pt idx="330">
                  <c:v>3.3</c:v>
                </c:pt>
                <c:pt idx="331">
                  <c:v>3.31</c:v>
                </c:pt>
                <c:pt idx="332">
                  <c:v>3.32</c:v>
                </c:pt>
                <c:pt idx="333">
                  <c:v>3.33</c:v>
                </c:pt>
                <c:pt idx="334">
                  <c:v>3.34</c:v>
                </c:pt>
                <c:pt idx="335">
                  <c:v>3.35</c:v>
                </c:pt>
                <c:pt idx="336">
                  <c:v>3.36</c:v>
                </c:pt>
                <c:pt idx="337">
                  <c:v>3.37</c:v>
                </c:pt>
                <c:pt idx="338">
                  <c:v>3.38</c:v>
                </c:pt>
                <c:pt idx="339">
                  <c:v>3.39</c:v>
                </c:pt>
                <c:pt idx="340">
                  <c:v>3.4</c:v>
                </c:pt>
                <c:pt idx="341">
                  <c:v>3.41</c:v>
                </c:pt>
                <c:pt idx="342">
                  <c:v>3.42</c:v>
                </c:pt>
                <c:pt idx="343">
                  <c:v>3.43</c:v>
                </c:pt>
                <c:pt idx="344">
                  <c:v>3.44</c:v>
                </c:pt>
                <c:pt idx="345">
                  <c:v>3.45</c:v>
                </c:pt>
                <c:pt idx="346">
                  <c:v>3.46</c:v>
                </c:pt>
                <c:pt idx="347">
                  <c:v>3.47</c:v>
                </c:pt>
                <c:pt idx="348">
                  <c:v>3.48</c:v>
                </c:pt>
                <c:pt idx="349">
                  <c:v>3.49</c:v>
                </c:pt>
                <c:pt idx="350">
                  <c:v>3.5</c:v>
                </c:pt>
                <c:pt idx="351">
                  <c:v>3.51</c:v>
                </c:pt>
                <c:pt idx="352">
                  <c:v>3.52</c:v>
                </c:pt>
                <c:pt idx="353">
                  <c:v>3.53</c:v>
                </c:pt>
                <c:pt idx="354">
                  <c:v>3.54</c:v>
                </c:pt>
                <c:pt idx="355">
                  <c:v>3.55</c:v>
                </c:pt>
                <c:pt idx="356">
                  <c:v>3.56</c:v>
                </c:pt>
                <c:pt idx="357">
                  <c:v>3.57</c:v>
                </c:pt>
                <c:pt idx="358">
                  <c:v>3.58</c:v>
                </c:pt>
                <c:pt idx="359">
                  <c:v>3.59</c:v>
                </c:pt>
                <c:pt idx="360">
                  <c:v>3.6</c:v>
                </c:pt>
                <c:pt idx="361">
                  <c:v>3.61</c:v>
                </c:pt>
                <c:pt idx="362">
                  <c:v>3.62</c:v>
                </c:pt>
                <c:pt idx="363">
                  <c:v>3.63</c:v>
                </c:pt>
                <c:pt idx="364">
                  <c:v>3.64</c:v>
                </c:pt>
                <c:pt idx="365">
                  <c:v>3.65</c:v>
                </c:pt>
                <c:pt idx="366">
                  <c:v>3.66</c:v>
                </c:pt>
                <c:pt idx="367">
                  <c:v>3.67</c:v>
                </c:pt>
                <c:pt idx="368">
                  <c:v>3.68</c:v>
                </c:pt>
                <c:pt idx="369">
                  <c:v>3.69</c:v>
                </c:pt>
                <c:pt idx="370">
                  <c:v>3.7</c:v>
                </c:pt>
                <c:pt idx="371">
                  <c:v>3.71</c:v>
                </c:pt>
                <c:pt idx="372">
                  <c:v>3.72</c:v>
                </c:pt>
                <c:pt idx="373">
                  <c:v>3.73</c:v>
                </c:pt>
                <c:pt idx="374">
                  <c:v>3.74</c:v>
                </c:pt>
                <c:pt idx="375">
                  <c:v>3.75</c:v>
                </c:pt>
                <c:pt idx="376">
                  <c:v>3.76</c:v>
                </c:pt>
                <c:pt idx="377">
                  <c:v>3.77</c:v>
                </c:pt>
                <c:pt idx="378">
                  <c:v>3.78</c:v>
                </c:pt>
                <c:pt idx="379">
                  <c:v>3.79</c:v>
                </c:pt>
                <c:pt idx="380">
                  <c:v>3.8</c:v>
                </c:pt>
                <c:pt idx="381">
                  <c:v>3.81</c:v>
                </c:pt>
                <c:pt idx="382">
                  <c:v>3.82</c:v>
                </c:pt>
                <c:pt idx="383">
                  <c:v>3.83</c:v>
                </c:pt>
                <c:pt idx="384">
                  <c:v>3.84</c:v>
                </c:pt>
                <c:pt idx="385">
                  <c:v>3.85</c:v>
                </c:pt>
                <c:pt idx="386">
                  <c:v>3.86</c:v>
                </c:pt>
                <c:pt idx="387">
                  <c:v>3.87</c:v>
                </c:pt>
                <c:pt idx="388">
                  <c:v>3.88</c:v>
                </c:pt>
                <c:pt idx="389">
                  <c:v>3.89</c:v>
                </c:pt>
                <c:pt idx="390">
                  <c:v>3.9</c:v>
                </c:pt>
                <c:pt idx="391">
                  <c:v>3.91</c:v>
                </c:pt>
                <c:pt idx="392">
                  <c:v>3.92</c:v>
                </c:pt>
                <c:pt idx="393">
                  <c:v>3.93</c:v>
                </c:pt>
                <c:pt idx="394">
                  <c:v>3.94</c:v>
                </c:pt>
                <c:pt idx="395">
                  <c:v>3.95</c:v>
                </c:pt>
                <c:pt idx="396">
                  <c:v>3.96</c:v>
                </c:pt>
                <c:pt idx="397">
                  <c:v>3.97</c:v>
                </c:pt>
                <c:pt idx="398">
                  <c:v>3.98</c:v>
                </c:pt>
                <c:pt idx="399">
                  <c:v>3.99</c:v>
                </c:pt>
                <c:pt idx="400">
                  <c:v>4</c:v>
                </c:pt>
                <c:pt idx="401">
                  <c:v>4.01</c:v>
                </c:pt>
                <c:pt idx="402">
                  <c:v>4.0199999999999996</c:v>
                </c:pt>
                <c:pt idx="403">
                  <c:v>4.03</c:v>
                </c:pt>
                <c:pt idx="404">
                  <c:v>4.04</c:v>
                </c:pt>
                <c:pt idx="405">
                  <c:v>4.05</c:v>
                </c:pt>
                <c:pt idx="406">
                  <c:v>4.0599999999999996</c:v>
                </c:pt>
                <c:pt idx="407">
                  <c:v>4.07</c:v>
                </c:pt>
                <c:pt idx="408">
                  <c:v>4.08</c:v>
                </c:pt>
                <c:pt idx="409">
                  <c:v>4.09</c:v>
                </c:pt>
                <c:pt idx="410">
                  <c:v>4.0999999999999996</c:v>
                </c:pt>
                <c:pt idx="411">
                  <c:v>4.1100000000000003</c:v>
                </c:pt>
                <c:pt idx="412">
                  <c:v>4.12</c:v>
                </c:pt>
                <c:pt idx="413">
                  <c:v>4.13</c:v>
                </c:pt>
                <c:pt idx="414">
                  <c:v>4.1399999999999997</c:v>
                </c:pt>
                <c:pt idx="415">
                  <c:v>4.1500000000000004</c:v>
                </c:pt>
                <c:pt idx="416">
                  <c:v>4.16</c:v>
                </c:pt>
                <c:pt idx="417">
                  <c:v>4.17</c:v>
                </c:pt>
                <c:pt idx="418">
                  <c:v>4.18</c:v>
                </c:pt>
                <c:pt idx="419">
                  <c:v>4.1900000000000004</c:v>
                </c:pt>
                <c:pt idx="420">
                  <c:v>4.2</c:v>
                </c:pt>
                <c:pt idx="421">
                  <c:v>4.21</c:v>
                </c:pt>
                <c:pt idx="422">
                  <c:v>4.22</c:v>
                </c:pt>
                <c:pt idx="423">
                  <c:v>4.2300000000000004</c:v>
                </c:pt>
                <c:pt idx="424">
                  <c:v>4.24</c:v>
                </c:pt>
                <c:pt idx="425">
                  <c:v>4.25</c:v>
                </c:pt>
                <c:pt idx="426">
                  <c:v>4.26</c:v>
                </c:pt>
                <c:pt idx="427">
                  <c:v>4.2699999999999996</c:v>
                </c:pt>
                <c:pt idx="428">
                  <c:v>4.28</c:v>
                </c:pt>
                <c:pt idx="429">
                  <c:v>4.29</c:v>
                </c:pt>
                <c:pt idx="430">
                  <c:v>4.3</c:v>
                </c:pt>
                <c:pt idx="431">
                  <c:v>4.3099999999999996</c:v>
                </c:pt>
                <c:pt idx="432">
                  <c:v>4.32</c:v>
                </c:pt>
                <c:pt idx="433">
                  <c:v>4.33</c:v>
                </c:pt>
                <c:pt idx="434">
                  <c:v>4.34</c:v>
                </c:pt>
                <c:pt idx="435">
                  <c:v>4.3499999999999996</c:v>
                </c:pt>
                <c:pt idx="436">
                  <c:v>4.3600000000000003</c:v>
                </c:pt>
                <c:pt idx="437">
                  <c:v>4.37</c:v>
                </c:pt>
                <c:pt idx="438">
                  <c:v>4.38</c:v>
                </c:pt>
                <c:pt idx="439">
                  <c:v>4.3899999999999997</c:v>
                </c:pt>
                <c:pt idx="440">
                  <c:v>4.4000000000000004</c:v>
                </c:pt>
                <c:pt idx="441">
                  <c:v>4.41</c:v>
                </c:pt>
                <c:pt idx="442">
                  <c:v>4.42</c:v>
                </c:pt>
                <c:pt idx="443">
                  <c:v>4.43</c:v>
                </c:pt>
                <c:pt idx="444">
                  <c:v>4.4400000000000004</c:v>
                </c:pt>
                <c:pt idx="445">
                  <c:v>4.45</c:v>
                </c:pt>
                <c:pt idx="446">
                  <c:v>4.46</c:v>
                </c:pt>
                <c:pt idx="447">
                  <c:v>4.47</c:v>
                </c:pt>
                <c:pt idx="448">
                  <c:v>4.4800000000000004</c:v>
                </c:pt>
                <c:pt idx="449">
                  <c:v>4.49</c:v>
                </c:pt>
                <c:pt idx="450">
                  <c:v>4.5</c:v>
                </c:pt>
                <c:pt idx="451">
                  <c:v>4.51</c:v>
                </c:pt>
                <c:pt idx="452">
                  <c:v>4.5199999999999996</c:v>
                </c:pt>
                <c:pt idx="453">
                  <c:v>4.53</c:v>
                </c:pt>
                <c:pt idx="454">
                  <c:v>4.54</c:v>
                </c:pt>
                <c:pt idx="455">
                  <c:v>4.55</c:v>
                </c:pt>
                <c:pt idx="456">
                  <c:v>4.5599999999999996</c:v>
                </c:pt>
                <c:pt idx="457">
                  <c:v>4.57</c:v>
                </c:pt>
                <c:pt idx="458">
                  <c:v>4.58</c:v>
                </c:pt>
                <c:pt idx="459">
                  <c:v>4.59</c:v>
                </c:pt>
                <c:pt idx="460">
                  <c:v>4.5999999999999996</c:v>
                </c:pt>
                <c:pt idx="461">
                  <c:v>4.6100000000000003</c:v>
                </c:pt>
                <c:pt idx="462">
                  <c:v>4.62</c:v>
                </c:pt>
                <c:pt idx="463">
                  <c:v>4.63</c:v>
                </c:pt>
                <c:pt idx="464">
                  <c:v>4.6399999999999997</c:v>
                </c:pt>
                <c:pt idx="465">
                  <c:v>4.6500000000000004</c:v>
                </c:pt>
                <c:pt idx="466">
                  <c:v>4.66</c:v>
                </c:pt>
                <c:pt idx="467">
                  <c:v>4.67</c:v>
                </c:pt>
                <c:pt idx="468">
                  <c:v>4.68</c:v>
                </c:pt>
                <c:pt idx="469">
                  <c:v>4.6900000000000004</c:v>
                </c:pt>
                <c:pt idx="470">
                  <c:v>4.7</c:v>
                </c:pt>
                <c:pt idx="471">
                  <c:v>4.71</c:v>
                </c:pt>
                <c:pt idx="472">
                  <c:v>4.72</c:v>
                </c:pt>
                <c:pt idx="473">
                  <c:v>4.7300000000000004</c:v>
                </c:pt>
                <c:pt idx="474">
                  <c:v>4.74</c:v>
                </c:pt>
                <c:pt idx="475">
                  <c:v>4.75</c:v>
                </c:pt>
                <c:pt idx="476">
                  <c:v>4.76</c:v>
                </c:pt>
                <c:pt idx="477">
                  <c:v>4.7699999999999996</c:v>
                </c:pt>
                <c:pt idx="478">
                  <c:v>4.78</c:v>
                </c:pt>
                <c:pt idx="479">
                  <c:v>4.79</c:v>
                </c:pt>
                <c:pt idx="480">
                  <c:v>4.8</c:v>
                </c:pt>
                <c:pt idx="481">
                  <c:v>4.8099999999999996</c:v>
                </c:pt>
                <c:pt idx="482">
                  <c:v>4.82</c:v>
                </c:pt>
                <c:pt idx="483">
                  <c:v>4.83</c:v>
                </c:pt>
                <c:pt idx="484">
                  <c:v>4.84</c:v>
                </c:pt>
                <c:pt idx="485">
                  <c:v>4.8499999999999996</c:v>
                </c:pt>
                <c:pt idx="486">
                  <c:v>4.8600000000000003</c:v>
                </c:pt>
                <c:pt idx="487">
                  <c:v>4.87</c:v>
                </c:pt>
                <c:pt idx="488">
                  <c:v>4.88</c:v>
                </c:pt>
                <c:pt idx="489">
                  <c:v>4.8899999999999997</c:v>
                </c:pt>
                <c:pt idx="490">
                  <c:v>4.9000000000000004</c:v>
                </c:pt>
                <c:pt idx="491">
                  <c:v>4.91</c:v>
                </c:pt>
                <c:pt idx="492">
                  <c:v>4.92</c:v>
                </c:pt>
                <c:pt idx="493">
                  <c:v>4.93</c:v>
                </c:pt>
                <c:pt idx="494">
                  <c:v>4.9400000000000004</c:v>
                </c:pt>
                <c:pt idx="495">
                  <c:v>4.95</c:v>
                </c:pt>
                <c:pt idx="496">
                  <c:v>4.96</c:v>
                </c:pt>
                <c:pt idx="497">
                  <c:v>4.97</c:v>
                </c:pt>
                <c:pt idx="498">
                  <c:v>4.9800000000000004</c:v>
                </c:pt>
                <c:pt idx="499">
                  <c:v>4.99</c:v>
                </c:pt>
                <c:pt idx="500">
                  <c:v>5</c:v>
                </c:pt>
                <c:pt idx="501">
                  <c:v>5.01</c:v>
                </c:pt>
                <c:pt idx="502">
                  <c:v>5.0199999999999996</c:v>
                </c:pt>
                <c:pt idx="503">
                  <c:v>5.03</c:v>
                </c:pt>
                <c:pt idx="504">
                  <c:v>5.04</c:v>
                </c:pt>
                <c:pt idx="505">
                  <c:v>5.05</c:v>
                </c:pt>
                <c:pt idx="506">
                  <c:v>5.0599999999999996</c:v>
                </c:pt>
                <c:pt idx="507">
                  <c:v>5.07</c:v>
                </c:pt>
                <c:pt idx="508">
                  <c:v>5.08</c:v>
                </c:pt>
                <c:pt idx="509">
                  <c:v>5.09</c:v>
                </c:pt>
                <c:pt idx="510">
                  <c:v>5.0999999999999996</c:v>
                </c:pt>
                <c:pt idx="511">
                  <c:v>5.1100000000000003</c:v>
                </c:pt>
                <c:pt idx="512">
                  <c:v>5.12</c:v>
                </c:pt>
                <c:pt idx="513">
                  <c:v>5.13</c:v>
                </c:pt>
                <c:pt idx="514">
                  <c:v>5.14</c:v>
                </c:pt>
                <c:pt idx="515">
                  <c:v>5.15</c:v>
                </c:pt>
                <c:pt idx="516">
                  <c:v>5.16</c:v>
                </c:pt>
                <c:pt idx="517">
                  <c:v>5.17</c:v>
                </c:pt>
                <c:pt idx="518">
                  <c:v>5.18</c:v>
                </c:pt>
                <c:pt idx="519">
                  <c:v>5.19</c:v>
                </c:pt>
                <c:pt idx="520">
                  <c:v>5.2</c:v>
                </c:pt>
                <c:pt idx="521">
                  <c:v>5.21</c:v>
                </c:pt>
                <c:pt idx="522">
                  <c:v>5.22</c:v>
                </c:pt>
                <c:pt idx="523">
                  <c:v>5.23</c:v>
                </c:pt>
                <c:pt idx="524">
                  <c:v>5.24</c:v>
                </c:pt>
                <c:pt idx="525">
                  <c:v>5.25</c:v>
                </c:pt>
                <c:pt idx="526">
                  <c:v>5.26</c:v>
                </c:pt>
                <c:pt idx="527">
                  <c:v>5.27</c:v>
                </c:pt>
                <c:pt idx="528">
                  <c:v>5.28</c:v>
                </c:pt>
                <c:pt idx="529">
                  <c:v>5.29</c:v>
                </c:pt>
                <c:pt idx="530">
                  <c:v>5.3</c:v>
                </c:pt>
                <c:pt idx="531">
                  <c:v>5.31</c:v>
                </c:pt>
                <c:pt idx="532">
                  <c:v>5.32</c:v>
                </c:pt>
                <c:pt idx="533">
                  <c:v>5.33</c:v>
                </c:pt>
                <c:pt idx="534">
                  <c:v>5.34</c:v>
                </c:pt>
                <c:pt idx="535">
                  <c:v>5.35</c:v>
                </c:pt>
                <c:pt idx="536">
                  <c:v>5.36</c:v>
                </c:pt>
                <c:pt idx="537">
                  <c:v>5.37</c:v>
                </c:pt>
                <c:pt idx="538">
                  <c:v>5.38</c:v>
                </c:pt>
                <c:pt idx="539">
                  <c:v>5.39</c:v>
                </c:pt>
                <c:pt idx="540">
                  <c:v>5.4</c:v>
                </c:pt>
                <c:pt idx="541">
                  <c:v>5.41</c:v>
                </c:pt>
                <c:pt idx="542">
                  <c:v>5.42</c:v>
                </c:pt>
                <c:pt idx="543">
                  <c:v>5.43</c:v>
                </c:pt>
                <c:pt idx="544">
                  <c:v>5.44</c:v>
                </c:pt>
                <c:pt idx="545">
                  <c:v>5.45</c:v>
                </c:pt>
                <c:pt idx="546">
                  <c:v>5.46</c:v>
                </c:pt>
                <c:pt idx="547">
                  <c:v>5.47</c:v>
                </c:pt>
                <c:pt idx="548">
                  <c:v>5.48</c:v>
                </c:pt>
                <c:pt idx="549">
                  <c:v>5.49</c:v>
                </c:pt>
                <c:pt idx="550">
                  <c:v>5.5</c:v>
                </c:pt>
                <c:pt idx="551">
                  <c:v>5.51</c:v>
                </c:pt>
                <c:pt idx="552">
                  <c:v>5.52</c:v>
                </c:pt>
                <c:pt idx="553">
                  <c:v>5.53</c:v>
                </c:pt>
                <c:pt idx="554">
                  <c:v>5.54</c:v>
                </c:pt>
                <c:pt idx="555">
                  <c:v>5.55</c:v>
                </c:pt>
                <c:pt idx="556">
                  <c:v>5.56</c:v>
                </c:pt>
                <c:pt idx="557">
                  <c:v>5.57</c:v>
                </c:pt>
                <c:pt idx="558">
                  <c:v>5.58</c:v>
                </c:pt>
                <c:pt idx="559">
                  <c:v>5.59</c:v>
                </c:pt>
                <c:pt idx="560">
                  <c:v>5.6</c:v>
                </c:pt>
                <c:pt idx="561">
                  <c:v>5.61</c:v>
                </c:pt>
                <c:pt idx="562">
                  <c:v>5.62</c:v>
                </c:pt>
                <c:pt idx="563">
                  <c:v>5.63</c:v>
                </c:pt>
                <c:pt idx="564">
                  <c:v>5.64</c:v>
                </c:pt>
                <c:pt idx="565">
                  <c:v>5.65</c:v>
                </c:pt>
                <c:pt idx="566">
                  <c:v>5.66</c:v>
                </c:pt>
                <c:pt idx="567">
                  <c:v>5.67</c:v>
                </c:pt>
                <c:pt idx="568">
                  <c:v>5.68</c:v>
                </c:pt>
                <c:pt idx="569">
                  <c:v>5.69</c:v>
                </c:pt>
                <c:pt idx="570">
                  <c:v>5.7</c:v>
                </c:pt>
                <c:pt idx="571">
                  <c:v>5.71</c:v>
                </c:pt>
                <c:pt idx="572">
                  <c:v>5.72</c:v>
                </c:pt>
                <c:pt idx="573">
                  <c:v>5.73</c:v>
                </c:pt>
                <c:pt idx="574">
                  <c:v>5.74</c:v>
                </c:pt>
                <c:pt idx="575">
                  <c:v>5.75</c:v>
                </c:pt>
                <c:pt idx="576">
                  <c:v>5.76</c:v>
                </c:pt>
                <c:pt idx="577">
                  <c:v>5.77</c:v>
                </c:pt>
                <c:pt idx="578">
                  <c:v>5.78</c:v>
                </c:pt>
                <c:pt idx="579">
                  <c:v>5.79</c:v>
                </c:pt>
                <c:pt idx="580">
                  <c:v>5.8</c:v>
                </c:pt>
                <c:pt idx="581">
                  <c:v>5.81</c:v>
                </c:pt>
                <c:pt idx="582">
                  <c:v>5.82</c:v>
                </c:pt>
                <c:pt idx="583">
                  <c:v>5.83</c:v>
                </c:pt>
                <c:pt idx="584">
                  <c:v>5.84</c:v>
                </c:pt>
                <c:pt idx="585">
                  <c:v>5.85</c:v>
                </c:pt>
                <c:pt idx="586">
                  <c:v>5.86</c:v>
                </c:pt>
                <c:pt idx="587">
                  <c:v>5.87</c:v>
                </c:pt>
                <c:pt idx="588">
                  <c:v>5.88</c:v>
                </c:pt>
                <c:pt idx="589">
                  <c:v>5.89</c:v>
                </c:pt>
                <c:pt idx="590">
                  <c:v>5.9</c:v>
                </c:pt>
                <c:pt idx="591">
                  <c:v>5.91</c:v>
                </c:pt>
                <c:pt idx="592">
                  <c:v>5.92</c:v>
                </c:pt>
                <c:pt idx="593">
                  <c:v>5.93</c:v>
                </c:pt>
                <c:pt idx="594">
                  <c:v>5.94</c:v>
                </c:pt>
                <c:pt idx="595">
                  <c:v>5.95</c:v>
                </c:pt>
                <c:pt idx="596">
                  <c:v>5.96</c:v>
                </c:pt>
                <c:pt idx="597">
                  <c:v>5.97</c:v>
                </c:pt>
                <c:pt idx="598">
                  <c:v>5.98</c:v>
                </c:pt>
                <c:pt idx="599">
                  <c:v>5.99</c:v>
                </c:pt>
                <c:pt idx="600">
                  <c:v>6</c:v>
                </c:pt>
                <c:pt idx="601">
                  <c:v>6.01</c:v>
                </c:pt>
                <c:pt idx="602">
                  <c:v>6.02</c:v>
                </c:pt>
                <c:pt idx="603">
                  <c:v>6.03</c:v>
                </c:pt>
                <c:pt idx="604">
                  <c:v>6.04</c:v>
                </c:pt>
                <c:pt idx="605">
                  <c:v>6.05</c:v>
                </c:pt>
                <c:pt idx="606">
                  <c:v>6.06</c:v>
                </c:pt>
                <c:pt idx="607">
                  <c:v>6.07</c:v>
                </c:pt>
                <c:pt idx="608">
                  <c:v>6.08</c:v>
                </c:pt>
                <c:pt idx="609">
                  <c:v>6.09</c:v>
                </c:pt>
                <c:pt idx="610">
                  <c:v>6.1</c:v>
                </c:pt>
                <c:pt idx="611">
                  <c:v>6.11</c:v>
                </c:pt>
                <c:pt idx="612">
                  <c:v>6.12</c:v>
                </c:pt>
                <c:pt idx="613">
                  <c:v>6.13</c:v>
                </c:pt>
                <c:pt idx="614">
                  <c:v>6.14</c:v>
                </c:pt>
                <c:pt idx="615">
                  <c:v>6.15</c:v>
                </c:pt>
                <c:pt idx="616">
                  <c:v>6.16</c:v>
                </c:pt>
                <c:pt idx="617">
                  <c:v>6.17</c:v>
                </c:pt>
                <c:pt idx="618">
                  <c:v>6.18</c:v>
                </c:pt>
                <c:pt idx="619">
                  <c:v>6.19</c:v>
                </c:pt>
                <c:pt idx="620">
                  <c:v>6.2</c:v>
                </c:pt>
                <c:pt idx="621">
                  <c:v>6.21</c:v>
                </c:pt>
                <c:pt idx="622">
                  <c:v>6.22</c:v>
                </c:pt>
                <c:pt idx="623">
                  <c:v>6.23</c:v>
                </c:pt>
                <c:pt idx="624">
                  <c:v>6.24</c:v>
                </c:pt>
                <c:pt idx="625">
                  <c:v>6.25</c:v>
                </c:pt>
                <c:pt idx="626">
                  <c:v>6.26</c:v>
                </c:pt>
                <c:pt idx="627">
                  <c:v>6.27</c:v>
                </c:pt>
                <c:pt idx="628">
                  <c:v>6.28</c:v>
                </c:pt>
                <c:pt idx="629">
                  <c:v>6.29</c:v>
                </c:pt>
                <c:pt idx="630">
                  <c:v>6.3</c:v>
                </c:pt>
                <c:pt idx="631">
                  <c:v>6.31</c:v>
                </c:pt>
                <c:pt idx="632">
                  <c:v>6.32</c:v>
                </c:pt>
                <c:pt idx="633">
                  <c:v>6.33</c:v>
                </c:pt>
                <c:pt idx="634">
                  <c:v>6.34</c:v>
                </c:pt>
                <c:pt idx="635">
                  <c:v>6.35</c:v>
                </c:pt>
                <c:pt idx="636">
                  <c:v>6.36</c:v>
                </c:pt>
                <c:pt idx="637">
                  <c:v>6.37</c:v>
                </c:pt>
                <c:pt idx="638">
                  <c:v>6.38</c:v>
                </c:pt>
                <c:pt idx="639">
                  <c:v>6.39</c:v>
                </c:pt>
                <c:pt idx="640">
                  <c:v>6.4</c:v>
                </c:pt>
                <c:pt idx="641">
                  <c:v>6.41</c:v>
                </c:pt>
                <c:pt idx="642">
                  <c:v>6.42</c:v>
                </c:pt>
                <c:pt idx="643">
                  <c:v>6.43</c:v>
                </c:pt>
                <c:pt idx="644">
                  <c:v>6.44</c:v>
                </c:pt>
                <c:pt idx="645">
                  <c:v>6.45</c:v>
                </c:pt>
                <c:pt idx="646">
                  <c:v>6.46</c:v>
                </c:pt>
                <c:pt idx="647">
                  <c:v>6.47</c:v>
                </c:pt>
                <c:pt idx="648">
                  <c:v>6.48</c:v>
                </c:pt>
                <c:pt idx="649">
                  <c:v>6.49</c:v>
                </c:pt>
                <c:pt idx="650">
                  <c:v>6.5</c:v>
                </c:pt>
                <c:pt idx="651">
                  <c:v>6.51</c:v>
                </c:pt>
                <c:pt idx="652">
                  <c:v>6.52</c:v>
                </c:pt>
                <c:pt idx="653">
                  <c:v>6.53</c:v>
                </c:pt>
                <c:pt idx="654">
                  <c:v>6.54</c:v>
                </c:pt>
                <c:pt idx="655">
                  <c:v>6.55</c:v>
                </c:pt>
                <c:pt idx="656">
                  <c:v>6.56</c:v>
                </c:pt>
                <c:pt idx="657">
                  <c:v>6.57</c:v>
                </c:pt>
                <c:pt idx="658">
                  <c:v>6.58</c:v>
                </c:pt>
                <c:pt idx="659">
                  <c:v>6.59</c:v>
                </c:pt>
                <c:pt idx="660">
                  <c:v>6.6</c:v>
                </c:pt>
                <c:pt idx="661">
                  <c:v>6.61</c:v>
                </c:pt>
                <c:pt idx="662">
                  <c:v>6.62</c:v>
                </c:pt>
                <c:pt idx="663">
                  <c:v>6.63</c:v>
                </c:pt>
                <c:pt idx="664">
                  <c:v>6.64</c:v>
                </c:pt>
                <c:pt idx="665">
                  <c:v>6.65</c:v>
                </c:pt>
                <c:pt idx="666">
                  <c:v>6.66</c:v>
                </c:pt>
                <c:pt idx="667">
                  <c:v>6.67</c:v>
                </c:pt>
                <c:pt idx="668">
                  <c:v>6.68</c:v>
                </c:pt>
                <c:pt idx="669">
                  <c:v>6.69</c:v>
                </c:pt>
                <c:pt idx="670">
                  <c:v>6.7</c:v>
                </c:pt>
                <c:pt idx="671">
                  <c:v>6.71</c:v>
                </c:pt>
                <c:pt idx="672">
                  <c:v>6.72</c:v>
                </c:pt>
                <c:pt idx="673">
                  <c:v>6.73</c:v>
                </c:pt>
                <c:pt idx="674">
                  <c:v>6.74</c:v>
                </c:pt>
                <c:pt idx="675">
                  <c:v>6.75</c:v>
                </c:pt>
                <c:pt idx="676">
                  <c:v>6.76</c:v>
                </c:pt>
                <c:pt idx="677">
                  <c:v>6.77</c:v>
                </c:pt>
                <c:pt idx="678">
                  <c:v>6.78</c:v>
                </c:pt>
                <c:pt idx="679">
                  <c:v>6.79</c:v>
                </c:pt>
                <c:pt idx="680">
                  <c:v>6.8</c:v>
                </c:pt>
                <c:pt idx="681">
                  <c:v>6.81</c:v>
                </c:pt>
                <c:pt idx="682">
                  <c:v>6.82</c:v>
                </c:pt>
                <c:pt idx="683">
                  <c:v>6.83</c:v>
                </c:pt>
                <c:pt idx="684">
                  <c:v>6.84</c:v>
                </c:pt>
                <c:pt idx="685">
                  <c:v>6.85</c:v>
                </c:pt>
                <c:pt idx="686">
                  <c:v>6.86</c:v>
                </c:pt>
                <c:pt idx="687">
                  <c:v>6.87</c:v>
                </c:pt>
                <c:pt idx="688">
                  <c:v>6.88</c:v>
                </c:pt>
                <c:pt idx="689">
                  <c:v>6.89</c:v>
                </c:pt>
                <c:pt idx="690">
                  <c:v>6.9</c:v>
                </c:pt>
                <c:pt idx="691">
                  <c:v>6.91</c:v>
                </c:pt>
                <c:pt idx="692">
                  <c:v>6.92</c:v>
                </c:pt>
                <c:pt idx="693">
                  <c:v>6.93</c:v>
                </c:pt>
                <c:pt idx="694">
                  <c:v>6.94</c:v>
                </c:pt>
                <c:pt idx="695">
                  <c:v>6.95</c:v>
                </c:pt>
                <c:pt idx="696">
                  <c:v>6.96</c:v>
                </c:pt>
                <c:pt idx="697">
                  <c:v>6.97</c:v>
                </c:pt>
                <c:pt idx="698">
                  <c:v>6.98</c:v>
                </c:pt>
                <c:pt idx="699">
                  <c:v>6.99</c:v>
                </c:pt>
                <c:pt idx="700">
                  <c:v>7</c:v>
                </c:pt>
                <c:pt idx="701">
                  <c:v>7.01</c:v>
                </c:pt>
                <c:pt idx="702">
                  <c:v>7.02</c:v>
                </c:pt>
                <c:pt idx="703">
                  <c:v>7.03</c:v>
                </c:pt>
                <c:pt idx="704">
                  <c:v>7.04</c:v>
                </c:pt>
                <c:pt idx="705">
                  <c:v>7.05</c:v>
                </c:pt>
                <c:pt idx="706">
                  <c:v>7.06</c:v>
                </c:pt>
                <c:pt idx="707">
                  <c:v>7.07</c:v>
                </c:pt>
                <c:pt idx="708">
                  <c:v>7.08</c:v>
                </c:pt>
                <c:pt idx="709">
                  <c:v>7.09</c:v>
                </c:pt>
                <c:pt idx="710">
                  <c:v>7.1</c:v>
                </c:pt>
                <c:pt idx="711">
                  <c:v>7.11</c:v>
                </c:pt>
                <c:pt idx="712">
                  <c:v>7.12</c:v>
                </c:pt>
                <c:pt idx="713">
                  <c:v>7.13</c:v>
                </c:pt>
                <c:pt idx="714">
                  <c:v>7.14</c:v>
                </c:pt>
                <c:pt idx="715">
                  <c:v>7.15</c:v>
                </c:pt>
                <c:pt idx="716">
                  <c:v>7.16</c:v>
                </c:pt>
                <c:pt idx="717">
                  <c:v>7.17</c:v>
                </c:pt>
                <c:pt idx="718">
                  <c:v>7.18</c:v>
                </c:pt>
                <c:pt idx="719">
                  <c:v>7.19</c:v>
                </c:pt>
                <c:pt idx="720">
                  <c:v>7.2</c:v>
                </c:pt>
                <c:pt idx="721">
                  <c:v>7.21</c:v>
                </c:pt>
                <c:pt idx="722">
                  <c:v>7.22</c:v>
                </c:pt>
                <c:pt idx="723">
                  <c:v>7.23</c:v>
                </c:pt>
                <c:pt idx="724">
                  <c:v>7.24</c:v>
                </c:pt>
                <c:pt idx="725">
                  <c:v>7.25</c:v>
                </c:pt>
                <c:pt idx="726">
                  <c:v>7.26</c:v>
                </c:pt>
                <c:pt idx="727">
                  <c:v>7.27</c:v>
                </c:pt>
                <c:pt idx="728">
                  <c:v>7.28</c:v>
                </c:pt>
                <c:pt idx="729">
                  <c:v>7.29</c:v>
                </c:pt>
                <c:pt idx="730">
                  <c:v>7.3</c:v>
                </c:pt>
                <c:pt idx="731">
                  <c:v>7.31</c:v>
                </c:pt>
                <c:pt idx="732">
                  <c:v>7.32</c:v>
                </c:pt>
                <c:pt idx="733">
                  <c:v>7.33</c:v>
                </c:pt>
                <c:pt idx="734">
                  <c:v>7.34</c:v>
                </c:pt>
                <c:pt idx="735">
                  <c:v>7.35</c:v>
                </c:pt>
                <c:pt idx="736">
                  <c:v>7.36</c:v>
                </c:pt>
                <c:pt idx="737">
                  <c:v>7.37</c:v>
                </c:pt>
                <c:pt idx="738">
                  <c:v>7.38</c:v>
                </c:pt>
                <c:pt idx="739">
                  <c:v>7.39</c:v>
                </c:pt>
                <c:pt idx="740">
                  <c:v>7.4</c:v>
                </c:pt>
                <c:pt idx="741">
                  <c:v>7.41</c:v>
                </c:pt>
                <c:pt idx="742">
                  <c:v>7.42</c:v>
                </c:pt>
                <c:pt idx="743">
                  <c:v>7.43</c:v>
                </c:pt>
                <c:pt idx="744">
                  <c:v>7.44</c:v>
                </c:pt>
                <c:pt idx="745">
                  <c:v>7.45</c:v>
                </c:pt>
                <c:pt idx="746">
                  <c:v>7.46</c:v>
                </c:pt>
                <c:pt idx="747">
                  <c:v>7.47</c:v>
                </c:pt>
                <c:pt idx="748">
                  <c:v>7.48</c:v>
                </c:pt>
                <c:pt idx="749">
                  <c:v>7.49</c:v>
                </c:pt>
                <c:pt idx="750">
                  <c:v>7.5</c:v>
                </c:pt>
                <c:pt idx="751">
                  <c:v>7.51</c:v>
                </c:pt>
                <c:pt idx="752">
                  <c:v>7.52</c:v>
                </c:pt>
                <c:pt idx="753">
                  <c:v>7.53</c:v>
                </c:pt>
                <c:pt idx="754">
                  <c:v>7.54</c:v>
                </c:pt>
                <c:pt idx="755">
                  <c:v>7.55</c:v>
                </c:pt>
                <c:pt idx="756">
                  <c:v>7.56</c:v>
                </c:pt>
                <c:pt idx="757">
                  <c:v>7.57</c:v>
                </c:pt>
                <c:pt idx="758">
                  <c:v>7.58</c:v>
                </c:pt>
                <c:pt idx="759">
                  <c:v>7.59</c:v>
                </c:pt>
                <c:pt idx="760">
                  <c:v>7.6</c:v>
                </c:pt>
                <c:pt idx="761">
                  <c:v>7.61</c:v>
                </c:pt>
                <c:pt idx="762">
                  <c:v>7.62</c:v>
                </c:pt>
                <c:pt idx="763">
                  <c:v>7.63</c:v>
                </c:pt>
                <c:pt idx="764">
                  <c:v>7.64</c:v>
                </c:pt>
                <c:pt idx="765">
                  <c:v>7.65</c:v>
                </c:pt>
                <c:pt idx="766">
                  <c:v>7.66</c:v>
                </c:pt>
                <c:pt idx="767">
                  <c:v>7.67</c:v>
                </c:pt>
                <c:pt idx="768">
                  <c:v>7.68</c:v>
                </c:pt>
                <c:pt idx="769">
                  <c:v>7.69</c:v>
                </c:pt>
                <c:pt idx="770">
                  <c:v>7.7</c:v>
                </c:pt>
                <c:pt idx="771">
                  <c:v>7.71</c:v>
                </c:pt>
                <c:pt idx="772">
                  <c:v>7.72</c:v>
                </c:pt>
                <c:pt idx="773">
                  <c:v>7.73</c:v>
                </c:pt>
                <c:pt idx="774">
                  <c:v>7.74</c:v>
                </c:pt>
                <c:pt idx="775">
                  <c:v>7.75</c:v>
                </c:pt>
                <c:pt idx="776">
                  <c:v>7.76</c:v>
                </c:pt>
                <c:pt idx="777">
                  <c:v>7.77</c:v>
                </c:pt>
                <c:pt idx="778">
                  <c:v>7.78</c:v>
                </c:pt>
                <c:pt idx="779">
                  <c:v>7.79</c:v>
                </c:pt>
                <c:pt idx="780">
                  <c:v>7.8</c:v>
                </c:pt>
                <c:pt idx="781">
                  <c:v>7.81</c:v>
                </c:pt>
                <c:pt idx="782">
                  <c:v>7.82</c:v>
                </c:pt>
                <c:pt idx="783">
                  <c:v>7.83</c:v>
                </c:pt>
                <c:pt idx="784">
                  <c:v>7.84</c:v>
                </c:pt>
                <c:pt idx="785">
                  <c:v>7.85</c:v>
                </c:pt>
                <c:pt idx="786">
                  <c:v>7.86</c:v>
                </c:pt>
                <c:pt idx="787">
                  <c:v>7.87</c:v>
                </c:pt>
                <c:pt idx="788">
                  <c:v>7.88</c:v>
                </c:pt>
                <c:pt idx="789">
                  <c:v>7.89</c:v>
                </c:pt>
                <c:pt idx="790">
                  <c:v>7.9</c:v>
                </c:pt>
                <c:pt idx="791">
                  <c:v>7.91</c:v>
                </c:pt>
                <c:pt idx="792">
                  <c:v>7.92</c:v>
                </c:pt>
                <c:pt idx="793">
                  <c:v>7.93</c:v>
                </c:pt>
                <c:pt idx="794">
                  <c:v>7.94</c:v>
                </c:pt>
                <c:pt idx="795">
                  <c:v>7.95</c:v>
                </c:pt>
                <c:pt idx="796">
                  <c:v>7.96</c:v>
                </c:pt>
                <c:pt idx="797">
                  <c:v>7.97</c:v>
                </c:pt>
                <c:pt idx="798">
                  <c:v>7.98</c:v>
                </c:pt>
                <c:pt idx="799">
                  <c:v>7.99</c:v>
                </c:pt>
                <c:pt idx="800">
                  <c:v>8</c:v>
                </c:pt>
                <c:pt idx="801">
                  <c:v>8.01</c:v>
                </c:pt>
                <c:pt idx="802">
                  <c:v>8.02</c:v>
                </c:pt>
                <c:pt idx="803">
                  <c:v>8.0299999999999994</c:v>
                </c:pt>
                <c:pt idx="804">
                  <c:v>8.0399999999999991</c:v>
                </c:pt>
                <c:pt idx="805">
                  <c:v>8.0500000000000007</c:v>
                </c:pt>
                <c:pt idx="806">
                  <c:v>8.06</c:v>
                </c:pt>
                <c:pt idx="807">
                  <c:v>8.07</c:v>
                </c:pt>
                <c:pt idx="808">
                  <c:v>8.08</c:v>
                </c:pt>
                <c:pt idx="809">
                  <c:v>8.09</c:v>
                </c:pt>
                <c:pt idx="810">
                  <c:v>8.1</c:v>
                </c:pt>
                <c:pt idx="811">
                  <c:v>8.11</c:v>
                </c:pt>
                <c:pt idx="812">
                  <c:v>8.1199999999999992</c:v>
                </c:pt>
                <c:pt idx="813">
                  <c:v>8.1300000000000008</c:v>
                </c:pt>
                <c:pt idx="814">
                  <c:v>8.14</c:v>
                </c:pt>
                <c:pt idx="815">
                  <c:v>8.15</c:v>
                </c:pt>
                <c:pt idx="816">
                  <c:v>8.16</c:v>
                </c:pt>
                <c:pt idx="817">
                  <c:v>8.17</c:v>
                </c:pt>
                <c:pt idx="818">
                  <c:v>8.18</c:v>
                </c:pt>
                <c:pt idx="819">
                  <c:v>8.19</c:v>
                </c:pt>
                <c:pt idx="820">
                  <c:v>8.1999999999999993</c:v>
                </c:pt>
                <c:pt idx="821">
                  <c:v>8.2100000000000009</c:v>
                </c:pt>
                <c:pt idx="822">
                  <c:v>8.2200000000000006</c:v>
                </c:pt>
                <c:pt idx="823">
                  <c:v>8.23</c:v>
                </c:pt>
                <c:pt idx="824">
                  <c:v>8.24</c:v>
                </c:pt>
                <c:pt idx="825">
                  <c:v>8.25</c:v>
                </c:pt>
                <c:pt idx="826">
                  <c:v>8.26</c:v>
                </c:pt>
                <c:pt idx="827">
                  <c:v>8.27</c:v>
                </c:pt>
                <c:pt idx="828">
                  <c:v>8.2799999999999994</c:v>
                </c:pt>
                <c:pt idx="829">
                  <c:v>8.2899999999999991</c:v>
                </c:pt>
                <c:pt idx="830">
                  <c:v>8.3000000000000007</c:v>
                </c:pt>
                <c:pt idx="831">
                  <c:v>8.31</c:v>
                </c:pt>
                <c:pt idx="832">
                  <c:v>8.32</c:v>
                </c:pt>
                <c:pt idx="833">
                  <c:v>8.33</c:v>
                </c:pt>
                <c:pt idx="834">
                  <c:v>8.34</c:v>
                </c:pt>
                <c:pt idx="835">
                  <c:v>8.35</c:v>
                </c:pt>
                <c:pt idx="836">
                  <c:v>8.36</c:v>
                </c:pt>
                <c:pt idx="837">
                  <c:v>8.3699999999999992</c:v>
                </c:pt>
                <c:pt idx="838">
                  <c:v>8.3800000000000008</c:v>
                </c:pt>
                <c:pt idx="839">
                  <c:v>8.39</c:v>
                </c:pt>
                <c:pt idx="840">
                  <c:v>8.4</c:v>
                </c:pt>
                <c:pt idx="841">
                  <c:v>8.41</c:v>
                </c:pt>
                <c:pt idx="842">
                  <c:v>8.42</c:v>
                </c:pt>
                <c:pt idx="843">
                  <c:v>8.43</c:v>
                </c:pt>
                <c:pt idx="844">
                  <c:v>8.44</c:v>
                </c:pt>
                <c:pt idx="845">
                  <c:v>8.4499999999999993</c:v>
                </c:pt>
                <c:pt idx="846">
                  <c:v>8.4600000000000009</c:v>
                </c:pt>
                <c:pt idx="847">
                  <c:v>8.4700000000000006</c:v>
                </c:pt>
                <c:pt idx="848">
                  <c:v>8.48</c:v>
                </c:pt>
                <c:pt idx="849">
                  <c:v>8.49</c:v>
                </c:pt>
                <c:pt idx="850">
                  <c:v>8.5</c:v>
                </c:pt>
                <c:pt idx="851">
                  <c:v>8.51</c:v>
                </c:pt>
                <c:pt idx="852">
                  <c:v>8.52</c:v>
                </c:pt>
                <c:pt idx="853">
                  <c:v>8.5299999999999994</c:v>
                </c:pt>
                <c:pt idx="854">
                  <c:v>8.5399999999999991</c:v>
                </c:pt>
                <c:pt idx="855">
                  <c:v>8.5500000000000007</c:v>
                </c:pt>
                <c:pt idx="856">
                  <c:v>8.56</c:v>
                </c:pt>
                <c:pt idx="857">
                  <c:v>8.57</c:v>
                </c:pt>
                <c:pt idx="858">
                  <c:v>8.58</c:v>
                </c:pt>
                <c:pt idx="859">
                  <c:v>8.59</c:v>
                </c:pt>
                <c:pt idx="860">
                  <c:v>8.6</c:v>
                </c:pt>
                <c:pt idx="861">
                  <c:v>8.61</c:v>
                </c:pt>
                <c:pt idx="862">
                  <c:v>8.6199999999999992</c:v>
                </c:pt>
                <c:pt idx="863">
                  <c:v>8.6300000000000008</c:v>
                </c:pt>
                <c:pt idx="864">
                  <c:v>8.64</c:v>
                </c:pt>
                <c:pt idx="865">
                  <c:v>8.65</c:v>
                </c:pt>
                <c:pt idx="866">
                  <c:v>8.66</c:v>
                </c:pt>
                <c:pt idx="867">
                  <c:v>8.67</c:v>
                </c:pt>
                <c:pt idx="868">
                  <c:v>8.68</c:v>
                </c:pt>
                <c:pt idx="869">
                  <c:v>8.69</c:v>
                </c:pt>
                <c:pt idx="870">
                  <c:v>8.6999999999999993</c:v>
                </c:pt>
                <c:pt idx="871">
                  <c:v>8.7100000000000009</c:v>
                </c:pt>
                <c:pt idx="872">
                  <c:v>8.7200000000000006</c:v>
                </c:pt>
                <c:pt idx="873">
                  <c:v>8.73</c:v>
                </c:pt>
                <c:pt idx="874">
                  <c:v>8.74</c:v>
                </c:pt>
                <c:pt idx="875">
                  <c:v>8.75</c:v>
                </c:pt>
                <c:pt idx="876">
                  <c:v>8.76</c:v>
                </c:pt>
                <c:pt idx="877">
                  <c:v>8.77</c:v>
                </c:pt>
                <c:pt idx="878">
                  <c:v>8.7799999999999994</c:v>
                </c:pt>
                <c:pt idx="879">
                  <c:v>8.7899999999999991</c:v>
                </c:pt>
                <c:pt idx="880">
                  <c:v>8.8000000000000007</c:v>
                </c:pt>
                <c:pt idx="881">
                  <c:v>8.81</c:v>
                </c:pt>
                <c:pt idx="882">
                  <c:v>8.82</c:v>
                </c:pt>
                <c:pt idx="883">
                  <c:v>8.83</c:v>
                </c:pt>
                <c:pt idx="884">
                  <c:v>8.84</c:v>
                </c:pt>
                <c:pt idx="885">
                  <c:v>8.85</c:v>
                </c:pt>
                <c:pt idx="886">
                  <c:v>8.86</c:v>
                </c:pt>
                <c:pt idx="887">
                  <c:v>8.8699999999999992</c:v>
                </c:pt>
                <c:pt idx="888">
                  <c:v>8.8800000000000008</c:v>
                </c:pt>
                <c:pt idx="889">
                  <c:v>8.89</c:v>
                </c:pt>
                <c:pt idx="890">
                  <c:v>8.9</c:v>
                </c:pt>
                <c:pt idx="891">
                  <c:v>8.91</c:v>
                </c:pt>
                <c:pt idx="892">
                  <c:v>8.92</c:v>
                </c:pt>
                <c:pt idx="893">
                  <c:v>8.93</c:v>
                </c:pt>
                <c:pt idx="894">
                  <c:v>8.94</c:v>
                </c:pt>
                <c:pt idx="895">
                  <c:v>8.9499999999999993</c:v>
                </c:pt>
                <c:pt idx="896">
                  <c:v>8.9600000000000009</c:v>
                </c:pt>
                <c:pt idx="897">
                  <c:v>8.9700000000000006</c:v>
                </c:pt>
                <c:pt idx="898">
                  <c:v>8.98</c:v>
                </c:pt>
                <c:pt idx="899">
                  <c:v>8.99</c:v>
                </c:pt>
                <c:pt idx="900">
                  <c:v>9</c:v>
                </c:pt>
                <c:pt idx="901">
                  <c:v>9.01</c:v>
                </c:pt>
                <c:pt idx="902">
                  <c:v>9.02</c:v>
                </c:pt>
                <c:pt idx="903">
                  <c:v>9.0299999999999994</c:v>
                </c:pt>
                <c:pt idx="904">
                  <c:v>9.0399999999999991</c:v>
                </c:pt>
                <c:pt idx="905">
                  <c:v>9.0500000000000007</c:v>
                </c:pt>
                <c:pt idx="906">
                  <c:v>9.06</c:v>
                </c:pt>
                <c:pt idx="907">
                  <c:v>9.07</c:v>
                </c:pt>
                <c:pt idx="908">
                  <c:v>9.08</c:v>
                </c:pt>
                <c:pt idx="909">
                  <c:v>9.09</c:v>
                </c:pt>
                <c:pt idx="910">
                  <c:v>9.1</c:v>
                </c:pt>
                <c:pt idx="911">
                  <c:v>9.11</c:v>
                </c:pt>
                <c:pt idx="912">
                  <c:v>9.1199999999999992</c:v>
                </c:pt>
                <c:pt idx="913">
                  <c:v>9.1300000000000008</c:v>
                </c:pt>
                <c:pt idx="914">
                  <c:v>9.14</c:v>
                </c:pt>
                <c:pt idx="915">
                  <c:v>9.15</c:v>
                </c:pt>
                <c:pt idx="916">
                  <c:v>9.16</c:v>
                </c:pt>
                <c:pt idx="917">
                  <c:v>9.17</c:v>
                </c:pt>
                <c:pt idx="918">
                  <c:v>9.18</c:v>
                </c:pt>
                <c:pt idx="919">
                  <c:v>9.19</c:v>
                </c:pt>
                <c:pt idx="920">
                  <c:v>9.1999999999999993</c:v>
                </c:pt>
                <c:pt idx="921">
                  <c:v>9.2100000000000009</c:v>
                </c:pt>
                <c:pt idx="922">
                  <c:v>9.2200000000000006</c:v>
                </c:pt>
                <c:pt idx="923">
                  <c:v>9.23</c:v>
                </c:pt>
                <c:pt idx="924">
                  <c:v>9.24</c:v>
                </c:pt>
                <c:pt idx="925">
                  <c:v>9.25</c:v>
                </c:pt>
                <c:pt idx="926">
                  <c:v>9.26</c:v>
                </c:pt>
                <c:pt idx="927">
                  <c:v>9.27</c:v>
                </c:pt>
                <c:pt idx="928">
                  <c:v>9.2799999999999994</c:v>
                </c:pt>
                <c:pt idx="929">
                  <c:v>9.2899999999999991</c:v>
                </c:pt>
                <c:pt idx="930">
                  <c:v>9.3000000000000007</c:v>
                </c:pt>
                <c:pt idx="931">
                  <c:v>9.31</c:v>
                </c:pt>
                <c:pt idx="932">
                  <c:v>9.32</c:v>
                </c:pt>
                <c:pt idx="933">
                  <c:v>9.33</c:v>
                </c:pt>
                <c:pt idx="934">
                  <c:v>9.34</c:v>
                </c:pt>
                <c:pt idx="935">
                  <c:v>9.35</c:v>
                </c:pt>
                <c:pt idx="936">
                  <c:v>9.36</c:v>
                </c:pt>
                <c:pt idx="937">
                  <c:v>9.3699999999999992</c:v>
                </c:pt>
                <c:pt idx="938">
                  <c:v>9.3800000000000008</c:v>
                </c:pt>
                <c:pt idx="939">
                  <c:v>9.39</c:v>
                </c:pt>
                <c:pt idx="940">
                  <c:v>9.4</c:v>
                </c:pt>
                <c:pt idx="941">
                  <c:v>9.41</c:v>
                </c:pt>
                <c:pt idx="942">
                  <c:v>9.42</c:v>
                </c:pt>
                <c:pt idx="943">
                  <c:v>9.43</c:v>
                </c:pt>
                <c:pt idx="944">
                  <c:v>9.44</c:v>
                </c:pt>
                <c:pt idx="945">
                  <c:v>9.4499999999999993</c:v>
                </c:pt>
                <c:pt idx="946">
                  <c:v>9.4600000000000009</c:v>
                </c:pt>
                <c:pt idx="947">
                  <c:v>9.4700000000000006</c:v>
                </c:pt>
                <c:pt idx="948">
                  <c:v>9.48</c:v>
                </c:pt>
                <c:pt idx="949">
                  <c:v>9.49</c:v>
                </c:pt>
                <c:pt idx="950">
                  <c:v>9.5</c:v>
                </c:pt>
                <c:pt idx="951">
                  <c:v>9.51</c:v>
                </c:pt>
                <c:pt idx="952">
                  <c:v>9.52</c:v>
                </c:pt>
                <c:pt idx="953">
                  <c:v>9.5299999999999994</c:v>
                </c:pt>
                <c:pt idx="954">
                  <c:v>9.5399999999999991</c:v>
                </c:pt>
                <c:pt idx="955">
                  <c:v>9.5500000000000007</c:v>
                </c:pt>
                <c:pt idx="956">
                  <c:v>9.56</c:v>
                </c:pt>
                <c:pt idx="957">
                  <c:v>9.57</c:v>
                </c:pt>
                <c:pt idx="958">
                  <c:v>9.58</c:v>
                </c:pt>
                <c:pt idx="959">
                  <c:v>9.59</c:v>
                </c:pt>
                <c:pt idx="960">
                  <c:v>9.6</c:v>
                </c:pt>
                <c:pt idx="961">
                  <c:v>9.61</c:v>
                </c:pt>
                <c:pt idx="962">
                  <c:v>9.6199999999999992</c:v>
                </c:pt>
                <c:pt idx="963">
                  <c:v>9.6300000000000008</c:v>
                </c:pt>
                <c:pt idx="964">
                  <c:v>9.64</c:v>
                </c:pt>
                <c:pt idx="965">
                  <c:v>9.65</c:v>
                </c:pt>
                <c:pt idx="966">
                  <c:v>9.66</c:v>
                </c:pt>
                <c:pt idx="967">
                  <c:v>9.67</c:v>
                </c:pt>
                <c:pt idx="968">
                  <c:v>9.68</c:v>
                </c:pt>
                <c:pt idx="969">
                  <c:v>9.69</c:v>
                </c:pt>
                <c:pt idx="970">
                  <c:v>9.6999999999999993</c:v>
                </c:pt>
                <c:pt idx="971">
                  <c:v>9.7100000000000009</c:v>
                </c:pt>
                <c:pt idx="972">
                  <c:v>9.7200000000000006</c:v>
                </c:pt>
                <c:pt idx="973">
                  <c:v>9.73</c:v>
                </c:pt>
                <c:pt idx="974">
                  <c:v>9.74</c:v>
                </c:pt>
                <c:pt idx="975">
                  <c:v>9.75</c:v>
                </c:pt>
                <c:pt idx="976">
                  <c:v>9.76</c:v>
                </c:pt>
                <c:pt idx="977">
                  <c:v>9.77</c:v>
                </c:pt>
                <c:pt idx="978">
                  <c:v>9.7799999999999994</c:v>
                </c:pt>
                <c:pt idx="979">
                  <c:v>9.7899999999999991</c:v>
                </c:pt>
                <c:pt idx="980">
                  <c:v>9.8000000000000007</c:v>
                </c:pt>
                <c:pt idx="981">
                  <c:v>9.81</c:v>
                </c:pt>
                <c:pt idx="982">
                  <c:v>9.82</c:v>
                </c:pt>
                <c:pt idx="983">
                  <c:v>9.83</c:v>
                </c:pt>
                <c:pt idx="984">
                  <c:v>9.84</c:v>
                </c:pt>
                <c:pt idx="985">
                  <c:v>9.85</c:v>
                </c:pt>
                <c:pt idx="986">
                  <c:v>9.86</c:v>
                </c:pt>
                <c:pt idx="987">
                  <c:v>9.8699999999999992</c:v>
                </c:pt>
                <c:pt idx="988">
                  <c:v>9.8800000000000008</c:v>
                </c:pt>
                <c:pt idx="989">
                  <c:v>9.89</c:v>
                </c:pt>
                <c:pt idx="990">
                  <c:v>9.9</c:v>
                </c:pt>
                <c:pt idx="991">
                  <c:v>9.91</c:v>
                </c:pt>
                <c:pt idx="992">
                  <c:v>9.92</c:v>
                </c:pt>
                <c:pt idx="993">
                  <c:v>9.93</c:v>
                </c:pt>
                <c:pt idx="994">
                  <c:v>9.94</c:v>
                </c:pt>
                <c:pt idx="995">
                  <c:v>9.9499999999999993</c:v>
                </c:pt>
                <c:pt idx="996">
                  <c:v>9.9600000000000009</c:v>
                </c:pt>
                <c:pt idx="997">
                  <c:v>9.9700000000000006</c:v>
                </c:pt>
                <c:pt idx="998">
                  <c:v>9.98</c:v>
                </c:pt>
                <c:pt idx="999">
                  <c:v>9.99</c:v>
                </c:pt>
                <c:pt idx="1000">
                  <c:v>10</c:v>
                </c:pt>
              </c:numCache>
            </c:numRef>
          </c:cat>
          <c:val>
            <c:numRef>
              <c:f>BoundedMigration!$D$25:$D$1025</c:f>
              <c:numCache>
                <c:formatCode>#,##0.00</c:formatCode>
                <c:ptCount val="1001"/>
                <c:pt idx="0">
                  <c:v>400000</c:v>
                </c:pt>
                <c:pt idx="1">
                  <c:v>398004.99167707295</c:v>
                </c:pt>
                <c:pt idx="2">
                  <c:v>396019.93349966727</c:v>
                </c:pt>
                <c:pt idx="3">
                  <c:v>394044.77584122506</c:v>
                </c:pt>
                <c:pt idx="4">
                  <c:v>392079.46932270209</c:v>
                </c:pt>
                <c:pt idx="5">
                  <c:v>390123.96481133305</c:v>
                </c:pt>
                <c:pt idx="6">
                  <c:v>388178.21341940324</c:v>
                </c:pt>
                <c:pt idx="7">
                  <c:v>386242.16650302656</c:v>
                </c:pt>
                <c:pt idx="8">
                  <c:v>384315.77566092927</c:v>
                </c:pt>
                <c:pt idx="9">
                  <c:v>382398.99273324001</c:v>
                </c:pt>
                <c:pt idx="10">
                  <c:v>380491.76980028563</c:v>
                </c:pt>
                <c:pt idx="11">
                  <c:v>378594.05918139353</c:v>
                </c:pt>
                <c:pt idx="12">
                  <c:v>376705.81343369948</c:v>
                </c:pt>
                <c:pt idx="13">
                  <c:v>374826.98535096139</c:v>
                </c:pt>
                <c:pt idx="14">
                  <c:v>372957.52796237933</c:v>
                </c:pt>
                <c:pt idx="15">
                  <c:v>371097.39453142113</c:v>
                </c:pt>
                <c:pt idx="16">
                  <c:v>369246.53855465428</c:v>
                </c:pt>
                <c:pt idx="17">
                  <c:v>367404.91376058297</c:v>
                </c:pt>
                <c:pt idx="18">
                  <c:v>365572.47410849127</c:v>
                </c:pt>
                <c:pt idx="19">
                  <c:v>363749.17378729256</c:v>
                </c:pt>
                <c:pt idx="20">
                  <c:v>361934.96721438383</c:v>
                </c:pt>
                <c:pt idx="21">
                  <c:v>360129.80903450627</c:v>
                </c:pt>
                <c:pt idx="22">
                  <c:v>358333.6541186113</c:v>
                </c:pt>
                <c:pt idx="23">
                  <c:v>356546.45756273251</c:v>
                </c:pt>
                <c:pt idx="24">
                  <c:v>354768.17468686297</c:v>
                </c:pt>
                <c:pt idx="25">
                  <c:v>352998.76103383821</c:v>
                </c:pt>
                <c:pt idx="26">
                  <c:v>351238.17236822454</c:v>
                </c:pt>
                <c:pt idx="27">
                  <c:v>349486.36467521376</c:v>
                </c:pt>
                <c:pt idx="28">
                  <c:v>347743.29415952234</c:v>
                </c:pt>
                <c:pt idx="29">
                  <c:v>346008.91724429652</c:v>
                </c:pt>
                <c:pt idx="30">
                  <c:v>344283.19057002314</c:v>
                </c:pt>
                <c:pt idx="31">
                  <c:v>342566.07099344541</c:v>
                </c:pt>
                <c:pt idx="32">
                  <c:v>340857.51558648451</c:v>
                </c:pt>
                <c:pt idx="33">
                  <c:v>339157.48163516633</c:v>
                </c:pt>
                <c:pt idx="34">
                  <c:v>337465.9266385535</c:v>
                </c:pt>
                <c:pt idx="35">
                  <c:v>335782.80830768292</c:v>
                </c:pt>
                <c:pt idx="36">
                  <c:v>334108.08456450881</c:v>
                </c:pt>
                <c:pt idx="37">
                  <c:v>332441.71354085027</c:v>
                </c:pt>
                <c:pt idx="38">
                  <c:v>330783.6535773449</c:v>
                </c:pt>
                <c:pt idx="39">
                  <c:v>329133.86322240735</c:v>
                </c:pt>
                <c:pt idx="40">
                  <c:v>327492.30123119272</c:v>
                </c:pt>
                <c:pt idx="41">
                  <c:v>325858.9265645658</c:v>
                </c:pt>
                <c:pt idx="42">
                  <c:v>324233.69838807482</c:v>
                </c:pt>
                <c:pt idx="43">
                  <c:v>322616.57607093075</c:v>
                </c:pt>
                <c:pt idx="44">
                  <c:v>321007.51918499137</c:v>
                </c:pt>
                <c:pt idx="45">
                  <c:v>319406.48750375083</c:v>
                </c:pt>
                <c:pt idx="46">
                  <c:v>317813.44100133365</c:v>
                </c:pt>
                <c:pt idx="47">
                  <c:v>316228.33985149424</c:v>
                </c:pt>
                <c:pt idx="48">
                  <c:v>314651.14442662138</c:v>
                </c:pt>
                <c:pt idx="49">
                  <c:v>313081.81529674726</c:v>
                </c:pt>
                <c:pt idx="50">
                  <c:v>311520.31322856195</c:v>
                </c:pt>
                <c:pt idx="51">
                  <c:v>309966.59918443242</c:v>
                </c:pt>
                <c:pt idx="52">
                  <c:v>308420.63432142651</c:v>
                </c:pt>
                <c:pt idx="53">
                  <c:v>306882.37999034225</c:v>
                </c:pt>
                <c:pt idx="54">
                  <c:v>305351.79773474124</c:v>
                </c:pt>
                <c:pt idx="55">
                  <c:v>303828.84928998741</c:v>
                </c:pt>
                <c:pt idx="56">
                  <c:v>302313.49658229016</c:v>
                </c:pt>
                <c:pt idx="57">
                  <c:v>300805.70172775304</c:v>
                </c:pt>
                <c:pt idx="58">
                  <c:v>299305.42703142611</c:v>
                </c:pt>
                <c:pt idx="59">
                  <c:v>297812.63498636376</c:v>
                </c:pt>
                <c:pt idx="60">
                  <c:v>296327.28827268718</c:v>
                </c:pt>
                <c:pt idx="61">
                  <c:v>294849.34975665109</c:v>
                </c:pt>
                <c:pt idx="62">
                  <c:v>293378.78248971567</c:v>
                </c:pt>
                <c:pt idx="63">
                  <c:v>291915.54970762273</c:v>
                </c:pt>
                <c:pt idx="64">
                  <c:v>290459.6148294764</c:v>
                </c:pt>
                <c:pt idx="65">
                  <c:v>289010.94145682891</c:v>
                </c:pt>
                <c:pt idx="66">
                  <c:v>287569.49337277049</c:v>
                </c:pt>
                <c:pt idx="67">
                  <c:v>286135.23454102396</c:v>
                </c:pt>
                <c:pt idx="68">
                  <c:v>284708.12910504389</c:v>
                </c:pt>
                <c:pt idx="69">
                  <c:v>283288.14138712001</c:v>
                </c:pt>
                <c:pt idx="70">
                  <c:v>281875.23588748538</c:v>
                </c:pt>
                <c:pt idx="71">
                  <c:v>280469.37728342897</c:v>
                </c:pt>
                <c:pt idx="72">
                  <c:v>279070.53042841243</c:v>
                </c:pt>
                <c:pt idx="73">
                  <c:v>277678.66035119153</c:v>
                </c:pt>
                <c:pt idx="74">
                  <c:v>276293.73225494189</c:v>
                </c:pt>
                <c:pt idx="75">
                  <c:v>274915.71151638887</c:v>
                </c:pt>
                <c:pt idx="76">
                  <c:v>273544.56368494232</c:v>
                </c:pt>
                <c:pt idx="77">
                  <c:v>272180.25448183506</c:v>
                </c:pt>
                <c:pt idx="78">
                  <c:v>270822.74979926588</c:v>
                </c:pt>
                <c:pt idx="79">
                  <c:v>269472.01569954708</c:v>
                </c:pt>
                <c:pt idx="80">
                  <c:v>268128.01841425576</c:v>
                </c:pt>
                <c:pt idx="81">
                  <c:v>266790.72434338974</c:v>
                </c:pt>
                <c:pt idx="82">
                  <c:v>265460.10005452775</c:v>
                </c:pt>
                <c:pt idx="83">
                  <c:v>264136.11228199315</c:v>
                </c:pt>
                <c:pt idx="84">
                  <c:v>262818.72792602272</c:v>
                </c:pt>
                <c:pt idx="85">
                  <c:v>261507.91405193892</c:v>
                </c:pt>
                <c:pt idx="86">
                  <c:v>260203.63788932661</c:v>
                </c:pt>
                <c:pt idx="87">
                  <c:v>258905.86683121385</c:v>
                </c:pt>
                <c:pt idx="88">
                  <c:v>257614.56843325656</c:v>
                </c:pt>
                <c:pt idx="89">
                  <c:v>256329.7104129275</c:v>
                </c:pt>
                <c:pt idx="90">
                  <c:v>255051.26064870934</c:v>
                </c:pt>
                <c:pt idx="91">
                  <c:v>253779.1871792913</c:v>
                </c:pt>
                <c:pt idx="92">
                  <c:v>252513.45820277039</c:v>
                </c:pt>
                <c:pt idx="93">
                  <c:v>251254.0420758563</c:v>
                </c:pt>
                <c:pt idx="94">
                  <c:v>250000.9073130803</c:v>
                </c:pt>
                <c:pt idx="95">
                  <c:v>248754.02258600804</c:v>
                </c:pt>
                <c:pt idx="96">
                  <c:v>247513.35672245634</c:v>
                </c:pt>
                <c:pt idx="97">
                  <c:v>246278.87870571404</c:v>
                </c:pt>
                <c:pt idx="98">
                  <c:v>245050.55767376645</c:v>
                </c:pt>
                <c:pt idx="99">
                  <c:v>243828.36291852369</c:v>
                </c:pt>
                <c:pt idx="100">
                  <c:v>242612.26388505337</c:v>
                </c:pt>
                <c:pt idx="101">
                  <c:v>241402.23017081621</c:v>
                </c:pt>
                <c:pt idx="102">
                  <c:v>240198.23152490635</c:v>
                </c:pt>
                <c:pt idx="103">
                  <c:v>239000.23784729498</c:v>
                </c:pt>
                <c:pt idx="104">
                  <c:v>237808.21918807775</c:v>
                </c:pt>
                <c:pt idx="105">
                  <c:v>236622.14574672605</c:v>
                </c:pt>
                <c:pt idx="106">
                  <c:v>235441.98787134208</c:v>
                </c:pt>
                <c:pt idx="107">
                  <c:v>234267.71605791751</c:v>
                </c:pt>
                <c:pt idx="108">
                  <c:v>233099.30094959587</c:v>
                </c:pt>
                <c:pt idx="109">
                  <c:v>231936.71333593855</c:v>
                </c:pt>
                <c:pt idx="110">
                  <c:v>230779.92415219467</c:v>
                </c:pt>
                <c:pt idx="111">
                  <c:v>229628.90447857438</c:v>
                </c:pt>
                <c:pt idx="112">
                  <c:v>228483.62553952594</c:v>
                </c:pt>
                <c:pt idx="113">
                  <c:v>227344.05870301623</c:v>
                </c:pt>
                <c:pt idx="114">
                  <c:v>226210.17547981485</c:v>
                </c:pt>
                <c:pt idx="115">
                  <c:v>225081.94752278228</c:v>
                </c:pt>
                <c:pt idx="116">
                  <c:v>223959.34662616081</c:v>
                </c:pt>
                <c:pt idx="117">
                  <c:v>222842.34472486956</c:v>
                </c:pt>
                <c:pt idx="118">
                  <c:v>221730.91389380285</c:v>
                </c:pt>
                <c:pt idx="119">
                  <c:v>220625.02634713193</c:v>
                </c:pt>
                <c:pt idx="120">
                  <c:v>219524.65443761056</c:v>
                </c:pt>
                <c:pt idx="121">
                  <c:v>218429.77065588377</c:v>
                </c:pt>
                <c:pt idx="122">
                  <c:v>217340.34762979992</c:v>
                </c:pt>
                <c:pt idx="123">
                  <c:v>216256.35812372662</c:v>
                </c:pt>
                <c:pt idx="124">
                  <c:v>215177.77503786978</c:v>
                </c:pt>
                <c:pt idx="125">
                  <c:v>214104.57140759612</c:v>
                </c:pt>
                <c:pt idx="126">
                  <c:v>213036.72040275886</c:v>
                </c:pt>
                <c:pt idx="127">
                  <c:v>211974.19532702741</c:v>
                </c:pt>
                <c:pt idx="128">
                  <c:v>210916.96961721941</c:v>
                </c:pt>
                <c:pt idx="129">
                  <c:v>209865.01684263715</c:v>
                </c:pt>
                <c:pt idx="130">
                  <c:v>208818.31070440641</c:v>
                </c:pt>
                <c:pt idx="131">
                  <c:v>207776.82503481928</c:v>
                </c:pt>
                <c:pt idx="132">
                  <c:v>206740.53379667967</c:v>
                </c:pt>
                <c:pt idx="133">
                  <c:v>205709.41108265278</c:v>
                </c:pt>
                <c:pt idx="134">
                  <c:v>204683.43111461698</c:v>
                </c:pt>
                <c:pt idx="135">
                  <c:v>203662.56824301966</c:v>
                </c:pt>
                <c:pt idx="136">
                  <c:v>202646.79694623582</c:v>
                </c:pt>
                <c:pt idx="137">
                  <c:v>201636.0918299302</c:v>
                </c:pt>
                <c:pt idx="138">
                  <c:v>200630.42762642223</c:v>
                </c:pt>
                <c:pt idx="139">
                  <c:v>199629.7791940544</c:v>
                </c:pt>
                <c:pt idx="140">
                  <c:v>198634.12151656381</c:v>
                </c:pt>
                <c:pt idx="141">
                  <c:v>197643.42970245666</c:v>
                </c:pt>
                <c:pt idx="142">
                  <c:v>196657.67898438603</c:v>
                </c:pt>
                <c:pt idx="143">
                  <c:v>195676.84471853261</c:v>
                </c:pt>
                <c:pt idx="144">
                  <c:v>194700.90238398866</c:v>
                </c:pt>
                <c:pt idx="145">
                  <c:v>193729.82758214499</c:v>
                </c:pt>
                <c:pt idx="146">
                  <c:v>192763.59603608097</c:v>
                </c:pt>
                <c:pt idx="147">
                  <c:v>191802.18358995765</c:v>
                </c:pt>
                <c:pt idx="148">
                  <c:v>190845.56620841374</c:v>
                </c:pt>
                <c:pt idx="149">
                  <c:v>189893.71997596495</c:v>
                </c:pt>
                <c:pt idx="150">
                  <c:v>188946.62109640587</c:v>
                </c:pt>
                <c:pt idx="151">
                  <c:v>188004.24589221517</c:v>
                </c:pt>
                <c:pt idx="152">
                  <c:v>187066.5708039637</c:v>
                </c:pt>
                <c:pt idx="153">
                  <c:v>186133.57238972536</c:v>
                </c:pt>
                <c:pt idx="154">
                  <c:v>185205.22732449122</c:v>
                </c:pt>
                <c:pt idx="155">
                  <c:v>184281.51239958633</c:v>
                </c:pt>
                <c:pt idx="156">
                  <c:v>183362.4045220894</c:v>
                </c:pt>
                <c:pt idx="157">
                  <c:v>182447.88071425568</c:v>
                </c:pt>
                <c:pt idx="158">
                  <c:v>181537.91811294234</c:v>
                </c:pt>
                <c:pt idx="159">
                  <c:v>180632.49396903688</c:v>
                </c:pt>
                <c:pt idx="160">
                  <c:v>179731.58564688862</c:v>
                </c:pt>
                <c:pt idx="161">
                  <c:v>178835.17062374257</c:v>
                </c:pt>
                <c:pt idx="162">
                  <c:v>177943.22648917645</c:v>
                </c:pt>
                <c:pt idx="163">
                  <c:v>177055.73094454047</c:v>
                </c:pt>
                <c:pt idx="164">
                  <c:v>176172.66180239973</c:v>
                </c:pt>
                <c:pt idx="165">
                  <c:v>175293.9969859797</c:v>
                </c:pt>
                <c:pt idx="166">
                  <c:v>174419.71452861425</c:v>
                </c:pt>
                <c:pt idx="167">
                  <c:v>173549.79257319635</c:v>
                </c:pt>
                <c:pt idx="168">
                  <c:v>172684.20937163188</c:v>
                </c:pt>
                <c:pt idx="169">
                  <c:v>171822.94328429567</c:v>
                </c:pt>
                <c:pt idx="170">
                  <c:v>170965.97277949069</c:v>
                </c:pt>
                <c:pt idx="171">
                  <c:v>170113.27643290965</c:v>
                </c:pt>
                <c:pt idx="172">
                  <c:v>169264.83292709952</c:v>
                </c:pt>
                <c:pt idx="173">
                  <c:v>168420.62105092849</c:v>
                </c:pt>
                <c:pt idx="174">
                  <c:v>167580.61969905559</c:v>
                </c:pt>
                <c:pt idx="175">
                  <c:v>166744.80787140335</c:v>
                </c:pt>
                <c:pt idx="176">
                  <c:v>165913.16467263256</c:v>
                </c:pt>
                <c:pt idx="177">
                  <c:v>165085.66931161986</c:v>
                </c:pt>
                <c:pt idx="178">
                  <c:v>164262.3011009382</c:v>
                </c:pt>
                <c:pt idx="179">
                  <c:v>163443.03945633938</c:v>
                </c:pt>
                <c:pt idx="180">
                  <c:v>162627.86389623964</c:v>
                </c:pt>
                <c:pt idx="181">
                  <c:v>161816.75404120752</c:v>
                </c:pt>
                <c:pt idx="182">
                  <c:v>161009.68961345439</c:v>
                </c:pt>
                <c:pt idx="183">
                  <c:v>160206.6504363275</c:v>
                </c:pt>
                <c:pt idx="184">
                  <c:v>159407.61643380564</c:v>
                </c:pt>
                <c:pt idx="185">
                  <c:v>158612.56762999712</c:v>
                </c:pt>
                <c:pt idx="186">
                  <c:v>157821.48414864045</c:v>
                </c:pt>
                <c:pt idx="187">
                  <c:v>157034.34621260734</c:v>
                </c:pt>
                <c:pt idx="188">
                  <c:v>156251.13414340845</c:v>
                </c:pt>
                <c:pt idx="189">
                  <c:v>155471.82836070121</c:v>
                </c:pt>
                <c:pt idx="190">
                  <c:v>154696.40938180051</c:v>
                </c:pt>
                <c:pt idx="191">
                  <c:v>153924.85782119143</c:v>
                </c:pt>
                <c:pt idx="192">
                  <c:v>153157.15439004483</c:v>
                </c:pt>
                <c:pt idx="193">
                  <c:v>152393.27989573492</c:v>
                </c:pt>
                <c:pt idx="194">
                  <c:v>151633.21524135952</c:v>
                </c:pt>
                <c:pt idx="195">
                  <c:v>150876.94142526278</c:v>
                </c:pt>
                <c:pt idx="196">
                  <c:v>150124.43954055983</c:v>
                </c:pt>
                <c:pt idx="197">
                  <c:v>149375.69077466437</c:v>
                </c:pt>
                <c:pt idx="198">
                  <c:v>148630.67640881828</c:v>
                </c:pt>
                <c:pt idx="199">
                  <c:v>147889.37781762358</c:v>
                </c:pt>
                <c:pt idx="200">
                  <c:v>147151.77646857692</c:v>
                </c:pt>
                <c:pt idx="201">
                  <c:v>146417.85392160615</c:v>
                </c:pt>
                <c:pt idx="202">
                  <c:v>145687.59182860932</c:v>
                </c:pt>
                <c:pt idx="203">
                  <c:v>144960.97193299615</c:v>
                </c:pt>
                <c:pt idx="204">
                  <c:v>144237.97606923131</c:v>
                </c:pt>
                <c:pt idx="205">
                  <c:v>143518.58616238064</c:v>
                </c:pt>
                <c:pt idx="206">
                  <c:v>142802.78422765897</c:v>
                </c:pt>
                <c:pt idx="207">
                  <c:v>142090.55236998061</c:v>
                </c:pt>
                <c:pt idx="208">
                  <c:v>141381.87278351205</c:v>
                </c:pt>
                <c:pt idx="209">
                  <c:v>140676.72775122678</c:v>
                </c:pt>
                <c:pt idx="210">
                  <c:v>139975.09964446214</c:v>
                </c:pt>
                <c:pt idx="211">
                  <c:v>139276.97092247903</c:v>
                </c:pt>
                <c:pt idx="212">
                  <c:v>138582.32413202297</c:v>
                </c:pt>
                <c:pt idx="213">
                  <c:v>137891.14190688808</c:v>
                </c:pt>
                <c:pt idx="214">
                  <c:v>137203.40696748265</c:v>
                </c:pt>
                <c:pt idx="215">
                  <c:v>136519.1021203975</c:v>
                </c:pt>
                <c:pt idx="216">
                  <c:v>135838.21025797565</c:v>
                </c:pt>
                <c:pt idx="217">
                  <c:v>135160.71435788521</c:v>
                </c:pt>
                <c:pt idx="218">
                  <c:v>134486.59748269332</c:v>
                </c:pt>
                <c:pt idx="219">
                  <c:v>133815.84277944305</c:v>
                </c:pt>
                <c:pt idx="220">
                  <c:v>133148.43347923181</c:v>
                </c:pt>
                <c:pt idx="221">
                  <c:v>132484.35289679238</c:v>
                </c:pt>
                <c:pt idx="222">
                  <c:v>131823.58443007563</c:v>
                </c:pt>
                <c:pt idx="223">
                  <c:v>131166.11155983541</c:v>
                </c:pt>
                <c:pt idx="224">
                  <c:v>130511.91784921578</c:v>
                </c:pt>
                <c:pt idx="225">
                  <c:v>129860.9869433399</c:v>
                </c:pt>
                <c:pt idx="226">
                  <c:v>129213.30256890118</c:v>
                </c:pt>
                <c:pt idx="227">
                  <c:v>128568.84853375654</c:v>
                </c:pt>
                <c:pt idx="228">
                  <c:v>127927.60872652158</c:v>
                </c:pt>
                <c:pt idx="229">
                  <c:v>127289.56711616763</c:v>
                </c:pt>
                <c:pt idx="230">
                  <c:v>126654.7077516213</c:v>
                </c:pt>
                <c:pt idx="231">
                  <c:v>126023.01476136532</c:v>
                </c:pt>
                <c:pt idx="232">
                  <c:v>125394.47235304213</c:v>
                </c:pt>
                <c:pt idx="233">
                  <c:v>124769.06481305869</c:v>
                </c:pt>
                <c:pt idx="234">
                  <c:v>124146.77650619402</c:v>
                </c:pt>
                <c:pt idx="235">
                  <c:v>123527.59187520795</c:v>
                </c:pt>
                <c:pt idx="236">
                  <c:v>122911.49544045251</c:v>
                </c:pt>
                <c:pt idx="237">
                  <c:v>122298.4717994847</c:v>
                </c:pt>
                <c:pt idx="238">
                  <c:v>121688.50562668162</c:v>
                </c:pt>
                <c:pt idx="239">
                  <c:v>121081.58167285714</c:v>
                </c:pt>
                <c:pt idx="240">
                  <c:v>120477.68476488086</c:v>
                </c:pt>
                <c:pt idx="241">
                  <c:v>119876.79980529853</c:v>
                </c:pt>
                <c:pt idx="242">
                  <c:v>119278.91177195495</c:v>
                </c:pt>
                <c:pt idx="243">
                  <c:v>118684.0057176181</c:v>
                </c:pt>
                <c:pt idx="244">
                  <c:v>118092.06676960569</c:v>
                </c:pt>
                <c:pt idx="245">
                  <c:v>117503.08012941311</c:v>
                </c:pt>
                <c:pt idx="246">
                  <c:v>116917.03107234377</c:v>
                </c:pt>
                <c:pt idx="247">
                  <c:v>116333.90494714062</c:v>
                </c:pt>
                <c:pt idx="248">
                  <c:v>115753.68717562025</c:v>
                </c:pt>
                <c:pt idx="249">
                  <c:v>115176.36325230809</c:v>
                </c:pt>
                <c:pt idx="250">
                  <c:v>114601.91874407604</c:v>
                </c:pt>
                <c:pt idx="251">
                  <c:v>114030.33928978143</c:v>
                </c:pt>
                <c:pt idx="252">
                  <c:v>113461.61059990816</c:v>
                </c:pt>
                <c:pt idx="253">
                  <c:v>112895.71845620933</c:v>
                </c:pt>
                <c:pt idx="254">
                  <c:v>112332.64871135191</c:v>
                </c:pt>
                <c:pt idx="255">
                  <c:v>111772.38728856294</c:v>
                </c:pt>
                <c:pt idx="256">
                  <c:v>111214.92018127766</c:v>
                </c:pt>
                <c:pt idx="257">
                  <c:v>110660.23345278937</c:v>
                </c:pt>
                <c:pt idx="258">
                  <c:v>110108.31323590093</c:v>
                </c:pt>
                <c:pt idx="259">
                  <c:v>109559.14573257824</c:v>
                </c:pt>
                <c:pt idx="260">
                  <c:v>109012.71721360504</c:v>
                </c:pt>
                <c:pt idx="261">
                  <c:v>108469.01401823996</c:v>
                </c:pt>
                <c:pt idx="262">
                  <c:v>107928.02255387472</c:v>
                </c:pt>
                <c:pt idx="263">
                  <c:v>107389.72929569463</c:v>
                </c:pt>
                <c:pt idx="264">
                  <c:v>106854.12078634014</c:v>
                </c:pt>
                <c:pt idx="265">
                  <c:v>106321.18363557063</c:v>
                </c:pt>
                <c:pt idx="266">
                  <c:v>105790.90451992958</c:v>
                </c:pt>
                <c:pt idx="267">
                  <c:v>105263.27018241148</c:v>
                </c:pt>
                <c:pt idx="268">
                  <c:v>104738.26743213039</c:v>
                </c:pt>
                <c:pt idx="269">
                  <c:v>104215.88314399024</c:v>
                </c:pt>
                <c:pt idx="270">
                  <c:v>103696.1042583566</c:v>
                </c:pt>
                <c:pt idx="271">
                  <c:v>103178.91778073028</c:v>
                </c:pt>
                <c:pt idx="272">
                  <c:v>102664.31078142235</c:v>
                </c:pt>
                <c:pt idx="273">
                  <c:v>102152.27039523107</c:v>
                </c:pt>
                <c:pt idx="274">
                  <c:v>101642.7838211201</c:v>
                </c:pt>
                <c:pt idx="275">
                  <c:v>101135.83832189858</c:v>
                </c:pt>
                <c:pt idx="276">
                  <c:v>100631.42122390261</c:v>
                </c:pt>
                <c:pt idx="277">
                  <c:v>100129.51991667844</c:v>
                </c:pt>
                <c:pt idx="278">
                  <c:v>99630.121852667289</c:v>
                </c:pt>
                <c:pt idx="279">
                  <c:v>99133.214546891497</c:v>
                </c:pt>
                <c:pt idx="280">
                  <c:v>98638.785576642593</c:v>
                </c:pt>
                <c:pt idx="281">
                  <c:v>98146.822581170534</c:v>
                </c:pt>
                <c:pt idx="282">
                  <c:v>97657.313261374846</c:v>
                </c:pt>
                <c:pt idx="283">
                  <c:v>97170.245379496977</c:v>
                </c:pt>
                <c:pt idx="284">
                  <c:v>96685.606758814582</c:v>
                </c:pt>
                <c:pt idx="285">
                  <c:v>96203.385283336844</c:v>
                </c:pt>
                <c:pt idx="286">
                  <c:v>95723.568897501827</c:v>
                </c:pt>
                <c:pt idx="287">
                  <c:v>95246.145605874815</c:v>
                </c:pt>
                <c:pt idx="288">
                  <c:v>94771.103472848699</c:v>
                </c:pt>
                <c:pt idx="289">
                  <c:v>94298.430622345404</c:v>
                </c:pt>
                <c:pt idx="290">
                  <c:v>93828.115237519058</c:v>
                </c:pt>
                <c:pt idx="291">
                  <c:v>93360.145560460529</c:v>
                </c:pt>
                <c:pt idx="292">
                  <c:v>92894.509891903537</c:v>
                </c:pt>
                <c:pt idx="293">
                  <c:v>92431.196590932072</c:v>
                </c:pt>
                <c:pt idx="294">
                  <c:v>91970.194074689542</c:v>
                </c:pt>
                <c:pt idx="295">
                  <c:v>91511.490818088976</c:v>
                </c:pt>
                <c:pt idx="296">
                  <c:v>91055.075353525099</c:v>
                </c:pt>
                <c:pt idx="297">
                  <c:v>90600.936270587496</c:v>
                </c:pt>
                <c:pt idx="298">
                  <c:v>90149.062215775484</c:v>
                </c:pt>
                <c:pt idx="299">
                  <c:v>89699.441892214134</c:v>
                </c:pt>
                <c:pt idx="300">
                  <c:v>89252.064059371929</c:v>
                </c:pt>
                <c:pt idx="301">
                  <c:v>88806.917532779771</c:v>
                </c:pt>
                <c:pt idx="302">
                  <c:v>88363.991183751277</c:v>
                </c:pt>
                <c:pt idx="303">
                  <c:v>87923.273939104693</c:v>
                </c:pt>
                <c:pt idx="304">
                  <c:v>87484.754780885894</c:v>
                </c:pt>
                <c:pt idx="305">
                  <c:v>87048.422746093158</c:v>
                </c:pt>
                <c:pt idx="306">
                  <c:v>86614.266926402823</c:v>
                </c:pt>
                <c:pt idx="307">
                  <c:v>86182.276467896838</c:v>
                </c:pt>
                <c:pt idx="308">
                  <c:v>85752.440570791179</c:v>
                </c:pt>
                <c:pt idx="309">
                  <c:v>85324.748489166086</c:v>
                </c:pt>
                <c:pt idx="310">
                  <c:v>84899.189530697215</c:v>
                </c:pt>
                <c:pt idx="311">
                  <c:v>84475.753056388465</c:v>
                </c:pt>
                <c:pt idx="312">
                  <c:v>84054.428480305884</c:v>
                </c:pt>
                <c:pt idx="313">
                  <c:v>83635.20526931317</c:v>
                </c:pt>
                <c:pt idx="314">
                  <c:v>83218.072942808183</c:v>
                </c:pt>
                <c:pt idx="315">
                  <c:v>82803.021072461052</c:v>
                </c:pt>
                <c:pt idx="316">
                  <c:v>82390.039281953374</c:v>
                </c:pt>
                <c:pt idx="317">
                  <c:v>81979.117246718917</c:v>
                </c:pt>
                <c:pt idx="318">
                  <c:v>81570.244693685367</c:v>
                </c:pt>
                <c:pt idx="319">
                  <c:v>81163.411401017627</c:v>
                </c:pt>
                <c:pt idx="320">
                  <c:v>80758.607197862148</c:v>
                </c:pt>
                <c:pt idx="321">
                  <c:v>80355.821964092829</c:v>
                </c:pt>
                <c:pt idx="322">
                  <c:v>79955.045630057793</c:v>
                </c:pt>
                <c:pt idx="323">
                  <c:v>79556.268176327852</c:v>
                </c:pt>
                <c:pt idx="324">
                  <c:v>79159.479633445866</c:v>
                </c:pt>
                <c:pt idx="325">
                  <c:v>78764.670081677628</c:v>
                </c:pt>
                <c:pt idx="326">
                  <c:v>78371.829650763742</c:v>
                </c:pt>
                <c:pt idx="327">
                  <c:v>77980.948519672995</c:v>
                </c:pt>
                <c:pt idx="328">
                  <c:v>77592.016916356763</c:v>
                </c:pt>
                <c:pt idx="329">
                  <c:v>77205.025117504687</c:v>
                </c:pt>
                <c:pt idx="330">
                  <c:v>76819.963448301656</c:v>
                </c:pt>
                <c:pt idx="331">
                  <c:v>76436.822282185851</c:v>
                </c:pt>
                <c:pt idx="332">
                  <c:v>76055.592040608215</c:v>
                </c:pt>
                <c:pt idx="333">
                  <c:v>75676.263192792816</c:v>
                </c:pt>
                <c:pt idx="334">
                  <c:v>75298.826255498716</c:v>
                </c:pt>
                <c:pt idx="335">
                  <c:v>74923.271792782805</c:v>
                </c:pt>
                <c:pt idx="336">
                  <c:v>74549.590415763989</c:v>
                </c:pt>
                <c:pt idx="337">
                  <c:v>74177.772782388347</c:v>
                </c:pt>
                <c:pt idx="338">
                  <c:v>73807.809597195708</c:v>
                </c:pt>
                <c:pt idx="339">
                  <c:v>73439.691611087139</c:v>
                </c:pt>
                <c:pt idx="340">
                  <c:v>73073.409621093859</c:v>
                </c:pt>
                <c:pt idx="341">
                  <c:v>72708.954470147</c:v>
                </c:pt>
                <c:pt idx="342">
                  <c:v>72346.317046848839</c:v>
                </c:pt>
                <c:pt idx="343">
                  <c:v>71985.488285244865</c:v>
                </c:pt>
                <c:pt idx="344">
                  <c:v>71626.459164597283</c:v>
                </c:pt>
                <c:pt idx="345">
                  <c:v>71269.220709159359</c:v>
                </c:pt>
                <c:pt idx="346">
                  <c:v>70913.763987951126</c:v>
                </c:pt>
                <c:pt idx="347">
                  <c:v>70560.080114535987</c:v>
                </c:pt>
                <c:pt idx="348">
                  <c:v>70208.16024679874</c:v>
                </c:pt>
                <c:pt idx="349">
                  <c:v>69857.995586724341</c:v>
                </c:pt>
                <c:pt idx="350">
                  <c:v>69509.57738017806</c:v>
                </c:pt>
                <c:pt idx="351">
                  <c:v>69162.896916686557</c:v>
                </c:pt>
                <c:pt idx="352">
                  <c:v>68817.945529220218</c:v>
                </c:pt>
                <c:pt idx="353">
                  <c:v>68474.714593976387</c:v>
                </c:pt>
                <c:pt idx="354">
                  <c:v>68133.195530163764</c:v>
                </c:pt>
                <c:pt idx="355">
                  <c:v>67793.379799788047</c:v>
                </c:pt>
                <c:pt idx="356">
                  <c:v>67455.258907438198</c:v>
                </c:pt>
                <c:pt idx="357">
                  <c:v>67118.824400074358</c:v>
                </c:pt>
                <c:pt idx="358">
                  <c:v>66784.067866816273</c:v>
                </c:pt>
                <c:pt idx="359">
                  <c:v>66450.980938733235</c:v>
                </c:pt>
                <c:pt idx="360">
                  <c:v>66119.555288634612</c:v>
                </c:pt>
                <c:pt idx="361">
                  <c:v>65789.782630861955</c:v>
                </c:pt>
                <c:pt idx="362">
                  <c:v>65461.654721081621</c:v>
                </c:pt>
                <c:pt idx="363">
                  <c:v>65135.163356078781</c:v>
                </c:pt>
                <c:pt idx="364">
                  <c:v>64810.300373552302</c:v>
                </c:pt>
                <c:pt idx="365">
                  <c:v>64487.057651910705</c:v>
                </c:pt>
                <c:pt idx="366">
                  <c:v>64165.427110069097</c:v>
                </c:pt>
                <c:pt idx="367">
                  <c:v>63845.400707247216</c:v>
                </c:pt>
                <c:pt idx="368">
                  <c:v>63526.970442768274</c:v>
                </c:pt>
                <c:pt idx="369">
                  <c:v>63210.128355859117</c:v>
                </c:pt>
                <c:pt idx="370">
                  <c:v>62894.866525451042</c:v>
                </c:pt>
                <c:pt idx="371">
                  <c:v>62581.177069981895</c:v>
                </c:pt>
                <c:pt idx="372">
                  <c:v>62269.05214719892</c:v>
                </c:pt>
                <c:pt idx="373">
                  <c:v>61958.483953962816</c:v>
                </c:pt>
                <c:pt idx="374">
                  <c:v>61649.46472605256</c:v>
                </c:pt>
                <c:pt idx="375">
                  <c:v>61341.986737971391</c:v>
                </c:pt>
                <c:pt idx="376">
                  <c:v>61036.042302753558</c:v>
                </c:pt>
                <c:pt idx="377">
                  <c:v>60731.62377177224</c:v>
                </c:pt>
                <c:pt idx="378">
                  <c:v>60428.723534548342</c:v>
                </c:pt>
                <c:pt idx="379">
                  <c:v>60127.334018560134</c:v>
                </c:pt>
                <c:pt idx="380">
                  <c:v>59827.447689054025</c:v>
                </c:pt>
                <c:pt idx="381">
                  <c:v>59529.05704885615</c:v>
                </c:pt>
                <c:pt idx="382">
                  <c:v>59232.154638184984</c:v>
                </c:pt>
                <c:pt idx="383">
                  <c:v>58936.733034464771</c:v>
                </c:pt>
                <c:pt idx="384">
                  <c:v>58642.784852140059</c:v>
                </c:pt>
                <c:pt idx="385">
                  <c:v>58350.302742490945</c:v>
                </c:pt>
                <c:pt idx="386">
                  <c:v>58059.279393449491</c:v>
                </c:pt>
                <c:pt idx="387">
                  <c:v>57769.707529416788</c:v>
                </c:pt>
                <c:pt idx="388">
                  <c:v>57481.579911081171</c:v>
                </c:pt>
                <c:pt idx="389">
                  <c:v>57194.889335237152</c:v>
                </c:pt>
                <c:pt idx="390">
                  <c:v>56909.628634605433</c:v>
                </c:pt>
                <c:pt idx="391">
                  <c:v>56625.790677653611</c:v>
                </c:pt>
                <c:pt idx="392">
                  <c:v>56343.368368418</c:v>
                </c:pt>
                <c:pt idx="393">
                  <c:v>56062.354646326137</c:v>
                </c:pt>
                <c:pt idx="394">
                  <c:v>55782.742486020376</c:v>
                </c:pt>
                <c:pt idx="395">
                  <c:v>55504.524897182098</c:v>
                </c:pt>
                <c:pt idx="396">
                  <c:v>55227.694924357129</c:v>
                </c:pt>
                <c:pt idx="397">
                  <c:v>54952.245646781696</c:v>
                </c:pt>
                <c:pt idx="398">
                  <c:v>54678.170178209541</c:v>
                </c:pt>
                <c:pt idx="399">
                  <c:v>54405.461666739662</c:v>
                </c:pt>
                <c:pt idx="400">
                  <c:v>54134.113294645082</c:v>
                </c:pt>
                <c:pt idx="401">
                  <c:v>53864.118278202346</c:v>
                </c:pt>
                <c:pt idx="402">
                  <c:v>53595.469867521992</c:v>
                </c:pt>
                <c:pt idx="403">
                  <c:v>53328.16134637974</c:v>
                </c:pt>
                <c:pt idx="404">
                  <c:v>53062.186032048689</c:v>
                </c:pt>
                <c:pt idx="405">
                  <c:v>52797.53727513209</c:v>
                </c:pt>
                <c:pt idx="406">
                  <c:v>52534.208459397247</c:v>
                </c:pt>
                <c:pt idx="407">
                  <c:v>52272.193001610009</c:v>
                </c:pt>
                <c:pt idx="408">
                  <c:v>52011.48435137036</c:v>
                </c:pt>
                <c:pt idx="409">
                  <c:v>51752.075990948433</c:v>
                </c:pt>
                <c:pt idx="410">
                  <c:v>51493.961435121695</c:v>
                </c:pt>
                <c:pt idx="411">
                  <c:v>51237.134231012795</c:v>
                </c:pt>
                <c:pt idx="412">
                  <c:v>50981.587957928299</c:v>
                </c:pt>
                <c:pt idx="413">
                  <c:v>50727.31622719804</c:v>
                </c:pt>
                <c:pt idx="414">
                  <c:v>50474.312682015508</c:v>
                </c:pt>
                <c:pt idx="415">
                  <c:v>50222.570997278883</c:v>
                </c:pt>
                <c:pt idx="416">
                  <c:v>49972.084879432965</c:v>
                </c:pt>
                <c:pt idx="417">
                  <c:v>49722.848066311752</c:v>
                </c:pt>
                <c:pt idx="418">
                  <c:v>49474.854326981935</c:v>
                </c:pt>
                <c:pt idx="419">
                  <c:v>49228.09746158708</c:v>
                </c:pt>
                <c:pt idx="420">
                  <c:v>48982.571301192766</c:v>
                </c:pt>
                <c:pt idx="421">
                  <c:v>48738.269707632142</c:v>
                </c:pt>
                <c:pt idx="422">
                  <c:v>48495.186573352672</c:v>
                </c:pt>
                <c:pt idx="423">
                  <c:v>48253.315821263306</c:v>
                </c:pt>
                <c:pt idx="424">
                  <c:v>48012.651404582692</c:v>
                </c:pt>
                <c:pt idx="425">
                  <c:v>47773.187306687847</c:v>
                </c:pt>
                <c:pt idx="426">
                  <c:v>47534.917540963863</c:v>
                </c:pt>
                <c:pt idx="427">
                  <c:v>47297.836150654177</c:v>
                </c:pt>
                <c:pt idx="428">
                  <c:v>47061.937208711672</c:v>
                </c:pt>
                <c:pt idx="429">
                  <c:v>46827.214817650551</c:v>
                </c:pt>
                <c:pt idx="430">
                  <c:v>46593.663109398789</c:v>
                </c:pt>
                <c:pt idx="431">
                  <c:v>46361.276245151515</c:v>
                </c:pt>
                <c:pt idx="432">
                  <c:v>46130.048415225006</c:v>
                </c:pt>
                <c:pt idx="433">
                  <c:v>45899.973838911501</c:v>
                </c:pt>
                <c:pt idx="434">
                  <c:v>45671.046764334598</c:v>
                </c:pt>
                <c:pt idx="435">
                  <c:v>45443.261468305507</c:v>
                </c:pt>
                <c:pt idx="436">
                  <c:v>45216.612256179942</c:v>
                </c:pt>
                <c:pt idx="437">
                  <c:v>44991.093461715827</c:v>
                </c:pt>
                <c:pt idx="438">
                  <c:v>44766.699446931554</c:v>
                </c:pt>
                <c:pt idx="439">
                  <c:v>44543.424601965045</c:v>
                </c:pt>
                <c:pt idx="440">
                  <c:v>44321.263344933548</c:v>
                </c:pt>
                <c:pt idx="441">
                  <c:v>44100.210121794087</c:v>
                </c:pt>
                <c:pt idx="442">
                  <c:v>43880.259406204561</c:v>
                </c:pt>
                <c:pt idx="443">
                  <c:v>43661.405699385628</c:v>
                </c:pt>
                <c:pt idx="444">
                  <c:v>43443.643529983186</c:v>
                </c:pt>
                <c:pt idx="445">
                  <c:v>43226.967453931706</c:v>
                </c:pt>
                <c:pt idx="446">
                  <c:v>43011.372054317981</c:v>
                </c:pt>
                <c:pt idx="447">
                  <c:v>42796.851941245797</c:v>
                </c:pt>
                <c:pt idx="448">
                  <c:v>42583.401751701123</c:v>
                </c:pt>
                <c:pt idx="449">
                  <c:v>42371.016149418145</c:v>
                </c:pt>
                <c:pt idx="450">
                  <c:v>42159.689824745736</c:v>
                </c:pt>
                <c:pt idx="451">
                  <c:v>41949.417494514761</c:v>
                </c:pt>
                <c:pt idx="452">
                  <c:v>41740.193901906016</c:v>
                </c:pt>
                <c:pt idx="453">
                  <c:v>41532.013816318766</c:v>
                </c:pt>
                <c:pt idx="454">
                  <c:v>41324.872033240077</c:v>
                </c:pt>
                <c:pt idx="455">
                  <c:v>41118.763374114562</c:v>
                </c:pt>
                <c:pt idx="456">
                  <c:v>40913.68268621499</c:v>
                </c:pt>
                <c:pt idx="457">
                  <c:v>40709.624842513484</c:v>
                </c:pt>
                <c:pt idx="458">
                  <c:v>40506.584741553357</c:v>
                </c:pt>
                <c:pt idx="459">
                  <c:v>40304.557307321491</c:v>
                </c:pt>
                <c:pt idx="460">
                  <c:v>40103.537489121496</c:v>
                </c:pt>
                <c:pt idx="461">
                  <c:v>39903.520261447447</c:v>
                </c:pt>
                <c:pt idx="462">
                  <c:v>39704.500623858265</c:v>
                </c:pt>
                <c:pt idx="463">
                  <c:v>39506.473600852616</c:v>
                </c:pt>
                <c:pt idx="464">
                  <c:v>39309.434241744617</c:v>
                </c:pt>
                <c:pt idx="465">
                  <c:v>39113.377620540021</c:v>
                </c:pt>
                <c:pt idx="466">
                  <c:v>38918.298835813104</c:v>
                </c:pt>
                <c:pt idx="467">
                  <c:v>38724.193010584087</c:v>
                </c:pt>
                <c:pt idx="468">
                  <c:v>38531.055292197212</c:v>
                </c:pt>
                <c:pt idx="469">
                  <c:v>38338.880852199458</c:v>
                </c:pt>
                <c:pt idx="470">
                  <c:v>38147.664886219842</c:v>
                </c:pt>
                <c:pt idx="471">
                  <c:v>37957.402613849248</c:v>
                </c:pt>
                <c:pt idx="472">
                  <c:v>37768.089278520936</c:v>
                </c:pt>
                <c:pt idx="473">
                  <c:v>37579.720147391672</c:v>
                </c:pt>
                <c:pt idx="474">
                  <c:v>37392.290511223386</c:v>
                </c:pt>
                <c:pt idx="475">
                  <c:v>37205.795684265395</c:v>
                </c:pt>
                <c:pt idx="476">
                  <c:v>37020.231004137313</c:v>
                </c:pt>
                <c:pt idx="477">
                  <c:v>36835.591831712474</c:v>
                </c:pt>
                <c:pt idx="478">
                  <c:v>36651.873551001932</c:v>
                </c:pt>
                <c:pt idx="479">
                  <c:v>36469.071569039144</c:v>
                </c:pt>
                <c:pt idx="480">
                  <c:v>36287.181315765003</c:v>
                </c:pt>
                <c:pt idx="481">
                  <c:v>36106.198243913721</c:v>
                </c:pt>
                <c:pt idx="482">
                  <c:v>35926.117828899049</c:v>
                </c:pt>
                <c:pt idx="483">
                  <c:v>35746.935568701279</c:v>
                </c:pt>
                <c:pt idx="484">
                  <c:v>35568.646983754537</c:v>
                </c:pt>
                <c:pt idx="485">
                  <c:v>35391.247616834924</c:v>
                </c:pt>
                <c:pt idx="486">
                  <c:v>35214.733032949021</c:v>
                </c:pt>
                <c:pt idx="487">
                  <c:v>35039.098819223051</c:v>
                </c:pt>
                <c:pt idx="488">
                  <c:v>34864.340584792517</c:v>
                </c:pt>
                <c:pt idx="489">
                  <c:v>34690.453960692459</c:v>
                </c:pt>
                <c:pt idx="490">
                  <c:v>34517.434599748201</c:v>
                </c:pt>
                <c:pt idx="491">
                  <c:v>34345.278176466731</c:v>
                </c:pt>
                <c:pt idx="492">
                  <c:v>34173.980386928495</c:v>
                </c:pt>
                <c:pt idx="493">
                  <c:v>34003.536948679823</c:v>
                </c:pt>
                <c:pt idx="494">
                  <c:v>33833.943600625877</c:v>
                </c:pt>
                <c:pt idx="495">
                  <c:v>33665.196102924143</c:v>
                </c:pt>
                <c:pt idx="496">
                  <c:v>33497.290236878383</c:v>
                </c:pt>
                <c:pt idx="497">
                  <c:v>33330.2218048332</c:v>
                </c:pt>
                <c:pt idx="498">
                  <c:v>33163.986630069063</c:v>
                </c:pt>
                <c:pt idx="499">
                  <c:v>32998.580556697991</c:v>
                </c:pt>
                <c:pt idx="500">
                  <c:v>32833.999449559517</c:v>
                </c:pt>
                <c:pt idx="501">
                  <c:v>32670.239194117385</c:v>
                </c:pt>
                <c:pt idx="502">
                  <c:v>32507.295696356679</c:v>
                </c:pt>
                <c:pt idx="503">
                  <c:v>32345.164882681463</c:v>
                </c:pt>
                <c:pt idx="504">
                  <c:v>32183.842699812976</c:v>
                </c:pt>
                <c:pt idx="505">
                  <c:v>32023.325114688218</c:v>
                </c:pt>
                <c:pt idx="506">
                  <c:v>31863.608114359216</c:v>
                </c:pt>
                <c:pt idx="507">
                  <c:v>31704.687705892618</c:v>
                </c:pt>
                <c:pt idx="508">
                  <c:v>31546.55991626998</c:v>
                </c:pt>
                <c:pt idx="509">
                  <c:v>31389.220792288292</c:v>
                </c:pt>
                <c:pt idx="510">
                  <c:v>31232.666400461268</c:v>
                </c:pt>
                <c:pt idx="511">
                  <c:v>31076.892826920943</c:v>
                </c:pt>
                <c:pt idx="512">
                  <c:v>30921.896177319897</c:v>
                </c:pt>
                <c:pt idx="513">
                  <c:v>30767.672576733799</c:v>
                </c:pt>
                <c:pt idx="514">
                  <c:v>30614.218169564607</c:v>
                </c:pt>
                <c:pt idx="515">
                  <c:v>30461.529119444131</c:v>
                </c:pt>
                <c:pt idx="516">
                  <c:v>30309.601609138193</c:v>
                </c:pt>
                <c:pt idx="517">
                  <c:v>30158.431840451107</c:v>
                </c:pt>
                <c:pt idx="518">
                  <c:v>30008.016034130793</c:v>
                </c:pt>
                <c:pt idx="519">
                  <c:v>29858.350429774229</c:v>
                </c:pt>
                <c:pt idx="520">
                  <c:v>29709.43128573355</c:v>
                </c:pt>
                <c:pt idx="521">
                  <c:v>29561.254879022381</c:v>
                </c:pt>
                <c:pt idx="522">
                  <c:v>29413.81750522284</c:v>
                </c:pt>
                <c:pt idx="523">
                  <c:v>29267.115478392887</c:v>
                </c:pt>
                <c:pt idx="524">
                  <c:v>29121.145130974237</c:v>
                </c:pt>
                <c:pt idx="525">
                  <c:v>28975.902813700581</c:v>
                </c:pt>
                <c:pt idx="526">
                  <c:v>28831.384895506439</c:v>
                </c:pt>
                <c:pt idx="527">
                  <c:v>28687.587763436324</c:v>
                </c:pt>
                <c:pt idx="528">
                  <c:v>28544.50782255442</c:v>
                </c:pt>
                <c:pt idx="529">
                  <c:v>28402.141495854794</c:v>
                </c:pt>
                <c:pt idx="530">
                  <c:v>28260.48522417184</c:v>
                </c:pt>
                <c:pt idx="531">
                  <c:v>28119.535466091387</c:v>
                </c:pt>
                <c:pt idx="532">
                  <c:v>27979.288697862143</c:v>
                </c:pt>
                <c:pt idx="533">
                  <c:v>27839.741413307605</c:v>
                </c:pt>
                <c:pt idx="534">
                  <c:v>27700.890123738398</c:v>
                </c:pt>
                <c:pt idx="535">
                  <c:v>27562.731357865032</c:v>
                </c:pt>
                <c:pt idx="536">
                  <c:v>27425.261661711163</c:v>
                </c:pt>
                <c:pt idx="537">
                  <c:v>27288.47759852725</c:v>
                </c:pt>
                <c:pt idx="538">
                  <c:v>27152.375748704577</c:v>
                </c:pt>
                <c:pt idx="539">
                  <c:v>27016.952709689805</c:v>
                </c:pt>
                <c:pt idx="540">
                  <c:v>26882.205095899903</c:v>
                </c:pt>
                <c:pt idx="541">
                  <c:v>26748.12953863752</c:v>
                </c:pt>
                <c:pt idx="542">
                  <c:v>26614.722686006742</c:v>
                </c:pt>
                <c:pt idx="543">
                  <c:v>26481.981202829298</c:v>
                </c:pt>
                <c:pt idx="544">
                  <c:v>26349.90177056118</c:v>
                </c:pt>
                <c:pt idx="545">
                  <c:v>26218.481087209733</c:v>
                </c:pt>
                <c:pt idx="546">
                  <c:v>26087.715867251009</c:v>
                </c:pt>
                <c:pt idx="547">
                  <c:v>25957.602841547705</c:v>
                </c:pt>
                <c:pt idx="548">
                  <c:v>25828.138757267388</c:v>
                </c:pt>
                <c:pt idx="549">
                  <c:v>25699.320377801232</c:v>
                </c:pt>
                <c:pt idx="550">
                  <c:v>25571.144482683027</c:v>
                </c:pt>
                <c:pt idx="551">
                  <c:v>25443.607867508723</c:v>
                </c:pt>
                <c:pt idx="552">
                  <c:v>25316.707343856291</c:v>
                </c:pt>
                <c:pt idx="553">
                  <c:v>25190.439739206027</c:v>
                </c:pt>
                <c:pt idx="554">
                  <c:v>25064.80189686126</c:v>
                </c:pt>
                <c:pt idx="555">
                  <c:v>24939.790675869372</c:v>
                </c:pt>
                <c:pt idx="556">
                  <c:v>24815.402950943328</c:v>
                </c:pt>
                <c:pt idx="557">
                  <c:v>24691.635612383518</c:v>
                </c:pt>
                <c:pt idx="558">
                  <c:v>24568.48556600005</c:v>
                </c:pt>
                <c:pt idx="559">
                  <c:v>24445.949733035344</c:v>
                </c:pt>
                <c:pt idx="560">
                  <c:v>24324.025050087188</c:v>
                </c:pt>
                <c:pt idx="561">
                  <c:v>24202.708469032157</c:v>
                </c:pt>
                <c:pt idx="562">
                  <c:v>24081.996956949417</c:v>
                </c:pt>
                <c:pt idx="563">
                  <c:v>23961.887496044874</c:v>
                </c:pt>
                <c:pt idx="564">
                  <c:v>23842.377083575746</c:v>
                </c:pt>
                <c:pt idx="565">
                  <c:v>23723.462731775489</c:v>
                </c:pt>
                <c:pt idx="566">
                  <c:v>23605.141467779136</c:v>
                </c:pt>
                <c:pt idx="567">
                  <c:v>23487.410333548913</c:v>
                </c:pt>
                <c:pt idx="568">
                  <c:v>23370.266385800333</c:v>
                </c:pt>
                <c:pt idx="569">
                  <c:v>23253.706695928588</c:v>
                </c:pt>
                <c:pt idx="570">
                  <c:v>23137.728349935383</c:v>
                </c:pt>
                <c:pt idx="571">
                  <c:v>23022.32844835602</c:v>
                </c:pt>
                <c:pt idx="572">
                  <c:v>22907.504106186945</c:v>
                </c:pt>
                <c:pt idx="573">
                  <c:v>22793.252452813613</c:v>
                </c:pt>
                <c:pt idx="574">
                  <c:v>22679.570631938761</c:v>
                </c:pt>
                <c:pt idx="575">
                  <c:v>22566.45580151094</c:v>
                </c:pt>
                <c:pt idx="576">
                  <c:v>22453.90513365349</c:v>
                </c:pt>
                <c:pt idx="577">
                  <c:v>22341.91581459386</c:v>
                </c:pt>
                <c:pt idx="578">
                  <c:v>22230.485044593224</c:v>
                </c:pt>
                <c:pt idx="579">
                  <c:v>22119.610037876551</c:v>
                </c:pt>
                <c:pt idx="580">
                  <c:v>22009.288022562891</c:v>
                </c:pt>
                <c:pt idx="581">
                  <c:v>21899.516240596116</c:v>
                </c:pt>
                <c:pt idx="582">
                  <c:v>21790.291947675945</c:v>
                </c:pt>
                <c:pt idx="583">
                  <c:v>21681.612413189385</c:v>
                </c:pt>
                <c:pt idx="584">
                  <c:v>21573.474920142409</c:v>
                </c:pt>
                <c:pt idx="585">
                  <c:v>21465.876765092053</c:v>
                </c:pt>
                <c:pt idx="586">
                  <c:v>21358.815258078834</c:v>
                </c:pt>
                <c:pt idx="587">
                  <c:v>21252.287722559511</c:v>
                </c:pt>
                <c:pt idx="588">
                  <c:v>21146.291495340149</c:v>
                </c:pt>
                <c:pt idx="589">
                  <c:v>21040.823926509536</c:v>
                </c:pt>
                <c:pt idx="590">
                  <c:v>20935.882379372953</c:v>
                </c:pt>
                <c:pt idx="591">
                  <c:v>20831.464230386275</c:v>
                </c:pt>
                <c:pt idx="592">
                  <c:v>20727.566869090333</c:v>
                </c:pt>
                <c:pt idx="593">
                  <c:v>20624.18769804568</c:v>
                </c:pt>
                <c:pt idx="594">
                  <c:v>20521.324132767644</c:v>
                </c:pt>
                <c:pt idx="595">
                  <c:v>20418.973601661757</c:v>
                </c:pt>
                <c:pt idx="596">
                  <c:v>20317.133545959401</c:v>
                </c:pt>
                <c:pt idx="597">
                  <c:v>20215.801419653879</c:v>
                </c:pt>
                <c:pt idx="598">
                  <c:v>20114.974689436745</c:v>
                </c:pt>
                <c:pt idx="599">
                  <c:v>20014.650834634511</c:v>
                </c:pt>
                <c:pt idx="600">
                  <c:v>19914.82734714558</c:v>
                </c:pt>
                <c:pt idx="601">
                  <c:v>19815.501731377553</c:v>
                </c:pt>
                <c:pt idx="602">
                  <c:v>19716.671504184869</c:v>
                </c:pt>
                <c:pt idx="603">
                  <c:v>19618.334194806692</c:v>
                </c:pt>
                <c:pt idx="604">
                  <c:v>19520.487344805184</c:v>
                </c:pt>
                <c:pt idx="605">
                  <c:v>19423.128508003989</c:v>
                </c:pt>
                <c:pt idx="606">
                  <c:v>19326.255250427115</c:v>
                </c:pt>
                <c:pt idx="607">
                  <c:v>19229.865150238071</c:v>
                </c:pt>
                <c:pt idx="608">
                  <c:v>19133.955797679348</c:v>
                </c:pt>
                <c:pt idx="609">
                  <c:v>19038.524795012127</c:v>
                </c:pt>
                <c:pt idx="610">
                  <c:v>18943.569756456371</c:v>
                </c:pt>
                <c:pt idx="611">
                  <c:v>18849.088308131166</c:v>
                </c:pt>
                <c:pt idx="612">
                  <c:v>18755.078087995393</c:v>
                </c:pt>
                <c:pt idx="613">
                  <c:v>18661.53674578865</c:v>
                </c:pt>
                <c:pt idx="614">
                  <c:v>18568.46194297251</c:v>
                </c:pt>
                <c:pt idx="615">
                  <c:v>18475.851352672042</c:v>
                </c:pt>
                <c:pt idx="616">
                  <c:v>18383.70265961768</c:v>
                </c:pt>
                <c:pt idx="617">
                  <c:v>18292.0135600873</c:v>
                </c:pt>
                <c:pt idx="618">
                  <c:v>18200.781761848626</c:v>
                </c:pt>
                <c:pt idx="619">
                  <c:v>18110.004984101954</c:v>
                </c:pt>
                <c:pt idx="620">
                  <c:v>18019.680957423119</c:v>
                </c:pt>
                <c:pt idx="621">
                  <c:v>17929.807423706749</c:v>
                </c:pt>
                <c:pt idx="622">
                  <c:v>17840.382136109813</c:v>
                </c:pt>
                <c:pt idx="623">
                  <c:v>17751.402858995461</c:v>
                </c:pt>
                <c:pt idx="624">
                  <c:v>17662.867367877145</c:v>
                </c:pt>
                <c:pt idx="625">
                  <c:v>17574.773449362969</c:v>
                </c:pt>
                <c:pt idx="626">
                  <c:v>17487.118901100377</c:v>
                </c:pt>
                <c:pt idx="627">
                  <c:v>17399.901531721101</c:v>
                </c:pt>
                <c:pt idx="628">
                  <c:v>17313.119160786358</c:v>
                </c:pt>
                <c:pt idx="629">
                  <c:v>17226.769618732367</c:v>
                </c:pt>
                <c:pt idx="630">
                  <c:v>17140.850746816075</c:v>
                </c:pt>
                <c:pt idx="631">
                  <c:v>17055.360397061202</c:v>
                </c:pt>
                <c:pt idx="632">
                  <c:v>16970.296432204555</c:v>
                </c:pt>
                <c:pt idx="633">
                  <c:v>16885.656725642588</c:v>
                </c:pt>
                <c:pt idx="634">
                  <c:v>16801.439161378221</c:v>
                </c:pt>
                <c:pt idx="635">
                  <c:v>16717.641633967967</c:v>
                </c:pt>
                <c:pt idx="636">
                  <c:v>16634.262048469263</c:v>
                </c:pt>
                <c:pt idx="637">
                  <c:v>16551.298320388152</c:v>
                </c:pt>
                <c:pt idx="638">
                  <c:v>16468.748375627096</c:v>
                </c:pt>
                <c:pt idx="639">
                  <c:v>16386.610150433178</c:v>
                </c:pt>
                <c:pt idx="640">
                  <c:v>16304.881591346484</c:v>
                </c:pt>
                <c:pt idx="641">
                  <c:v>16223.560655148794</c:v>
                </c:pt>
                <c:pt idx="642">
                  <c:v>16142.645308812458</c:v>
                </c:pt>
                <c:pt idx="643">
                  <c:v>16062.133529449609</c:v>
                </c:pt>
                <c:pt idx="644">
                  <c:v>15982.023304261558</c:v>
                </c:pt>
                <c:pt idx="645">
                  <c:v>15902.312630488521</c:v>
                </c:pt>
                <c:pt idx="646">
                  <c:v>15822.99951535949</c:v>
                </c:pt>
                <c:pt idx="647">
                  <c:v>15744.08197604246</c:v>
                </c:pt>
                <c:pt idx="648">
                  <c:v>15665.558039594825</c:v>
                </c:pt>
                <c:pt idx="649">
                  <c:v>15587.425742914105</c:v>
                </c:pt>
                <c:pt idx="650">
                  <c:v>15509.683132688804</c:v>
                </c:pt>
                <c:pt idx="651">
                  <c:v>15432.328265349615</c:v>
                </c:pt>
                <c:pt idx="652">
                  <c:v>15355.359207020831</c:v>
                </c:pt>
                <c:pt idx="653">
                  <c:v>15278.774033471971</c:v>
                </c:pt>
                <c:pt idx="654">
                  <c:v>15202.570830069726</c:v>
                </c:pt>
                <c:pt idx="655">
                  <c:v>15126.747691730034</c:v>
                </c:pt>
                <c:pt idx="656">
                  <c:v>15051.302722870489</c:v>
                </c:pt>
                <c:pt idx="657">
                  <c:v>14976.234037362929</c:v>
                </c:pt>
                <c:pt idx="658">
                  <c:v>14901.539758486324</c:v>
                </c:pt>
                <c:pt idx="659">
                  <c:v>14827.218018879801</c:v>
                </c:pt>
                <c:pt idx="660">
                  <c:v>14753.266960496007</c:v>
                </c:pt>
                <c:pt idx="661">
                  <c:v>14679.684734554612</c:v>
                </c:pt>
                <c:pt idx="662">
                  <c:v>14606.469501496162</c:v>
                </c:pt>
                <c:pt idx="663">
                  <c:v>14533.619430935998</c:v>
                </c:pt>
                <c:pt idx="664">
                  <c:v>14461.13270161857</c:v>
                </c:pt>
                <c:pt idx="665">
                  <c:v>14389.007501371862</c:v>
                </c:pt>
                <c:pt idx="666">
                  <c:v>14317.242027062119</c:v>
                </c:pt>
                <c:pt idx="667">
                  <c:v>14245.834484548745</c:v>
                </c:pt>
                <c:pt idx="668">
                  <c:v>14174.783088639457</c:v>
                </c:pt>
                <c:pt idx="669">
                  <c:v>14104.086063045648</c:v>
                </c:pt>
                <c:pt idx="670">
                  <c:v>14033.74164033801</c:v>
                </c:pt>
                <c:pt idx="671">
                  <c:v>13963.748061902303</c:v>
                </c:pt>
                <c:pt idx="672">
                  <c:v>13894.103577895425</c:v>
                </c:pt>
                <c:pt idx="673">
                  <c:v>13824.806447201639</c:v>
                </c:pt>
                <c:pt idx="674">
                  <c:v>13755.854937389084</c:v>
                </c:pt>
                <c:pt idx="675">
                  <c:v>13687.247324666412</c:v>
                </c:pt>
                <c:pt idx="676">
                  <c:v>13618.981893839738</c:v>
                </c:pt>
                <c:pt idx="677">
                  <c:v>13551.056938269732</c:v>
                </c:pt>
                <c:pt idx="678">
                  <c:v>13483.470759828959</c:v>
                </c:pt>
                <c:pt idx="679">
                  <c:v>13416.221668859454</c:v>
                </c:pt>
                <c:pt idx="680">
                  <c:v>13349.307984130432</c:v>
                </c:pt>
                <c:pt idx="681">
                  <c:v>13282.728032796293</c:v>
                </c:pt>
                <c:pt idx="682">
                  <c:v>13216.480150354773</c:v>
                </c:pt>
                <c:pt idx="683">
                  <c:v>13150.562680605379</c:v>
                </c:pt>
                <c:pt idx="684">
                  <c:v>13084.973975607927</c:v>
                </c:pt>
                <c:pt idx="685">
                  <c:v>13019.712395641372</c:v>
                </c:pt>
                <c:pt idx="686">
                  <c:v>12954.776309162817</c:v>
                </c:pt>
                <c:pt idx="687">
                  <c:v>12890.164092766721</c:v>
                </c:pt>
                <c:pt idx="688">
                  <c:v>12825.874131144308</c:v>
                </c:pt>
                <c:pt idx="689">
                  <c:v>12761.904817043191</c:v>
                </c:pt>
                <c:pt idx="690">
                  <c:v>12698.254551227175</c:v>
                </c:pt>
                <c:pt idx="691">
                  <c:v>12634.921742436314</c:v>
                </c:pt>
                <c:pt idx="692">
                  <c:v>12571.904807347084</c:v>
                </c:pt>
                <c:pt idx="693">
                  <c:v>12509.202170532824</c:v>
                </c:pt>
                <c:pt idx="694">
                  <c:v>12446.812264424343</c:v>
                </c:pt>
                <c:pt idx="695">
                  <c:v>12384.733529270752</c:v>
                </c:pt>
                <c:pt idx="696">
                  <c:v>12322.96441310043</c:v>
                </c:pt>
                <c:pt idx="697">
                  <c:v>12261.503371682258</c:v>
                </c:pt>
                <c:pt idx="698">
                  <c:v>12200.348868486994</c:v>
                </c:pt>
                <c:pt idx="699">
                  <c:v>12139.49937464888</c:v>
                </c:pt>
                <c:pt idx="700">
                  <c:v>12078.953368927401</c:v>
                </c:pt>
                <c:pt idx="701">
                  <c:v>12018.709337669256</c:v>
                </c:pt>
                <c:pt idx="702">
                  <c:v>11958.765774770529</c:v>
                </c:pt>
                <c:pt idx="703">
                  <c:v>11899.121181639017</c:v>
                </c:pt>
                <c:pt idx="704">
                  <c:v>11839.774067156799</c:v>
                </c:pt>
                <c:pt idx="705">
                  <c:v>11780.722947642917</c:v>
                </c:pt>
                <c:pt idx="706">
                  <c:v>11721.966346816303</c:v>
                </c:pt>
                <c:pt idx="707">
                  <c:v>11663.502795758875</c:v>
                </c:pt>
                <c:pt idx="708">
                  <c:v>11605.330832878821</c:v>
                </c:pt>
                <c:pt idx="709">
                  <c:v>11547.449003874035</c:v>
                </c:pt>
                <c:pt idx="710">
                  <c:v>11489.855861695773</c:v>
                </c:pt>
                <c:pt idx="711">
                  <c:v>11432.549966512481</c:v>
                </c:pt>
                <c:pt idx="712">
                  <c:v>11375.529885673803</c:v>
                </c:pt>
                <c:pt idx="713">
                  <c:v>11318.794193674741</c:v>
                </c:pt>
                <c:pt idx="714">
                  <c:v>11262.341472120042</c:v>
                </c:pt>
                <c:pt idx="715">
                  <c:v>11206.170309688723</c:v>
                </c:pt>
                <c:pt idx="716">
                  <c:v>11150.279302098807</c:v>
                </c:pt>
                <c:pt idx="717">
                  <c:v>11094.667052072187</c:v>
                </c:pt>
                <c:pt idx="718">
                  <c:v>11039.332169299714</c:v>
                </c:pt>
                <c:pt idx="719">
                  <c:v>10984.273270406438</c:v>
                </c:pt>
                <c:pt idx="720">
                  <c:v>10929.488978917023</c:v>
                </c:pt>
                <c:pt idx="721">
                  <c:v>10874.977925221327</c:v>
                </c:pt>
                <c:pt idx="722">
                  <c:v>10820.738746540166</c:v>
                </c:pt>
                <c:pt idx="723">
                  <c:v>10766.770086891245</c:v>
                </c:pt>
                <c:pt idx="724">
                  <c:v>10713.07059705527</c:v>
                </c:pt>
                <c:pt idx="725">
                  <c:v>10659.638934542194</c:v>
                </c:pt>
                <c:pt idx="726">
                  <c:v>10606.473763557673</c:v>
                </c:pt>
                <c:pt idx="727">
                  <c:v>10553.573754969661</c:v>
                </c:pt>
                <c:pt idx="728">
                  <c:v>10500.937586275184</c:v>
                </c:pt>
                <c:pt idx="729">
                  <c:v>10448.563941567294</c:v>
                </c:pt>
                <c:pt idx="730">
                  <c:v>10396.451511502139</c:v>
                </c:pt>
                <c:pt idx="731">
                  <c:v>10344.598993266252</c:v>
                </c:pt>
                <c:pt idx="732">
                  <c:v>10293.005090543977</c:v>
                </c:pt>
                <c:pt idx="733">
                  <c:v>10241.668513485063</c:v>
                </c:pt>
                <c:pt idx="734">
                  <c:v>10190.587978672407</c:v>
                </c:pt>
                <c:pt idx="735">
                  <c:v>10139.762209089979</c:v>
                </c:pt>
                <c:pt idx="736">
                  <c:v>10089.189934090886</c:v>
                </c:pt>
                <c:pt idx="737">
                  <c:v>10038.869889365627</c:v>
                </c:pt>
                <c:pt idx="738">
                  <c:v>9988.8008169104614</c:v>
                </c:pt>
                <c:pt idx="739">
                  <c:v>9938.9814649959699</c:v>
                </c:pt>
                <c:pt idx="740">
                  <c:v>9889.4105881357555</c:v>
                </c:pt>
                <c:pt idx="741">
                  <c:v>9840.0869470553207</c:v>
                </c:pt>
                <c:pt idx="742">
                  <c:v>9791.0093086610686</c:v>
                </c:pt>
                <c:pt idx="743">
                  <c:v>9742.1764460094819</c:v>
                </c:pt>
                <c:pt idx="744">
                  <c:v>9693.5871382764453</c:v>
                </c:pt>
                <c:pt idx="745">
                  <c:v>9645.2401707267454</c:v>
                </c:pt>
                <c:pt idx="746">
                  <c:v>9597.1343346836693</c:v>
                </c:pt>
                <c:pt idx="747">
                  <c:v>9549.2684274988133</c:v>
                </c:pt>
                <c:pt idx="748">
                  <c:v>9501.6412525219985</c:v>
                </c:pt>
                <c:pt idx="749">
                  <c:v>9454.2516190713777</c:v>
                </c:pt>
                <c:pt idx="750">
                  <c:v>9407.0983424036422</c:v>
                </c:pt>
                <c:pt idx="751">
                  <c:v>9360.1802436844227</c:v>
                </c:pt>
                <c:pt idx="752">
                  <c:v>9313.4961499588044</c:v>
                </c:pt>
                <c:pt idx="753">
                  <c:v>9267.0448941220075</c:v>
                </c:pt>
                <c:pt idx="754">
                  <c:v>9220.8253148902277</c:v>
                </c:pt>
                <c:pt idx="755">
                  <c:v>9174.8362567715722</c:v>
                </c:pt>
                <c:pt idx="756">
                  <c:v>9129.0765700371921</c:v>
                </c:pt>
                <c:pt idx="757">
                  <c:v>9083.545110692532</c:v>
                </c:pt>
                <c:pt idx="758">
                  <c:v>9038.2407404487458</c:v>
                </c:pt>
                <c:pt idx="759">
                  <c:v>8993.1623266942115</c:v>
                </c:pt>
                <c:pt idx="760">
                  <c:v>8948.3087424662408</c:v>
                </c:pt>
                <c:pt idx="761">
                  <c:v>8903.6788664228843</c:v>
                </c:pt>
                <c:pt idx="762">
                  <c:v>8859.2715828149267</c:v>
                </c:pt>
                <c:pt idx="763">
                  <c:v>8815.0857814579576</c:v>
                </c:pt>
                <c:pt idx="764">
                  <c:v>8771.120357704649</c:v>
                </c:pt>
                <c:pt idx="765">
                  <c:v>8727.3742124171058</c:v>
                </c:pt>
                <c:pt idx="766">
                  <c:v>8683.8462519394288</c:v>
                </c:pt>
                <c:pt idx="767">
                  <c:v>8640.5353880703333</c:v>
                </c:pt>
                <c:pt idx="768">
                  <c:v>8597.4405380359694</c:v>
                </c:pt>
                <c:pt idx="769">
                  <c:v>8554.5606244628361</c:v>
                </c:pt>
                <c:pt idx="770">
                  <c:v>8511.8945753508669</c:v>
                </c:pt>
                <c:pt idx="771">
                  <c:v>8469.441324046611</c:v>
                </c:pt>
                <c:pt idx="772">
                  <c:v>8427.1998092165741</c:v>
                </c:pt>
                <c:pt idx="773">
                  <c:v>8385.1689748206791</c:v>
                </c:pt>
                <c:pt idx="774">
                  <c:v>8343.3477700858857</c:v>
                </c:pt>
                <c:pt idx="775">
                  <c:v>8301.7351494798968</c:v>
                </c:pt>
                <c:pt idx="776">
                  <c:v>8260.3300726850266</c:v>
                </c:pt>
                <c:pt idx="777">
                  <c:v>8219.1315045721985</c:v>
                </c:pt>
                <c:pt idx="778">
                  <c:v>8178.1384151750608</c:v>
                </c:pt>
                <c:pt idx="779">
                  <c:v>8137.3497796642532</c:v>
                </c:pt>
                <c:pt idx="780">
                  <c:v>8096.7645783217567</c:v>
                </c:pt>
                <c:pt idx="781">
                  <c:v>8056.381796515424</c:v>
                </c:pt>
                <c:pt idx="782">
                  <c:v>8016.200424673606</c:v>
                </c:pt>
                <c:pt idx="783">
                  <c:v>7976.2194582599186</c:v>
                </c:pt>
                <c:pt idx="784">
                  <c:v>7936.4378977481147</c:v>
                </c:pt>
                <c:pt idx="785">
                  <c:v>7896.8547485971121</c:v>
                </c:pt>
                <c:pt idx="786">
                  <c:v>7857.4690212261166</c:v>
                </c:pt>
                <c:pt idx="787">
                  <c:v>7818.2797309898979</c:v>
                </c:pt>
                <c:pt idx="788">
                  <c:v>7779.2858981541567</c:v>
                </c:pt>
                <c:pt idx="789">
                  <c:v>7740.4865478710408</c:v>
                </c:pt>
                <c:pt idx="790">
                  <c:v>7701.8807101547682</c:v>
                </c:pt>
                <c:pt idx="791">
                  <c:v>7663.4674198573939</c:v>
                </c:pt>
                <c:pt idx="792">
                  <c:v>7625.2457166446547</c:v>
                </c:pt>
                <c:pt idx="793">
                  <c:v>7587.2146449719803</c:v>
                </c:pt>
                <c:pt idx="794">
                  <c:v>7549.3732540605943</c:v>
                </c:pt>
                <c:pt idx="795">
                  <c:v>7511.7205978737593</c:v>
                </c:pt>
                <c:pt idx="796">
                  <c:v>7474.2557350931093</c:v>
                </c:pt>
                <c:pt idx="797">
                  <c:v>7436.9777290951188</c:v>
                </c:pt>
                <c:pt idx="798">
                  <c:v>7399.8856479276965</c:v>
                </c:pt>
                <c:pt idx="799">
                  <c:v>7362.9785642868856</c:v>
                </c:pt>
                <c:pt idx="800">
                  <c:v>7326.2555554936716</c:v>
                </c:pt>
                <c:pt idx="801">
                  <c:v>7289.7157034709207</c:v>
                </c:pt>
                <c:pt idx="802">
                  <c:v>7253.35809472043</c:v>
                </c:pt>
                <c:pt idx="803">
                  <c:v>7217.1818203000867</c:v>
                </c:pt>
                <c:pt idx="804">
                  <c:v>7181.1859758011469</c:v>
                </c:pt>
                <c:pt idx="805">
                  <c:v>7145.3696613256134</c:v>
                </c:pt>
                <c:pt idx="806">
                  <c:v>7109.7319814637767</c:v>
                </c:pt>
                <c:pt idx="807">
                  <c:v>7074.2720452717749</c:v>
                </c:pt>
                <c:pt idx="808">
                  <c:v>7038.988966249357</c:v>
                </c:pt>
                <c:pt idx="809">
                  <c:v>7003.8818623177094</c:v>
                </c:pt>
                <c:pt idx="810">
                  <c:v>6968.9498557974057</c:v>
                </c:pt>
                <c:pt idx="811">
                  <c:v>6934.1920733864636</c:v>
                </c:pt>
                <c:pt idx="812">
                  <c:v>6899.607646138511</c:v>
                </c:pt>
                <c:pt idx="813">
                  <c:v>6865.1957094410618</c:v>
                </c:pt>
                <c:pt idx="814">
                  <c:v>6830.9554029939172</c:v>
                </c:pt>
                <c:pt idx="815">
                  <c:v>6796.8858707876261</c:v>
                </c:pt>
                <c:pt idx="816">
                  <c:v>6762.9862610821119</c:v>
                </c:pt>
                <c:pt idx="817">
                  <c:v>6729.2557263853605</c:v>
                </c:pt>
                <c:pt idx="818">
                  <c:v>6695.6934234322525</c:v>
                </c:pt>
                <c:pt idx="819">
                  <c:v>6662.2985131634659</c:v>
                </c:pt>
                <c:pt idx="820">
                  <c:v>6629.0701607045021</c:v>
                </c:pt>
                <c:pt idx="821">
                  <c:v>6596.0075353448137</c:v>
                </c:pt>
                <c:pt idx="822">
                  <c:v>6563.1098105170577</c:v>
                </c:pt>
                <c:pt idx="823">
                  <c:v>6530.3761637763937</c:v>
                </c:pt>
                <c:pt idx="824">
                  <c:v>6497.8057767799482</c:v>
                </c:pt>
                <c:pt idx="825">
                  <c:v>6465.3978352663498</c:v>
                </c:pt>
                <c:pt idx="826">
                  <c:v>6433.1515290353736</c:v>
                </c:pt>
                <c:pt idx="827">
                  <c:v>6401.0660519276826</c:v>
                </c:pt>
                <c:pt idx="828">
                  <c:v>6369.1406018046791</c:v>
                </c:pt>
                <c:pt idx="829">
                  <c:v>6337.3743805284457</c:v>
                </c:pt>
                <c:pt idx="830">
                  <c:v>6305.7665939417948</c:v>
                </c:pt>
                <c:pt idx="831">
                  <c:v>6274.3164518484218</c:v>
                </c:pt>
                <c:pt idx="832">
                  <c:v>6243.0231679931321</c:v>
                </c:pt>
                <c:pt idx="833">
                  <c:v>6211.8859600422011</c:v>
                </c:pt>
                <c:pt idx="834">
                  <c:v>6180.9040495638064</c:v>
                </c:pt>
                <c:pt idx="835">
                  <c:v>6150.0766620085733</c:v>
                </c:pt>
                <c:pt idx="836">
                  <c:v>6119.4030266902073</c:v>
                </c:pt>
                <c:pt idx="837">
                  <c:v>6088.8823767662279</c:v>
                </c:pt>
                <c:pt idx="838">
                  <c:v>6058.5139492187918</c:v>
                </c:pt>
                <c:pt idx="839">
                  <c:v>6028.2969848356388</c:v>
                </c:pt>
                <c:pt idx="840">
                  <c:v>5998.2307281910817</c:v>
                </c:pt>
                <c:pt idx="841">
                  <c:v>5968.3144276271369</c:v>
                </c:pt>
                <c:pt idx="842">
                  <c:v>5938.5473352347326</c:v>
                </c:pt>
                <c:pt idx="843">
                  <c:v>5908.9287068350095</c:v>
                </c:pt>
                <c:pt idx="844">
                  <c:v>5879.4578019607134</c:v>
                </c:pt>
                <c:pt idx="845">
                  <c:v>5850.1338838376887</c:v>
                </c:pt>
                <c:pt idx="846">
                  <c:v>5820.9562193664497</c:v>
                </c:pt>
                <c:pt idx="847">
                  <c:v>5791.9240791038746</c:v>
                </c:pt>
                <c:pt idx="848">
                  <c:v>5763.03673724494</c:v>
                </c:pt>
                <c:pt idx="849">
                  <c:v>5734.2934716045957</c:v>
                </c:pt>
                <c:pt idx="850">
                  <c:v>5705.6935635997024</c:v>
                </c:pt>
                <c:pt idx="851">
                  <c:v>5677.2362982310706</c:v>
                </c:pt>
                <c:pt idx="852">
                  <c:v>5648.9209640655845</c:v>
                </c:pt>
                <c:pt idx="853">
                  <c:v>5620.7468532184148</c:v>
                </c:pt>
                <c:pt idx="854">
                  <c:v>5592.7132613353233</c:v>
                </c:pt>
                <c:pt idx="855">
                  <c:v>5564.8194875750478</c:v>
                </c:pt>
                <c:pt idx="856">
                  <c:v>5537.0648345918007</c:v>
                </c:pt>
                <c:pt idx="857">
                  <c:v>5509.4486085178069</c:v>
                </c:pt>
                <c:pt idx="858">
                  <c:v>5481.9701189459784</c:v>
                </c:pt>
                <c:pt idx="859">
                  <c:v>5454.6286789126416</c:v>
                </c:pt>
                <c:pt idx="860">
                  <c:v>5427.4236048803732</c:v>
                </c:pt>
                <c:pt idx="861">
                  <c:v>5400.3542167209062</c:v>
                </c:pt>
                <c:pt idx="862">
                  <c:v>5373.4198376981258</c:v>
                </c:pt>
                <c:pt idx="863">
                  <c:v>5346.6197944511487</c:v>
                </c:pt>
                <c:pt idx="864">
                  <c:v>5319.953416977507</c:v>
                </c:pt>
                <c:pt idx="865">
                  <c:v>5293.4200386163711</c:v>
                </c:pt>
                <c:pt idx="866">
                  <c:v>5267.0189960319003</c:v>
                </c:pt>
                <c:pt idx="867">
                  <c:v>5240.7496291966545</c:v>
                </c:pt>
                <c:pt idx="868">
                  <c:v>5214.6112813750942</c:v>
                </c:pt>
                <c:pt idx="869">
                  <c:v>5188.6032991071634</c:v>
                </c:pt>
                <c:pt idx="870">
                  <c:v>5162.7250321919491</c:v>
                </c:pt>
                <c:pt idx="871">
                  <c:v>5136.9758336714285</c:v>
                </c:pt>
                <c:pt idx="872">
                  <c:v>5111.3550598143047</c:v>
                </c:pt>
                <c:pt idx="873">
                  <c:v>5085.8620700998927</c:v>
                </c:pt>
                <c:pt idx="874">
                  <c:v>5060.4962272021221</c:v>
                </c:pt>
                <c:pt idx="875">
                  <c:v>5035.2568969735994</c:v>
                </c:pt>
                <c:pt idx="876">
                  <c:v>5010.1434484297542</c:v>
                </c:pt>
                <c:pt idx="877">
                  <c:v>4985.1552537330645</c:v>
                </c:pt>
                <c:pt idx="878">
                  <c:v>4960.2916881773626</c:v>
                </c:pt>
                <c:pt idx="879">
                  <c:v>4935.5521301722129</c:v>
                </c:pt>
                <c:pt idx="880">
                  <c:v>4910.9359612273747</c:v>
                </c:pt>
                <c:pt idx="881">
                  <c:v>4886.4425659373492</c:v>
                </c:pt>
                <c:pt idx="882">
                  <c:v>4862.0713319659735</c:v>
                </c:pt>
                <c:pt idx="883">
                  <c:v>4837.8216500311319</c:v>
                </c:pt>
                <c:pt idx="884">
                  <c:v>4813.6929138895102</c:v>
                </c:pt>
                <c:pt idx="885">
                  <c:v>4789.6845203214489</c:v>
                </c:pt>
                <c:pt idx="886">
                  <c:v>4765.7958691158592</c:v>
                </c:pt>
                <c:pt idx="887">
                  <c:v>4742.0263630552154</c:v>
                </c:pt>
                <c:pt idx="888">
                  <c:v>4718.3754079006249</c:v>
                </c:pt>
                <c:pt idx="889">
                  <c:v>4694.8424123769846</c:v>
                </c:pt>
                <c:pt idx="890">
                  <c:v>4671.4267881581773</c:v>
                </c:pt>
                <c:pt idx="891">
                  <c:v>4648.1279498523782</c:v>
                </c:pt>
                <c:pt idx="892">
                  <c:v>4624.9453149874143</c:v>
                </c:pt>
                <c:pt idx="893">
                  <c:v>4601.8783039962091</c:v>
                </c:pt>
                <c:pt idx="894">
                  <c:v>4578.9263402022843</c:v>
                </c:pt>
                <c:pt idx="895">
                  <c:v>4556.0888498053509</c:v>
                </c:pt>
                <c:pt idx="896">
                  <c:v>4533.3652618669548</c:v>
                </c:pt>
                <c:pt idx="897">
                  <c:v>4510.7550082962234</c:v>
                </c:pt>
                <c:pt idx="898">
                  <c:v>4488.2575238356339</c:v>
                </c:pt>
                <c:pt idx="899">
                  <c:v>4465.8722460469035</c:v>
                </c:pt>
                <c:pt idx="900">
                  <c:v>4443.5986152969226</c:v>
                </c:pt>
                <c:pt idx="901">
                  <c:v>4421.4360747437613</c:v>
                </c:pt>
                <c:pt idx="902">
                  <c:v>4399.3840703227525</c:v>
                </c:pt>
                <c:pt idx="903">
                  <c:v>4377.4420507326358</c:v>
                </c:pt>
                <c:pt idx="904">
                  <c:v>4355.6094674217802</c:v>
                </c:pt>
                <c:pt idx="905">
                  <c:v>4333.8857745744608</c:v>
                </c:pt>
                <c:pt idx="906">
                  <c:v>4312.2704290972333</c:v>
                </c:pt>
                <c:pt idx="907">
                  <c:v>4290.7628906053305</c:v>
                </c:pt>
                <c:pt idx="908">
                  <c:v>4269.3626214091701</c:v>
                </c:pt>
                <c:pt idx="909">
                  <c:v>4248.0690865009083</c:v>
                </c:pt>
                <c:pt idx="910">
                  <c:v>4226.8817535410617</c:v>
                </c:pt>
                <c:pt idx="911">
                  <c:v>4205.8000928452047</c:v>
                </c:pt>
                <c:pt idx="912">
                  <c:v>4184.8235773707211</c:v>
                </c:pt>
                <c:pt idx="913">
                  <c:v>4163.9516827036277</c:v>
                </c:pt>
                <c:pt idx="914">
                  <c:v>4143.1838870454785</c:v>
                </c:pt>
                <c:pt idx="915">
                  <c:v>4122.5196712002962</c:v>
                </c:pt>
                <c:pt idx="916">
                  <c:v>4101.9585185616088</c:v>
                </c:pt>
                <c:pt idx="917">
                  <c:v>4081.4999150995291</c:v>
                </c:pt>
                <c:pt idx="918">
                  <c:v>4061.1433493479053</c:v>
                </c:pt>
                <c:pt idx="919">
                  <c:v>4040.8883123915334</c:v>
                </c:pt>
                <c:pt idx="920">
                  <c:v>4020.7342978534343</c:v>
                </c:pt>
                <c:pt idx="921">
                  <c:v>4000.6808018821912</c:v>
                </c:pt>
                <c:pt idx="922">
                  <c:v>3980.7273231393679</c:v>
                </c:pt>
                <c:pt idx="923">
                  <c:v>3960.8733627869528</c:v>
                </c:pt>
                <c:pt idx="924">
                  <c:v>3941.1184244749029</c:v>
                </c:pt>
                <c:pt idx="925">
                  <c:v>3921.4620143287311</c:v>
                </c:pt>
                <c:pt idx="926">
                  <c:v>3901.9036409371615</c:v>
                </c:pt>
                <c:pt idx="927">
                  <c:v>3882.4428153398394</c:v>
                </c:pt>
                <c:pt idx="928">
                  <c:v>3863.0790510151105</c:v>
                </c:pt>
                <c:pt idx="929">
                  <c:v>3843.8118638678602</c:v>
                </c:pt>
                <c:pt idx="930">
                  <c:v>3824.6407722174017</c:v>
                </c:pt>
                <c:pt idx="931">
                  <c:v>3805.5652967854521</c:v>
                </c:pt>
                <c:pt idx="932">
                  <c:v>3786.5849606841293</c:v>
                </c:pt>
                <c:pt idx="933">
                  <c:v>3767.6992894040409</c:v>
                </c:pt>
                <c:pt idx="934">
                  <c:v>3748.9078108024232</c:v>
                </c:pt>
                <c:pt idx="935">
                  <c:v>3730.2100550913306</c:v>
                </c:pt>
                <c:pt idx="936">
                  <c:v>3711.6055548258973</c:v>
                </c:pt>
                <c:pt idx="937">
                  <c:v>3693.0938448926477</c:v>
                </c:pt>
                <c:pt idx="938">
                  <c:v>3674.6744624978655</c:v>
                </c:pt>
                <c:pt idx="939">
                  <c:v>3656.3469471560388</c:v>
                </c:pt>
                <c:pt idx="940">
                  <c:v>3638.1108406783264</c:v>
                </c:pt>
                <c:pt idx="941">
                  <c:v>3619.9656871611155</c:v>
                </c:pt>
                <c:pt idx="942">
                  <c:v>3601.9110329746236</c:v>
                </c:pt>
                <c:pt idx="943">
                  <c:v>3583.9464267515559</c:v>
                </c:pt>
                <c:pt idx="944">
                  <c:v>3566.0714193758213</c:v>
                </c:pt>
                <c:pt idx="945">
                  <c:v>3548.2855639713034</c:v>
                </c:pt>
                <c:pt idx="946">
                  <c:v>3530.5884158906892</c:v>
                </c:pt>
                <c:pt idx="947">
                  <c:v>3512.9795327043598</c:v>
                </c:pt>
                <c:pt idx="948">
                  <c:v>3495.4584741893163</c:v>
                </c:pt>
                <c:pt idx="949">
                  <c:v>3478.0248023181825</c:v>
                </c:pt>
                <c:pt idx="950">
                  <c:v>3460.6780812482534</c:v>
                </c:pt>
                <c:pt idx="951">
                  <c:v>3443.4178773106</c:v>
                </c:pt>
                <c:pt idx="952">
                  <c:v>3426.2437589992242</c:v>
                </c:pt>
                <c:pt idx="953">
                  <c:v>3409.1552969602735</c:v>
                </c:pt>
                <c:pt idx="954">
                  <c:v>3392.1520639813075</c:v>
                </c:pt>
                <c:pt idx="955">
                  <c:v>3375.2336349806124</c:v>
                </c:pt>
                <c:pt idx="956">
                  <c:v>3358.3995869965884</c:v>
                </c:pt>
                <c:pt idx="957">
                  <c:v>3341.649499177156</c:v>
                </c:pt>
                <c:pt idx="958">
                  <c:v>3324.9829527692473</c:v>
                </c:pt>
                <c:pt idx="959">
                  <c:v>3308.3995311083345</c:v>
                </c:pt>
                <c:pt idx="960">
                  <c:v>3291.8988196080122</c:v>
                </c:pt>
                <c:pt idx="961">
                  <c:v>3275.4804057496331</c:v>
                </c:pt>
                <c:pt idx="962">
                  <c:v>3259.1438790719953</c:v>
                </c:pt>
                <c:pt idx="963">
                  <c:v>3242.8888311610795</c:v>
                </c:pt>
                <c:pt idx="964">
                  <c:v>3226.7148556398456</c:v>
                </c:pt>
                <c:pt idx="965">
                  <c:v>3210.6215481580616</c:v>
                </c:pt>
                <c:pt idx="966">
                  <c:v>3194.6085063822011</c:v>
                </c:pt>
                <c:pt idx="967">
                  <c:v>3178.6753299853858</c:v>
                </c:pt>
                <c:pt idx="968">
                  <c:v>3162.8216206373768</c:v>
                </c:pt>
                <c:pt idx="969">
                  <c:v>3147.0469819946138</c:v>
                </c:pt>
                <c:pt idx="970">
                  <c:v>3131.3510196903094</c:v>
                </c:pt>
                <c:pt idx="971">
                  <c:v>3115.7333413245865</c:v>
                </c:pt>
                <c:pt idx="972">
                  <c:v>3100.193556454677</c:v>
                </c:pt>
                <c:pt idx="973">
                  <c:v>3084.7312765851475</c:v>
                </c:pt>
                <c:pt idx="974">
                  <c:v>3069.3461151581955</c:v>
                </c:pt>
                <c:pt idx="975">
                  <c:v>3054.0376875439847</c:v>
                </c:pt>
                <c:pt idx="976">
                  <c:v>3038.8056110310267</c:v>
                </c:pt>
                <c:pt idx="977">
                  <c:v>3023.6495048166166</c:v>
                </c:pt>
                <c:pt idx="978">
                  <c:v>3008.5689899973081</c:v>
                </c:pt>
                <c:pt idx="979">
                  <c:v>2993.5636895594457</c:v>
                </c:pt>
                <c:pt idx="980">
                  <c:v>2978.6332283697352</c:v>
                </c:pt>
                <c:pt idx="981">
                  <c:v>2963.7772331658734</c:v>
                </c:pt>
                <c:pt idx="982">
                  <c:v>2948.9953325472047</c:v>
                </c:pt>
                <c:pt idx="983">
                  <c:v>2934.287156965443</c:v>
                </c:pt>
                <c:pt idx="984">
                  <c:v>2919.652338715433</c:v>
                </c:pt>
                <c:pt idx="985">
                  <c:v>2905.0905119259564</c:v>
                </c:pt>
                <c:pt idx="986">
                  <c:v>2890.6013125505851</c:v>
                </c:pt>
                <c:pt idx="987">
                  <c:v>2876.1843783585791</c:v>
                </c:pt>
                <c:pt idx="988">
                  <c:v>2861.8393489258315</c:v>
                </c:pt>
                <c:pt idx="989">
                  <c:v>2847.5658656258638</c:v>
                </c:pt>
                <c:pt idx="990">
                  <c:v>2833.3635716208473</c:v>
                </c:pt>
                <c:pt idx="991">
                  <c:v>2819.2321118526929</c:v>
                </c:pt>
                <c:pt idx="992">
                  <c:v>2805.17113303417</c:v>
                </c:pt>
                <c:pt idx="993">
                  <c:v>2791.1802836400752</c:v>
                </c:pt>
                <c:pt idx="994">
                  <c:v>2777.259213898446</c:v>
                </c:pt>
                <c:pt idx="995">
                  <c:v>2763.4075757818127</c:v>
                </c:pt>
                <c:pt idx="996">
                  <c:v>2749.6250229984994</c:v>
                </c:pt>
                <c:pt idx="997">
                  <c:v>2735.9112109839734</c:v>
                </c:pt>
                <c:pt idx="998">
                  <c:v>2722.2657968922172</c:v>
                </c:pt>
                <c:pt idx="999">
                  <c:v>2708.6884395871684</c:v>
                </c:pt>
                <c:pt idx="1000">
                  <c:v>2695.1787996341868</c:v>
                </c:pt>
              </c:numCache>
            </c:numRef>
          </c:val>
          <c:smooth val="1"/>
          <c:extLst>
            <c:ext xmlns:c16="http://schemas.microsoft.com/office/drawing/2014/chart" uri="{C3380CC4-5D6E-409C-BE32-E72D297353CC}">
              <c16:uniqueId val="{00000001-EE1B-46D7-BC0E-5D98B6F40C5C}"/>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0.000"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8740157499999996" l="0.7" r="0.7" t="0.78740157499999996"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7</xdr:col>
      <xdr:colOff>0</xdr:colOff>
      <xdr:row>17</xdr:row>
      <xdr:rowOff>0</xdr:rowOff>
    </xdr:from>
    <xdr:to>
      <xdr:col>16</xdr:col>
      <xdr:colOff>0</xdr:colOff>
      <xdr:row>33</xdr:row>
      <xdr:rowOff>0</xdr:rowOff>
    </xdr:to>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34</xdr:row>
      <xdr:rowOff>0</xdr:rowOff>
    </xdr:from>
    <xdr:to>
      <xdr:col>16</xdr:col>
      <xdr:colOff>0</xdr:colOff>
      <xdr:row>50</xdr:row>
      <xdr:rowOff>0</xdr:rowOff>
    </xdr:to>
    <xdr:graphicFrame macro="">
      <xdr:nvGraphicFramePr>
        <xdr:cNvPr id="3" name="Chart">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5</xdr:col>
      <xdr:colOff>676275</xdr:colOff>
      <xdr:row>34</xdr:row>
      <xdr:rowOff>85725</xdr:rowOff>
    </xdr:to>
    <xdr:sp macro="" textlink="">
      <xdr:nvSpPr>
        <xdr:cNvPr id="1048" name="Text Box 24" hidden="1">
          <a:extLst>
            <a:ext uri="{FF2B5EF4-FFF2-40B4-BE49-F238E27FC236}">
              <a16:creationId xmlns:a16="http://schemas.microsoft.com/office/drawing/2014/main" id="{C3B53DBB-2580-B822-59FC-0A7BF7FF1C84}"/>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676275</xdr:colOff>
      <xdr:row>34</xdr:row>
      <xdr:rowOff>85725</xdr:rowOff>
    </xdr:to>
    <xdr:sp macro="" textlink="">
      <xdr:nvSpPr>
        <xdr:cNvPr id="4" name="AutoShape 24">
          <a:extLst>
            <a:ext uri="{FF2B5EF4-FFF2-40B4-BE49-F238E27FC236}">
              <a16:creationId xmlns:a16="http://schemas.microsoft.com/office/drawing/2014/main" id="{7638DEBF-EBA6-596F-933A-18BB8F37B3A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426720</xdr:colOff>
      <xdr:row>34</xdr:row>
      <xdr:rowOff>205740</xdr:rowOff>
    </xdr:to>
    <xdr:sp macro="" textlink="">
      <xdr:nvSpPr>
        <xdr:cNvPr id="5" name="AutoShape 24">
          <a:extLst>
            <a:ext uri="{FF2B5EF4-FFF2-40B4-BE49-F238E27FC236}">
              <a16:creationId xmlns:a16="http://schemas.microsoft.com/office/drawing/2014/main" id="{DD6FB749-EDDE-7E9C-FCB0-CF6FDE441AD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676275</xdr:colOff>
      <xdr:row>34</xdr:row>
      <xdr:rowOff>85725</xdr:rowOff>
    </xdr:to>
    <xdr:sp macro="" textlink="">
      <xdr:nvSpPr>
        <xdr:cNvPr id="6" name="AutoShape 24">
          <a:extLst>
            <a:ext uri="{FF2B5EF4-FFF2-40B4-BE49-F238E27FC236}">
              <a16:creationId xmlns:a16="http://schemas.microsoft.com/office/drawing/2014/main" id="{2577E8A2-B79B-FBA0-4BC7-B6A8BF0BC3A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657225</xdr:colOff>
      <xdr:row>48</xdr:row>
      <xdr:rowOff>142875</xdr:rowOff>
    </xdr:to>
    <xdr:sp macro="" textlink="">
      <xdr:nvSpPr>
        <xdr:cNvPr id="2050" name="Text Box 2" hidden="1">
          <a:extLst>
            <a:ext uri="{FF2B5EF4-FFF2-40B4-BE49-F238E27FC236}">
              <a16:creationId xmlns:a16="http://schemas.microsoft.com/office/drawing/2014/main" id="{F1B5309F-4AEC-6D69-D54A-D7CCA0C9F6BC}"/>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657225</xdr:colOff>
      <xdr:row>48</xdr:row>
      <xdr:rowOff>142875</xdr:rowOff>
    </xdr:to>
    <xdr:sp macro="" textlink="">
      <xdr:nvSpPr>
        <xdr:cNvPr id="2" name="AutoShape 2">
          <a:extLst>
            <a:ext uri="{FF2B5EF4-FFF2-40B4-BE49-F238E27FC236}">
              <a16:creationId xmlns:a16="http://schemas.microsoft.com/office/drawing/2014/main" id="{3A33FAFB-6E49-4715-CA0D-AA220078DC9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403860</xdr:colOff>
      <xdr:row>50</xdr:row>
      <xdr:rowOff>137160</xdr:rowOff>
    </xdr:to>
    <xdr:sp macro="" textlink="">
      <xdr:nvSpPr>
        <xdr:cNvPr id="3" name="AutoShape 2">
          <a:extLst>
            <a:ext uri="{FF2B5EF4-FFF2-40B4-BE49-F238E27FC236}">
              <a16:creationId xmlns:a16="http://schemas.microsoft.com/office/drawing/2014/main" id="{DBBAC256-0F93-5147-6A9B-04D0F0B03E8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657225</xdr:colOff>
      <xdr:row>48</xdr:row>
      <xdr:rowOff>142875</xdr:rowOff>
    </xdr:to>
    <xdr:sp macro="" textlink="">
      <xdr:nvSpPr>
        <xdr:cNvPr id="4" name="AutoShape 2">
          <a:extLst>
            <a:ext uri="{FF2B5EF4-FFF2-40B4-BE49-F238E27FC236}">
              <a16:creationId xmlns:a16="http://schemas.microsoft.com/office/drawing/2014/main" id="{0080B465-4A4E-5573-2193-D9EBDC6A5E2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9525</xdr:colOff>
      <xdr:row>48</xdr:row>
      <xdr:rowOff>0</xdr:rowOff>
    </xdr:to>
    <xdr:sp macro="" textlink="">
      <xdr:nvSpPr>
        <xdr:cNvPr id="3074" name="Text Box 2" hidden="1">
          <a:extLst>
            <a:ext uri="{FF2B5EF4-FFF2-40B4-BE49-F238E27FC236}">
              <a16:creationId xmlns:a16="http://schemas.microsoft.com/office/drawing/2014/main" id="{3C3264FB-91DC-EDB8-6A5F-D2EBDEB03AC3}"/>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9525</xdr:colOff>
      <xdr:row>48</xdr:row>
      <xdr:rowOff>0</xdr:rowOff>
    </xdr:to>
    <xdr:sp macro="" textlink="">
      <xdr:nvSpPr>
        <xdr:cNvPr id="2" name="AutoShape 2">
          <a:extLst>
            <a:ext uri="{FF2B5EF4-FFF2-40B4-BE49-F238E27FC236}">
              <a16:creationId xmlns:a16="http://schemas.microsoft.com/office/drawing/2014/main" id="{203368AB-3954-F32A-A836-557BE1B8C45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1318260</xdr:colOff>
      <xdr:row>49</xdr:row>
      <xdr:rowOff>175260</xdr:rowOff>
    </xdr:to>
    <xdr:sp macro="" textlink="">
      <xdr:nvSpPr>
        <xdr:cNvPr id="3" name="AutoShape 2">
          <a:extLst>
            <a:ext uri="{FF2B5EF4-FFF2-40B4-BE49-F238E27FC236}">
              <a16:creationId xmlns:a16="http://schemas.microsoft.com/office/drawing/2014/main" id="{01FD1F80-7E8D-85FA-C7E8-85952161263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6</xdr:col>
      <xdr:colOff>9525</xdr:colOff>
      <xdr:row>48</xdr:row>
      <xdr:rowOff>0</xdr:rowOff>
    </xdr:to>
    <xdr:sp macro="" textlink="">
      <xdr:nvSpPr>
        <xdr:cNvPr id="4" name="AutoShape 2">
          <a:extLst>
            <a:ext uri="{FF2B5EF4-FFF2-40B4-BE49-F238E27FC236}">
              <a16:creationId xmlns:a16="http://schemas.microsoft.com/office/drawing/2014/main" id="{FCB495CC-21F5-8B61-4CB7-619EF025359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723900</xdr:colOff>
      <xdr:row>48</xdr:row>
      <xdr:rowOff>142875</xdr:rowOff>
    </xdr:to>
    <xdr:sp macro="" textlink="">
      <xdr:nvSpPr>
        <xdr:cNvPr id="4098" name="Text Box 2" hidden="1">
          <a:extLst>
            <a:ext uri="{FF2B5EF4-FFF2-40B4-BE49-F238E27FC236}">
              <a16:creationId xmlns:a16="http://schemas.microsoft.com/office/drawing/2014/main" id="{D1A2113A-2E09-ED42-AA9D-0BCC0AF9526E}"/>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723900</xdr:colOff>
      <xdr:row>48</xdr:row>
      <xdr:rowOff>142875</xdr:rowOff>
    </xdr:to>
    <xdr:sp macro="" textlink="">
      <xdr:nvSpPr>
        <xdr:cNvPr id="2" name="AutoShape 2">
          <a:extLst>
            <a:ext uri="{FF2B5EF4-FFF2-40B4-BE49-F238E27FC236}">
              <a16:creationId xmlns:a16="http://schemas.microsoft.com/office/drawing/2014/main" id="{5A6A55C0-43FB-3714-E890-C67CBBBE82F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6</xdr:col>
      <xdr:colOff>472440</xdr:colOff>
      <xdr:row>50</xdr:row>
      <xdr:rowOff>137160</xdr:rowOff>
    </xdr:to>
    <xdr:sp macro="" textlink="">
      <xdr:nvSpPr>
        <xdr:cNvPr id="3" name="AutoShape 2">
          <a:extLst>
            <a:ext uri="{FF2B5EF4-FFF2-40B4-BE49-F238E27FC236}">
              <a16:creationId xmlns:a16="http://schemas.microsoft.com/office/drawing/2014/main" id="{A6A0D687-DFFA-D450-C68C-EAA0FE1188B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6</xdr:col>
      <xdr:colOff>723900</xdr:colOff>
      <xdr:row>48</xdr:row>
      <xdr:rowOff>142875</xdr:rowOff>
    </xdr:to>
    <xdr:sp macro="" textlink="">
      <xdr:nvSpPr>
        <xdr:cNvPr id="4" name="AutoShape 2">
          <a:extLst>
            <a:ext uri="{FF2B5EF4-FFF2-40B4-BE49-F238E27FC236}">
              <a16:creationId xmlns:a16="http://schemas.microsoft.com/office/drawing/2014/main" id="{F6C2D9E7-5847-4815-B668-FD5F6E13922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4</xdr:row>
      <xdr:rowOff>0</xdr:rowOff>
    </xdr:from>
    <xdr:to>
      <xdr:col>16</xdr:col>
      <xdr:colOff>0</xdr:colOff>
      <xdr:row>22</xdr:row>
      <xdr:rowOff>0</xdr:rowOff>
    </xdr:to>
    <xdr:graphicFrame macro="">
      <xdr:nvGraphicFramePr>
        <xdr:cNvPr id="2" name="Chart">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6</xdr:col>
      <xdr:colOff>161925</xdr:colOff>
      <xdr:row>42</xdr:row>
      <xdr:rowOff>47625</xdr:rowOff>
    </xdr:to>
    <xdr:sp macro="" textlink="">
      <xdr:nvSpPr>
        <xdr:cNvPr id="5126" name="Text Box 6" hidden="1">
          <a:extLst>
            <a:ext uri="{FF2B5EF4-FFF2-40B4-BE49-F238E27FC236}">
              <a16:creationId xmlns:a16="http://schemas.microsoft.com/office/drawing/2014/main" id="{C22ABBC0-6E8E-D38A-FC2C-67C6F0763926}"/>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161925</xdr:colOff>
      <xdr:row>42</xdr:row>
      <xdr:rowOff>47625</xdr:rowOff>
    </xdr:to>
    <xdr:sp macro="" textlink="">
      <xdr:nvSpPr>
        <xdr:cNvPr id="3" name="AutoShape 6">
          <a:extLst>
            <a:ext uri="{FF2B5EF4-FFF2-40B4-BE49-F238E27FC236}">
              <a16:creationId xmlns:a16="http://schemas.microsoft.com/office/drawing/2014/main" id="{5C3FCEED-BBDC-0DC0-A8BD-8B88419ADD9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495300</xdr:colOff>
      <xdr:row>43</xdr:row>
      <xdr:rowOff>137160</xdr:rowOff>
    </xdr:to>
    <xdr:sp macro="" textlink="">
      <xdr:nvSpPr>
        <xdr:cNvPr id="4" name="AutoShape 6">
          <a:extLst>
            <a:ext uri="{FF2B5EF4-FFF2-40B4-BE49-F238E27FC236}">
              <a16:creationId xmlns:a16="http://schemas.microsoft.com/office/drawing/2014/main" id="{7EB2BA18-CA54-83FD-A108-BE2B70790E7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6</xdr:col>
      <xdr:colOff>161925</xdr:colOff>
      <xdr:row>42</xdr:row>
      <xdr:rowOff>47625</xdr:rowOff>
    </xdr:to>
    <xdr:sp macro="" textlink="">
      <xdr:nvSpPr>
        <xdr:cNvPr id="5" name="AutoShape 6">
          <a:extLst>
            <a:ext uri="{FF2B5EF4-FFF2-40B4-BE49-F238E27FC236}">
              <a16:creationId xmlns:a16="http://schemas.microsoft.com/office/drawing/2014/main" id="{1B4F3491-C556-40B9-EA32-67D6C22A83F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6.xml><?xml version="1.0" encoding="utf-8"?>
<xdr:wsDr xmlns:xdr="http://schemas.openxmlformats.org/drawingml/2006/spreadsheetDrawing" xmlns:a="http://schemas.openxmlformats.org/drawingml/2006/main">
  <xdr:twoCellAnchor>
    <xdr:from>
      <xdr:col>7</xdr:col>
      <xdr:colOff>0</xdr:colOff>
      <xdr:row>4</xdr:row>
      <xdr:rowOff>0</xdr:rowOff>
    </xdr:from>
    <xdr:to>
      <xdr:col>17</xdr:col>
      <xdr:colOff>0</xdr:colOff>
      <xdr:row>22</xdr:row>
      <xdr:rowOff>0</xdr:rowOff>
    </xdr:to>
    <xdr:graphicFrame macro="">
      <xdr:nvGraphicFramePr>
        <xdr:cNvPr id="2" name="Chart">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5</xdr:col>
      <xdr:colOff>876300</xdr:colOff>
      <xdr:row>46</xdr:row>
      <xdr:rowOff>66675</xdr:rowOff>
    </xdr:to>
    <xdr:sp macro="" textlink="">
      <xdr:nvSpPr>
        <xdr:cNvPr id="6147" name="Text Box 3" hidden="1">
          <a:extLst>
            <a:ext uri="{FF2B5EF4-FFF2-40B4-BE49-F238E27FC236}">
              <a16:creationId xmlns:a16="http://schemas.microsoft.com/office/drawing/2014/main" id="{3BC3CEC8-82FD-2393-0BA9-58352E28F10D}"/>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876300</xdr:colOff>
      <xdr:row>46</xdr:row>
      <xdr:rowOff>66675</xdr:rowOff>
    </xdr:to>
    <xdr:sp macro="" textlink="">
      <xdr:nvSpPr>
        <xdr:cNvPr id="3" name="AutoShape 3">
          <a:extLst>
            <a:ext uri="{FF2B5EF4-FFF2-40B4-BE49-F238E27FC236}">
              <a16:creationId xmlns:a16="http://schemas.microsoft.com/office/drawing/2014/main" id="{E1B5A375-59AE-3BE4-A14E-CD1228F6895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632460</xdr:colOff>
      <xdr:row>48</xdr:row>
      <xdr:rowOff>38100</xdr:rowOff>
    </xdr:to>
    <xdr:sp macro="" textlink="">
      <xdr:nvSpPr>
        <xdr:cNvPr id="4" name="AutoShape 3">
          <a:extLst>
            <a:ext uri="{FF2B5EF4-FFF2-40B4-BE49-F238E27FC236}">
              <a16:creationId xmlns:a16="http://schemas.microsoft.com/office/drawing/2014/main" id="{B027952D-126D-A40E-0493-8B192FD5B91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876300</xdr:colOff>
      <xdr:row>46</xdr:row>
      <xdr:rowOff>66675</xdr:rowOff>
    </xdr:to>
    <xdr:sp macro="" textlink="">
      <xdr:nvSpPr>
        <xdr:cNvPr id="5" name="AutoShape 3">
          <a:extLst>
            <a:ext uri="{FF2B5EF4-FFF2-40B4-BE49-F238E27FC236}">
              <a16:creationId xmlns:a16="http://schemas.microsoft.com/office/drawing/2014/main" id="{7B7CB27E-0D07-FB36-5BEC-9EB879D1836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7.xml><?xml version="1.0" encoding="utf-8"?>
<xdr:wsDr xmlns:xdr="http://schemas.openxmlformats.org/drawingml/2006/spreadsheetDrawing" xmlns:a="http://schemas.openxmlformats.org/drawingml/2006/main">
  <xdr:twoCellAnchor>
    <xdr:from>
      <xdr:col>9</xdr:col>
      <xdr:colOff>0</xdr:colOff>
      <xdr:row>5</xdr:row>
      <xdr:rowOff>0</xdr:rowOff>
    </xdr:from>
    <xdr:to>
      <xdr:col>18</xdr:col>
      <xdr:colOff>0</xdr:colOff>
      <xdr:row>22</xdr:row>
      <xdr:rowOff>0</xdr:rowOff>
    </xdr:to>
    <xdr:graphicFrame macro="">
      <xdr:nvGraphicFramePr>
        <xdr:cNvPr id="2" name="Chart">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J56"/>
  <sheetViews>
    <sheetView tabSelected="1" topLeftCell="A28" workbookViewId="0">
      <selection activeCell="C25" sqref="C25"/>
    </sheetView>
  </sheetViews>
  <sheetFormatPr baseColWidth="10" defaultColWidth="8.7109375" defaultRowHeight="15" x14ac:dyDescent="0.25"/>
  <cols>
    <col min="2" max="2" width="53" customWidth="1"/>
    <col min="3" max="3" width="29" customWidth="1"/>
    <col min="4" max="6" width="21" customWidth="1"/>
    <col min="8" max="9" width="22" customWidth="1"/>
  </cols>
  <sheetData>
    <row r="2" spans="2:10" ht="32.1" customHeight="1" x14ac:dyDescent="0.3">
      <c r="B2" s="56" t="s">
        <v>37</v>
      </c>
      <c r="C2" s="56"/>
      <c r="D2" s="56"/>
      <c r="E2" s="56"/>
      <c r="F2" s="56"/>
      <c r="G2" s="57"/>
      <c r="H2" s="57"/>
      <c r="I2" s="57"/>
      <c r="J2" s="57"/>
    </row>
    <row r="3" spans="2:10" ht="27" customHeight="1" x14ac:dyDescent="0.25">
      <c r="B3" s="9" t="s">
        <v>0</v>
      </c>
      <c r="C3" s="10"/>
      <c r="D3" s="10"/>
      <c r="E3" s="10"/>
      <c r="F3" s="10"/>
    </row>
    <row r="4" spans="2:10" ht="27" customHeight="1" x14ac:dyDescent="0.25">
      <c r="B4" s="11" t="s">
        <v>38</v>
      </c>
      <c r="C4" s="10"/>
      <c r="D4" s="10"/>
      <c r="E4" s="10"/>
      <c r="F4" s="10"/>
    </row>
    <row r="5" spans="2:10" ht="27" customHeight="1" x14ac:dyDescent="0.25">
      <c r="B5" s="10"/>
      <c r="C5" s="10"/>
      <c r="D5" s="10"/>
      <c r="E5" s="10"/>
      <c r="F5" s="10"/>
    </row>
    <row r="6" spans="2:10" ht="27" customHeight="1" x14ac:dyDescent="0.25">
      <c r="B6" s="12" t="s">
        <v>39</v>
      </c>
      <c r="C6" s="13" t="s">
        <v>1</v>
      </c>
      <c r="D6" s="14" t="s">
        <v>2</v>
      </c>
      <c r="E6" s="15" t="s">
        <v>3</v>
      </c>
      <c r="F6" s="10"/>
    </row>
    <row r="8" spans="2:10" x14ac:dyDescent="0.25">
      <c r="B8" s="2" t="s">
        <v>40</v>
      </c>
    </row>
    <row r="9" spans="2:10" x14ac:dyDescent="0.25">
      <c r="B9" s="10" t="s">
        <v>4</v>
      </c>
      <c r="C9" s="16">
        <v>40</v>
      </c>
      <c r="H9" s="10" t="s">
        <v>41</v>
      </c>
      <c r="I9" s="23">
        <f>1/(1+EXP(MIN(700,MAX(-700,($C$17*$C$24-$C$18)/$C$19))))</f>
        <v>0.66075636876581723</v>
      </c>
    </row>
    <row r="10" spans="2:10" x14ac:dyDescent="0.25">
      <c r="B10" s="10" t="s">
        <v>5</v>
      </c>
      <c r="C10" s="17">
        <v>0.2</v>
      </c>
      <c r="H10" s="10" t="s">
        <v>42</v>
      </c>
      <c r="I10" s="23">
        <f>$C$15*(1-EXP(-$C$16*$C$24))</f>
        <v>0.50569644706284611</v>
      </c>
    </row>
    <row r="11" spans="2:10" x14ac:dyDescent="0.25">
      <c r="B11" s="10" t="s">
        <v>6</v>
      </c>
      <c r="C11" s="18">
        <v>50000</v>
      </c>
      <c r="H11" s="10" t="s">
        <v>43</v>
      </c>
      <c r="I11" s="23">
        <f>I9*I10</f>
        <v>0.33414214805902154</v>
      </c>
    </row>
    <row r="12" spans="2:10" x14ac:dyDescent="0.25">
      <c r="B12" s="10" t="s">
        <v>44</v>
      </c>
      <c r="C12" s="19">
        <v>0.35</v>
      </c>
      <c r="H12" s="10" t="s">
        <v>45</v>
      </c>
      <c r="I12" s="23">
        <f>$C$15*($C$16*EXP(-$C$16*$C$24)*I9-(1-EXP(-$C$16*$C$24))*$C$17/$C$19*I9*(1-I9))</f>
        <v>-5.3909320731093724E-2</v>
      </c>
    </row>
    <row r="13" spans="2:10" x14ac:dyDescent="0.25">
      <c r="B13" s="10" t="s">
        <v>46</v>
      </c>
      <c r="C13" s="18">
        <v>20000</v>
      </c>
      <c r="H13" s="10" t="s">
        <v>47</v>
      </c>
      <c r="I13" s="23">
        <f>$C$27*EXP(-$C$12*$C$24)*(-$C$12*(1-I11)-I12)+2*$C$20*$C$24</f>
        <v>-3583.5007513453747</v>
      </c>
    </row>
    <row r="14" spans="2:10" x14ac:dyDescent="0.25">
      <c r="B14" s="10" t="s">
        <v>48</v>
      </c>
      <c r="C14" s="18">
        <v>30000</v>
      </c>
      <c r="H14" s="10" t="s">
        <v>49</v>
      </c>
      <c r="I14" s="23">
        <f>-I13-$C$28</f>
        <v>-46416.499248654625</v>
      </c>
    </row>
    <row r="15" spans="2:10" x14ac:dyDescent="0.25">
      <c r="B15" s="10" t="s">
        <v>7</v>
      </c>
      <c r="C15" s="17">
        <v>0.8</v>
      </c>
      <c r="H15" s="10" t="s">
        <v>50</v>
      </c>
      <c r="I15" s="10" t="str">
        <f>IF(AND(C9&gt;=0,C10&gt;=0,C10&lt;=1,C11&gt;=0,C12&gt;=0,C13&gt;=0,C14&gt;=0,C13+C14&gt;0,C15&gt;=0,C15&lt;=1,C16&gt;=0,C17&gt;=0,C18&gt;=0,C19&gt;0,C20&gt;=0,C21&gt;=0,C24&gt;=0,C24&lt;=10),"VALID","CHECK INPUTS")</f>
        <v>VALID</v>
      </c>
    </row>
    <row r="16" spans="2:10" ht="35.1" customHeight="1" x14ac:dyDescent="0.25">
      <c r="B16" s="10" t="s">
        <v>51</v>
      </c>
      <c r="C16" s="19">
        <v>0.5</v>
      </c>
      <c r="H16" s="10" t="s">
        <v>52</v>
      </c>
      <c r="I16" s="10" t="str">
        <f>IF(I15&lt;&gt;"VALID","Check inputs",IF(C39&gt;C40,"Deployment worthwhile","Outside option preferred"))</f>
        <v>Deployment worthwhile</v>
      </c>
    </row>
    <row r="17" spans="2:3" x14ac:dyDescent="0.25">
      <c r="B17" s="10" t="s">
        <v>53</v>
      </c>
      <c r="C17" s="16">
        <v>800</v>
      </c>
    </row>
    <row r="18" spans="2:3" x14ac:dyDescent="0.25">
      <c r="B18" s="10" t="s">
        <v>54</v>
      </c>
      <c r="C18" s="16">
        <v>2000</v>
      </c>
    </row>
    <row r="19" spans="2:3" x14ac:dyDescent="0.25">
      <c r="B19" s="10" t="s">
        <v>55</v>
      </c>
      <c r="C19" s="16">
        <v>600</v>
      </c>
    </row>
    <row r="20" spans="2:3" x14ac:dyDescent="0.25">
      <c r="B20" s="10" t="s">
        <v>56</v>
      </c>
      <c r="C20" s="18">
        <v>8000</v>
      </c>
    </row>
    <row r="21" spans="2:3" x14ac:dyDescent="0.25">
      <c r="B21" s="10" t="s">
        <v>57</v>
      </c>
      <c r="C21" s="18">
        <v>1500000</v>
      </c>
    </row>
    <row r="22" spans="2:3" x14ac:dyDescent="0.25">
      <c r="B22" s="10"/>
      <c r="C22" s="10"/>
    </row>
    <row r="23" spans="2:3" x14ac:dyDescent="0.25">
      <c r="B23" s="20" t="s">
        <v>8</v>
      </c>
      <c r="C23" s="10"/>
    </row>
    <row r="24" spans="2:3" ht="18" x14ac:dyDescent="0.25">
      <c r="B24" s="10" t="s">
        <v>58</v>
      </c>
      <c r="C24" s="21">
        <v>2</v>
      </c>
    </row>
    <row r="25" spans="2:3" x14ac:dyDescent="0.25">
      <c r="B25" s="10"/>
      <c r="C25" s="10"/>
    </row>
    <row r="26" spans="2:3" ht="29.25" x14ac:dyDescent="0.25">
      <c r="B26" s="20" t="s">
        <v>9</v>
      </c>
      <c r="C26" s="10"/>
    </row>
    <row r="27" spans="2:3" ht="32.1" customHeight="1" x14ac:dyDescent="0.25">
      <c r="B27" s="47" t="s">
        <v>59</v>
      </c>
      <c r="C27" s="48">
        <f>C9*C10*C11</f>
        <v>400000</v>
      </c>
    </row>
    <row r="28" spans="2:3" ht="32.1" customHeight="1" x14ac:dyDescent="0.25">
      <c r="B28" s="47" t="s">
        <v>60</v>
      </c>
      <c r="C28" s="48">
        <f>C13+C14</f>
        <v>50000</v>
      </c>
    </row>
    <row r="29" spans="2:3" ht="32.1" customHeight="1" x14ac:dyDescent="0.25">
      <c r="B29" s="47" t="s">
        <v>61</v>
      </c>
      <c r="C29" s="49" t="str">
        <f>IF(C12*C27&gt;C28,"Interior","Corner: no q-only investment")</f>
        <v>Interior</v>
      </c>
    </row>
    <row r="30" spans="2:3" ht="32.1" customHeight="1" x14ac:dyDescent="0.25">
      <c r="B30" s="47" t="s">
        <v>62</v>
      </c>
      <c r="C30" s="50">
        <f>IF(AND(C12&gt;0,C28&gt;0,C12*C27&gt;C28),LN(C12*C27/C28)/C12,0)</f>
        <v>2.9417697633747375</v>
      </c>
    </row>
    <row r="31" spans="2:3" ht="32.1" customHeight="1" x14ac:dyDescent="0.25">
      <c r="B31" s="47" t="s">
        <v>63</v>
      </c>
      <c r="C31" s="53">
        <f>C27*EXP(-C12*C30)</f>
        <v>142857.14285714287</v>
      </c>
    </row>
    <row r="32" spans="2:3" ht="32.1" customHeight="1" x14ac:dyDescent="0.25">
      <c r="B32" s="47" t="s">
        <v>64</v>
      </c>
      <c r="C32" s="51">
        <f>INDEX(Curves!A2:A1002,MATCH(MAX(Curves!M2:M1002),Curves!M2:M1002,0))</f>
        <v>1.45</v>
      </c>
    </row>
    <row r="33" spans="2:3" ht="32.1" customHeight="1" x14ac:dyDescent="0.25">
      <c r="B33" s="47" t="s">
        <v>65</v>
      </c>
      <c r="C33" s="51">
        <f>INDEX(Curves!A2:A1002,MATCH(MIN(Curves!I2:I1002),Curves!I2:I1002,0))</f>
        <v>2.06</v>
      </c>
    </row>
    <row r="34" spans="2:3" ht="32.1" customHeight="1" x14ac:dyDescent="0.25">
      <c r="B34" s="47" t="s">
        <v>66</v>
      </c>
      <c r="C34" s="48">
        <f>INDEX(Curves!G2:G1002,MATCH(C32,Curves!A2:A1002,0))</f>
        <v>161110.93208447867</v>
      </c>
    </row>
    <row r="35" spans="2:3" ht="32.1" customHeight="1" x14ac:dyDescent="0.25">
      <c r="B35" s="47" t="s">
        <v>67</v>
      </c>
      <c r="C35" s="48">
        <f>C20*C32^2</f>
        <v>16820</v>
      </c>
    </row>
    <row r="36" spans="2:3" ht="32.1" customHeight="1" x14ac:dyDescent="0.25">
      <c r="B36" s="47" t="s">
        <v>68</v>
      </c>
      <c r="C36" s="52">
        <f>IF(C27&gt;0,C28*C30/C27,0)</f>
        <v>0.36772122042184213</v>
      </c>
    </row>
    <row r="37" spans="2:3" ht="32.1" customHeight="1" x14ac:dyDescent="0.25">
      <c r="B37" s="47" t="s">
        <v>69</v>
      </c>
      <c r="C37" s="52" t="str">
        <f>IF(C36&lt;=1/EXP(1)+0.000000001,"PASS (restricted q-only model)","CHECK")</f>
        <v>PASS (restricted q-only model)</v>
      </c>
    </row>
    <row r="38" spans="2:3" ht="32.1" customHeight="1" x14ac:dyDescent="0.25">
      <c r="B38" s="47" t="s">
        <v>70</v>
      </c>
      <c r="C38" s="52">
        <f>IF(C27&gt;0,C28*C32/C27,0)</f>
        <v>0.18124999999999999</v>
      </c>
    </row>
    <row r="39" spans="2:3" ht="32.1" customHeight="1" x14ac:dyDescent="0.25">
      <c r="B39" s="47" t="s">
        <v>71</v>
      </c>
      <c r="C39" s="48">
        <f>MAX(Curves!M2:M1002)</f>
        <v>1249569.0679155213</v>
      </c>
    </row>
    <row r="40" spans="2:3" ht="32.1" customHeight="1" x14ac:dyDescent="0.25">
      <c r="B40" s="47" t="s">
        <v>72</v>
      </c>
      <c r="C40" s="49">
        <f>0</f>
        <v>0</v>
      </c>
    </row>
    <row r="41" spans="2:3" ht="32.1" customHeight="1" x14ac:dyDescent="0.25">
      <c r="B41" s="47" t="s">
        <v>73</v>
      </c>
      <c r="C41" s="49" t="str">
        <f>IF(OR(C32&gt;=10,C33&gt;=10),"Upper edge: extend grid",IF(C32=0,"Welfare corner at zero","Interior grid optima"))</f>
        <v>Interior grid optima</v>
      </c>
    </row>
    <row r="42" spans="2:3" ht="32.1" customHeight="1" x14ac:dyDescent="0.25">
      <c r="B42" s="47" t="s">
        <v>74</v>
      </c>
      <c r="C42" s="53">
        <f>C21-C28*C24-C27*EXP(-C12*C24)*(1-I11)-C20*C24^2</f>
        <v>1235737.9105247976</v>
      </c>
    </row>
    <row r="43" spans="2:3" ht="32.1" customHeight="1" x14ac:dyDescent="0.25">
      <c r="B43" s="47" t="s">
        <v>75</v>
      </c>
      <c r="C43" s="53">
        <f>C27*EXP(-C12*C24)*(1-I11)+C20*C24^2</f>
        <v>164262.08947520246</v>
      </c>
    </row>
    <row r="44" spans="2:3" ht="32.1" customHeight="1" x14ac:dyDescent="0.25">
      <c r="B44" s="47" t="s">
        <v>76</v>
      </c>
      <c r="C44" s="49" t="str">
        <f>IF(I14&gt;0.000001,"Increasing",IF(I14&lt; -0.000001,"Decreasing","Stationary"))</f>
        <v>Decreasing</v>
      </c>
    </row>
    <row r="45" spans="2:3" ht="32.1" customHeight="1" x14ac:dyDescent="0.25">
      <c r="B45" s="47" t="s">
        <v>77</v>
      </c>
      <c r="C45" s="49" t="str">
        <f>IF(I13&gt;0.000001,"Increasing",IF(I13&lt; -0.000001,"Decreasing","Stationary"))</f>
        <v>Decreasing</v>
      </c>
    </row>
    <row r="46" spans="2:3" ht="32.1" customHeight="1" x14ac:dyDescent="0.25">
      <c r="B46" s="47" t="s">
        <v>78</v>
      </c>
      <c r="C46" s="49" t="str">
        <f>IF(I15&lt;&gt;"VALID","Invalid input: do not interpret",IF(C24&gt;C33,"Beyond global grid risk minimum","Use marginal signs; inspect entire curve"))</f>
        <v>Use marginal signs; inspect entire curve</v>
      </c>
    </row>
    <row r="48" spans="2:3" x14ac:dyDescent="0.25">
      <c r="B48" s="2" t="s">
        <v>10</v>
      </c>
    </row>
    <row r="49" spans="2:6" x14ac:dyDescent="0.25">
      <c r="B49" s="1" t="s">
        <v>11</v>
      </c>
    </row>
    <row r="50" spans="2:6" ht="33.950000000000003" customHeight="1" x14ac:dyDescent="0.25">
      <c r="B50" s="6" t="s">
        <v>79</v>
      </c>
      <c r="C50" s="6" t="s">
        <v>80</v>
      </c>
      <c r="D50" s="6" t="s">
        <v>81</v>
      </c>
      <c r="E50" s="6" t="s">
        <v>82</v>
      </c>
      <c r="F50" s="6" t="s">
        <v>83</v>
      </c>
    </row>
    <row r="51" spans="2:6" ht="30" customHeight="1" x14ac:dyDescent="0.25">
      <c r="B51" s="35" t="s">
        <v>84</v>
      </c>
      <c r="C51" s="37">
        <f>Examples!C20</f>
        <v>600000</v>
      </c>
      <c r="D51" s="36">
        <f>Examples!C25</f>
        <v>1.35</v>
      </c>
      <c r="E51" s="36">
        <f>Examples!C26</f>
        <v>1.51</v>
      </c>
      <c r="F51" s="36" t="s">
        <v>85</v>
      </c>
    </row>
    <row r="52" spans="2:6" ht="30" customHeight="1" x14ac:dyDescent="0.25">
      <c r="B52" s="35" t="s">
        <v>86</v>
      </c>
      <c r="C52" s="37">
        <f>Examples!D20</f>
        <v>6000000</v>
      </c>
      <c r="D52" s="36">
        <f>Examples!D25</f>
        <v>6.93</v>
      </c>
      <c r="E52" s="36">
        <f>Examples!D26</f>
        <v>7.84</v>
      </c>
      <c r="F52" s="36" t="s">
        <v>85</v>
      </c>
    </row>
    <row r="53" spans="2:6" ht="30" customHeight="1" x14ac:dyDescent="0.25">
      <c r="B53" s="35" t="s">
        <v>87</v>
      </c>
      <c r="C53" s="37">
        <f>Examples!E20</f>
        <v>2700000</v>
      </c>
      <c r="D53" s="36">
        <f>Examples!E25</f>
        <v>2.98</v>
      </c>
      <c r="E53" s="36">
        <f>Examples!E26</f>
        <v>5.09</v>
      </c>
      <c r="F53" s="36" t="s">
        <v>85</v>
      </c>
    </row>
    <row r="54" spans="2:6" ht="30" customHeight="1" x14ac:dyDescent="0.25">
      <c r="B54" s="35" t="s">
        <v>88</v>
      </c>
      <c r="C54" s="37">
        <f>Examples!F20</f>
        <v>17500</v>
      </c>
      <c r="D54" s="36">
        <f>Examples!F25</f>
        <v>0</v>
      </c>
      <c r="E54" s="36">
        <f>Examples!F26</f>
        <v>0.17</v>
      </c>
      <c r="F54" s="36" t="s">
        <v>85</v>
      </c>
    </row>
    <row r="55" spans="2:6" ht="30" customHeight="1" x14ac:dyDescent="0.25">
      <c r="B55" s="10" t="s">
        <v>89</v>
      </c>
      <c r="C55" s="38">
        <f>Examples!G20</f>
        <v>2000000</v>
      </c>
      <c r="D55" s="31">
        <f>Examples!G25</f>
        <v>2.59</v>
      </c>
      <c r="E55" s="31">
        <f>Examples!G26</f>
        <v>5.69</v>
      </c>
      <c r="F55" s="10" t="s">
        <v>85</v>
      </c>
    </row>
    <row r="56" spans="2:6" ht="30" customHeight="1" x14ac:dyDescent="0.25">
      <c r="B56" s="10" t="s">
        <v>90</v>
      </c>
      <c r="C56" s="38">
        <f>Examples!H20</f>
        <v>2000000</v>
      </c>
      <c r="D56" s="31">
        <f>Examples!H25</f>
        <v>2.02</v>
      </c>
      <c r="E56" s="31">
        <f>Examples!H26</f>
        <v>5.78</v>
      </c>
      <c r="F56" s="10" t="s">
        <v>85</v>
      </c>
    </row>
  </sheetData>
  <mergeCells count="1">
    <mergeCell ref="B2:J2"/>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002"/>
  <sheetViews>
    <sheetView workbookViewId="0"/>
  </sheetViews>
  <sheetFormatPr baseColWidth="10" defaultColWidth="8.7109375" defaultRowHeight="15" x14ac:dyDescent="0.25"/>
  <cols>
    <col min="1" max="17" width="19" customWidth="1"/>
  </cols>
  <sheetData>
    <row r="1" spans="1:23" ht="33.950000000000003" customHeight="1" x14ac:dyDescent="0.25">
      <c r="A1" s="6" t="s">
        <v>91</v>
      </c>
      <c r="B1" s="6" t="s">
        <v>92</v>
      </c>
      <c r="C1" s="6" t="s">
        <v>93</v>
      </c>
      <c r="D1" s="6" t="s">
        <v>94</v>
      </c>
      <c r="E1" s="6" t="s">
        <v>95</v>
      </c>
      <c r="F1" s="6" t="s">
        <v>96</v>
      </c>
      <c r="G1" s="6" t="s">
        <v>97</v>
      </c>
      <c r="H1" s="6" t="s">
        <v>98</v>
      </c>
      <c r="I1" s="6" t="s">
        <v>99</v>
      </c>
      <c r="J1" s="6" t="s">
        <v>100</v>
      </c>
      <c r="K1" s="6" t="s">
        <v>101</v>
      </c>
      <c r="L1" s="6" t="s">
        <v>102</v>
      </c>
      <c r="M1" s="6" t="s">
        <v>103</v>
      </c>
      <c r="N1" s="6" t="s">
        <v>104</v>
      </c>
      <c r="O1" s="7" t="s">
        <v>45</v>
      </c>
      <c r="P1" s="7" t="s">
        <v>47</v>
      </c>
      <c r="Q1" s="7" t="s">
        <v>49</v>
      </c>
    </row>
    <row r="2" spans="1:23" x14ac:dyDescent="0.25">
      <c r="A2" s="5">
        <f>(2-2)/100</f>
        <v>0</v>
      </c>
      <c r="B2" s="5">
        <f>Dashboard!$C$10*EXP(-Dashboard!$C$12*A2)</f>
        <v>0.2</v>
      </c>
      <c r="C2" s="5">
        <f>Dashboard!$C$17*A2</f>
        <v>0</v>
      </c>
      <c r="D2" s="5">
        <f>Dashboard!$C$15*(1-EXP(-Dashboard!$C$16*A2))</f>
        <v>0</v>
      </c>
      <c r="E2" s="5">
        <f>1/(1+EXP(MIN(700,MAX(-700,(C2-Dashboard!$C$18)/Dashboard!$C$19))))</f>
        <v>0.96555480433378893</v>
      </c>
      <c r="F2" s="5">
        <f t="shared" ref="F2:F33" si="0">D2*E2</f>
        <v>0</v>
      </c>
      <c r="G2" s="8">
        <f>Dashboard!$C$9*B2*Dashboard!$C$11*(1-F2)</f>
        <v>400000</v>
      </c>
      <c r="H2" s="8">
        <f>Dashboard!$C$20*A2^2</f>
        <v>0</v>
      </c>
      <c r="I2" s="8">
        <f t="shared" ref="I2:I33" si="1">G2+H2</f>
        <v>400000</v>
      </c>
      <c r="J2" s="8">
        <f>Dashboard!$C$13*A2</f>
        <v>0</v>
      </c>
      <c r="K2" s="8">
        <f>Dashboard!$C$14*A2</f>
        <v>0</v>
      </c>
      <c r="L2" s="8">
        <f>Dashboard!$C$21-K2</f>
        <v>1500000</v>
      </c>
      <c r="M2" s="8">
        <f t="shared" ref="M2:M33" si="2">L2-I2-J2</f>
        <v>1100000</v>
      </c>
      <c r="N2" s="8">
        <f t="shared" ref="N2:N33" si="3">J2+K2</f>
        <v>0</v>
      </c>
      <c r="O2" s="8">
        <f>Dashboard!$C$15*(Dashboard!$C$16*EXP(-Dashboard!$C$16*A2)*E2-(1-EXP(-Dashboard!$C$16*A2))*Dashboard!$C$17/Dashboard!$C$19*E2*(1-E2))</f>
        <v>0.38622192173351561</v>
      </c>
      <c r="P2" s="8">
        <f>Dashboard!$C$9*B2*Dashboard!$C$11*(-Dashboard!$C$12*(1-F2)-O2)+2*Dashboard!$C$20*A2</f>
        <v>-294488.76869340619</v>
      </c>
      <c r="Q2" s="8">
        <f>-P2-Dashboard!$C$13-Dashboard!$C$14</f>
        <v>244488.76869340619</v>
      </c>
      <c r="S2" s="4"/>
      <c r="U2" s="4"/>
      <c r="W2" s="4"/>
    </row>
    <row r="3" spans="1:23" x14ac:dyDescent="0.25">
      <c r="A3" s="5">
        <f>(3-2)/100</f>
        <v>0.01</v>
      </c>
      <c r="B3" s="5">
        <f>Dashboard!$C$10*EXP(-Dashboard!$C$12*A3)</f>
        <v>0.19930122357208299</v>
      </c>
      <c r="C3" s="5">
        <f>Dashboard!$C$17*A3</f>
        <v>8</v>
      </c>
      <c r="D3" s="5">
        <f>Dashboard!$C$15*(1-EXP(-Dashboard!$C$16*A3))</f>
        <v>3.9900166458541443E-3</v>
      </c>
      <c r="E3" s="5">
        <f>1/(1+EXP(MIN(700,MAX(-700,(C3-Dashboard!$C$18)/Dashboard!$C$19))))</f>
        <v>0.96510859146826311</v>
      </c>
      <c r="F3" s="5">
        <f t="shared" si="0"/>
        <v>3.8507993450152167E-3</v>
      </c>
      <c r="G3" s="8">
        <f>Dashboard!$C$9*B3*Dashboard!$C$11*(1-F3)</f>
        <v>397067.50910178176</v>
      </c>
      <c r="H3" s="8">
        <f>Dashboard!$C$20*A3^2</f>
        <v>0.8</v>
      </c>
      <c r="I3" s="8">
        <f t="shared" si="1"/>
        <v>397068.30910178175</v>
      </c>
      <c r="J3" s="8">
        <f>Dashboard!$C$13*A3</f>
        <v>200</v>
      </c>
      <c r="K3" s="8">
        <f>Dashboard!$C$14*A3</f>
        <v>300</v>
      </c>
      <c r="L3" s="8">
        <f>Dashboard!$C$21-K3</f>
        <v>1499700</v>
      </c>
      <c r="M3" s="8">
        <f t="shared" si="2"/>
        <v>1102431.6908982182</v>
      </c>
      <c r="N3" s="8">
        <f t="shared" si="3"/>
        <v>500</v>
      </c>
      <c r="O3" s="8">
        <f>Dashboard!$C$15*(Dashboard!$C$16*EXP(-Dashboard!$C$16*A3)*E3-(1-EXP(-Dashboard!$C$16*A3))*Dashboard!$C$17/Dashboard!$C$19*E3*(1-E3))</f>
        <v>0.3839388904973034</v>
      </c>
      <c r="P3" s="8">
        <f>Dashboard!$C$9*B3*Dashboard!$C$11*(-Dashboard!$C$12*(1-F3)-O3)+2*Dashboard!$C$20*A3</f>
        <v>-291852.60949166474</v>
      </c>
      <c r="Q3" s="8">
        <f>-P3-Dashboard!$C$13-Dashboard!$C$14</f>
        <v>241852.60949166474</v>
      </c>
      <c r="S3" s="4"/>
      <c r="U3" s="4"/>
      <c r="W3" s="4"/>
    </row>
    <row r="4" spans="1:23" x14ac:dyDescent="0.25">
      <c r="A4" s="5">
        <f>(4-2)/100</f>
        <v>0.02</v>
      </c>
      <c r="B4" s="5">
        <f>Dashboard!$C$10*EXP(-Dashboard!$C$12*A4)</f>
        <v>0.19860488858664704</v>
      </c>
      <c r="C4" s="5">
        <f>Dashboard!$C$17*A4</f>
        <v>16</v>
      </c>
      <c r="D4" s="5">
        <f>Dashboard!$C$15*(1-EXP(-Dashboard!$C$16*A4))</f>
        <v>7.9601330006655157E-3</v>
      </c>
      <c r="E4" s="5">
        <f>1/(1+EXP(MIN(700,MAX(-700,(C4-Dashboard!$C$18)/Dashboard!$C$19))))</f>
        <v>0.96465680981905244</v>
      </c>
      <c r="F4" s="5">
        <f t="shared" si="0"/>
        <v>7.6787965061573572E-3</v>
      </c>
      <c r="G4" s="8">
        <f>Dashboard!$C$9*B4*Dashboard!$C$11*(1-F4)</f>
        <v>394159.68412412429</v>
      </c>
      <c r="H4" s="8">
        <f>Dashboard!$C$20*A4^2</f>
        <v>3.2</v>
      </c>
      <c r="I4" s="8">
        <f t="shared" si="1"/>
        <v>394162.88412412431</v>
      </c>
      <c r="J4" s="8">
        <f>Dashboard!$C$13*A4</f>
        <v>400</v>
      </c>
      <c r="K4" s="8">
        <f>Dashboard!$C$14*A4</f>
        <v>600</v>
      </c>
      <c r="L4" s="8">
        <f>Dashboard!$C$21-K4</f>
        <v>1499400</v>
      </c>
      <c r="M4" s="8">
        <f t="shared" si="2"/>
        <v>1104837.1158758756</v>
      </c>
      <c r="N4" s="8">
        <f t="shared" si="3"/>
        <v>1000</v>
      </c>
      <c r="O4" s="8">
        <f>Dashboard!$C$15*(Dashboard!$C$16*EXP(-Dashboard!$C$16*A4)*E4-(1-EXP(-Dashboard!$C$16*A4))*Dashboard!$C$17/Dashboard!$C$19*E4*(1-E4))</f>
        <v>0.38166146812083845</v>
      </c>
      <c r="P4" s="8">
        <f>Dashboard!$C$9*B4*Dashboard!$C$11*(-Dashboard!$C$12*(1-F4)-O4)+2*Dashboard!$C$20*A4</f>
        <v>-289235.55615135399</v>
      </c>
      <c r="Q4" s="8">
        <f>-P4-Dashboard!$C$13-Dashboard!$C$14</f>
        <v>239235.55615135399</v>
      </c>
    </row>
    <row r="5" spans="1:23" x14ac:dyDescent="0.25">
      <c r="A5" s="5">
        <f>(5-2)/100</f>
        <v>0.03</v>
      </c>
      <c r="B5" s="5">
        <f>Dashboard!$C$10*EXP(-Dashboard!$C$12*A5)</f>
        <v>0.19791098651357986</v>
      </c>
      <c r="C5" s="5">
        <f>Dashboard!$C$17*A5</f>
        <v>24</v>
      </c>
      <c r="D5" s="5">
        <f>Dashboard!$C$15*(1-EXP(-Dashboard!$C$16*A5))</f>
        <v>1.1910448317549883E-2</v>
      </c>
      <c r="E5" s="5">
        <f>1/(1+EXP(MIN(700,MAX(-700,(C5-Dashboard!$C$18)/Dashboard!$C$19))))</f>
        <v>0.9641993953980168</v>
      </c>
      <c r="F5" s="5">
        <f t="shared" si="0"/>
        <v>1.1484047066700923E-2</v>
      </c>
      <c r="G5" s="8">
        <f>Dashboard!$C$9*B5*Dashboard!$C$11*(1-F5)</f>
        <v>391276.33485888137</v>
      </c>
      <c r="H5" s="8">
        <f>Dashboard!$C$20*A5^2</f>
        <v>7.2</v>
      </c>
      <c r="I5" s="8">
        <f t="shared" si="1"/>
        <v>391283.53485888138</v>
      </c>
      <c r="J5" s="8">
        <f>Dashboard!$C$13*A5</f>
        <v>600</v>
      </c>
      <c r="K5" s="8">
        <f>Dashboard!$C$14*A5</f>
        <v>900</v>
      </c>
      <c r="L5" s="8">
        <f>Dashboard!$C$21-K5</f>
        <v>1499100</v>
      </c>
      <c r="M5" s="8">
        <f t="shared" si="2"/>
        <v>1107216.4651411185</v>
      </c>
      <c r="N5" s="8">
        <f t="shared" si="3"/>
        <v>1500</v>
      </c>
      <c r="O5" s="8">
        <f>Dashboard!$C$15*(Dashboard!$C$16*EXP(-Dashboard!$C$16*A5)*E5-(1-EXP(-Dashboard!$C$16*A5))*Dashboard!$C$17/Dashboard!$C$19*E5*(1-E5))</f>
        <v>0.37938955352150222</v>
      </c>
      <c r="P5" s="8">
        <f>Dashboard!$C$9*B5*Dashboard!$C$11*(-Dashboard!$C$12*(1-F5)-O5)+2*Dashboard!$C$20*A5</f>
        <v>-286637.4388213827</v>
      </c>
      <c r="Q5" s="8">
        <f>-P5-Dashboard!$C$13-Dashboard!$C$14</f>
        <v>236637.4388213827</v>
      </c>
    </row>
    <row r="6" spans="1:23" x14ac:dyDescent="0.25">
      <c r="A6" s="5">
        <f>(6-2)/100</f>
        <v>0.04</v>
      </c>
      <c r="B6" s="5">
        <f>Dashboard!$C$10*EXP(-Dashboard!$C$12*A6)</f>
        <v>0.19721950885257239</v>
      </c>
      <c r="C6" s="5">
        <f>Dashboard!$C$17*A6</f>
        <v>32</v>
      </c>
      <c r="D6" s="5">
        <f>Dashboard!$C$15*(1-EXP(-Dashboard!$C$16*A6))</f>
        <v>1.5841061354595797E-2</v>
      </c>
      <c r="E6" s="5">
        <f>1/(1+EXP(MIN(700,MAX(-700,(C6-Dashboard!$C$18)/Dashboard!$C$19))))</f>
        <v>0.96373628362535169</v>
      </c>
      <c r="F6" s="5">
        <f t="shared" si="0"/>
        <v>1.5266605598559333E-2</v>
      </c>
      <c r="G6" s="8">
        <f>Dashboard!$C$9*B6*Dashboard!$C$11*(1-F6)</f>
        <v>388417.27278915717</v>
      </c>
      <c r="H6" s="8">
        <f>Dashboard!$C$20*A6^2</f>
        <v>12.8</v>
      </c>
      <c r="I6" s="8">
        <f t="shared" si="1"/>
        <v>388430.07278915716</v>
      </c>
      <c r="J6" s="8">
        <f>Dashboard!$C$13*A6</f>
        <v>800</v>
      </c>
      <c r="K6" s="8">
        <f>Dashboard!$C$14*A6</f>
        <v>1200</v>
      </c>
      <c r="L6" s="8">
        <f>Dashboard!$C$21-K6</f>
        <v>1498800</v>
      </c>
      <c r="M6" s="8">
        <f t="shared" si="2"/>
        <v>1109569.9272108427</v>
      </c>
      <c r="N6" s="8">
        <f t="shared" si="3"/>
        <v>2000</v>
      </c>
      <c r="O6" s="8">
        <f>Dashboard!$C$15*(Dashboard!$C$16*EXP(-Dashboard!$C$16*A6)*E6-(1-EXP(-Dashboard!$C$16*A6))*Dashboard!$C$17/Dashboard!$C$19*E6*(1-E6))</f>
        <v>0.37712304551028802</v>
      </c>
      <c r="P6" s="8">
        <f>Dashboard!$C$9*B6*Dashboard!$C$11*(-Dashboard!$C$12*(1-F6)-O6)+2*Dashboard!$C$20*A6</f>
        <v>-284058.08910125564</v>
      </c>
      <c r="Q6" s="8">
        <f>-P6-Dashboard!$C$13-Dashboard!$C$14</f>
        <v>234058.08910125564</v>
      </c>
    </row>
    <row r="7" spans="1:23" x14ac:dyDescent="0.25">
      <c r="A7" s="5">
        <f>(7-2)/100</f>
        <v>0.05</v>
      </c>
      <c r="B7" s="5">
        <f>Dashboard!$C$10*EXP(-Dashboard!$C$12*A7)</f>
        <v>0.19653044713301465</v>
      </c>
      <c r="C7" s="5">
        <f>Dashboard!$C$17*A7</f>
        <v>40</v>
      </c>
      <c r="D7" s="5">
        <f>Dashboard!$C$15*(1-EXP(-Dashboard!$C$16*A7))</f>
        <v>1.9752070377333911E-2</v>
      </c>
      <c r="E7" s="5">
        <f>1/(1+EXP(MIN(700,MAX(-700,(C7-Dashboard!$C$18)/Dashboard!$C$19))))</f>
        <v>0.96326740932797028</v>
      </c>
      <c r="F7" s="5">
        <f t="shared" si="0"/>
        <v>1.9026525661238181E-2</v>
      </c>
      <c r="G7" s="8">
        <f>Dashboard!$C$9*B7*Dashboard!$C$11*(1-F7)</f>
        <v>385582.31107484753</v>
      </c>
      <c r="H7" s="8">
        <f>Dashboard!$C$20*A7^2</f>
        <v>20.000000000000004</v>
      </c>
      <c r="I7" s="8">
        <f t="shared" si="1"/>
        <v>385602.31107484753</v>
      </c>
      <c r="J7" s="8">
        <f>Dashboard!$C$13*A7</f>
        <v>1000</v>
      </c>
      <c r="K7" s="8">
        <f>Dashboard!$C$14*A7</f>
        <v>1500</v>
      </c>
      <c r="L7" s="8">
        <f>Dashboard!$C$21-K7</f>
        <v>1498500</v>
      </c>
      <c r="M7" s="8">
        <f t="shared" si="2"/>
        <v>1111897.6889251524</v>
      </c>
      <c r="N7" s="8">
        <f t="shared" si="3"/>
        <v>2500</v>
      </c>
      <c r="O7" s="8">
        <f>Dashboard!$C$15*(Dashboard!$C$16*EXP(-Dashboard!$C$16*A7)*E7-(1-EXP(-Dashboard!$C$16*A7))*Dashboard!$C$17/Dashboard!$C$19*E7*(1-E7))</f>
        <v>0.37486184279520218</v>
      </c>
      <c r="P7" s="8">
        <f>Dashboard!$C$9*B7*Dashboard!$C$11*(-Dashboard!$C$12*(1-F7)-O7)+2*Dashboard!$C$20*A7</f>
        <v>-281497.34003149049</v>
      </c>
      <c r="Q7" s="8">
        <f>-P7-Dashboard!$C$13-Dashboard!$C$14</f>
        <v>231497.34003149049</v>
      </c>
    </row>
    <row r="8" spans="1:23" x14ac:dyDescent="0.25">
      <c r="A8" s="5">
        <f>(8-2)/100</f>
        <v>0.06</v>
      </c>
      <c r="B8" s="5">
        <f>Dashboard!$C$10*EXP(-Dashboard!$C$12*A8)</f>
        <v>0.19584379291389192</v>
      </c>
      <c r="C8" s="5">
        <f>Dashboard!$C$17*A8</f>
        <v>48</v>
      </c>
      <c r="D8" s="5">
        <f>Dashboard!$C$15*(1-EXP(-Dashboard!$C$16*A8))</f>
        <v>2.3643573161193476E-2</v>
      </c>
      <c r="E8" s="5">
        <f>1/(1+EXP(MIN(700,MAX(-700,(C8-Dashboard!$C$18)/Dashboard!$C$19))))</f>
        <v>0.96279270673799899</v>
      </c>
      <c r="F8" s="5">
        <f t="shared" si="0"/>
        <v>2.2763859800823374E-2</v>
      </c>
      <c r="G8" s="8">
        <f>Dashboard!$C$9*B8*Dashboard!$C$11*(1-F8)</f>
        <v>382771.26453827712</v>
      </c>
      <c r="H8" s="8">
        <f>Dashboard!$C$20*A8^2</f>
        <v>28.8</v>
      </c>
      <c r="I8" s="8">
        <f t="shared" si="1"/>
        <v>382800.0645382771</v>
      </c>
      <c r="J8" s="8">
        <f>Dashboard!$C$13*A8</f>
        <v>1200</v>
      </c>
      <c r="K8" s="8">
        <f>Dashboard!$C$14*A8</f>
        <v>1800</v>
      </c>
      <c r="L8" s="8">
        <f>Dashboard!$C$21-K8</f>
        <v>1498200</v>
      </c>
      <c r="M8" s="8">
        <f t="shared" si="2"/>
        <v>1114199.9354617228</v>
      </c>
      <c r="N8" s="8">
        <f t="shared" si="3"/>
        <v>3000</v>
      </c>
      <c r="O8" s="8">
        <f>Dashboard!$C$15*(Dashboard!$C$16*EXP(-Dashboard!$C$16*A8)*E8-(1-EXP(-Dashboard!$C$16*A8))*Dashboard!$C$17/Dashboard!$C$19*E8*(1-E8))</f>
        <v>0.37260584398494218</v>
      </c>
      <c r="P8" s="8">
        <f>Dashboard!$C$9*B8*Dashboard!$C$11*(-Dashboard!$C$12*(1-F8)-O8)+2*Dashboard!$C$20*A8</f>
        <v>-278955.02608418284</v>
      </c>
      <c r="Q8" s="8">
        <f>-P8-Dashboard!$C$13-Dashboard!$C$14</f>
        <v>228955.02608418284</v>
      </c>
    </row>
    <row r="9" spans="1:23" x14ac:dyDescent="0.25">
      <c r="A9" s="5">
        <f>(9-2)/100</f>
        <v>7.0000000000000007E-2</v>
      </c>
      <c r="B9" s="5">
        <f>Dashboard!$C$10*EXP(-Dashboard!$C$12*A9)</f>
        <v>0.19515953778368147</v>
      </c>
      <c r="C9" s="5">
        <f>Dashboard!$C$17*A9</f>
        <v>56.000000000000007</v>
      </c>
      <c r="D9" s="5">
        <f>Dashboard!$C$15*(1-EXP(-Dashboard!$C$16*A9))</f>
        <v>2.7515666993946832E-2</v>
      </c>
      <c r="E9" s="5">
        <f>1/(1+EXP(MIN(700,MAX(-700,(C9-Dashboard!$C$18)/Dashboard!$C$19))))</f>
        <v>0.96231210949139412</v>
      </c>
      <c r="F9" s="5">
        <f t="shared" si="0"/>
        <v>2.6478659549007702E-2</v>
      </c>
      <c r="G9" s="8">
        <f>Dashboard!$C$9*B9*Dashboard!$C$11*(1-F9)</f>
        <v>379983.94964993134</v>
      </c>
      <c r="H9" s="8">
        <f>Dashboard!$C$20*A9^2</f>
        <v>39.200000000000003</v>
      </c>
      <c r="I9" s="8">
        <f t="shared" si="1"/>
        <v>380023.14964993135</v>
      </c>
      <c r="J9" s="8">
        <f>Dashboard!$C$13*A9</f>
        <v>1400.0000000000002</v>
      </c>
      <c r="K9" s="8">
        <f>Dashboard!$C$14*A9</f>
        <v>2100</v>
      </c>
      <c r="L9" s="8">
        <f>Dashboard!$C$21-K9</f>
        <v>1497900</v>
      </c>
      <c r="M9" s="8">
        <f t="shared" si="2"/>
        <v>1116476.8503500686</v>
      </c>
      <c r="N9" s="8">
        <f t="shared" si="3"/>
        <v>3500</v>
      </c>
      <c r="O9" s="8">
        <f>Dashboard!$C$15*(Dashboard!$C$16*EXP(-Dashboard!$C$16*A9)*E9-(1-EXP(-Dashboard!$C$16*A9))*Dashboard!$C$17/Dashboard!$C$19*E9*(1-E9))</f>
        <v>0.37035494759285692</v>
      </c>
      <c r="P9" s="8">
        <f>Dashboard!$C$9*B9*Dashboard!$C$11*(-Dashboard!$C$12*(1-F9)-O9)+2*Dashboard!$C$20*A9</f>
        <v>-276430.98315371899</v>
      </c>
      <c r="Q9" s="8">
        <f>-P9-Dashboard!$C$13-Dashboard!$C$14</f>
        <v>226430.98315371899</v>
      </c>
    </row>
    <row r="10" spans="1:23" x14ac:dyDescent="0.25">
      <c r="A10" s="5">
        <f>(10-2)/100</f>
        <v>0.08</v>
      </c>
      <c r="B10" s="5">
        <f>Dashboard!$C$10*EXP(-Dashboard!$C$12*A10)</f>
        <v>0.19447767336024938</v>
      </c>
      <c r="C10" s="5">
        <f>Dashboard!$C$17*A10</f>
        <v>64</v>
      </c>
      <c r="D10" s="5">
        <f>Dashboard!$C$15*(1-EXP(-Dashboard!$C$16*A10))</f>
        <v>3.136844867814146E-2</v>
      </c>
      <c r="E10" s="5">
        <f>1/(1+EXP(MIN(700,MAX(-700,(C10-Dashboard!$C$18)/Dashboard!$C$19))))</f>
        <v>0.96182555062668207</v>
      </c>
      <c r="F10" s="5">
        <f t="shared" si="0"/>
        <v>3.0170975422158228E-2</v>
      </c>
      <c r="G10" s="8">
        <f>Dashboard!$C$9*B10*Dashboard!$C$11*(1-F10)</f>
        <v>377220.18451427756</v>
      </c>
      <c r="H10" s="8">
        <f>Dashboard!$C$20*A10^2</f>
        <v>51.2</v>
      </c>
      <c r="I10" s="8">
        <f t="shared" si="1"/>
        <v>377271.38451427757</v>
      </c>
      <c r="J10" s="8">
        <f>Dashboard!$C$13*A10</f>
        <v>1600</v>
      </c>
      <c r="K10" s="8">
        <f>Dashboard!$C$14*A10</f>
        <v>2400</v>
      </c>
      <c r="L10" s="8">
        <f>Dashboard!$C$21-K10</f>
        <v>1497600</v>
      </c>
      <c r="M10" s="8">
        <f t="shared" si="2"/>
        <v>1118728.6154857224</v>
      </c>
      <c r="N10" s="8">
        <f t="shared" si="3"/>
        <v>4000</v>
      </c>
      <c r="O10" s="8">
        <f>Dashboard!$C$15*(Dashboard!$C$16*EXP(-Dashboard!$C$16*A10)*E10-(1-EXP(-Dashboard!$C$16*A10))*Dashboard!$C$17/Dashboard!$C$19*E10*(1-E10))</f>
        <v>0.36810905204119804</v>
      </c>
      <c r="P10" s="8">
        <f>Dashboard!$C$9*B10*Dashboard!$C$11*(-Dashboard!$C$12*(1-F10)-O10)+2*Dashboard!$C$20*A10</f>
        <v>-273925.04854763544</v>
      </c>
      <c r="Q10" s="8">
        <f>-P10-Dashboard!$C$13-Dashboard!$C$14</f>
        <v>223925.04854763544</v>
      </c>
    </row>
    <row r="11" spans="1:23" x14ac:dyDescent="0.25">
      <c r="A11" s="5">
        <f>(11-2)/100</f>
        <v>0.09</v>
      </c>
      <c r="B11" s="5">
        <f>Dashboard!$C$10*EXP(-Dashboard!$C$12*A11)</f>
        <v>0.19379819129074793</v>
      </c>
      <c r="C11" s="5">
        <f>Dashboard!$C$17*A11</f>
        <v>72</v>
      </c>
      <c r="D11" s="5">
        <f>Dashboard!$C$15*(1-EXP(-Dashboard!$C$16*A11))</f>
        <v>3.520201453352003E-2</v>
      </c>
      <c r="E11" s="5">
        <f>1/(1+EXP(MIN(700,MAX(-700,(C11-Dashboard!$C$18)/Dashboard!$C$19))))</f>
        <v>0.96133296258382805</v>
      </c>
      <c r="F11" s="5">
        <f t="shared" si="0"/>
        <v>3.3840856920427785E-2</v>
      </c>
      <c r="G11" s="8">
        <f>Dashboard!$C$9*B11*Dashboard!$C$11*(1-F11)</f>
        <v>374479.78885568003</v>
      </c>
      <c r="H11" s="8">
        <f>Dashboard!$C$20*A11^2</f>
        <v>64.8</v>
      </c>
      <c r="I11" s="8">
        <f t="shared" si="1"/>
        <v>374544.58885568002</v>
      </c>
      <c r="J11" s="8">
        <f>Dashboard!$C$13*A11</f>
        <v>1800</v>
      </c>
      <c r="K11" s="8">
        <f>Dashboard!$C$14*A11</f>
        <v>2700</v>
      </c>
      <c r="L11" s="8">
        <f>Dashboard!$C$21-K11</f>
        <v>1497300</v>
      </c>
      <c r="M11" s="8">
        <f t="shared" si="2"/>
        <v>1120955.4111443199</v>
      </c>
      <c r="N11" s="8">
        <f t="shared" si="3"/>
        <v>4500</v>
      </c>
      <c r="O11" s="8">
        <f>Dashboard!$C$15*(Dashboard!$C$16*EXP(-Dashboard!$C$16*A11)*E11-(1-EXP(-Dashboard!$C$16*A11))*Dashboard!$C$17/Dashboard!$C$19*E11*(1-E11))</f>
        <v>0.36586805566566732</v>
      </c>
      <c r="P11" s="8">
        <f>Dashboard!$C$9*B11*Dashboard!$C$11*(-Dashboard!$C$12*(1-F11)-O11)+2*Dashboard!$C$20*A11</f>
        <v>-271437.06097762607</v>
      </c>
      <c r="Q11" s="8">
        <f>-P11-Dashboard!$C$13-Dashboard!$C$14</f>
        <v>221437.06097762607</v>
      </c>
    </row>
    <row r="12" spans="1:23" x14ac:dyDescent="0.25">
      <c r="A12" s="5">
        <f>(12-2)/100</f>
        <v>0.1</v>
      </c>
      <c r="B12" s="5">
        <f>Dashboard!$C$10*EXP(-Dashboard!$C$12*A12)</f>
        <v>0.19312108325151331</v>
      </c>
      <c r="C12" s="5">
        <f>Dashboard!$C$17*A12</f>
        <v>80</v>
      </c>
      <c r="D12" s="5">
        <f>Dashboard!$C$15*(1-EXP(-Dashboard!$C$16*A12))</f>
        <v>3.9016460399428791E-2</v>
      </c>
      <c r="E12" s="5">
        <f>1/(1+EXP(MIN(700,MAX(-700,(C12-Dashboard!$C$18)/Dashboard!$C$19))))</f>
        <v>0.96083427720323566</v>
      </c>
      <c r="F12" s="5">
        <f t="shared" si="0"/>
        <v>3.7488352526913828E-2</v>
      </c>
      <c r="G12" s="8">
        <f>Dashboard!$C$9*B12*Dashboard!$C$11*(1-F12)</f>
        <v>371762.58400440222</v>
      </c>
      <c r="H12" s="8">
        <f>Dashboard!$C$20*A12^2</f>
        <v>80.000000000000014</v>
      </c>
      <c r="I12" s="8">
        <f t="shared" si="1"/>
        <v>371842.58400440222</v>
      </c>
      <c r="J12" s="8">
        <f>Dashboard!$C$13*A12</f>
        <v>2000</v>
      </c>
      <c r="K12" s="8">
        <f>Dashboard!$C$14*A12</f>
        <v>3000</v>
      </c>
      <c r="L12" s="8">
        <f>Dashboard!$C$21-K12</f>
        <v>1497000</v>
      </c>
      <c r="M12" s="8">
        <f t="shared" si="2"/>
        <v>1123157.4159955978</v>
      </c>
      <c r="N12" s="8">
        <f t="shared" si="3"/>
        <v>5000</v>
      </c>
      <c r="O12" s="8">
        <f>Dashboard!$C$15*(Dashboard!$C$16*EXP(-Dashboard!$C$16*A12)*E12-(1-EXP(-Dashboard!$C$16*A12))*Dashboard!$C$17/Dashboard!$C$19*E12*(1-E12))</f>
        <v>0.36363185672026876</v>
      </c>
      <c r="P12" s="8">
        <f>Dashboard!$C$9*B12*Dashboard!$C$11*(-Dashboard!$C$12*(1-F12)-O12)+2*Dashboard!$C$20*A12</f>
        <v>-268966.86055069551</v>
      </c>
      <c r="Q12" s="8">
        <f>-P12-Dashboard!$C$13-Dashboard!$C$14</f>
        <v>218966.86055069551</v>
      </c>
    </row>
    <row r="13" spans="1:23" x14ac:dyDescent="0.25">
      <c r="A13" s="5">
        <f>(13-2)/100</f>
        <v>0.11</v>
      </c>
      <c r="B13" s="5">
        <f>Dashboard!$C$10*EXP(-Dashboard!$C$12*A13)</f>
        <v>0.19244634094796353</v>
      </c>
      <c r="C13" s="5">
        <f>Dashboard!$C$17*A13</f>
        <v>88</v>
      </c>
      <c r="D13" s="5">
        <f>Dashboard!$C$15*(1-EXP(-Dashboard!$C$16*A13))</f>
        <v>4.2811881637212945E-2</v>
      </c>
      <c r="E13" s="5">
        <f>1/(1+EXP(MIN(700,MAX(-700,(C13-Dashboard!$C$18)/Dashboard!$C$19))))</f>
        <v>0.96032942572488555</v>
      </c>
      <c r="F13" s="5">
        <f t="shared" si="0"/>
        <v>4.1113509706866481E-2</v>
      </c>
      <c r="G13" s="8">
        <f>Dashboard!$C$9*B13*Dashboard!$C$11*(1-F13)</f>
        <v>369068.39288269699</v>
      </c>
      <c r="H13" s="8">
        <f>Dashboard!$C$20*A13^2</f>
        <v>96.8</v>
      </c>
      <c r="I13" s="8">
        <f t="shared" si="1"/>
        <v>369165.19288269698</v>
      </c>
      <c r="J13" s="8">
        <f>Dashboard!$C$13*A13</f>
        <v>2200</v>
      </c>
      <c r="K13" s="8">
        <f>Dashboard!$C$14*A13</f>
        <v>3300</v>
      </c>
      <c r="L13" s="8">
        <f>Dashboard!$C$21-K13</f>
        <v>1496700</v>
      </c>
      <c r="M13" s="8">
        <f t="shared" si="2"/>
        <v>1125334.8071173029</v>
      </c>
      <c r="N13" s="8">
        <f t="shared" si="3"/>
        <v>5500</v>
      </c>
      <c r="O13" s="8">
        <f>Dashboard!$C$15*(Dashboard!$C$16*EXP(-Dashboard!$C$16*A13)*E13-(1-EXP(-Dashboard!$C$16*A13))*Dashboard!$C$17/Dashboard!$C$19*E13*(1-E13))</f>
        <v>0.36140035338247184</v>
      </c>
      <c r="P13" s="8">
        <f>Dashboard!$C$9*B13*Dashboard!$C$11*(-Dashboard!$C$12*(1-F13)-O13)+2*Dashboard!$C$20*A13</f>
        <v>-266514.28876045928</v>
      </c>
      <c r="Q13" s="8">
        <f>-P13-Dashboard!$C$13-Dashboard!$C$14</f>
        <v>216514.28876045928</v>
      </c>
    </row>
    <row r="14" spans="1:23" x14ac:dyDescent="0.25">
      <c r="A14" s="5">
        <f>(14-2)/100</f>
        <v>0.12</v>
      </c>
      <c r="B14" s="5">
        <f>Dashboard!$C$10*EXP(-Dashboard!$C$12*A14)</f>
        <v>0.19177395611449691</v>
      </c>
      <c r="C14" s="5">
        <f>Dashboard!$C$17*A14</f>
        <v>96</v>
      </c>
      <c r="D14" s="5">
        <f>Dashboard!$C$15*(1-EXP(-Dashboard!$C$16*A14))</f>
        <v>4.658837313260103E-2</v>
      </c>
      <c r="E14" s="5">
        <f>1/(1+EXP(MIN(700,MAX(-700,(C14-Dashboard!$C$18)/Dashboard!$C$19))))</f>
        <v>0.95981833878761291</v>
      </c>
      <c r="F14" s="5">
        <f t="shared" si="0"/>
        <v>4.471637490695058E-2</v>
      </c>
      <c r="G14" s="8">
        <f>Dashboard!$C$9*B14*Dashboard!$C$11*(1-F14)</f>
        <v>366397.0399909839</v>
      </c>
      <c r="H14" s="8">
        <f>Dashboard!$C$20*A14^2</f>
        <v>115.2</v>
      </c>
      <c r="I14" s="8">
        <f t="shared" si="1"/>
        <v>366512.23999098392</v>
      </c>
      <c r="J14" s="8">
        <f>Dashboard!$C$13*A14</f>
        <v>2400</v>
      </c>
      <c r="K14" s="8">
        <f>Dashboard!$C$14*A14</f>
        <v>3600</v>
      </c>
      <c r="L14" s="8">
        <f>Dashboard!$C$21-K14</f>
        <v>1496400</v>
      </c>
      <c r="M14" s="8">
        <f t="shared" si="2"/>
        <v>1127487.7600090161</v>
      </c>
      <c r="N14" s="8">
        <f t="shared" si="3"/>
        <v>6000</v>
      </c>
      <c r="O14" s="8">
        <f>Dashboard!$C$15*(Dashboard!$C$16*EXP(-Dashboard!$C$16*A14)*E14-(1-EXP(-Dashboard!$C$16*A14))*Dashboard!$C$17/Dashboard!$C$19*E14*(1-E14))</f>
        <v>0.3591734437586937</v>
      </c>
      <c r="P14" s="8">
        <f>Dashboard!$C$9*B14*Dashboard!$C$11*(-Dashboard!$C$12*(1-F14)-O14)+2*Dashboard!$C$20*A14</f>
        <v>-264079.18847858923</v>
      </c>
      <c r="Q14" s="8">
        <f>-P14-Dashboard!$C$13-Dashboard!$C$14</f>
        <v>214079.18847858923</v>
      </c>
    </row>
    <row r="15" spans="1:23" x14ac:dyDescent="0.25">
      <c r="A15" s="5">
        <f>(15-2)/100</f>
        <v>0.13</v>
      </c>
      <c r="B15" s="5">
        <f>Dashboard!$C$10*EXP(-Dashboard!$C$12*A15)</f>
        <v>0.1911039205143909</v>
      </c>
      <c r="C15" s="5">
        <f>Dashboard!$C$17*A15</f>
        <v>104</v>
      </c>
      <c r="D15" s="5">
        <f>Dashboard!$C$15*(1-EXP(-Dashboard!$C$16*A15))</f>
        <v>5.0346029298077258E-2</v>
      </c>
      <c r="E15" s="5">
        <f>1/(1+EXP(MIN(700,MAX(-700,(C15-Dashboard!$C$18)/Dashboard!$C$19))))</f>
        <v>0.95930094642853359</v>
      </c>
      <c r="F15" s="5">
        <f t="shared" si="0"/>
        <v>4.8296993554564197E-2</v>
      </c>
      <c r="G15" s="8">
        <f>Dashboard!$C$9*B15*Dashboard!$C$11*(1-F15)</f>
        <v>363748.35139411088</v>
      </c>
      <c r="H15" s="8">
        <f>Dashboard!$C$20*A15^2</f>
        <v>135.20000000000002</v>
      </c>
      <c r="I15" s="8">
        <f t="shared" si="1"/>
        <v>363883.55139411089</v>
      </c>
      <c r="J15" s="8">
        <f>Dashboard!$C$13*A15</f>
        <v>2600</v>
      </c>
      <c r="K15" s="8">
        <f>Dashboard!$C$14*A15</f>
        <v>3900</v>
      </c>
      <c r="L15" s="8">
        <f>Dashboard!$C$21-K15</f>
        <v>1496100</v>
      </c>
      <c r="M15" s="8">
        <f t="shared" si="2"/>
        <v>1129616.448605889</v>
      </c>
      <c r="N15" s="8">
        <f t="shared" si="3"/>
        <v>6500</v>
      </c>
      <c r="O15" s="8">
        <f>Dashboard!$C$15*(Dashboard!$C$16*EXP(-Dashboard!$C$16*A15)*E15-(1-EXP(-Dashboard!$C$16*A15))*Dashboard!$C$17/Dashboard!$C$19*E15*(1-E15))</f>
        <v>0.35695102589010741</v>
      </c>
      <c r="P15" s="8">
        <f>Dashboard!$C$9*B15*Dashboard!$C$11*(-Dashboard!$C$12*(1-F15)-O15)+2*Dashboard!$C$20*A15</f>
        <v>-261661.40394640557</v>
      </c>
      <c r="Q15" s="8">
        <f>-P15-Dashboard!$C$13-Dashboard!$C$14</f>
        <v>211661.40394640557</v>
      </c>
    </row>
    <row r="16" spans="1:23" x14ac:dyDescent="0.25">
      <c r="A16" s="5">
        <f>(16-2)/100</f>
        <v>0.14000000000000001</v>
      </c>
      <c r="B16" s="5">
        <f>Dashboard!$C$10*EXP(-Dashboard!$C$12*A16)</f>
        <v>0.190436225939701</v>
      </c>
      <c r="C16" s="5">
        <f>Dashboard!$C$17*A16</f>
        <v>112.00000000000001</v>
      </c>
      <c r="D16" s="5">
        <f>Dashboard!$C$15*(1-EXP(-Dashboard!$C$16*A16))</f>
        <v>5.4084944075241385E-2</v>
      </c>
      <c r="E16" s="5">
        <f>1/(1+EXP(MIN(700,MAX(-700,(C16-Dashboard!$C$18)/Dashboard!$C$19))))</f>
        <v>0.95877717808261698</v>
      </c>
      <c r="F16" s="5">
        <f t="shared" si="0"/>
        <v>5.1855410057216091E-2</v>
      </c>
      <c r="G16" s="8">
        <f>Dashboard!$C$9*B16*Dashboard!$C$11*(1-F16)</f>
        <v>361122.15470769833</v>
      </c>
      <c r="H16" s="8">
        <f>Dashboard!$C$20*A16^2</f>
        <v>156.80000000000001</v>
      </c>
      <c r="I16" s="8">
        <f t="shared" si="1"/>
        <v>361278.95470769831</v>
      </c>
      <c r="J16" s="8">
        <f>Dashboard!$C$13*A16</f>
        <v>2800.0000000000005</v>
      </c>
      <c r="K16" s="8">
        <f>Dashboard!$C$14*A16</f>
        <v>4200</v>
      </c>
      <c r="L16" s="8">
        <f>Dashboard!$C$21-K16</f>
        <v>1495800</v>
      </c>
      <c r="M16" s="8">
        <f t="shared" si="2"/>
        <v>1131721.0452923016</v>
      </c>
      <c r="N16" s="8">
        <f t="shared" si="3"/>
        <v>7000</v>
      </c>
      <c r="O16" s="8">
        <f>Dashboard!$C$15*(Dashboard!$C$16*EXP(-Dashboard!$C$16*A16)*E16-(1-EXP(-Dashboard!$C$16*A16))*Dashboard!$C$17/Dashboard!$C$19*E16*(1-E16))</f>
        <v>0.35473299775878342</v>
      </c>
      <c r="P16" s="8">
        <f>Dashboard!$C$9*B16*Dashboard!$C$11*(-Dashboard!$C$12*(1-F16)-O16)+2*Dashboard!$C$20*A16</f>
        <v>-259260.78076661268</v>
      </c>
      <c r="Q16" s="8">
        <f>-P16-Dashboard!$C$13-Dashboard!$C$14</f>
        <v>209260.78076661268</v>
      </c>
    </row>
    <row r="17" spans="1:17" x14ac:dyDescent="0.25">
      <c r="A17" s="5">
        <f>(17-2)/100</f>
        <v>0.15</v>
      </c>
      <c r="B17" s="5">
        <f>Dashboard!$C$10*EXP(-Dashboard!$C$12*A17)</f>
        <v>0.18977086421116027</v>
      </c>
      <c r="C17" s="5">
        <f>Dashboard!$C$17*A17</f>
        <v>120</v>
      </c>
      <c r="D17" s="5">
        <f>Dashboard!$C$15*(1-EXP(-Dashboard!$C$16*A17))</f>
        <v>5.7805210937157715E-2</v>
      </c>
      <c r="E17" s="5">
        <f>1/(1+EXP(MIN(700,MAX(-700,(C17-Dashboard!$C$18)/Dashboard!$C$19))))</f>
        <v>0.95824696258241804</v>
      </c>
      <c r="F17" s="5">
        <f t="shared" si="0"/>
        <v>5.5391667801967352E-2</v>
      </c>
      <c r="G17" s="8">
        <f>Dashboard!$C$9*B17*Dashboard!$C$11*(1-F17)</f>
        <v>358518.27908456686</v>
      </c>
      <c r="H17" s="8">
        <f>Dashboard!$C$20*A17^2</f>
        <v>180</v>
      </c>
      <c r="I17" s="8">
        <f t="shared" si="1"/>
        <v>358698.27908456686</v>
      </c>
      <c r="J17" s="8">
        <f>Dashboard!$C$13*A17</f>
        <v>3000</v>
      </c>
      <c r="K17" s="8">
        <f>Dashboard!$C$14*A17</f>
        <v>4500</v>
      </c>
      <c r="L17" s="8">
        <f>Dashboard!$C$21-K17</f>
        <v>1495500</v>
      </c>
      <c r="M17" s="8">
        <f t="shared" si="2"/>
        <v>1133801.720915433</v>
      </c>
      <c r="N17" s="8">
        <f t="shared" si="3"/>
        <v>7500</v>
      </c>
      <c r="O17" s="8">
        <f>Dashboard!$C$15*(Dashboard!$C$16*EXP(-Dashboard!$C$16*A17)*E17-(1-EXP(-Dashboard!$C$16*A17))*Dashboard!$C$17/Dashboard!$C$19*E17*(1-E17))</f>
        <v>0.35251925729417316</v>
      </c>
      <c r="P17" s="8">
        <f>Dashboard!$C$9*B17*Dashboard!$C$11*(-Dashboard!$C$12*(1-F17)-O17)+2*Dashboard!$C$20*A17</f>
        <v>-256877.16589518162</v>
      </c>
      <c r="Q17" s="8">
        <f>-P17-Dashboard!$C$13-Dashboard!$C$14</f>
        <v>206877.16589518162</v>
      </c>
    </row>
    <row r="18" spans="1:17" x14ac:dyDescent="0.25">
      <c r="A18" s="5">
        <f>(18-2)/100</f>
        <v>0.16</v>
      </c>
      <c r="B18" s="5">
        <f>Dashboard!$C$10*EXP(-Dashboard!$C$12*A18)</f>
        <v>0.18910782717807928</v>
      </c>
      <c r="C18" s="5">
        <f>Dashboard!$C$17*A18</f>
        <v>128</v>
      </c>
      <c r="D18" s="5">
        <f>Dashboard!$C$15*(1-EXP(-Dashboard!$C$16*A18))</f>
        <v>6.1506922890691401E-2</v>
      </c>
      <c r="E18" s="5">
        <f>1/(1+EXP(MIN(700,MAX(-700,(C18-Dashboard!$C$18)/Dashboard!$C$19))))</f>
        <v>0.95771022815796625</v>
      </c>
      <c r="F18" s="5">
        <f t="shared" si="0"/>
        <v>5.8905809154938496E-2</v>
      </c>
      <c r="G18" s="8">
        <f>Dashboard!$C$9*B18*Dashboard!$C$11*(1-F18)</f>
        <v>355936.55520124454</v>
      </c>
      <c r="H18" s="8">
        <f>Dashboard!$C$20*A18^2</f>
        <v>204.8</v>
      </c>
      <c r="I18" s="8">
        <f t="shared" si="1"/>
        <v>356141.35520124453</v>
      </c>
      <c r="J18" s="8">
        <f>Dashboard!$C$13*A18</f>
        <v>3200</v>
      </c>
      <c r="K18" s="8">
        <f>Dashboard!$C$14*A18</f>
        <v>4800</v>
      </c>
      <c r="L18" s="8">
        <f>Dashboard!$C$21-K18</f>
        <v>1495200</v>
      </c>
      <c r="M18" s="8">
        <f t="shared" si="2"/>
        <v>1135858.6447987554</v>
      </c>
      <c r="N18" s="8">
        <f t="shared" si="3"/>
        <v>8000</v>
      </c>
      <c r="O18" s="8">
        <f>Dashboard!$C$15*(Dashboard!$C$16*EXP(-Dashboard!$C$16*A18)*E18-(1-EXP(-Dashboard!$C$16*A18))*Dashboard!$C$17/Dashboard!$C$19*E18*(1-E18))</f>
        <v>0.3503097023799403</v>
      </c>
      <c r="P18" s="8">
        <f>Dashboard!$C$9*B18*Dashboard!$C$11*(-Dashboard!$C$12*(1-F18)-O18)+2*Dashboard!$C$20*A18</f>
        <v>-254510.40763337584</v>
      </c>
      <c r="Q18" s="8">
        <f>-P18-Dashboard!$C$13-Dashboard!$C$14</f>
        <v>204510.40763337584</v>
      </c>
    </row>
    <row r="19" spans="1:17" x14ac:dyDescent="0.25">
      <c r="A19" s="5">
        <f>(19-2)/100</f>
        <v>0.17</v>
      </c>
      <c r="B19" s="5">
        <f>Dashboard!$C$10*EXP(-Dashboard!$C$12*A19)</f>
        <v>0.18844710671824605</v>
      </c>
      <c r="C19" s="5">
        <f>Dashboard!$C$17*A19</f>
        <v>136</v>
      </c>
      <c r="D19" s="5">
        <f>Dashboard!$C$15*(1-EXP(-Dashboard!$C$16*A19))</f>
        <v>6.5190172478834102E-2</v>
      </c>
      <c r="E19" s="5">
        <f>1/(1+EXP(MIN(700,MAX(-700,(C19-Dashboard!$C$18)/Dashboard!$C$19))))</f>
        <v>0.95716690243682057</v>
      </c>
      <c r="F19" s="5">
        <f t="shared" si="0"/>
        <v>6.2397875460887708E-2</v>
      </c>
      <c r="G19" s="8">
        <f>Dashboard!$C$9*B19*Dashboard!$C$11*(1-F19)</f>
        <v>353376.81524455262</v>
      </c>
      <c r="H19" s="8">
        <f>Dashboard!$C$20*A19^2</f>
        <v>231.20000000000005</v>
      </c>
      <c r="I19" s="8">
        <f t="shared" si="1"/>
        <v>353608.01524455263</v>
      </c>
      <c r="J19" s="8">
        <f>Dashboard!$C$13*A19</f>
        <v>3400.0000000000005</v>
      </c>
      <c r="K19" s="8">
        <f>Dashboard!$C$14*A19</f>
        <v>5100</v>
      </c>
      <c r="L19" s="8">
        <f>Dashboard!$C$21-K19</f>
        <v>1494900</v>
      </c>
      <c r="M19" s="8">
        <f t="shared" si="2"/>
        <v>1137891.9847554474</v>
      </c>
      <c r="N19" s="8">
        <f t="shared" si="3"/>
        <v>8500</v>
      </c>
      <c r="O19" s="8">
        <f>Dashboard!$C$15*(Dashboard!$C$16*EXP(-Dashboard!$C$16*A19)*E19-(1-EXP(-Dashboard!$C$16*A19))*Dashboard!$C$17/Dashboard!$C$19*E19*(1-E19))</f>
        <v>0.34810423086114928</v>
      </c>
      <c r="P19" s="8">
        <f>Dashboard!$C$9*B19*Dashboard!$C$11*(-Dashboard!$C$12*(1-F19)-O19)+2*Dashboard!$C$20*A19</f>
        <v>-252160.35561992132</v>
      </c>
      <c r="Q19" s="8">
        <f>-P19-Dashboard!$C$13-Dashboard!$C$14</f>
        <v>202160.35561992132</v>
      </c>
    </row>
    <row r="20" spans="1:17" x14ac:dyDescent="0.25">
      <c r="A20" s="5">
        <f>(20-2)/100</f>
        <v>0.18</v>
      </c>
      <c r="B20" s="5">
        <f>Dashboard!$C$10*EXP(-Dashboard!$C$12*A20)</f>
        <v>0.18778869473782667</v>
      </c>
      <c r="C20" s="5">
        <f>Dashboard!$C$17*A20</f>
        <v>144</v>
      </c>
      <c r="D20" s="5">
        <f>Dashboard!$C$15*(1-EXP(-Dashboard!$C$16*A20))</f>
        <v>6.8855051783017457E-2</v>
      </c>
      <c r="E20" s="5">
        <f>1/(1+EXP(MIN(700,MAX(-700,(C20-Dashboard!$C$18)/Dashboard!$C$19))))</f>
        <v>0.95661691244429536</v>
      </c>
      <c r="F20" s="5">
        <f t="shared" si="0"/>
        <v>6.5867907042862231E-2</v>
      </c>
      <c r="G20" s="8">
        <f>Dashboard!$C$9*B20*Dashboard!$C$11*(1-F20)</f>
        <v>350838.89289827016</v>
      </c>
      <c r="H20" s="8">
        <f>Dashboard!$C$20*A20^2</f>
        <v>259.2</v>
      </c>
      <c r="I20" s="8">
        <f t="shared" si="1"/>
        <v>351098.09289827017</v>
      </c>
      <c r="J20" s="8">
        <f>Dashboard!$C$13*A20</f>
        <v>3600</v>
      </c>
      <c r="K20" s="8">
        <f>Dashboard!$C$14*A20</f>
        <v>5400</v>
      </c>
      <c r="L20" s="8">
        <f>Dashboard!$C$21-K20</f>
        <v>1494600</v>
      </c>
      <c r="M20" s="8">
        <f t="shared" si="2"/>
        <v>1139901.9071017299</v>
      </c>
      <c r="N20" s="8">
        <f t="shared" si="3"/>
        <v>9000</v>
      </c>
      <c r="O20" s="8">
        <f>Dashboard!$C$15*(Dashboard!$C$16*EXP(-Dashboard!$C$16*A20)*E20-(1-EXP(-Dashboard!$C$16*A20))*Dashboard!$C$17/Dashboard!$C$19*E20*(1-E20))</f>
        <v>0.34590274055181841</v>
      </c>
      <c r="P20" s="8">
        <f>Dashboard!$C$9*B20*Dashboard!$C$11*(-Dashboard!$C$12*(1-F20)-O20)+2*Dashboard!$C$20*A20</f>
        <v>-249826.86082332072</v>
      </c>
      <c r="Q20" s="8">
        <f>-P20-Dashboard!$C$13-Dashboard!$C$14</f>
        <v>199826.86082332072</v>
      </c>
    </row>
    <row r="21" spans="1:17" x14ac:dyDescent="0.25">
      <c r="A21" s="5">
        <f>(21-2)/100</f>
        <v>0.19</v>
      </c>
      <c r="B21" s="5">
        <f>Dashboard!$C$10*EXP(-Dashboard!$C$12*A21)</f>
        <v>0.18713258317126616</v>
      </c>
      <c r="C21" s="5">
        <f>Dashboard!$C$17*A21</f>
        <v>152</v>
      </c>
      <c r="D21" s="5">
        <f>Dashboard!$C$15*(1-EXP(-Dashboard!$C$16*A21))</f>
        <v>7.250165242541487E-2</v>
      </c>
      <c r="E21" s="5">
        <f>1/(1+EXP(MIN(700,MAX(-700,(C21-Dashboard!$C$18)/Dashboard!$C$19))))</f>
        <v>0.95606018460385878</v>
      </c>
      <c r="F21" s="5">
        <f t="shared" si="0"/>
        <v>6.9315943201926952E-2</v>
      </c>
      <c r="G21" s="8">
        <f>Dashboard!$C$9*B21*Dashboard!$C$11*(1-F21)</f>
        <v>348322.6233298736</v>
      </c>
      <c r="H21" s="8">
        <f>Dashboard!$C$20*A21^2</f>
        <v>288.8</v>
      </c>
      <c r="I21" s="8">
        <f t="shared" si="1"/>
        <v>348611.42332987359</v>
      </c>
      <c r="J21" s="8">
        <f>Dashboard!$C$13*A21</f>
        <v>3800</v>
      </c>
      <c r="K21" s="8">
        <f>Dashboard!$C$14*A21</f>
        <v>5700</v>
      </c>
      <c r="L21" s="8">
        <f>Dashboard!$C$21-K21</f>
        <v>1494300</v>
      </c>
      <c r="M21" s="8">
        <f t="shared" si="2"/>
        <v>1141888.5766701265</v>
      </c>
      <c r="N21" s="8">
        <f t="shared" si="3"/>
        <v>9500</v>
      </c>
      <c r="O21" s="8">
        <f>Dashboard!$C$15*(Dashboard!$C$16*EXP(-Dashboard!$C$16*A21)*E21-(1-EXP(-Dashboard!$C$16*A21))*Dashboard!$C$17/Dashboard!$C$19*E21*(1-E21))</f>
        <v>0.34370512924284391</v>
      </c>
      <c r="P21" s="8">
        <f>Dashboard!$C$9*B21*Dashboard!$C$11*(-Dashboard!$C$12*(1-F21)-O21)+2*Dashboard!$C$20*A21</f>
        <v>-247509.77553431029</v>
      </c>
      <c r="Q21" s="8">
        <f>-P21-Dashboard!$C$13-Dashboard!$C$14</f>
        <v>197509.77553431029</v>
      </c>
    </row>
    <row r="22" spans="1:17" x14ac:dyDescent="0.25">
      <c r="A22" s="5">
        <f>(22-2)/100</f>
        <v>0.2</v>
      </c>
      <c r="B22" s="5">
        <f>Dashboard!$C$10*EXP(-Dashboard!$C$12*A22)</f>
        <v>0.18647876398118968</v>
      </c>
      <c r="C22" s="5">
        <f>Dashboard!$C$17*A22</f>
        <v>160</v>
      </c>
      <c r="D22" s="5">
        <f>Dashboard!$C$15*(1-EXP(-Dashboard!$C$16*A22))</f>
        <v>7.6130065571232391E-2</v>
      </c>
      <c r="E22" s="5">
        <f>1/(1+EXP(MIN(700,MAX(-700,(C22-Dashboard!$C$18)/Dashboard!$C$19))))</f>
        <v>0.95549664473771301</v>
      </c>
      <c r="F22" s="5">
        <f t="shared" si="0"/>
        <v>7.2742022216974636E-2</v>
      </c>
      <c r="G22" s="8">
        <f>Dashboard!$C$9*B22*Dashboard!$C$11*(1-F22)</f>
        <v>345827.84317735198</v>
      </c>
      <c r="H22" s="8">
        <f>Dashboard!$C$20*A22^2</f>
        <v>320.00000000000006</v>
      </c>
      <c r="I22" s="8">
        <f t="shared" si="1"/>
        <v>346147.84317735198</v>
      </c>
      <c r="J22" s="8">
        <f>Dashboard!$C$13*A22</f>
        <v>4000</v>
      </c>
      <c r="K22" s="8">
        <f>Dashboard!$C$14*A22</f>
        <v>6000</v>
      </c>
      <c r="L22" s="8">
        <f>Dashboard!$C$21-K22</f>
        <v>1494000</v>
      </c>
      <c r="M22" s="8">
        <f t="shared" si="2"/>
        <v>1143852.1568226479</v>
      </c>
      <c r="N22" s="8">
        <f t="shared" si="3"/>
        <v>10000</v>
      </c>
      <c r="O22" s="8">
        <f>Dashboard!$C$15*(Dashboard!$C$16*EXP(-Dashboard!$C$16*A22)*E22-(1-EXP(-Dashboard!$C$16*A22))*Dashboard!$C$17/Dashboard!$C$19*E22*(1-E22))</f>
        <v>0.34151129471030567</v>
      </c>
      <c r="P22" s="8">
        <f>Dashboard!$C$9*B22*Dashboard!$C$11*(-Dashboard!$C$12*(1-F22)-O22)+2*Dashboard!$C$20*A22</f>
        <v>-245208.95335846039</v>
      </c>
      <c r="Q22" s="8">
        <f>-P22-Dashboard!$C$13-Dashboard!$C$14</f>
        <v>195208.95335846039</v>
      </c>
    </row>
    <row r="23" spans="1:17" x14ac:dyDescent="0.25">
      <c r="A23" s="5">
        <f>(23-2)/100</f>
        <v>0.21</v>
      </c>
      <c r="B23" s="5">
        <f>Dashboard!$C$10*EXP(-Dashboard!$C$12*A23)</f>
        <v>0.18582722915830385</v>
      </c>
      <c r="C23" s="5">
        <f>Dashboard!$C$17*A23</f>
        <v>168</v>
      </c>
      <c r="D23" s="5">
        <f>Dashboard!$C$15*(1-EXP(-Dashboard!$C$16*A23))</f>
        <v>7.9740381930987522E-2</v>
      </c>
      <c r="E23" s="5">
        <f>1/(1+EXP(MIN(700,MAX(-700,(C23-Dashboard!$C$18)/Dashboard!$C$19))))</f>
        <v>0.95492621806755995</v>
      </c>
      <c r="F23" s="5">
        <f t="shared" si="0"/>
        <v>7.6146181344620714E-2</v>
      </c>
      <c r="G23" s="8">
        <f>Dashboard!$C$9*B23*Dashboard!$C$11*(1-F23)</f>
        <v>343354.39053609449</v>
      </c>
      <c r="H23" s="8">
        <f>Dashboard!$C$20*A23^2</f>
        <v>352.79999999999995</v>
      </c>
      <c r="I23" s="8">
        <f t="shared" si="1"/>
        <v>343707.19053609448</v>
      </c>
      <c r="J23" s="8">
        <f>Dashboard!$C$13*A23</f>
        <v>4200</v>
      </c>
      <c r="K23" s="8">
        <f>Dashboard!$C$14*A23</f>
        <v>6300</v>
      </c>
      <c r="L23" s="8">
        <f>Dashboard!$C$21-K23</f>
        <v>1493700</v>
      </c>
      <c r="M23" s="8">
        <f t="shared" si="2"/>
        <v>1145792.8094639056</v>
      </c>
      <c r="N23" s="8">
        <f t="shared" si="3"/>
        <v>10500</v>
      </c>
      <c r="O23" s="8">
        <f>Dashboard!$C$15*(Dashboard!$C$16*EXP(-Dashboard!$C$16*A23)*E23-(1-EXP(-Dashboard!$C$16*A23))*Dashboard!$C$17/Dashboard!$C$19*E23*(1-E23))</f>
        <v>0.3393211347241597</v>
      </c>
      <c r="P23" s="8">
        <f>Dashboard!$C$9*B23*Dashboard!$C$11*(-Dashboard!$C$12*(1-F23)-O23)+2*Dashboard!$C$20*A23</f>
        <v>-242924.24920891732</v>
      </c>
      <c r="Q23" s="8">
        <f>-P23-Dashboard!$C$13-Dashboard!$C$14</f>
        <v>192924.24920891732</v>
      </c>
    </row>
    <row r="24" spans="1:17" x14ac:dyDescent="0.25">
      <c r="A24" s="5">
        <f>(24-2)/100</f>
        <v>0.22</v>
      </c>
      <c r="B24" s="5">
        <f>Dashboard!$C$10*EXP(-Dashboard!$C$12*A24)</f>
        <v>0.18517797072129907</v>
      </c>
      <c r="C24" s="5">
        <f>Dashboard!$C$17*A24</f>
        <v>176</v>
      </c>
      <c r="D24" s="5">
        <f>Dashboard!$C$15*(1-EXP(-Dashboard!$C$16*A24))</f>
        <v>8.3332691762777425E-2</v>
      </c>
      <c r="E24" s="5">
        <f>1/(1+EXP(MIN(700,MAX(-700,(C24-Dashboard!$C$18)/Dashboard!$C$19))))</f>
        <v>0.95434882921555619</v>
      </c>
      <c r="F24" s="5">
        <f t="shared" si="0"/>
        <v>7.9528456819187465E-2</v>
      </c>
      <c r="G24" s="8">
        <f>Dashboard!$C$9*B24*Dashboard!$C$11*(1-F24)</f>
        <v>340902.10494585097</v>
      </c>
      <c r="H24" s="8">
        <f>Dashboard!$C$20*A24^2</f>
        <v>387.2</v>
      </c>
      <c r="I24" s="8">
        <f t="shared" si="1"/>
        <v>341289.30494585098</v>
      </c>
      <c r="J24" s="8">
        <f>Dashboard!$C$13*A24</f>
        <v>4400</v>
      </c>
      <c r="K24" s="8">
        <f>Dashboard!$C$14*A24</f>
        <v>6600</v>
      </c>
      <c r="L24" s="8">
        <f>Dashboard!$C$21-K24</f>
        <v>1493400</v>
      </c>
      <c r="M24" s="8">
        <f t="shared" si="2"/>
        <v>1147710.695054149</v>
      </c>
      <c r="N24" s="8">
        <f t="shared" si="3"/>
        <v>11000</v>
      </c>
      <c r="O24" s="8">
        <f>Dashboard!$C$15*(Dashboard!$C$16*EXP(-Dashboard!$C$16*A24)*E24-(1-EXP(-Dashboard!$C$16*A24))*Dashboard!$C$17/Dashboard!$C$19*E24*(1-E24))</f>
        <v>0.33713454705732748</v>
      </c>
      <c r="P24" s="8">
        <f>Dashboard!$C$9*B24*Dashboard!$C$11*(-Dashboard!$C$12*(1-F24)-O24)+2*Dashboard!$C$20*A24</f>
        <v>-240655.51929928825</v>
      </c>
      <c r="Q24" s="8">
        <f>-P24-Dashboard!$C$13-Dashboard!$C$14</f>
        <v>190655.51929928825</v>
      </c>
    </row>
    <row r="25" spans="1:17" x14ac:dyDescent="0.25">
      <c r="A25" s="5">
        <f>(25-2)/100</f>
        <v>0.23</v>
      </c>
      <c r="B25" s="5">
        <f>Dashboard!$C$10*EXP(-Dashboard!$C$12*A25)</f>
        <v>0.18453098071675134</v>
      </c>
      <c r="C25" s="5">
        <f>Dashboard!$C$17*A25</f>
        <v>184</v>
      </c>
      <c r="D25" s="5">
        <f>Dashboard!$C$15*(1-EXP(-Dashboard!$C$16*A25))</f>
        <v>8.690708487453494E-2</v>
      </c>
      <c r="E25" s="5">
        <f>1/(1+EXP(MIN(700,MAX(-700,(C25-Dashboard!$C$18)/Dashboard!$C$19))))</f>
        <v>0.95376440220546521</v>
      </c>
      <c r="F25" s="5">
        <f t="shared" si="0"/>
        <v>8.288888385278044E-2</v>
      </c>
      <c r="G25" s="8">
        <f>Dashboard!$C$9*B25*Dashboard!$C$11*(1-F25)</f>
        <v>338470.82737776171</v>
      </c>
      <c r="H25" s="8">
        <f>Dashboard!$C$20*A25^2</f>
        <v>423.20000000000005</v>
      </c>
      <c r="I25" s="8">
        <f t="shared" si="1"/>
        <v>338894.02737776173</v>
      </c>
      <c r="J25" s="8">
        <f>Dashboard!$C$13*A25</f>
        <v>4600</v>
      </c>
      <c r="K25" s="8">
        <f>Dashboard!$C$14*A25</f>
        <v>6900</v>
      </c>
      <c r="L25" s="8">
        <f>Dashboard!$C$21-K25</f>
        <v>1493100</v>
      </c>
      <c r="M25" s="8">
        <f t="shared" si="2"/>
        <v>1149605.9726222383</v>
      </c>
      <c r="N25" s="8">
        <f t="shared" si="3"/>
        <v>11500</v>
      </c>
      <c r="O25" s="8">
        <f>Dashboard!$C$15*(Dashboard!$C$16*EXP(-Dashboard!$C$16*A25)*E25-(1-EXP(-Dashboard!$C$16*A25))*Dashboard!$C$17/Dashboard!$C$19*E25*(1-E25))</f>
        <v>0.33495142949518913</v>
      </c>
      <c r="P25" s="8">
        <f>Dashboard!$C$9*B25*Dashboard!$C$11*(-Dashboard!$C$12*(1-F25)-O25)+2*Dashboard!$C$20*A25</f>
        <v>-238402.62113666668</v>
      </c>
      <c r="Q25" s="8">
        <f>-P25-Dashboard!$C$13-Dashboard!$C$14</f>
        <v>188402.62113666668</v>
      </c>
    </row>
    <row r="26" spans="1:17" x14ac:dyDescent="0.25">
      <c r="A26" s="5">
        <f>(26-2)/100</f>
        <v>0.24</v>
      </c>
      <c r="B26" s="5">
        <f>Dashboard!$C$10*EXP(-Dashboard!$C$12*A26)</f>
        <v>0.18388625121902494</v>
      </c>
      <c r="C26" s="5">
        <f>Dashboard!$C$17*A26</f>
        <v>192</v>
      </c>
      <c r="D26" s="5">
        <f>Dashboard!$C$15*(1-EXP(-Dashboard!$C$16*A26))</f>
        <v>9.0463650626274025E-2</v>
      </c>
      <c r="E26" s="5">
        <f>1/(1+EXP(MIN(700,MAX(-700,(C26-Dashboard!$C$18)/Dashboard!$C$19))))</f>
        <v>0.95317286046400984</v>
      </c>
      <c r="F26" s="5">
        <f t="shared" si="0"/>
        <v>8.6227496635462433E-2</v>
      </c>
      <c r="G26" s="8">
        <f>Dashboard!$C$9*B26*Dashboard!$C$11*(1-F26)</f>
        <v>336060.4002214573</v>
      </c>
      <c r="H26" s="8">
        <f>Dashboard!$C$20*A26^2</f>
        <v>460.8</v>
      </c>
      <c r="I26" s="8">
        <f t="shared" si="1"/>
        <v>336521.20022145729</v>
      </c>
      <c r="J26" s="8">
        <f>Dashboard!$C$13*A26</f>
        <v>4800</v>
      </c>
      <c r="K26" s="8">
        <f>Dashboard!$C$14*A26</f>
        <v>7200</v>
      </c>
      <c r="L26" s="8">
        <f>Dashboard!$C$21-K26</f>
        <v>1492800</v>
      </c>
      <c r="M26" s="8">
        <f t="shared" si="2"/>
        <v>1151478.7997785427</v>
      </c>
      <c r="N26" s="8">
        <f t="shared" si="3"/>
        <v>12000</v>
      </c>
      <c r="O26" s="8">
        <f>Dashboard!$C$15*(Dashboard!$C$16*EXP(-Dashboard!$C$16*A26)*E26-(1-EXP(-Dashboard!$C$16*A26))*Dashboard!$C$17/Dashboard!$C$19*E26*(1-E26))</f>
        <v>0.33277167984548889</v>
      </c>
      <c r="P26" s="8">
        <f>Dashboard!$C$9*B26*Dashboard!$C$11*(-Dashboard!$C$12*(1-F26)-O26)+2*Dashboard!$C$20*A26</f>
        <v>-236165.41351479909</v>
      </c>
      <c r="Q26" s="8">
        <f>-P26-Dashboard!$C$13-Dashboard!$C$14</f>
        <v>186165.41351479909</v>
      </c>
    </row>
    <row r="27" spans="1:17" x14ac:dyDescent="0.25">
      <c r="A27" s="5">
        <f>(27-2)/100</f>
        <v>0.25</v>
      </c>
      <c r="B27" s="5">
        <f>Dashboard!$C$10*EXP(-Dashboard!$C$12*A27)</f>
        <v>0.18324377433017555</v>
      </c>
      <c r="C27" s="5">
        <f>Dashboard!$C$17*A27</f>
        <v>200</v>
      </c>
      <c r="D27" s="5">
        <f>Dashboard!$C$15*(1-EXP(-Dashboard!$C$16*A27))</f>
        <v>9.4002477932323636E-2</v>
      </c>
      <c r="E27" s="5">
        <f>1/(1+EXP(MIN(700,MAX(-700,(C27-Dashboard!$C$18)/Dashboard!$C$19))))</f>
        <v>0.95257412682243336</v>
      </c>
      <c r="F27" s="5">
        <f t="shared" si="0"/>
        <v>8.954432833552825E-2</v>
      </c>
      <c r="G27" s="8">
        <f>Dashboard!$C$9*B27*Dashboard!$C$11*(1-F27)</f>
        <v>333670.66727222578</v>
      </c>
      <c r="H27" s="8">
        <f>Dashboard!$C$20*A27^2</f>
        <v>500</v>
      </c>
      <c r="I27" s="8">
        <f t="shared" si="1"/>
        <v>334170.66727222578</v>
      </c>
      <c r="J27" s="8">
        <f>Dashboard!$C$13*A27</f>
        <v>5000</v>
      </c>
      <c r="K27" s="8">
        <f>Dashboard!$C$14*A27</f>
        <v>7500</v>
      </c>
      <c r="L27" s="8">
        <f>Dashboard!$C$21-K27</f>
        <v>1492500</v>
      </c>
      <c r="M27" s="8">
        <f t="shared" si="2"/>
        <v>1153329.3327277743</v>
      </c>
      <c r="N27" s="8">
        <f t="shared" si="3"/>
        <v>12500</v>
      </c>
      <c r="O27" s="8">
        <f>Dashboard!$C$15*(Dashboard!$C$16*EXP(-Dashboard!$C$16*A27)*E27-(1-EXP(-Dashboard!$C$16*A27))*Dashboard!$C$17/Dashboard!$C$19*E27*(1-E27))</f>
        <v>0.33059519594866105</v>
      </c>
      <c r="P27" s="8">
        <f>Dashboard!$C$9*B27*Dashboard!$C$11*(-Dashboard!$C$12*(1-F27)-O27)+2*Dashboard!$C$20*A27</f>
        <v>-233943.75650739222</v>
      </c>
      <c r="Q27" s="8">
        <f>-P27-Dashboard!$C$13-Dashboard!$C$14</f>
        <v>183943.75650739222</v>
      </c>
    </row>
    <row r="28" spans="1:17" x14ac:dyDescent="0.25">
      <c r="A28" s="5">
        <f>(28-2)/100</f>
        <v>0.26</v>
      </c>
      <c r="B28" s="5">
        <f>Dashboard!$C$10*EXP(-Dashboard!$C$12*A28)</f>
        <v>0.18260354217985317</v>
      </c>
      <c r="C28" s="5">
        <f>Dashboard!$C$17*A28</f>
        <v>208</v>
      </c>
      <c r="D28" s="5">
        <f>Dashboard!$C$15*(1-EXP(-Dashboard!$C$16*A28))</f>
        <v>9.752365526355096E-2</v>
      </c>
      <c r="E28" s="5">
        <f>1/(1+EXP(MIN(700,MAX(-700,(C28-Dashboard!$C$18)/Dashboard!$C$19))))</f>
        <v>0.95196812351827154</v>
      </c>
      <c r="F28" s="5">
        <f t="shared" si="0"/>
        <v>9.2839411099885416E-2</v>
      </c>
      <c r="G28" s="8">
        <f>Dashboard!$C$9*B28*Dashboard!$C$11*(1-F28)</f>
        <v>331301.47371824505</v>
      </c>
      <c r="H28" s="8">
        <f>Dashboard!$C$20*A28^2</f>
        <v>540.80000000000007</v>
      </c>
      <c r="I28" s="8">
        <f t="shared" si="1"/>
        <v>331842.27371824504</v>
      </c>
      <c r="J28" s="8">
        <f>Dashboard!$C$13*A28</f>
        <v>5200</v>
      </c>
      <c r="K28" s="8">
        <f>Dashboard!$C$14*A28</f>
        <v>7800</v>
      </c>
      <c r="L28" s="8">
        <f>Dashboard!$C$21-K28</f>
        <v>1492200</v>
      </c>
      <c r="M28" s="8">
        <f t="shared" si="2"/>
        <v>1155157.7262817549</v>
      </c>
      <c r="N28" s="8">
        <f t="shared" si="3"/>
        <v>13000</v>
      </c>
      <c r="O28" s="8">
        <f>Dashboard!$C$15*(Dashboard!$C$16*EXP(-Dashboard!$C$16*A28)*E28-(1-EXP(-Dashboard!$C$16*A28))*Dashboard!$C$17/Dashboard!$C$19*E28*(1-E28))</f>
        <v>0.32842187568858444</v>
      </c>
      <c r="P28" s="8">
        <f>Dashboard!$C$9*B28*Dashboard!$C$11*(-Dashboard!$C$12*(1-F28)-O28)+2*Dashboard!$C$20*A28</f>
        <v>-231737.51146155962</v>
      </c>
      <c r="Q28" s="8">
        <f>-P28-Dashboard!$C$13-Dashboard!$C$14</f>
        <v>181737.51146155962</v>
      </c>
    </row>
    <row r="29" spans="1:17" x14ac:dyDescent="0.25">
      <c r="A29" s="5">
        <f>(29-2)/100</f>
        <v>0.27</v>
      </c>
      <c r="B29" s="5">
        <f>Dashboard!$C$10*EXP(-Dashboard!$C$12*A29)</f>
        <v>0.181965546925206</v>
      </c>
      <c r="C29" s="5">
        <f>Dashboard!$C$17*A29</f>
        <v>216</v>
      </c>
      <c r="D29" s="5">
        <f>Dashboard!$C$15*(1-EXP(-Dashboard!$C$16*A29))</f>
        <v>0.10102727064957247</v>
      </c>
      <c r="E29" s="5">
        <f>1/(1+EXP(MIN(700,MAX(-700,(C29-Dashboard!$C$18)/Dashboard!$C$19))))</f>
        <v>0.95135477219734477</v>
      </c>
      <c r="F29" s="5">
        <f t="shared" si="0"/>
        <v>9.6112776054543506E-2</v>
      </c>
      <c r="G29" s="8">
        <f>Dashboard!$C$9*B29*Dashboard!$C$11*(1-F29)</f>
        <v>328952.66612788232</v>
      </c>
      <c r="H29" s="8">
        <f>Dashboard!$C$20*A29^2</f>
        <v>583.20000000000005</v>
      </c>
      <c r="I29" s="8">
        <f t="shared" si="1"/>
        <v>329535.86612788233</v>
      </c>
      <c r="J29" s="8">
        <f>Dashboard!$C$13*A29</f>
        <v>5400</v>
      </c>
      <c r="K29" s="8">
        <f>Dashboard!$C$14*A29</f>
        <v>8100.0000000000009</v>
      </c>
      <c r="L29" s="8">
        <f>Dashboard!$C$21-K29</f>
        <v>1491900</v>
      </c>
      <c r="M29" s="8">
        <f t="shared" si="2"/>
        <v>1156964.1338721176</v>
      </c>
      <c r="N29" s="8">
        <f t="shared" si="3"/>
        <v>13500</v>
      </c>
      <c r="O29" s="8">
        <f>Dashboard!$C$15*(Dashboard!$C$16*EXP(-Dashboard!$C$16*A29)*E29-(1-EXP(-Dashboard!$C$16*A29))*Dashboard!$C$17/Dashboard!$C$19*E29*(1-E29))</f>
        <v>0.32625161700377436</v>
      </c>
      <c r="P29" s="8">
        <f>Dashboard!$C$9*B29*Dashboard!$C$11*(-Dashboard!$C$12*(1-F29)-O29)+2*Dashboard!$C$20*A29</f>
        <v>-229546.54099140808</v>
      </c>
      <c r="Q29" s="8">
        <f>-P29-Dashboard!$C$13-Dashboard!$C$14</f>
        <v>179546.54099140808</v>
      </c>
    </row>
    <row r="30" spans="1:17" x14ac:dyDescent="0.25">
      <c r="A30" s="5">
        <f>(30-2)/100</f>
        <v>0.28000000000000003</v>
      </c>
      <c r="B30" s="5">
        <f>Dashboard!$C$10*EXP(-Dashboard!$C$12*A30)</f>
        <v>0.18132978075078421</v>
      </c>
      <c r="C30" s="5">
        <f>Dashboard!$C$17*A30</f>
        <v>224.00000000000003</v>
      </c>
      <c r="D30" s="5">
        <f>Dashboard!$C$15*(1-EXP(-Dashboard!$C$16*A30))</f>
        <v>0.10451341168095532</v>
      </c>
      <c r="E30" s="5">
        <f>1/(1+EXP(MIN(700,MAX(-700,(C30-Dashboard!$C$18)/Dashboard!$C$19))))</f>
        <v>0.95073399391597324</v>
      </c>
      <c r="F30" s="5">
        <f t="shared" si="0"/>
        <v>9.936445330521898E-2</v>
      </c>
      <c r="G30" s="8">
        <f>Dashboard!$C$9*B30*Dashboard!$C$11*(1-F30)</f>
        <v>326624.09243705467</v>
      </c>
      <c r="H30" s="8">
        <f>Dashboard!$C$20*A30^2</f>
        <v>627.20000000000005</v>
      </c>
      <c r="I30" s="8">
        <f t="shared" si="1"/>
        <v>327251.29243705468</v>
      </c>
      <c r="J30" s="8">
        <f>Dashboard!$C$13*A30</f>
        <v>5600.0000000000009</v>
      </c>
      <c r="K30" s="8">
        <f>Dashboard!$C$14*A30</f>
        <v>8400</v>
      </c>
      <c r="L30" s="8">
        <f>Dashboard!$C$21-K30</f>
        <v>1491600</v>
      </c>
      <c r="M30" s="8">
        <f t="shared" si="2"/>
        <v>1158748.7075629453</v>
      </c>
      <c r="N30" s="8">
        <f t="shared" si="3"/>
        <v>14000</v>
      </c>
      <c r="O30" s="8">
        <f>Dashboard!$C$15*(Dashboard!$C$16*EXP(-Dashboard!$C$16*A30)*E30-(1-EXP(-Dashboard!$C$16*A30))*Dashboard!$C$17/Dashboard!$C$19*E30*(1-E30))</f>
        <v>0.32408431789901865</v>
      </c>
      <c r="P30" s="8">
        <f>Dashboard!$C$9*B30*Dashboard!$C$11*(-Dashboard!$C$12*(1-F30)-O30)+2*Dashboard!$C$20*A30</f>
        <v>-227370.7089717621</v>
      </c>
      <c r="Q30" s="8">
        <f>-P30-Dashboard!$C$13-Dashboard!$C$14</f>
        <v>177370.7089717621</v>
      </c>
    </row>
    <row r="31" spans="1:17" x14ac:dyDescent="0.25">
      <c r="A31" s="5">
        <f>(31-2)/100</f>
        <v>0.28999999999999998</v>
      </c>
      <c r="B31" s="5">
        <f>Dashboard!$C$10*EXP(-Dashboard!$C$12*A31)</f>
        <v>0.18069623586844416</v>
      </c>
      <c r="C31" s="5">
        <f>Dashboard!$C$17*A31</f>
        <v>231.99999999999997</v>
      </c>
      <c r="D31" s="5">
        <f>Dashboard!$C$15*(1-EXP(-Dashboard!$C$16*A31))</f>
        <v>0.10798216551140696</v>
      </c>
      <c r="E31" s="5">
        <f>1/(1+EXP(MIN(700,MAX(-700,(C31-Dashboard!$C$18)/Dashboard!$C$19))))</f>
        <v>0.95010570914342296</v>
      </c>
      <c r="F31" s="5">
        <f t="shared" si="0"/>
        <v>0.10259447193805778</v>
      </c>
      <c r="G31" s="8">
        <f>Dashboard!$C$9*B31*Dashboard!$C$11*(1-F31)</f>
        <v>324315.60193665279</v>
      </c>
      <c r="H31" s="8">
        <f>Dashboard!$C$20*A31^2</f>
        <v>672.8</v>
      </c>
      <c r="I31" s="8">
        <f t="shared" si="1"/>
        <v>324988.40193665278</v>
      </c>
      <c r="J31" s="8">
        <f>Dashboard!$C$13*A31</f>
        <v>5800</v>
      </c>
      <c r="K31" s="8">
        <f>Dashboard!$C$14*A31</f>
        <v>8700</v>
      </c>
      <c r="L31" s="8">
        <f>Dashboard!$C$21-K31</f>
        <v>1491300</v>
      </c>
      <c r="M31" s="8">
        <f t="shared" si="2"/>
        <v>1160511.5980633472</v>
      </c>
      <c r="N31" s="8">
        <f t="shared" si="3"/>
        <v>14500</v>
      </c>
      <c r="O31" s="8">
        <f>Dashboard!$C$15*(Dashboard!$C$16*EXP(-Dashboard!$C$16*A31)*E31-(1-EXP(-Dashboard!$C$16*A31))*Dashboard!$C$17/Dashboard!$C$19*E31*(1-E31))</f>
        <v>0.32191987645746778</v>
      </c>
      <c r="P31" s="8">
        <f>Dashboard!$C$9*B31*Dashboard!$C$11*(-Dashboard!$C$12*(1-F31)-O31)+2*Dashboard!$C$20*A31</f>
        <v>-225209.88053202649</v>
      </c>
      <c r="Q31" s="8">
        <f>-P31-Dashboard!$C$13-Dashboard!$C$14</f>
        <v>175209.88053202649</v>
      </c>
    </row>
    <row r="32" spans="1:17" x14ac:dyDescent="0.25">
      <c r="A32" s="5">
        <f>(32-2)/100</f>
        <v>0.3</v>
      </c>
      <c r="B32" s="5">
        <f>Dashboard!$C$10*EXP(-Dashboard!$C$12*A32)</f>
        <v>0.18006490451725313</v>
      </c>
      <c r="C32" s="5">
        <f>Dashboard!$C$17*A32</f>
        <v>240</v>
      </c>
      <c r="D32" s="5">
        <f>Dashboard!$C$15*(1-EXP(-Dashboard!$C$16*A32))</f>
        <v>0.11143361885995376</v>
      </c>
      <c r="E32" s="5">
        <f>1/(1+EXP(MIN(700,MAX(-700,(C32-Dashboard!$C$18)/Dashboard!$C$19))))</f>
        <v>0.94946983776458649</v>
      </c>
      <c r="F32" s="5">
        <f t="shared" si="0"/>
        <v>0.10580286002048106</v>
      </c>
      <c r="G32" s="8">
        <f>Dashboard!$C$9*B32*Dashboard!$C$11*(1-F32)</f>
        <v>322027.04526002583</v>
      </c>
      <c r="H32" s="8">
        <f>Dashboard!$C$20*A32^2</f>
        <v>720</v>
      </c>
      <c r="I32" s="8">
        <f t="shared" si="1"/>
        <v>322747.04526002583</v>
      </c>
      <c r="J32" s="8">
        <f>Dashboard!$C$13*A32</f>
        <v>6000</v>
      </c>
      <c r="K32" s="8">
        <f>Dashboard!$C$14*A32</f>
        <v>9000</v>
      </c>
      <c r="L32" s="8">
        <f>Dashboard!$C$21-K32</f>
        <v>1491000</v>
      </c>
      <c r="M32" s="8">
        <f t="shared" si="2"/>
        <v>1162252.9547399741</v>
      </c>
      <c r="N32" s="8">
        <f t="shared" si="3"/>
        <v>15000</v>
      </c>
      <c r="O32" s="8">
        <f>Dashboard!$C$15*(Dashboard!$C$16*EXP(-Dashboard!$C$16*A32)*E32-(1-EXP(-Dashboard!$C$16*A32))*Dashboard!$C$17/Dashboard!$C$19*E32*(1-E32))</f>
        <v>0.31975819085318657</v>
      </c>
      <c r="P32" s="8">
        <f>Dashboard!$C$9*B32*Dashboard!$C$11*(-Dashboard!$C$12*(1-F32)-O32)+2*Dashboard!$C$20*A32</f>
        <v>-223063.92205018635</v>
      </c>
      <c r="Q32" s="8">
        <f>-P32-Dashboard!$C$13-Dashboard!$C$14</f>
        <v>173063.92205018635</v>
      </c>
    </row>
    <row r="33" spans="1:17" x14ac:dyDescent="0.25">
      <c r="A33" s="5">
        <f>(33-2)/100</f>
        <v>0.31</v>
      </c>
      <c r="B33" s="5">
        <f>Dashboard!$C$10*EXP(-Dashboard!$C$12*A33)</f>
        <v>0.17943577896339422</v>
      </c>
      <c r="C33" s="5">
        <f>Dashboard!$C$17*A33</f>
        <v>248</v>
      </c>
      <c r="D33" s="5">
        <f>Dashboard!$C$15*(1-EXP(-Dashboard!$C$16*A33))</f>
        <v>0.1148678580131092</v>
      </c>
      <c r="E33" s="5">
        <f>1/(1+EXP(MIN(700,MAX(-700,(C33-Dashboard!$C$18)/Dashboard!$C$19))))</f>
        <v>0.94882629908290839</v>
      </c>
      <c r="F33" s="5">
        <f t="shared" si="0"/>
        <v>0.1089896446021594</v>
      </c>
      <c r="G33" s="8">
        <f>Dashboard!$C$9*B33*Dashboard!$C$11*(1-F33)</f>
        <v>319758.27437052451</v>
      </c>
      <c r="H33" s="8">
        <f>Dashboard!$C$20*A33^2</f>
        <v>768.80000000000007</v>
      </c>
      <c r="I33" s="8">
        <f t="shared" si="1"/>
        <v>320527.0743705245</v>
      </c>
      <c r="J33" s="8">
        <f>Dashboard!$C$13*A33</f>
        <v>6200</v>
      </c>
      <c r="K33" s="8">
        <f>Dashboard!$C$14*A33</f>
        <v>9300</v>
      </c>
      <c r="L33" s="8">
        <f>Dashboard!$C$21-K33</f>
        <v>1490700</v>
      </c>
      <c r="M33" s="8">
        <f t="shared" si="2"/>
        <v>1163972.9256294756</v>
      </c>
      <c r="N33" s="8">
        <f t="shared" si="3"/>
        <v>15500</v>
      </c>
      <c r="O33" s="8">
        <f>Dashboard!$C$15*(Dashboard!$C$16*EXP(-Dashboard!$C$16*A33)*E33-(1-EXP(-Dashboard!$C$16*A33))*Dashboard!$C$17/Dashboard!$C$19*E33*(1-E33))</f>
        <v>0.31759915936417565</v>
      </c>
      <c r="P33" s="8">
        <f>Dashboard!$C$9*B33*Dashboard!$C$11*(-Dashboard!$C$12*(1-F33)-O33)+2*Dashboard!$C$20*A33</f>
        <v>-220932.70114694367</v>
      </c>
      <c r="Q33" s="8">
        <f>-P33-Dashboard!$C$13-Dashboard!$C$14</f>
        <v>170932.70114694367</v>
      </c>
    </row>
    <row r="34" spans="1:17" x14ac:dyDescent="0.25">
      <c r="A34" s="5">
        <f>(34-2)/100</f>
        <v>0.32</v>
      </c>
      <c r="B34" s="5">
        <f>Dashboard!$C$10*EXP(-Dashboard!$C$12*A34)</f>
        <v>0.17880885150007148</v>
      </c>
      <c r="C34" s="5">
        <f>Dashboard!$C$17*A34</f>
        <v>256</v>
      </c>
      <c r="D34" s="5">
        <f>Dashboard!$C$15*(1-EXP(-Dashboard!$C$16*A34))</f>
        <v>0.11828496882703093</v>
      </c>
      <c r="E34" s="5">
        <f>1/(1+EXP(MIN(700,MAX(-700,(C34-Dashboard!$C$18)/Dashboard!$C$19))))</f>
        <v>0.9481750118235559</v>
      </c>
      <c r="F34" s="5">
        <f t="shared" ref="F34:F65" si="4">D34*E34</f>
        <v>0.112154851716119</v>
      </c>
      <c r="G34" s="8">
        <f>Dashboard!$C$9*B34*Dashboard!$C$11*(1-F34)</f>
        <v>317509.14254910278</v>
      </c>
      <c r="H34" s="8">
        <f>Dashboard!$C$20*A34^2</f>
        <v>819.2</v>
      </c>
      <c r="I34" s="8">
        <f t="shared" ref="I34:I65" si="5">G34+H34</f>
        <v>318328.34254910279</v>
      </c>
      <c r="J34" s="8">
        <f>Dashboard!$C$13*A34</f>
        <v>6400</v>
      </c>
      <c r="K34" s="8">
        <f>Dashboard!$C$14*A34</f>
        <v>9600</v>
      </c>
      <c r="L34" s="8">
        <f>Dashboard!$C$21-K34</f>
        <v>1490400</v>
      </c>
      <c r="M34" s="8">
        <f t="shared" ref="M34:M65" si="6">L34-I34-J34</f>
        <v>1165671.6574508972</v>
      </c>
      <c r="N34" s="8">
        <f t="shared" ref="N34:N65" si="7">J34+K34</f>
        <v>16000</v>
      </c>
      <c r="O34" s="8">
        <f>Dashboard!$C$15*(Dashboard!$C$16*EXP(-Dashboard!$C$16*A34)*E34-(1-EXP(-Dashboard!$C$16*A34))*Dashboard!$C$17/Dashboard!$C$19*E34*(1-E34))</f>
        <v>0.31544268038587125</v>
      </c>
      <c r="P34" s="8">
        <f>Dashboard!$C$9*B34*Dashboard!$C$11*(-Dashboard!$C$12*(1-F34)-O34)+2*Dashboard!$C$20*A34</f>
        <v>-218816.08667998947</v>
      </c>
      <c r="Q34" s="8">
        <f>-P34-Dashboard!$C$13-Dashboard!$C$14</f>
        <v>168816.08667998947</v>
      </c>
    </row>
    <row r="35" spans="1:17" x14ac:dyDescent="0.25">
      <c r="A35" s="5">
        <f>(35-2)/100</f>
        <v>0.33</v>
      </c>
      <c r="B35" s="5">
        <f>Dashboard!$C$10*EXP(-Dashboard!$C$12*A35)</f>
        <v>0.17818411444741564</v>
      </c>
      <c r="C35" s="5">
        <f>Dashboard!$C$17*A35</f>
        <v>264</v>
      </c>
      <c r="D35" s="5">
        <f>Dashboard!$C$15*(1-EXP(-Dashboard!$C$16*A35))</f>
        <v>0.12168503672966731</v>
      </c>
      <c r="E35" s="5">
        <f>1/(1+EXP(MIN(700,MAX(-700,(C35-Dashboard!$C$18)/Dashboard!$C$19))))</f>
        <v>0.94751589413684689</v>
      </c>
      <c r="F35" s="5">
        <f t="shared" si="4"/>
        <v>0.11529850637998577</v>
      </c>
      <c r="G35" s="8">
        <f>Dashboard!$C$9*B35*Dashboard!$C$11*(1-F35)</f>
        <v>315279.50438197632</v>
      </c>
      <c r="H35" s="8">
        <f>Dashboard!$C$20*A35^2</f>
        <v>871.2</v>
      </c>
      <c r="I35" s="8">
        <f t="shared" si="5"/>
        <v>316150.70438197633</v>
      </c>
      <c r="J35" s="8">
        <f>Dashboard!$C$13*A35</f>
        <v>6600</v>
      </c>
      <c r="K35" s="8">
        <f>Dashboard!$C$14*A35</f>
        <v>9900</v>
      </c>
      <c r="L35" s="8">
        <f>Dashboard!$C$21-K35</f>
        <v>1490100</v>
      </c>
      <c r="M35" s="8">
        <f t="shared" si="6"/>
        <v>1167349.2956180237</v>
      </c>
      <c r="N35" s="8">
        <f t="shared" si="7"/>
        <v>16500</v>
      </c>
      <c r="O35" s="8">
        <f>Dashboard!$C$15*(Dashboard!$C$16*EXP(-Dashboard!$C$16*A35)*E35-(1-EXP(-Dashboard!$C$16*A35))*Dashboard!$C$17/Dashboard!$C$19*E35*(1-E35))</f>
        <v>0.31328865244513171</v>
      </c>
      <c r="P35" s="8">
        <f>Dashboard!$C$9*B35*Dashboard!$C$11*(-Dashboard!$C$12*(1-F35)-O35)+2*Dashboard!$C$20*A35</f>
        <v>-216713.94873841165</v>
      </c>
      <c r="Q35" s="8">
        <f>-P35-Dashboard!$C$13-Dashboard!$C$14</f>
        <v>166713.94873841165</v>
      </c>
    </row>
    <row r="36" spans="1:17" x14ac:dyDescent="0.25">
      <c r="A36" s="5">
        <f>(36-2)/100</f>
        <v>0.34</v>
      </c>
      <c r="B36" s="5">
        <f>Dashboard!$C$10*EXP(-Dashboard!$C$12*A36)</f>
        <v>0.17756156015239002</v>
      </c>
      <c r="C36" s="5">
        <f>Dashboard!$C$17*A36</f>
        <v>272</v>
      </c>
      <c r="D36" s="5">
        <f>Dashboard!$C$15*(1-EXP(-Dashboard!$C$16*A36))</f>
        <v>0.12506814672289304</v>
      </c>
      <c r="E36" s="5">
        <f>1/(1+EXP(MIN(700,MAX(-700,(C36-Dashboard!$C$18)/Dashboard!$C$19))))</f>
        <v>0.94684886360193621</v>
      </c>
      <c r="F36" s="5">
        <f t="shared" si="4"/>
        <v>0.1184206325973715</v>
      </c>
      <c r="G36" s="8">
        <f>Dashboard!$C$9*B36*Dashboard!$C$11*(1-F36)</f>
        <v>313069.21574833553</v>
      </c>
      <c r="H36" s="8">
        <f>Dashboard!$C$20*A36^2</f>
        <v>924.80000000000018</v>
      </c>
      <c r="I36" s="8">
        <f t="shared" si="5"/>
        <v>313994.01574833551</v>
      </c>
      <c r="J36" s="8">
        <f>Dashboard!$C$13*A36</f>
        <v>6800.0000000000009</v>
      </c>
      <c r="K36" s="8">
        <f>Dashboard!$C$14*A36</f>
        <v>10200</v>
      </c>
      <c r="L36" s="8">
        <f>Dashboard!$C$21-K36</f>
        <v>1489800</v>
      </c>
      <c r="M36" s="8">
        <f t="shared" si="6"/>
        <v>1169005.9842516645</v>
      </c>
      <c r="N36" s="8">
        <f t="shared" si="7"/>
        <v>17000</v>
      </c>
      <c r="O36" s="8">
        <f>Dashboard!$C$15*(Dashboard!$C$16*EXP(-Dashboard!$C$16*A36)*E36-(1-EXP(-Dashboard!$C$16*A36))*Dashboard!$C$17/Dashboard!$C$19*E36*(1-E36))</f>
        <v>0.31113697421471825</v>
      </c>
      <c r="P36" s="8">
        <f>Dashboard!$C$9*B36*Dashboard!$C$11*(-Dashboard!$C$12*(1-F36)-O36)+2*Dashboard!$C$20*A36</f>
        <v>-214626.15863723605</v>
      </c>
      <c r="Q36" s="8">
        <f>-P36-Dashboard!$C$13-Dashboard!$C$14</f>
        <v>164626.15863723605</v>
      </c>
    </row>
    <row r="37" spans="1:17" x14ac:dyDescent="0.25">
      <c r="A37" s="5">
        <f>(37-2)/100</f>
        <v>0.35</v>
      </c>
      <c r="B37" s="5">
        <f>Dashboard!$C$10*EXP(-Dashboard!$C$12*A37)</f>
        <v>0.17694118098869671</v>
      </c>
      <c r="C37" s="5">
        <f>Dashboard!$C$17*A37</f>
        <v>280</v>
      </c>
      <c r="D37" s="5">
        <f>Dashboard!$C$15*(1-EXP(-Dashboard!$C$16*A37))</f>
        <v>0.12843438338463412</v>
      </c>
      <c r="E37" s="5">
        <f>1/(1+EXP(MIN(700,MAX(-700,(C37-Dashboard!$C$18)/Dashboard!$C$19))))</f>
        <v>0.94617383723077042</v>
      </c>
      <c r="F37" s="5">
        <f t="shared" si="4"/>
        <v>0.12152125335940717</v>
      </c>
      <c r="G37" s="8">
        <f>Dashboard!$C$9*B37*Dashboard!$C$11*(1-F37)</f>
        <v>310878.13380811317</v>
      </c>
      <c r="H37" s="8">
        <f>Dashboard!$C$20*A37^2</f>
        <v>979.99999999999989</v>
      </c>
      <c r="I37" s="8">
        <f t="shared" si="5"/>
        <v>311858.13380811317</v>
      </c>
      <c r="J37" s="8">
        <f>Dashboard!$C$13*A37</f>
        <v>7000</v>
      </c>
      <c r="K37" s="8">
        <f>Dashboard!$C$14*A37</f>
        <v>10500</v>
      </c>
      <c r="L37" s="8">
        <f>Dashboard!$C$21-K37</f>
        <v>1489500</v>
      </c>
      <c r="M37" s="8">
        <f t="shared" si="6"/>
        <v>1170641.8661918868</v>
      </c>
      <c r="N37" s="8">
        <f t="shared" si="7"/>
        <v>17500</v>
      </c>
      <c r="O37" s="8">
        <f>Dashboard!$C$15*(Dashboard!$C$16*EXP(-Dashboard!$C$16*A37)*E37-(1-EXP(-Dashboard!$C$16*A37))*Dashboard!$C$17/Dashboard!$C$19*E37*(1-E37))</f>
        <v>0.30898754452827898</v>
      </c>
      <c r="P37" s="8">
        <f>Dashboard!$C$9*B37*Dashboard!$C$11*(-Dashboard!$C$12*(1-F37)-O37)+2*Dashboard!$C$20*A37</f>
        <v>-212552.58891210199</v>
      </c>
      <c r="Q37" s="8">
        <f>-P37-Dashboard!$C$13-Dashboard!$C$14</f>
        <v>162552.58891210199</v>
      </c>
    </row>
    <row r="38" spans="1:17" x14ac:dyDescent="0.25">
      <c r="A38" s="5">
        <f>(38-2)/100</f>
        <v>0.36</v>
      </c>
      <c r="B38" s="5">
        <f>Dashboard!$C$10*EXP(-Dashboard!$C$12*A38)</f>
        <v>0.17632296935668323</v>
      </c>
      <c r="C38" s="5">
        <f>Dashboard!$C$17*A38</f>
        <v>288</v>
      </c>
      <c r="D38" s="5">
        <f>Dashboard!$C$15*(1-EXP(-Dashboard!$C$16*A38))</f>
        <v>0.13178383087098242</v>
      </c>
      <c r="E38" s="5">
        <f>1/(1+EXP(MIN(700,MAX(-700,(C38-Dashboard!$C$18)/Dashboard!$C$19))))</f>
        <v>0.94549073147231566</v>
      </c>
      <c r="F38" s="5">
        <f t="shared" si="4"/>
        <v>0.1246003906464291</v>
      </c>
      <c r="G38" s="8">
        <f>Dashboard!$C$9*B38*Dashboard!$C$11*(1-F38)</f>
        <v>308706.11698980432</v>
      </c>
      <c r="H38" s="8">
        <f>Dashboard!$C$20*A38^2</f>
        <v>1036.8</v>
      </c>
      <c r="I38" s="8">
        <f t="shared" si="5"/>
        <v>309742.9169898043</v>
      </c>
      <c r="J38" s="8">
        <f>Dashboard!$C$13*A38</f>
        <v>7200</v>
      </c>
      <c r="K38" s="8">
        <f>Dashboard!$C$14*A38</f>
        <v>10800</v>
      </c>
      <c r="L38" s="8">
        <f>Dashboard!$C$21-K38</f>
        <v>1489200</v>
      </c>
      <c r="M38" s="8">
        <f t="shared" si="6"/>
        <v>1172257.0830101958</v>
      </c>
      <c r="N38" s="8">
        <f t="shared" si="7"/>
        <v>18000</v>
      </c>
      <c r="O38" s="8">
        <f>Dashboard!$C$15*(Dashboard!$C$16*EXP(-Dashboard!$C$16*A38)*E38-(1-EXP(-Dashboard!$C$16*A38))*Dashboard!$C$17/Dashboard!$C$19*E38*(1-E38))</f>
        <v>0.30684026239584433</v>
      </c>
      <c r="P38" s="8">
        <f>Dashboard!$C$9*B38*Dashboard!$C$11*(-Dashboard!$C$12*(1-F38)-O38)+2*Dashboard!$C$20*A38</f>
        <v>-210493.11331406969</v>
      </c>
      <c r="Q38" s="8">
        <f>-P38-Dashboard!$C$13-Dashboard!$C$14</f>
        <v>160493.11331406969</v>
      </c>
    </row>
    <row r="39" spans="1:17" x14ac:dyDescent="0.25">
      <c r="A39" s="5">
        <f>(39-2)/100</f>
        <v>0.37</v>
      </c>
      <c r="B39" s="5">
        <f>Dashboard!$C$10*EXP(-Dashboard!$C$12*A39)</f>
        <v>0.17570691768324931</v>
      </c>
      <c r="C39" s="5">
        <f>Dashboard!$C$17*A39</f>
        <v>296</v>
      </c>
      <c r="D39" s="5">
        <f>Dashboard!$C$15*(1-EXP(-Dashboard!$C$16*A39))</f>
        <v>0.13511657291829948</v>
      </c>
      <c r="E39" s="5">
        <f>1/(1+EXP(MIN(700,MAX(-700,(C39-Dashboard!$C$18)/Dashboard!$C$19))))</f>
        <v>0.94479946221706568</v>
      </c>
      <c r="F39" s="5">
        <f t="shared" si="4"/>
        <v>0.1276580654298223</v>
      </c>
      <c r="G39" s="8">
        <f>Dashboard!$C$9*B39*Dashboard!$C$11*(1-F39)</f>
        <v>306553.02497833734</v>
      </c>
      <c r="H39" s="8">
        <f>Dashboard!$C$20*A39^2</f>
        <v>1095.2</v>
      </c>
      <c r="I39" s="8">
        <f t="shared" si="5"/>
        <v>307648.22497833736</v>
      </c>
      <c r="J39" s="8">
        <f>Dashboard!$C$13*A39</f>
        <v>7400</v>
      </c>
      <c r="K39" s="8">
        <f>Dashboard!$C$14*A39</f>
        <v>11100</v>
      </c>
      <c r="L39" s="8">
        <f>Dashboard!$C$21-K39</f>
        <v>1488900</v>
      </c>
      <c r="M39" s="8">
        <f t="shared" si="6"/>
        <v>1173851.7750216627</v>
      </c>
      <c r="N39" s="8">
        <f t="shared" si="7"/>
        <v>18500</v>
      </c>
      <c r="O39" s="8">
        <f>Dashboard!$C$15*(Dashboard!$C$16*EXP(-Dashboard!$C$16*A39)*E39-(1-EXP(-Dashboard!$C$16*A39))*Dashboard!$C$17/Dashboard!$C$19*E39*(1-E39))</f>
        <v>0.30469502701984152</v>
      </c>
      <c r="P39" s="8">
        <f>Dashboard!$C$9*B39*Dashboard!$C$11*(-Dashboard!$C$12*(1-F39)-O39)+2*Dashboard!$C$20*A39</f>
        <v>-208447.6068045595</v>
      </c>
      <c r="Q39" s="8">
        <f>-P39-Dashboard!$C$13-Dashboard!$C$14</f>
        <v>158447.6068045595</v>
      </c>
    </row>
    <row r="40" spans="1:17" x14ac:dyDescent="0.25">
      <c r="A40" s="5">
        <f>(40-2)/100</f>
        <v>0.38</v>
      </c>
      <c r="B40" s="5">
        <f>Dashboard!$C$10*EXP(-Dashboard!$C$12*A40)</f>
        <v>0.17509301842175423</v>
      </c>
      <c r="C40" s="5">
        <f>Dashboard!$C$17*A40</f>
        <v>304</v>
      </c>
      <c r="D40" s="5">
        <f>Dashboard!$C$15*(1-EXP(-Dashboard!$C$16*A40))</f>
        <v>0.13843269284531018</v>
      </c>
      <c r="E40" s="5">
        <f>1/(1+EXP(MIN(700,MAX(-700,(C40-Dashboard!$C$18)/Dashboard!$C$19))))</f>
        <v>0.94409994480183568</v>
      </c>
      <c r="F40" s="5">
        <f t="shared" si="4"/>
        <v>0.13069429767402682</v>
      </c>
      <c r="G40" s="8">
        <f>Dashboard!$C$9*B40*Dashboard!$C$11*(1-F40)</f>
        <v>304418.71870299528</v>
      </c>
      <c r="H40" s="8">
        <f>Dashboard!$C$20*A40^2</f>
        <v>1155.2</v>
      </c>
      <c r="I40" s="8">
        <f t="shared" si="5"/>
        <v>305573.91870299529</v>
      </c>
      <c r="J40" s="8">
        <f>Dashboard!$C$13*A40</f>
        <v>7600</v>
      </c>
      <c r="K40" s="8">
        <f>Dashboard!$C$14*A40</f>
        <v>11400</v>
      </c>
      <c r="L40" s="8">
        <f>Dashboard!$C$21-K40</f>
        <v>1488600</v>
      </c>
      <c r="M40" s="8">
        <f t="shared" si="6"/>
        <v>1175426.0812970046</v>
      </c>
      <c r="N40" s="8">
        <f t="shared" si="7"/>
        <v>19000</v>
      </c>
      <c r="O40" s="8">
        <f>Dashboard!$C$15*(Dashboard!$C$16*EXP(-Dashboard!$C$16*A40)*E40-(1-EXP(-Dashboard!$C$16*A40))*Dashboard!$C$17/Dashboard!$C$19*E40*(1-E40))</f>
        <v>0.30255173781163636</v>
      </c>
      <c r="P40" s="8">
        <f>Dashboard!$C$9*B40*Dashboard!$C$11*(-Dashboard!$C$12*(1-F40)-O40)+2*Dashboard!$C$20*A40</f>
        <v>-206415.94555042154</v>
      </c>
      <c r="Q40" s="8">
        <f>-P40-Dashboard!$C$13-Dashboard!$C$14</f>
        <v>156415.94555042154</v>
      </c>
    </row>
    <row r="41" spans="1:17" x14ac:dyDescent="0.25">
      <c r="A41" s="5">
        <f>(41-2)/100</f>
        <v>0.39</v>
      </c>
      <c r="B41" s="5">
        <f>Dashboard!$C$10*EXP(-Dashboard!$C$12*A41)</f>
        <v>0.17448126405192443</v>
      </c>
      <c r="C41" s="5">
        <f>Dashboard!$C$17*A41</f>
        <v>312</v>
      </c>
      <c r="D41" s="5">
        <f>Dashboard!$C$15*(1-EXP(-Dashboard!$C$16*A41))</f>
        <v>0.14173227355518528</v>
      </c>
      <c r="E41" s="5">
        <f>1/(1+EXP(MIN(700,MAX(-700,(C41-Dashboard!$C$18)/Dashboard!$C$19))))</f>
        <v>0.94339209401485069</v>
      </c>
      <c r="F41" s="5">
        <f t="shared" si="4"/>
        <v>0.13370910633871189</v>
      </c>
      <c r="G41" s="8">
        <f>Dashboard!$C$9*B41*Dashboard!$C$11*(1-F41)</f>
        <v>302303.0603253856</v>
      </c>
      <c r="H41" s="8">
        <f>Dashboard!$C$20*A41^2</f>
        <v>1216.8000000000002</v>
      </c>
      <c r="I41" s="8">
        <f t="shared" si="5"/>
        <v>303519.86032538558</v>
      </c>
      <c r="J41" s="8">
        <f>Dashboard!$C$13*A41</f>
        <v>7800</v>
      </c>
      <c r="K41" s="8">
        <f>Dashboard!$C$14*A41</f>
        <v>11700</v>
      </c>
      <c r="L41" s="8">
        <f>Dashboard!$C$21-K41</f>
        <v>1488300</v>
      </c>
      <c r="M41" s="8">
        <f t="shared" si="6"/>
        <v>1176980.1396746144</v>
      </c>
      <c r="N41" s="8">
        <f t="shared" si="7"/>
        <v>19500</v>
      </c>
      <c r="O41" s="8">
        <f>Dashboard!$C$15*(Dashboard!$C$16*EXP(-Dashboard!$C$16*A41)*E41-(1-EXP(-Dashboard!$C$16*A41))*Dashboard!$C$17/Dashboard!$C$19*E41*(1-E41))</f>
        <v>0.30041029440861089</v>
      </c>
      <c r="P41" s="8">
        <f>Dashboard!$C$9*B41*Dashboard!$C$11*(-Dashboard!$C$12*(1-F41)-O41)+2*Dashboard!$C$20*A41</f>
        <v>-204398.00691913537</v>
      </c>
      <c r="Q41" s="8">
        <f>-P41-Dashboard!$C$13-Dashboard!$C$14</f>
        <v>154398.00691913537</v>
      </c>
    </row>
    <row r="42" spans="1:17" x14ac:dyDescent="0.25">
      <c r="A42" s="5">
        <f>(42-2)/100</f>
        <v>0.4</v>
      </c>
      <c r="B42" s="5">
        <f>Dashboard!$C$10*EXP(-Dashboard!$C$12*A42)</f>
        <v>0.17387164707976119</v>
      </c>
      <c r="C42" s="5">
        <f>Dashboard!$C$17*A42</f>
        <v>320</v>
      </c>
      <c r="D42" s="5">
        <f>Dashboard!$C$15*(1-EXP(-Dashboard!$C$16*A42))</f>
        <v>0.14501539753761455</v>
      </c>
      <c r="E42" s="5">
        <f>1/(1+EXP(MIN(700,MAX(-700,(C42-Dashboard!$C$18)/Dashboard!$C$19))))</f>
        <v>0.94267582410113127</v>
      </c>
      <c r="F42" s="5">
        <f t="shared" si="4"/>
        <v>0.13670250938112397</v>
      </c>
      <c r="G42" s="8">
        <f>Dashboard!$C$9*B42*Dashboard!$C$11*(1-F42)</f>
        <v>300205.91322745732</v>
      </c>
      <c r="H42" s="8">
        <f>Dashboard!$C$20*A42^2</f>
        <v>1280.0000000000002</v>
      </c>
      <c r="I42" s="8">
        <f t="shared" si="5"/>
        <v>301485.91322745732</v>
      </c>
      <c r="J42" s="8">
        <f>Dashboard!$C$13*A42</f>
        <v>8000</v>
      </c>
      <c r="K42" s="8">
        <f>Dashboard!$C$14*A42</f>
        <v>12000</v>
      </c>
      <c r="L42" s="8">
        <f>Dashboard!$C$21-K42</f>
        <v>1488000</v>
      </c>
      <c r="M42" s="8">
        <f t="shared" si="6"/>
        <v>1178514.0867725427</v>
      </c>
      <c r="N42" s="8">
        <f t="shared" si="7"/>
        <v>20000</v>
      </c>
      <c r="O42" s="8">
        <f>Dashboard!$C$15*(Dashboard!$C$16*EXP(-Dashboard!$C$16*A42)*E42-(1-EXP(-Dashboard!$C$16*A42))*Dashboard!$C$17/Dashboard!$C$19*E42*(1-E42))</f>
        <v>0.29827059669178346</v>
      </c>
      <c r="P42" s="8">
        <f>Dashboard!$C$9*B42*Dashboard!$C$11*(-Dashboard!$C$12*(1-F42)-O42)+2*Dashboard!$C$20*A42</f>
        <v>-202393.66947413719</v>
      </c>
      <c r="Q42" s="8">
        <f>-P42-Dashboard!$C$13-Dashboard!$C$14</f>
        <v>152393.66947413719</v>
      </c>
    </row>
    <row r="43" spans="1:17" x14ac:dyDescent="0.25">
      <c r="A43" s="5">
        <f>(43-2)/100</f>
        <v>0.41</v>
      </c>
      <c r="B43" s="5">
        <f>Dashboard!$C$10*EXP(-Dashboard!$C$12*A43)</f>
        <v>0.17326416003744893</v>
      </c>
      <c r="C43" s="5">
        <f>Dashboard!$C$17*A43</f>
        <v>328</v>
      </c>
      <c r="D43" s="5">
        <f>Dashboard!$C$15*(1-EXP(-Dashboard!$C$16*A43))</f>
        <v>0.14828214687086838</v>
      </c>
      <c r="E43" s="5">
        <f>1/(1+EXP(MIN(700,MAX(-700,(C43-Dashboard!$C$18)/Dashboard!$C$19))))</f>
        <v>0.94195104876818947</v>
      </c>
      <c r="F43" s="5">
        <f t="shared" si="4"/>
        <v>0.13967452375861317</v>
      </c>
      <c r="G43" s="8">
        <f>Dashboard!$C$9*B43*Dashboard!$C$11*(1-F43)</f>
        <v>298127.14199956419</v>
      </c>
      <c r="H43" s="8">
        <f>Dashboard!$C$20*A43^2</f>
        <v>1344.7999999999997</v>
      </c>
      <c r="I43" s="8">
        <f t="shared" si="5"/>
        <v>299471.94199956418</v>
      </c>
      <c r="J43" s="8">
        <f>Dashboard!$C$13*A43</f>
        <v>8200</v>
      </c>
      <c r="K43" s="8">
        <f>Dashboard!$C$14*A43</f>
        <v>12300</v>
      </c>
      <c r="L43" s="8">
        <f>Dashboard!$C$21-K43</f>
        <v>1487700</v>
      </c>
      <c r="M43" s="8">
        <f t="shared" si="6"/>
        <v>1180028.0580004358</v>
      </c>
      <c r="N43" s="8">
        <f t="shared" si="7"/>
        <v>20500</v>
      </c>
      <c r="O43" s="8">
        <f>Dashboard!$C$15*(Dashboard!$C$16*EXP(-Dashboard!$C$16*A43)*E43-(1-EXP(-Dashboard!$C$16*A43))*Dashboard!$C$17/Dashboard!$C$19*E43*(1-E43))</f>
        <v>0.29613254480398243</v>
      </c>
      <c r="P43" s="8">
        <f>Dashboard!$C$9*B43*Dashboard!$C$11*(-Dashboard!$C$12*(1-F43)-O43)+2*Dashboard!$C$20*A43</f>
        <v>-200402.81297027593</v>
      </c>
      <c r="Q43" s="8">
        <f>-P43-Dashboard!$C$13-Dashboard!$C$14</f>
        <v>150402.81297027593</v>
      </c>
    </row>
    <row r="44" spans="1:17" x14ac:dyDescent="0.25">
      <c r="A44" s="5">
        <f>(44-2)/100</f>
        <v>0.42</v>
      </c>
      <c r="B44" s="5">
        <f>Dashboard!$C$10*EXP(-Dashboard!$C$12*A44)</f>
        <v>0.1726587954832639</v>
      </c>
      <c r="C44" s="5">
        <f>Dashboard!$C$17*A44</f>
        <v>336</v>
      </c>
      <c r="D44" s="5">
        <f>Dashboard!$C$15*(1-EXP(-Dashboard!$C$16*A44))</f>
        <v>0.15153260322385034</v>
      </c>
      <c r="E44" s="5">
        <f>1/(1+EXP(MIN(700,MAX(-700,(C44-Dashboard!$C$18)/Dashboard!$C$19))))</f>
        <v>0.94121768119203386</v>
      </c>
      <c r="F44" s="5">
        <f t="shared" si="4"/>
        <v>0.14262516543134493</v>
      </c>
      <c r="G44" s="8">
        <f>Dashboard!$C$9*B44*Dashboard!$C$11*(1-F44)</f>
        <v>296066.61242857325</v>
      </c>
      <c r="H44" s="8">
        <f>Dashboard!$C$20*A44^2</f>
        <v>1411.1999999999998</v>
      </c>
      <c r="I44" s="8">
        <f t="shared" si="5"/>
        <v>297477.81242857326</v>
      </c>
      <c r="J44" s="8">
        <f>Dashboard!$C$13*A44</f>
        <v>8400</v>
      </c>
      <c r="K44" s="8">
        <f>Dashboard!$C$14*A44</f>
        <v>12600</v>
      </c>
      <c r="L44" s="8">
        <f>Dashboard!$C$21-K44</f>
        <v>1487400</v>
      </c>
      <c r="M44" s="8">
        <f t="shared" si="6"/>
        <v>1181522.1875714269</v>
      </c>
      <c r="N44" s="8">
        <f t="shared" si="7"/>
        <v>21000</v>
      </c>
      <c r="O44" s="8">
        <f>Dashboard!$C$15*(Dashboard!$C$16*EXP(-Dashboard!$C$16*A44)*E44-(1-EXP(-Dashboard!$C$16*A44))*Dashboard!$C$17/Dashboard!$C$19*E44*(1-E44))</f>
        <v>0.29399603916857542</v>
      </c>
      <c r="P44" s="8">
        <f>Dashboard!$C$9*B44*Dashboard!$C$11*(-Dashboard!$C$12*(1-F44)-O44)+2*Dashboard!$C$20*A44</f>
        <v>-198425.31834939402</v>
      </c>
      <c r="Q44" s="8">
        <f>-P44-Dashboard!$C$13-Dashboard!$C$14</f>
        <v>148425.31834939402</v>
      </c>
    </row>
    <row r="45" spans="1:17" x14ac:dyDescent="0.25">
      <c r="A45" s="5">
        <f>(45-2)/100</f>
        <v>0.43</v>
      </c>
      <c r="B45" s="5">
        <f>Dashboard!$C$10*EXP(-Dashboard!$C$12*A45)</f>
        <v>0.17205554600148265</v>
      </c>
      <c r="C45" s="5">
        <f>Dashboard!$C$17*A45</f>
        <v>344</v>
      </c>
      <c r="D45" s="5">
        <f>Dashboard!$C$15*(1-EXP(-Dashboard!$C$16*A45))</f>
        <v>0.15476684785813852</v>
      </c>
      <c r="E45" s="5">
        <f>1/(1+EXP(MIN(700,MAX(-700,(C45-Dashboard!$C$18)/Dashboard!$C$19))))</f>
        <v>0.94047563402349843</v>
      </c>
      <c r="F45" s="5">
        <f t="shared" si="4"/>
        <v>0.14555444936520115</v>
      </c>
      <c r="G45" s="8">
        <f>Dashboard!$C$9*B45*Dashboard!$C$11*(1-F45)</f>
        <v>294024.19148601562</v>
      </c>
      <c r="H45" s="8">
        <f>Dashboard!$C$20*A45^2</f>
        <v>1479.1999999999998</v>
      </c>
      <c r="I45" s="8">
        <f t="shared" si="5"/>
        <v>295503.39148601564</v>
      </c>
      <c r="J45" s="8">
        <f>Dashboard!$C$13*A45</f>
        <v>8600</v>
      </c>
      <c r="K45" s="8">
        <f>Dashboard!$C$14*A45</f>
        <v>12900</v>
      </c>
      <c r="L45" s="8">
        <f>Dashboard!$C$21-K45</f>
        <v>1487100</v>
      </c>
      <c r="M45" s="8">
        <f t="shared" si="6"/>
        <v>1182996.6085139844</v>
      </c>
      <c r="N45" s="8">
        <f t="shared" si="7"/>
        <v>21500</v>
      </c>
      <c r="O45" s="8">
        <f>Dashboard!$C$15*(Dashboard!$C$16*EXP(-Dashboard!$C$16*A45)*E45-(1-EXP(-Dashboard!$C$16*A45))*Dashboard!$C$17/Dashboard!$C$19*E45*(1-E45))</f>
        <v>0.29186098050876896</v>
      </c>
      <c r="P45" s="8">
        <f>Dashboard!$C$9*B45*Dashboard!$C$11*(-Dashboard!$C$12*(1-F45)-O45)+2*Dashboard!$C$20*A45</f>
        <v>-196461.06773603411</v>
      </c>
      <c r="Q45" s="8">
        <f>-P45-Dashboard!$C$13-Dashboard!$C$14</f>
        <v>146461.06773603411</v>
      </c>
    </row>
    <row r="46" spans="1:17" x14ac:dyDescent="0.25">
      <c r="A46" s="5">
        <f>(46-2)/100</f>
        <v>0.44</v>
      </c>
      <c r="B46" s="5">
        <f>Dashboard!$C$10*EXP(-Dashboard!$C$12*A46)</f>
        <v>0.17145440420229152</v>
      </c>
      <c r="C46" s="5">
        <f>Dashboard!$C$17*A46</f>
        <v>352</v>
      </c>
      <c r="D46" s="5">
        <f>Dashboard!$C$15*(1-EXP(-Dashboard!$C$16*A46))</f>
        <v>0.15798496163001721</v>
      </c>
      <c r="E46" s="5">
        <f>1/(1+EXP(MIN(700,MAX(-700,(C46-Dashboard!$C$18)/Dashboard!$C$19))))</f>
        <v>0.93972481939489627</v>
      </c>
      <c r="F46" s="5">
        <f t="shared" si="4"/>
        <v>0.14846238953487753</v>
      </c>
      <c r="G46" s="8">
        <f>Dashboard!$C$9*B46*Dashboard!$C$11*(1-F46)</f>
        <v>291999.74731628114</v>
      </c>
      <c r="H46" s="8">
        <f>Dashboard!$C$20*A46^2</f>
        <v>1548.8</v>
      </c>
      <c r="I46" s="8">
        <f t="shared" si="5"/>
        <v>293548.54731628112</v>
      </c>
      <c r="J46" s="8">
        <f>Dashboard!$C$13*A46</f>
        <v>8800</v>
      </c>
      <c r="K46" s="8">
        <f>Dashboard!$C$14*A46</f>
        <v>13200</v>
      </c>
      <c r="L46" s="8">
        <f>Dashboard!$C$21-K46</f>
        <v>1486800</v>
      </c>
      <c r="M46" s="8">
        <f t="shared" si="6"/>
        <v>1184451.4526837189</v>
      </c>
      <c r="N46" s="8">
        <f t="shared" si="7"/>
        <v>22000</v>
      </c>
      <c r="O46" s="8">
        <f>Dashboard!$C$15*(Dashboard!$C$16*EXP(-Dashboard!$C$16*A46)*E46-(1-EXP(-Dashboard!$C$16*A46))*Dashboard!$C$17/Dashboard!$C$19*E46*(1-E46))</f>
        <v>0.28972726986747971</v>
      </c>
      <c r="P46" s="8">
        <f>Dashboard!$C$9*B46*Dashboard!$C$11*(-Dashboard!$C$12*(1-F46)-O46)+2*Dashboard!$C$20*A46</f>
        <v>-194509.94443326892</v>
      </c>
      <c r="Q46" s="8">
        <f>-P46-Dashboard!$C$13-Dashboard!$C$14</f>
        <v>144509.94443326892</v>
      </c>
    </row>
    <row r="47" spans="1:17" x14ac:dyDescent="0.25">
      <c r="A47" s="5">
        <f>(47-2)/100</f>
        <v>0.45</v>
      </c>
      <c r="B47" s="5">
        <f>Dashboard!$C$10*EXP(-Dashboard!$C$12*A47)</f>
        <v>0.17085536272169591</v>
      </c>
      <c r="C47" s="5">
        <f>Dashboard!$C$17*A47</f>
        <v>360</v>
      </c>
      <c r="D47" s="5">
        <f>Dashboard!$C$15*(1-EXP(-Dashboard!$C$16*A47))</f>
        <v>0.16118702499249837</v>
      </c>
      <c r="E47" s="5">
        <f>1/(1+EXP(MIN(700,MAX(-700,(C47-Dashboard!$C$18)/Dashboard!$C$19))))</f>
        <v>0.938965148927008</v>
      </c>
      <c r="F47" s="5">
        <f t="shared" si="4"/>
        <v>0.15134899892718259</v>
      </c>
      <c r="G47" s="8">
        <f>Dashboard!$C$9*B47*Dashboard!$C$11*(1-F47)</f>
        <v>289993.14922485314</v>
      </c>
      <c r="H47" s="8">
        <f>Dashboard!$C$20*A47^2</f>
        <v>1620</v>
      </c>
      <c r="I47" s="8">
        <f t="shared" si="5"/>
        <v>291613.14922485314</v>
      </c>
      <c r="J47" s="8">
        <f>Dashboard!$C$13*A47</f>
        <v>9000</v>
      </c>
      <c r="K47" s="8">
        <f>Dashboard!$C$14*A47</f>
        <v>13500</v>
      </c>
      <c r="L47" s="8">
        <f>Dashboard!$C$21-K47</f>
        <v>1486500</v>
      </c>
      <c r="M47" s="8">
        <f t="shared" si="6"/>
        <v>1185886.8507751469</v>
      </c>
      <c r="N47" s="8">
        <f t="shared" si="7"/>
        <v>22500</v>
      </c>
      <c r="O47" s="8">
        <f>Dashboard!$C$15*(Dashboard!$C$16*EXP(-Dashboard!$C$16*A47)*E47-(1-EXP(-Dashboard!$C$16*A47))*Dashboard!$C$17/Dashboard!$C$19*E47*(1-E47))</f>
        <v>0.28759480862778924</v>
      </c>
      <c r="P47" s="8">
        <f>Dashboard!$C$9*B47*Dashboard!$C$11*(-Dashboard!$C$12*(1-F47)-O47)+2*Dashboard!$C$20*A47</f>
        <v>-192571.83291865388</v>
      </c>
      <c r="Q47" s="8">
        <f>-P47-Dashboard!$C$13-Dashboard!$C$14</f>
        <v>142571.83291865388</v>
      </c>
    </row>
    <row r="48" spans="1:17" x14ac:dyDescent="0.25">
      <c r="A48" s="5">
        <f>(48-2)/100</f>
        <v>0.46</v>
      </c>
      <c r="B48" s="5">
        <f>Dashboard!$C$10*EXP(-Dashboard!$C$12*A48)</f>
        <v>0.17025841422143023</v>
      </c>
      <c r="C48" s="5">
        <f>Dashboard!$C$17*A48</f>
        <v>368</v>
      </c>
      <c r="D48" s="5">
        <f>Dashboard!$C$15*(1-EXP(-Dashboard!$C$16*A48))</f>
        <v>0.16437311799733278</v>
      </c>
      <c r="E48" s="5">
        <f>1/(1+EXP(MIN(700,MAX(-700,(C48-Dashboard!$C$18)/Dashboard!$C$19))))</f>
        <v>0.93819653373641143</v>
      </c>
      <c r="F48" s="5">
        <f t="shared" si="4"/>
        <v>0.15421428954454378</v>
      </c>
      <c r="G48" s="8">
        <f>Dashboard!$C$9*B48*Dashboard!$C$11*(1-F48)</f>
        <v>288004.26766658347</v>
      </c>
      <c r="H48" s="8">
        <f>Dashboard!$C$20*A48^2</f>
        <v>1692.8000000000002</v>
      </c>
      <c r="I48" s="8">
        <f t="shared" si="5"/>
        <v>289697.06766658346</v>
      </c>
      <c r="J48" s="8">
        <f>Dashboard!$C$13*A48</f>
        <v>9200</v>
      </c>
      <c r="K48" s="8">
        <f>Dashboard!$C$14*A48</f>
        <v>13800</v>
      </c>
      <c r="L48" s="8">
        <f>Dashboard!$C$21-K48</f>
        <v>1486200</v>
      </c>
      <c r="M48" s="8">
        <f t="shared" si="6"/>
        <v>1187302.9323334165</v>
      </c>
      <c r="N48" s="8">
        <f t="shared" si="7"/>
        <v>23000</v>
      </c>
      <c r="O48" s="8">
        <f>Dashboard!$C$15*(Dashboard!$C$16*EXP(-Dashboard!$C$16*A48)*E48-(1-EXP(-Dashboard!$C$16*A48))*Dashboard!$C$17/Dashboard!$C$19*E48*(1-E48))</f>
        <v>0.28546349853398673</v>
      </c>
      <c r="P48" s="8">
        <f>Dashboard!$C$9*B48*Dashboard!$C$11*(-Dashboard!$C$12*(1-F48)-O48)+2*Dashboard!$C$20*A48</f>
        <v>-190646.61884030057</v>
      </c>
      <c r="Q48" s="8">
        <f>-P48-Dashboard!$C$13-Dashboard!$C$14</f>
        <v>140646.61884030057</v>
      </c>
    </row>
    <row r="49" spans="1:17" x14ac:dyDescent="0.25">
      <c r="A49" s="5">
        <f>(49-2)/100</f>
        <v>0.47</v>
      </c>
      <c r="B49" s="5">
        <f>Dashboard!$C$10*EXP(-Dashboard!$C$12*A49)</f>
        <v>0.16966355138886791</v>
      </c>
      <c r="C49" s="5">
        <f>Dashboard!$C$17*A49</f>
        <v>376</v>
      </c>
      <c r="D49" s="5">
        <f>Dashboard!$C$15*(1-EXP(-Dashboard!$C$16*A49))</f>
        <v>0.16754332029701155</v>
      </c>
      <c r="E49" s="5">
        <f>1/(1+EXP(MIN(700,MAX(-700,(C49-Dashboard!$C$18)/Dashboard!$C$19))))</f>
        <v>0.9374188844431588</v>
      </c>
      <c r="F49" s="5">
        <f t="shared" si="4"/>
        <v>0.15705827240872741</v>
      </c>
      <c r="G49" s="8">
        <f>Dashboard!$C$9*B49*Dashboard!$C$11*(1-F49)</f>
        <v>286032.97423400596</v>
      </c>
      <c r="H49" s="8">
        <f>Dashboard!$C$20*A49^2</f>
        <v>1767.1999999999998</v>
      </c>
      <c r="I49" s="8">
        <f t="shared" si="5"/>
        <v>287800.17423400597</v>
      </c>
      <c r="J49" s="8">
        <f>Dashboard!$C$13*A49</f>
        <v>9400</v>
      </c>
      <c r="K49" s="8">
        <f>Dashboard!$C$14*A49</f>
        <v>14100</v>
      </c>
      <c r="L49" s="8">
        <f>Dashboard!$C$21-K49</f>
        <v>1485900</v>
      </c>
      <c r="M49" s="8">
        <f t="shared" si="6"/>
        <v>1188699.8257659939</v>
      </c>
      <c r="N49" s="8">
        <f t="shared" si="7"/>
        <v>23500</v>
      </c>
      <c r="O49" s="8">
        <f>Dashboard!$C$15*(Dashboard!$C$16*EXP(-Dashboard!$C$16*A49)*E49-(1-EXP(-Dashboard!$C$16*A49))*Dashboard!$C$17/Dashboard!$C$19*E49*(1-E49))</f>
        <v>0.28333324171320862</v>
      </c>
      <c r="P49" s="8">
        <f>Dashboard!$C$9*B49*Dashboard!$C$11*(-Dashboard!$C$12*(1-F49)-O49)+2*Dashboard!$C$20*A49</f>
        <v>-188734.18901306906</v>
      </c>
      <c r="Q49" s="8">
        <f>-P49-Dashboard!$C$13-Dashboard!$C$14</f>
        <v>138734.18901306906</v>
      </c>
    </row>
    <row r="50" spans="1:17" x14ac:dyDescent="0.25">
      <c r="A50" s="5">
        <f>(50-2)/100</f>
        <v>0.48</v>
      </c>
      <c r="B50" s="5">
        <f>Dashboard!$C$10*EXP(-Dashboard!$C$12*A50)</f>
        <v>0.16907076693693177</v>
      </c>
      <c r="C50" s="5">
        <f>Dashboard!$C$17*A50</f>
        <v>384</v>
      </c>
      <c r="D50" s="5">
        <f>Dashboard!$C$15*(1-EXP(-Dashboard!$C$16*A50))</f>
        <v>0.17069771114675725</v>
      </c>
      <c r="E50" s="5">
        <f>1/(1+EXP(MIN(700,MAX(-700,(C50-Dashboard!$C$18)/Dashboard!$C$19))))</f>
        <v>0.93663211117880973</v>
      </c>
      <c r="F50" s="5">
        <f t="shared" si="4"/>
        <v>0.15988095756477788</v>
      </c>
      <c r="G50" s="8">
        <f>Dashboard!$C$9*B50*Dashboard!$C$11*(1-F50)</f>
        <v>284079.1416456874</v>
      </c>
      <c r="H50" s="8">
        <f>Dashboard!$C$20*A50^2</f>
        <v>1843.2</v>
      </c>
      <c r="I50" s="8">
        <f t="shared" si="5"/>
        <v>285922.34164568741</v>
      </c>
      <c r="J50" s="8">
        <f>Dashboard!$C$13*A50</f>
        <v>9600</v>
      </c>
      <c r="K50" s="8">
        <f>Dashboard!$C$14*A50</f>
        <v>14400</v>
      </c>
      <c r="L50" s="8">
        <f>Dashboard!$C$21-K50</f>
        <v>1485600</v>
      </c>
      <c r="M50" s="8">
        <f t="shared" si="6"/>
        <v>1190077.6583543126</v>
      </c>
      <c r="N50" s="8">
        <f t="shared" si="7"/>
        <v>24000</v>
      </c>
      <c r="O50" s="8">
        <f>Dashboard!$C$15*(Dashboard!$C$16*EXP(-Dashboard!$C$16*A50)*E50-(1-EXP(-Dashboard!$C$16*A50))*Dashboard!$C$17/Dashboard!$C$19*E50*(1-E50))</f>
        <v>0.28120394069768129</v>
      </c>
      <c r="P50" s="8">
        <f>Dashboard!$C$9*B50*Dashboard!$C$11*(-Dashboard!$C$12*(1-F50)-O50)+2*Dashboard!$C$20*A50</f>
        <v>-186834.43141487951</v>
      </c>
      <c r="Q50" s="8">
        <f>-P50-Dashboard!$C$13-Dashboard!$C$14</f>
        <v>136834.43141487951</v>
      </c>
    </row>
    <row r="51" spans="1:17" x14ac:dyDescent="0.25">
      <c r="A51" s="5">
        <f>(51-2)/100</f>
        <v>0.49</v>
      </c>
      <c r="B51" s="5">
        <f>Dashboard!$C$10*EXP(-Dashboard!$C$12*A51)</f>
        <v>0.16848005360400486</v>
      </c>
      <c r="C51" s="5">
        <f>Dashboard!$C$17*A51</f>
        <v>392</v>
      </c>
      <c r="D51" s="5">
        <f>Dashboard!$C$15*(1-EXP(-Dashboard!$C$16*A51))</f>
        <v>0.17383636940650549</v>
      </c>
      <c r="E51" s="5">
        <f>1/(1+EXP(MIN(700,MAX(-700,(C51-Dashboard!$C$18)/Dashboard!$C$19))))</f>
        <v>0.93583612359482604</v>
      </c>
      <c r="F51" s="5">
        <f t="shared" si="4"/>
        <v>0.16268235408518231</v>
      </c>
      <c r="G51" s="8">
        <f>Dashboard!$C$9*B51*Dashboard!$C$11*(1-F51)</f>
        <v>282142.64373461535</v>
      </c>
      <c r="H51" s="8">
        <f>Dashboard!$C$20*A51^2</f>
        <v>1920.7999999999997</v>
      </c>
      <c r="I51" s="8">
        <f t="shared" si="5"/>
        <v>284063.44373461534</v>
      </c>
      <c r="J51" s="8">
        <f>Dashboard!$C$13*A51</f>
        <v>9800</v>
      </c>
      <c r="K51" s="8">
        <f>Dashboard!$C$14*A51</f>
        <v>14700</v>
      </c>
      <c r="L51" s="8">
        <f>Dashboard!$C$21-K51</f>
        <v>1485300</v>
      </c>
      <c r="M51" s="8">
        <f t="shared" si="6"/>
        <v>1191436.5562653847</v>
      </c>
      <c r="N51" s="8">
        <f t="shared" si="7"/>
        <v>24500</v>
      </c>
      <c r="O51" s="8">
        <f>Dashboard!$C$15*(Dashboard!$C$16*EXP(-Dashboard!$C$16*A51)*E51-(1-EXP(-Dashboard!$C$16*A51))*Dashboard!$C$17/Dashboard!$C$19*E51*(1-E51))</f>
        <v>0.27907549844757346</v>
      </c>
      <c r="P51" s="8">
        <f>Dashboard!$C$9*B51*Dashboard!$C$11*(-Dashboard!$C$12*(1-F51)-O51)+2*Dashboard!$C$20*A51</f>
        <v>-184947.23518313846</v>
      </c>
      <c r="Q51" s="8">
        <f>-P51-Dashboard!$C$13-Dashboard!$C$14</f>
        <v>134947.23518313846</v>
      </c>
    </row>
    <row r="52" spans="1:17" x14ac:dyDescent="0.25">
      <c r="A52" s="5">
        <f>(52-2)/100</f>
        <v>0.5</v>
      </c>
      <c r="B52" s="5">
        <f>Dashboard!$C$10*EXP(-Dashboard!$C$12*A52)</f>
        <v>0.16789140415384149</v>
      </c>
      <c r="C52" s="5">
        <f>Dashboard!$C$17*A52</f>
        <v>400</v>
      </c>
      <c r="D52" s="5">
        <f>Dashboard!$C$15*(1-EXP(-Dashboard!$C$16*A52))</f>
        <v>0.17695937354287611</v>
      </c>
      <c r="E52" s="5">
        <f>1/(1+EXP(MIN(700,MAX(-700,(C52-Dashboard!$C$18)/Dashboard!$C$19))))</f>
        <v>0.93503083087133598</v>
      </c>
      <c r="F52" s="5">
        <f t="shared" si="4"/>
        <v>0.16546247007426657</v>
      </c>
      <c r="G52" s="8">
        <f>Dashboard!$C$9*B52*Dashboard!$C$11*(1-F52)</f>
        <v>280223.35543661978</v>
      </c>
      <c r="H52" s="8">
        <f>Dashboard!$C$20*A52^2</f>
        <v>2000</v>
      </c>
      <c r="I52" s="8">
        <f t="shared" si="5"/>
        <v>282223.35543661978</v>
      </c>
      <c r="J52" s="8">
        <f>Dashboard!$C$13*A52</f>
        <v>10000</v>
      </c>
      <c r="K52" s="8">
        <f>Dashboard!$C$14*A52</f>
        <v>15000</v>
      </c>
      <c r="L52" s="8">
        <f>Dashboard!$C$21-K52</f>
        <v>1485000</v>
      </c>
      <c r="M52" s="8">
        <f t="shared" si="6"/>
        <v>1192776.6445633802</v>
      </c>
      <c r="N52" s="8">
        <f t="shared" si="7"/>
        <v>25000</v>
      </c>
      <c r="O52" s="8">
        <f>Dashboard!$C$15*(Dashboard!$C$16*EXP(-Dashboard!$C$16*A52)*E52-(1-EXP(-Dashboard!$C$16*A52))*Dashboard!$C$17/Dashboard!$C$19*E52*(1-E52))</f>
        <v>0.27694781837446575</v>
      </c>
      <c r="P52" s="8">
        <f>Dashboard!$C$9*B52*Dashboard!$C$11*(-Dashboard!$C$12*(1-F52)-O52)+2*Dashboard!$C$20*A52</f>
        <v>-183072.49061128113</v>
      </c>
      <c r="Q52" s="8">
        <f>-P52-Dashboard!$C$13-Dashboard!$C$14</f>
        <v>133072.49061128113</v>
      </c>
    </row>
    <row r="53" spans="1:17" x14ac:dyDescent="0.25">
      <c r="A53" s="5">
        <f>(53-2)/100</f>
        <v>0.51</v>
      </c>
      <c r="B53" s="5">
        <f>Dashboard!$C$10*EXP(-Dashboard!$C$12*A53)</f>
        <v>0.16730481137547851</v>
      </c>
      <c r="C53" s="5">
        <f>Dashboard!$C$17*A53</f>
        <v>408</v>
      </c>
      <c r="D53" s="5">
        <f>Dashboard!$C$15*(1-EXP(-Dashboard!$C$16*A53))</f>
        <v>0.18006680163113523</v>
      </c>
      <c r="E53" s="5">
        <f>1/(1+EXP(MIN(700,MAX(-700,(C53-Dashboard!$C$18)/Dashboard!$C$19))))</f>
        <v>0.93421614172627476</v>
      </c>
      <c r="F53" s="5">
        <f t="shared" si="4"/>
        <v>0.16822131267282964</v>
      </c>
      <c r="G53" s="8">
        <f>Dashboard!$C$9*B53*Dashboard!$C$11*(1-F53)</f>
        <v>278321.15277883073</v>
      </c>
      <c r="H53" s="8">
        <f>Dashboard!$C$20*A53^2</f>
        <v>2080.8000000000002</v>
      </c>
      <c r="I53" s="8">
        <f t="shared" si="5"/>
        <v>280401.95277883072</v>
      </c>
      <c r="J53" s="8">
        <f>Dashboard!$C$13*A53</f>
        <v>10200</v>
      </c>
      <c r="K53" s="8">
        <f>Dashboard!$C$14*A53</f>
        <v>15300</v>
      </c>
      <c r="L53" s="8">
        <f>Dashboard!$C$21-K53</f>
        <v>1484700</v>
      </c>
      <c r="M53" s="8">
        <f t="shared" si="6"/>
        <v>1194098.0472211693</v>
      </c>
      <c r="N53" s="8">
        <f t="shared" si="7"/>
        <v>25500</v>
      </c>
      <c r="O53" s="8">
        <f>Dashboard!$C$15*(Dashboard!$C$16*EXP(-Dashboard!$C$16*A53)*E53-(1-EXP(-Dashboard!$C$16*A53))*Dashboard!$C$17/Dashboard!$C$19*E53*(1-E53))</f>
        <v>0.27482080436544248</v>
      </c>
      <c r="P53" s="8">
        <f>Dashboard!$C$9*B53*Dashboard!$C$11*(-Dashboard!$C$12*(1-F53)-O53)+2*Dashboard!$C$20*A53</f>
        <v>-181210.08914542603</v>
      </c>
      <c r="Q53" s="8">
        <f>-P53-Dashboard!$C$13-Dashboard!$C$14</f>
        <v>131210.08914542603</v>
      </c>
    </row>
    <row r="54" spans="1:17" x14ac:dyDescent="0.25">
      <c r="A54" s="5">
        <f>(54-2)/100</f>
        <v>0.52</v>
      </c>
      <c r="B54" s="5">
        <f>Dashboard!$C$10*EXP(-Dashboard!$C$12*A54)</f>
        <v>0.16672026808314708</v>
      </c>
      <c r="C54" s="5">
        <f>Dashboard!$C$17*A54</f>
        <v>416</v>
      </c>
      <c r="D54" s="5">
        <f>Dashboard!$C$15*(1-EXP(-Dashboard!$C$16*A54))</f>
        <v>0.183158731357147</v>
      </c>
      <c r="E54" s="5">
        <f>1/(1+EXP(MIN(700,MAX(-700,(C54-Dashboard!$C$18)/Dashboard!$C$19))))</f>
        <v>0.93339196442490935</v>
      </c>
      <c r="F54" s="5">
        <f t="shared" si="4"/>
        <v>0.17095888806302167</v>
      </c>
      <c r="G54" s="8">
        <f>Dashboard!$C$9*B54*Dashboard!$C$11*(1-F54)</f>
        <v>276435.91286816675</v>
      </c>
      <c r="H54" s="8">
        <f>Dashboard!$C$20*A54^2</f>
        <v>2163.2000000000003</v>
      </c>
      <c r="I54" s="8">
        <f t="shared" si="5"/>
        <v>278599.11286816676</v>
      </c>
      <c r="J54" s="8">
        <f>Dashboard!$C$13*A54</f>
        <v>10400</v>
      </c>
      <c r="K54" s="8">
        <f>Dashboard!$C$14*A54</f>
        <v>15600</v>
      </c>
      <c r="L54" s="8">
        <f>Dashboard!$C$21-K54</f>
        <v>1484400</v>
      </c>
      <c r="M54" s="8">
        <f t="shared" si="6"/>
        <v>1195400.8871318332</v>
      </c>
      <c r="N54" s="8">
        <f t="shared" si="7"/>
        <v>26000</v>
      </c>
      <c r="O54" s="8">
        <f>Dashboard!$C$15*(Dashboard!$C$16*EXP(-Dashboard!$C$16*A54)*E54-(1-EXP(-Dashboard!$C$16*A54))*Dashboard!$C$17/Dashboard!$C$19*E54*(1-E54))</f>
        <v>0.27269436080781334</v>
      </c>
      <c r="P54" s="8">
        <f>Dashboard!$C$9*B54*Dashboard!$C$11*(-Dashboard!$C$12*(1-F54)-O54)+2*Dashboard!$C$20*A54</f>
        <v>-179359.92338114051</v>
      </c>
      <c r="Q54" s="8">
        <f>-P54-Dashboard!$C$13-Dashboard!$C$14</f>
        <v>129359.92338114051</v>
      </c>
    </row>
    <row r="55" spans="1:17" x14ac:dyDescent="0.25">
      <c r="A55" s="5">
        <f>(55-2)/100</f>
        <v>0.53</v>
      </c>
      <c r="B55" s="5">
        <f>Dashboard!$C$10*EXP(-Dashboard!$C$12*A55)</f>
        <v>0.16613776711618453</v>
      </c>
      <c r="C55" s="5">
        <f>Dashboard!$C$17*A55</f>
        <v>424</v>
      </c>
      <c r="D55" s="5">
        <f>Dashboard!$C$15*(1-EXP(-Dashboard!$C$16*A55))</f>
        <v>0.18623524001931546</v>
      </c>
      <c r="E55" s="5">
        <f>1/(1+EXP(MIN(700,MAX(-700,(C55-Dashboard!$C$18)/Dashboard!$C$19))))</f>
        <v>0.9325582067897541</v>
      </c>
      <c r="F55" s="5">
        <f t="shared" si="4"/>
        <v>0.17367520147347226</v>
      </c>
      <c r="G55" s="8">
        <f>Dashboard!$C$9*B55*Dashboard!$C$11*(1-F55)</f>
        <v>274567.51387985674</v>
      </c>
      <c r="H55" s="8">
        <f>Dashboard!$C$20*A55^2</f>
        <v>2247.2000000000003</v>
      </c>
      <c r="I55" s="8">
        <f t="shared" si="5"/>
        <v>276814.71387985675</v>
      </c>
      <c r="J55" s="8">
        <f>Dashboard!$C$13*A55</f>
        <v>10600</v>
      </c>
      <c r="K55" s="8">
        <f>Dashboard!$C$14*A55</f>
        <v>15900</v>
      </c>
      <c r="L55" s="8">
        <f>Dashboard!$C$21-K55</f>
        <v>1484100</v>
      </c>
      <c r="M55" s="8">
        <f t="shared" si="6"/>
        <v>1196685.2861201433</v>
      </c>
      <c r="N55" s="8">
        <f t="shared" si="7"/>
        <v>26500</v>
      </c>
      <c r="O55" s="8">
        <f>Dashboard!$C$15*(Dashboard!$C$16*EXP(-Dashboard!$C$16*A55)*E55-(1-EXP(-Dashboard!$C$16*A55))*Dashboard!$C$17/Dashboard!$C$19*E55*(1-E55))</f>
        <v>0.27056839261446991</v>
      </c>
      <c r="P55" s="8">
        <f>Dashboard!$C$9*B55*Dashboard!$C$11*(-Dashboard!$C$12*(1-F55)-O55)+2*Dashboard!$C$20*A55</f>
        <v>-177521.88706031619</v>
      </c>
      <c r="Q55" s="8">
        <f>-P55-Dashboard!$C$13-Dashboard!$C$14</f>
        <v>127521.88706031619</v>
      </c>
    </row>
    <row r="56" spans="1:17" x14ac:dyDescent="0.25">
      <c r="A56" s="5">
        <f>(56-2)/100</f>
        <v>0.54</v>
      </c>
      <c r="B56" s="5">
        <f>Dashboard!$C$10*EXP(-Dashboard!$C$12*A56)</f>
        <v>0.16555730133894675</v>
      </c>
      <c r="C56" s="5">
        <f>Dashboard!$C$17*A56</f>
        <v>432</v>
      </c>
      <c r="D56" s="5">
        <f>Dashboard!$C$15*(1-EXP(-Dashboard!$C$16*A56))</f>
        <v>0.18929640453051749</v>
      </c>
      <c r="E56" s="5">
        <f>1/(1+EXP(MIN(700,MAX(-700,(C56-Dashboard!$C$18)/Dashboard!$C$19))))</f>
        <v>0.93171477621088394</v>
      </c>
      <c r="F56" s="5">
        <f t="shared" si="4"/>
        <v>0.17637025718467605</v>
      </c>
      <c r="G56" s="8">
        <f>Dashboard!$C$9*B56*Dashboard!$C$11*(1-F56)</f>
        <v>272715.83504599158</v>
      </c>
      <c r="H56" s="8">
        <f>Dashboard!$C$20*A56^2</f>
        <v>2332.8000000000002</v>
      </c>
      <c r="I56" s="8">
        <f t="shared" si="5"/>
        <v>275048.63504599157</v>
      </c>
      <c r="J56" s="8">
        <f>Dashboard!$C$13*A56</f>
        <v>10800</v>
      </c>
      <c r="K56" s="8">
        <f>Dashboard!$C$14*A56</f>
        <v>16200.000000000002</v>
      </c>
      <c r="L56" s="8">
        <f>Dashboard!$C$21-K56</f>
        <v>1483800</v>
      </c>
      <c r="M56" s="8">
        <f t="shared" si="6"/>
        <v>1197951.3649540085</v>
      </c>
      <c r="N56" s="8">
        <f t="shared" si="7"/>
        <v>27000</v>
      </c>
      <c r="O56" s="8">
        <f>Dashboard!$C$15*(Dashboard!$C$16*EXP(-Dashboard!$C$16*A56)*E56-(1-EXP(-Dashboard!$C$16*A56))*Dashboard!$C$17/Dashboard!$C$19*E56*(1-E56))</f>
        <v>0.26844280524988279</v>
      </c>
      <c r="P56" s="8">
        <f>Dashboard!$C$9*B56*Dashboard!$C$11*(-Dashboard!$C$12*(1-F56)-O56)+2*Dashboard!$C$20*A56</f>
        <v>-175695.8750681511</v>
      </c>
      <c r="Q56" s="8">
        <f>-P56-Dashboard!$C$13-Dashboard!$C$14</f>
        <v>125695.8750681511</v>
      </c>
    </row>
    <row r="57" spans="1:17" x14ac:dyDescent="0.25">
      <c r="A57" s="5">
        <f>(57-2)/100</f>
        <v>0.55000000000000004</v>
      </c>
      <c r="B57" s="5">
        <f>Dashboard!$C$10*EXP(-Dashboard!$C$12*A57)</f>
        <v>0.16497886364072067</v>
      </c>
      <c r="C57" s="5">
        <f>Dashboard!$C$17*A57</f>
        <v>440.00000000000006</v>
      </c>
      <c r="D57" s="5">
        <f>Dashboard!$C$15*(1-EXP(-Dashboard!$C$16*A57))</f>
        <v>0.19234230142002523</v>
      </c>
      <c r="E57" s="5">
        <f>1/(1+EXP(MIN(700,MAX(-700,(C57-Dashboard!$C$18)/Dashboard!$C$19))))</f>
        <v>0.93086157965665328</v>
      </c>
      <c r="F57" s="5">
        <f t="shared" si="4"/>
        <v>0.17904405853464084</v>
      </c>
      <c r="G57" s="8">
        <f>Dashboard!$C$9*B57*Dashboard!$C$11*(1-F57)</f>
        <v>270880.75664410589</v>
      </c>
      <c r="H57" s="8">
        <f>Dashboard!$C$20*A57^2</f>
        <v>2420.0000000000005</v>
      </c>
      <c r="I57" s="8">
        <f t="shared" si="5"/>
        <v>273300.75664410589</v>
      </c>
      <c r="J57" s="8">
        <f>Dashboard!$C$13*A57</f>
        <v>11000</v>
      </c>
      <c r="K57" s="8">
        <f>Dashboard!$C$14*A57</f>
        <v>16500</v>
      </c>
      <c r="L57" s="8">
        <f>Dashboard!$C$21-K57</f>
        <v>1483500</v>
      </c>
      <c r="M57" s="8">
        <f t="shared" si="6"/>
        <v>1199199.243355894</v>
      </c>
      <c r="N57" s="8">
        <f t="shared" si="7"/>
        <v>27500</v>
      </c>
      <c r="O57" s="8">
        <f>Dashboard!$C$15*(Dashboard!$C$16*EXP(-Dashboard!$C$16*A57)*E57-(1-EXP(-Dashboard!$C$16*A57))*Dashboard!$C$17/Dashboard!$C$19*E57*(1-E57))</f>
        <v>0.2663175047567452</v>
      </c>
      <c r="P57" s="8">
        <f>Dashboard!$C$9*B57*Dashboard!$C$11*(-Dashboard!$C$12*(1-F57)-O57)+2*Dashboard!$C$20*A57</f>
        <v>-173881.78343023715</v>
      </c>
      <c r="Q57" s="8">
        <f>-P57-Dashboard!$C$13-Dashboard!$C$14</f>
        <v>123881.78343023715</v>
      </c>
    </row>
    <row r="58" spans="1:17" x14ac:dyDescent="0.25">
      <c r="A58" s="5">
        <f>(58-2)/100</f>
        <v>0.56000000000000005</v>
      </c>
      <c r="B58" s="5">
        <f>Dashboard!$C$10*EXP(-Dashboard!$C$12*A58)</f>
        <v>0.16440244693563733</v>
      </c>
      <c r="C58" s="5">
        <f>Dashboard!$C$17*A58</f>
        <v>448.00000000000006</v>
      </c>
      <c r="D58" s="5">
        <f>Dashboard!$C$15*(1-EXP(-Dashboard!$C$16*A58))</f>
        <v>0.19537300683541964</v>
      </c>
      <c r="E58" s="5">
        <f>1/(1+EXP(MIN(700,MAX(-700,(C58-Dashboard!$C$18)/Dashboard!$C$19))))</f>
        <v>0.92999852368482794</v>
      </c>
      <c r="F58" s="5">
        <f t="shared" si="4"/>
        <v>0.18169660792480605</v>
      </c>
      <c r="G58" s="8">
        <f>Dashboard!$C$9*B58*Dashboard!$C$11*(1-F58)</f>
        <v>269062.15998578822</v>
      </c>
      <c r="H58" s="8">
        <f>Dashboard!$C$20*A58^2</f>
        <v>2508.8000000000002</v>
      </c>
      <c r="I58" s="8">
        <f t="shared" si="5"/>
        <v>271570.95998578821</v>
      </c>
      <c r="J58" s="8">
        <f>Dashboard!$C$13*A58</f>
        <v>11200.000000000002</v>
      </c>
      <c r="K58" s="8">
        <f>Dashboard!$C$14*A58</f>
        <v>16800</v>
      </c>
      <c r="L58" s="8">
        <f>Dashboard!$C$21-K58</f>
        <v>1483200</v>
      </c>
      <c r="M58" s="8">
        <f t="shared" si="6"/>
        <v>1200429.0400142118</v>
      </c>
      <c r="N58" s="8">
        <f t="shared" si="7"/>
        <v>28000</v>
      </c>
      <c r="O58" s="8">
        <f>Dashboard!$C$15*(Dashboard!$C$16*EXP(-Dashboard!$C$16*A58)*E58-(1-EXP(-Dashboard!$C$16*A58))*Dashboard!$C$17/Dashboard!$C$19*E58*(1-E58))</f>
        <v>0.26419239778326759</v>
      </c>
      <c r="P58" s="8">
        <f>Dashboard!$C$9*B58*Dashboard!$C$11*(-Dashboard!$C$12*(1-F58)-O58)+2*Dashboard!$C$20*A58</f>
        <v>-172079.50930975075</v>
      </c>
      <c r="Q58" s="8">
        <f>-P58-Dashboard!$C$13-Dashboard!$C$14</f>
        <v>122079.50930975075</v>
      </c>
    </row>
    <row r="59" spans="1:17" x14ac:dyDescent="0.25">
      <c r="A59" s="5">
        <f>(59-2)/100</f>
        <v>0.56999999999999995</v>
      </c>
      <c r="B59" s="5">
        <f>Dashboard!$C$10*EXP(-Dashboard!$C$12*A59)</f>
        <v>0.16382804416258481</v>
      </c>
      <c r="C59" s="5">
        <f>Dashboard!$C$17*A59</f>
        <v>455.99999999999994</v>
      </c>
      <c r="D59" s="5">
        <f>Dashboard!$C$15*(1-EXP(-Dashboard!$C$16*A59))</f>
        <v>0.19838859654449392</v>
      </c>
      <c r="E59" s="5">
        <f>1/(1+EXP(MIN(700,MAX(-700,(C59-Dashboard!$C$18)/Dashboard!$C$19))))</f>
        <v>0.92912551445413682</v>
      </c>
      <c r="F59" s="5">
        <f t="shared" si="4"/>
        <v>0.18432790682623712</v>
      </c>
      <c r="G59" s="8">
        <f>Dashboard!$C$9*B59*Dashboard!$C$11*(1-F59)</f>
        <v>267259.92740531842</v>
      </c>
      <c r="H59" s="8">
        <f>Dashboard!$C$20*A59^2</f>
        <v>2599.1999999999998</v>
      </c>
      <c r="I59" s="8">
        <f t="shared" si="5"/>
        <v>269859.12740531843</v>
      </c>
      <c r="J59" s="8">
        <f>Dashboard!$C$13*A59</f>
        <v>11399.999999999998</v>
      </c>
      <c r="K59" s="8">
        <f>Dashboard!$C$14*A59</f>
        <v>17100</v>
      </c>
      <c r="L59" s="8">
        <f>Dashboard!$C$21-K59</f>
        <v>1482900</v>
      </c>
      <c r="M59" s="8">
        <f t="shared" si="6"/>
        <v>1201640.8725946816</v>
      </c>
      <c r="N59" s="8">
        <f t="shared" si="7"/>
        <v>28500</v>
      </c>
      <c r="O59" s="8">
        <f>Dashboard!$C$15*(Dashboard!$C$16*EXP(-Dashboard!$C$16*A59)*E59-(1-EXP(-Dashboard!$C$16*A59))*Dashboard!$C$17/Dashboard!$C$19*E59*(1-E59))</f>
        <v>0.26206739161112907</v>
      </c>
      <c r="P59" s="8">
        <f>Dashboard!$C$9*B59*Dashboard!$C$11*(-Dashboard!$C$12*(1-F59)-O59)+2*Dashboard!$C$20*A59</f>
        <v>-170288.95100474439</v>
      </c>
      <c r="Q59" s="8">
        <f>-P59-Dashboard!$C$13-Dashboard!$C$14</f>
        <v>120288.95100474439</v>
      </c>
    </row>
    <row r="60" spans="1:17" x14ac:dyDescent="0.25">
      <c r="A60" s="5">
        <f>(60-2)/100</f>
        <v>0.57999999999999996</v>
      </c>
      <c r="B60" s="5">
        <f>Dashboard!$C$10*EXP(-Dashboard!$C$12*A60)</f>
        <v>0.16325564828512198</v>
      </c>
      <c r="C60" s="5">
        <f>Dashboard!$C$17*A60</f>
        <v>463.99999999999994</v>
      </c>
      <c r="D60" s="5">
        <f>Dashboard!$C$15*(1-EXP(-Dashboard!$C$16*A60))</f>
        <v>0.2013891459371478</v>
      </c>
      <c r="E60" s="5">
        <f>1/(1+EXP(MIN(700,MAX(-700,(C60-Dashboard!$C$18)/Dashboard!$C$19))))</f>
        <v>0.92824245773624858</v>
      </c>
      <c r="F60" s="5">
        <f t="shared" si="4"/>
        <v>0.18693795578610212</v>
      </c>
      <c r="G60" s="8">
        <f>Dashboard!$C$9*B60*Dashboard!$C$11*(1-F60)</f>
        <v>265473.94224833278</v>
      </c>
      <c r="H60" s="8">
        <f>Dashboard!$C$20*A60^2</f>
        <v>2691.2</v>
      </c>
      <c r="I60" s="8">
        <f t="shared" si="5"/>
        <v>268165.14224833279</v>
      </c>
      <c r="J60" s="8">
        <f>Dashboard!$C$13*A60</f>
        <v>11600</v>
      </c>
      <c r="K60" s="8">
        <f>Dashboard!$C$14*A60</f>
        <v>17400</v>
      </c>
      <c r="L60" s="8">
        <f>Dashboard!$C$21-K60</f>
        <v>1482600</v>
      </c>
      <c r="M60" s="8">
        <f t="shared" si="6"/>
        <v>1202834.8577516673</v>
      </c>
      <c r="N60" s="8">
        <f t="shared" si="7"/>
        <v>29000</v>
      </c>
      <c r="O60" s="8">
        <f>Dashboard!$C$15*(Dashboard!$C$16*EXP(-Dashboard!$C$16*A60)*E60-(1-EXP(-Dashboard!$C$16*A60))*Dashboard!$C$17/Dashboard!$C$19*E60*(1-E60))</f>
        <v>0.25994239418408771</v>
      </c>
      <c r="P60" s="8">
        <f>Dashboard!$C$9*B60*Dashboard!$C$11*(-Dashboard!$C$12*(1-F60)-O60)+2*Dashboard!$C$20*A60</f>
        <v>-168510.00794553637</v>
      </c>
      <c r="Q60" s="8">
        <f>-P60-Dashboard!$C$13-Dashboard!$C$14</f>
        <v>118510.00794553637</v>
      </c>
    </row>
    <row r="61" spans="1:17" x14ac:dyDescent="0.25">
      <c r="A61" s="5">
        <f>(61-2)/100</f>
        <v>0.59</v>
      </c>
      <c r="B61" s="5">
        <f>Dashboard!$C$10*EXP(-Dashboard!$C$12*A61)</f>
        <v>0.16268525229139222</v>
      </c>
      <c r="C61" s="5">
        <f>Dashboard!$C$17*A61</f>
        <v>472</v>
      </c>
      <c r="D61" s="5">
        <f>Dashboard!$C$15*(1-EXP(-Dashboard!$C$16*A61))</f>
        <v>0.20437473002727247</v>
      </c>
      <c r="E61" s="5">
        <f>1/(1+EXP(MIN(700,MAX(-700,(C61-Dashboard!$C$18)/Dashboard!$C$19))))</f>
        <v>0.92734925892818665</v>
      </c>
      <c r="F61" s="5">
        <f t="shared" si="4"/>
        <v>0.18952675443443934</v>
      </c>
      <c r="G61" s="8">
        <f>Dashboard!$C$9*B61*Dashboard!$C$11*(1-F61)</f>
        <v>263704.08886051341</v>
      </c>
      <c r="H61" s="8">
        <f>Dashboard!$C$20*A61^2</f>
        <v>2784.7999999999997</v>
      </c>
      <c r="I61" s="8">
        <f t="shared" si="5"/>
        <v>266488.8888605134</v>
      </c>
      <c r="J61" s="8">
        <f>Dashboard!$C$13*A61</f>
        <v>11800</v>
      </c>
      <c r="K61" s="8">
        <f>Dashboard!$C$14*A61</f>
        <v>17700</v>
      </c>
      <c r="L61" s="8">
        <f>Dashboard!$C$21-K61</f>
        <v>1482300</v>
      </c>
      <c r="M61" s="8">
        <f t="shared" si="6"/>
        <v>1204011.1111394865</v>
      </c>
      <c r="N61" s="8">
        <f t="shared" si="7"/>
        <v>29500</v>
      </c>
      <c r="O61" s="8">
        <f>Dashboard!$C$15*(Dashboard!$C$16*EXP(-Dashboard!$C$16*A61)*E61-(1-EXP(-Dashboard!$C$16*A61))*Dashboard!$C$17/Dashboard!$C$19*E61*(1-E61))</f>
        <v>0.25781731413725822</v>
      </c>
      <c r="P61" s="8">
        <f>Dashboard!$C$9*B61*Dashboard!$C$11*(-Dashboard!$C$12*(1-F61)-O61)+2*Dashboard!$C$20*A61</f>
        <v>-166742.58069219763</v>
      </c>
      <c r="Q61" s="8">
        <f>-P61-Dashboard!$C$13-Dashboard!$C$14</f>
        <v>116742.58069219763</v>
      </c>
    </row>
    <row r="62" spans="1:17" x14ac:dyDescent="0.25">
      <c r="A62" s="5">
        <f>(62-2)/100</f>
        <v>0.6</v>
      </c>
      <c r="B62" s="5">
        <f>Dashboard!$C$10*EXP(-Dashboard!$C$12*A62)</f>
        <v>0.16211684919403743</v>
      </c>
      <c r="C62" s="5">
        <f>Dashboard!$C$17*A62</f>
        <v>480</v>
      </c>
      <c r="D62" s="5">
        <f>Dashboard!$C$15*(1-EXP(-Dashboard!$C$16*A62))</f>
        <v>0.2073454234546257</v>
      </c>
      <c r="E62" s="5">
        <f>1/(1+EXP(MIN(700,MAX(-700,(C62-Dashboard!$C$18)/Dashboard!$C$19))))</f>
        <v>0.92644582306518097</v>
      </c>
      <c r="F62" s="5">
        <f t="shared" si="4"/>
        <v>0.1920943014912192</v>
      </c>
      <c r="G62" s="8">
        <f>Dashboard!$C$9*B62*Dashboard!$C$11*(1-F62)</f>
        <v>261950.252576303</v>
      </c>
      <c r="H62" s="8">
        <f>Dashboard!$C$20*A62^2</f>
        <v>2880</v>
      </c>
      <c r="I62" s="8">
        <f t="shared" si="5"/>
        <v>264830.25257630297</v>
      </c>
      <c r="J62" s="8">
        <f>Dashboard!$C$13*A62</f>
        <v>12000</v>
      </c>
      <c r="K62" s="8">
        <f>Dashboard!$C$14*A62</f>
        <v>18000</v>
      </c>
      <c r="L62" s="8">
        <f>Dashboard!$C$21-K62</f>
        <v>1482000</v>
      </c>
      <c r="M62" s="8">
        <f t="shared" si="6"/>
        <v>1205169.747423697</v>
      </c>
      <c r="N62" s="8">
        <f t="shared" si="7"/>
        <v>30000</v>
      </c>
      <c r="O62" s="8">
        <f>Dashboard!$C$15*(Dashboard!$C$16*EXP(-Dashboard!$C$16*A62)*E62-(1-EXP(-Dashboard!$C$16*A62))*Dashboard!$C$17/Dashboard!$C$19*E62*(1-E62))</f>
        <v>0.25569206082705537</v>
      </c>
      <c r="P62" s="8">
        <f>Dashboard!$C$9*B62*Dashboard!$C$11*(-Dashboard!$C$12*(1-F62)-O62)+2*Dashboard!$C$20*A62</f>
        <v>-164986.57093213079</v>
      </c>
      <c r="Q62" s="8">
        <f>-P62-Dashboard!$C$13-Dashboard!$C$14</f>
        <v>114986.57093213079</v>
      </c>
    </row>
    <row r="63" spans="1:17" x14ac:dyDescent="0.25">
      <c r="A63" s="5">
        <f>(63-2)/100</f>
        <v>0.61</v>
      </c>
      <c r="B63" s="5">
        <f>Dashboard!$C$10*EXP(-Dashboard!$C$12*A63)</f>
        <v>0.16155043203011257</v>
      </c>
      <c r="C63" s="5">
        <f>Dashboard!$C$17*A63</f>
        <v>488</v>
      </c>
      <c r="D63" s="5">
        <f>Dashboard!$C$15*(1-EXP(-Dashboard!$C$16*A63))</f>
        <v>0.21030130048669779</v>
      </c>
      <c r="E63" s="5">
        <f>1/(1+EXP(MIN(700,MAX(-700,(C63-Dashboard!$C$18)/Dashboard!$C$19))))</f>
        <v>0.92553205483397194</v>
      </c>
      <c r="F63" s="5">
        <f t="shared" si="4"/>
        <v>0.19464059477370999</v>
      </c>
      <c r="G63" s="8">
        <f>Dashboard!$C$9*B63*Dashboard!$C$11*(1-F63)</f>
        <v>260212.3197076433</v>
      </c>
      <c r="H63" s="8">
        <f>Dashboard!$C$20*A63^2</f>
        <v>2976.7999999999997</v>
      </c>
      <c r="I63" s="8">
        <f t="shared" si="5"/>
        <v>263189.11970764329</v>
      </c>
      <c r="J63" s="8">
        <f>Dashboard!$C$13*A63</f>
        <v>12200</v>
      </c>
      <c r="K63" s="8">
        <f>Dashboard!$C$14*A63</f>
        <v>18300</v>
      </c>
      <c r="L63" s="8">
        <f>Dashboard!$C$21-K63</f>
        <v>1481700</v>
      </c>
      <c r="M63" s="8">
        <f t="shared" si="6"/>
        <v>1206310.8802923567</v>
      </c>
      <c r="N63" s="8">
        <f t="shared" si="7"/>
        <v>30500</v>
      </c>
      <c r="O63" s="8">
        <f>Dashboard!$C$15*(Dashboard!$C$16*EXP(-Dashboard!$C$16*A63)*E63-(1-EXP(-Dashboard!$C$16*A63))*Dashboard!$C$17/Dashboard!$C$19*E63*(1-E63))</f>
        <v>0.25356654436181153</v>
      </c>
      <c r="P63" s="8">
        <f>Dashboard!$C$9*B63*Dashboard!$C$11*(-Dashboard!$C$12*(1-F63)-O63)+2*Dashboard!$C$20*A63</f>
        <v>-163241.88147774187</v>
      </c>
      <c r="Q63" s="8">
        <f>-P63-Dashboard!$C$13-Dashboard!$C$14</f>
        <v>113241.88147774187</v>
      </c>
    </row>
    <row r="64" spans="1:17" x14ac:dyDescent="0.25">
      <c r="A64" s="5">
        <f>(64-2)/100</f>
        <v>0.62</v>
      </c>
      <c r="B64" s="5">
        <f>Dashboard!$C$10*EXP(-Dashboard!$C$12*A64)</f>
        <v>0.16098599386100032</v>
      </c>
      <c r="C64" s="5">
        <f>Dashboard!$C$17*A64</f>
        <v>496</v>
      </c>
      <c r="D64" s="5">
        <f>Dashboard!$C$15*(1-EXP(-Dashboard!$C$16*A64))</f>
        <v>0.21324243502056861</v>
      </c>
      <c r="E64" s="5">
        <f>1/(1+EXP(MIN(700,MAX(-700,(C64-Dashboard!$C$18)/Dashboard!$C$19))))</f>
        <v>0.92460785858656747</v>
      </c>
      <c r="F64" s="5">
        <f t="shared" si="4"/>
        <v>0.1971656312041532</v>
      </c>
      <c r="G64" s="8">
        <f>Dashboard!$C$9*B64*Dashboard!$C$11*(1-F64)</f>
        <v>258490.1775327365</v>
      </c>
      <c r="H64" s="8">
        <f>Dashboard!$C$20*A64^2</f>
        <v>3075.2000000000003</v>
      </c>
      <c r="I64" s="8">
        <f t="shared" si="5"/>
        <v>261565.37753273651</v>
      </c>
      <c r="J64" s="8">
        <f>Dashboard!$C$13*A64</f>
        <v>12400</v>
      </c>
      <c r="K64" s="8">
        <f>Dashboard!$C$14*A64</f>
        <v>18600</v>
      </c>
      <c r="L64" s="8">
        <f>Dashboard!$C$21-K64</f>
        <v>1481400</v>
      </c>
      <c r="M64" s="8">
        <f t="shared" si="6"/>
        <v>1207434.6224672636</v>
      </c>
      <c r="N64" s="8">
        <f t="shared" si="7"/>
        <v>31000</v>
      </c>
      <c r="O64" s="8">
        <f>Dashboard!$C$15*(Dashboard!$C$16*EXP(-Dashboard!$C$16*A64)*E64-(1-EXP(-Dashboard!$C$16*A64))*Dashboard!$C$17/Dashboard!$C$19*E64*(1-E64))</f>
        <v>0.25144067563306743</v>
      </c>
      <c r="P64" s="8">
        <f>Dashboard!$C$9*B64*Dashboard!$C$11*(-Dashboard!$C$12*(1-F64)-O64)+2*Dashboard!$C$20*A64</f>
        <v>-161508.4162641993</v>
      </c>
      <c r="Q64" s="8">
        <f>-P64-Dashboard!$C$13-Dashboard!$C$14</f>
        <v>111508.4162641993</v>
      </c>
    </row>
    <row r="65" spans="1:17" x14ac:dyDescent="0.25">
      <c r="A65" s="5">
        <f>(65-2)/100</f>
        <v>0.63</v>
      </c>
      <c r="B65" s="5">
        <f>Dashboard!$C$10*EXP(-Dashboard!$C$12*A65)</f>
        <v>0.16042352777232602</v>
      </c>
      <c r="C65" s="5">
        <f>Dashboard!$C$17*A65</f>
        <v>504</v>
      </c>
      <c r="D65" s="5">
        <f>Dashboard!$C$15*(1-EXP(-Dashboard!$C$16*A65))</f>
        <v>0.21616890058475458</v>
      </c>
      <c r="E65" s="5">
        <f>1/(1+EXP(MIN(700,MAX(-700,(C65-Dashboard!$C$18)/Dashboard!$C$19))))</f>
        <v>0.92367313835446474</v>
      </c>
      <c r="F65" s="5">
        <f t="shared" si="4"/>
        <v>0.19966940681775455</v>
      </c>
      <c r="G65" s="8">
        <f>Dashboard!$C$9*B65*Dashboard!$C$11*(1-F65)</f>
        <v>256783.71428482822</v>
      </c>
      <c r="H65" s="8">
        <f>Dashboard!$C$20*A65^2</f>
        <v>3175.2000000000003</v>
      </c>
      <c r="I65" s="8">
        <f t="shared" si="5"/>
        <v>259958.91428482824</v>
      </c>
      <c r="J65" s="8">
        <f>Dashboard!$C$13*A65</f>
        <v>12600</v>
      </c>
      <c r="K65" s="8">
        <f>Dashboard!$C$14*A65</f>
        <v>18900</v>
      </c>
      <c r="L65" s="8">
        <f>Dashboard!$C$21-K65</f>
        <v>1481100</v>
      </c>
      <c r="M65" s="8">
        <f t="shared" si="6"/>
        <v>1208541.0857151719</v>
      </c>
      <c r="N65" s="8">
        <f t="shared" si="7"/>
        <v>31500</v>
      </c>
      <c r="O65" s="8">
        <f>Dashboard!$C$15*(Dashboard!$C$16*EXP(-Dashboard!$C$16*A65)*E65-(1-EXP(-Dashboard!$C$16*A65))*Dashboard!$C$17/Dashboard!$C$19*E65*(1-E65))</f>
        <v>0.24931436634754217</v>
      </c>
      <c r="P65" s="8">
        <f>Dashboard!$C$9*B65*Dashboard!$C$11*(-Dashboard!$C$12*(1-F65)-O65)+2*Dashboard!$C$20*A65</f>
        <v>-159786.08034727947</v>
      </c>
      <c r="Q65" s="8">
        <f>-P65-Dashboard!$C$13-Dashboard!$C$14</f>
        <v>109786.08034727947</v>
      </c>
    </row>
    <row r="66" spans="1:17" x14ac:dyDescent="0.25">
      <c r="A66" s="5">
        <f>(66-2)/100</f>
        <v>0.64</v>
      </c>
      <c r="B66" s="5">
        <f>Dashboard!$C$10*EXP(-Dashboard!$C$12*A66)</f>
        <v>0.15986302687387305</v>
      </c>
      <c r="C66" s="5">
        <f>Dashboard!$C$17*A66</f>
        <v>512</v>
      </c>
      <c r="D66" s="5">
        <f>Dashboard!$C$15*(1-EXP(-Dashboard!$C$16*A66))</f>
        <v>0.21908077034104725</v>
      </c>
      <c r="E66" s="5">
        <f>1/(1+EXP(MIN(700,MAX(-700,(C66-Dashboard!$C$18)/Dashboard!$C$19))))</f>
        <v>0.92272779786334014</v>
      </c>
      <c r="F66" s="5">
        <f t="shared" ref="F66:F97" si="8">D66*E66</f>
        <v>0.2021519167709987</v>
      </c>
      <c r="G66" s="8">
        <f>Dashboard!$C$9*B66*Dashboard!$C$11*(1-F66)</f>
        <v>255092.81914101189</v>
      </c>
      <c r="H66" s="8">
        <f>Dashboard!$C$20*A66^2</f>
        <v>3276.8</v>
      </c>
      <c r="I66" s="8">
        <f t="shared" ref="I66:I97" si="9">G66+H66</f>
        <v>258369.61914101188</v>
      </c>
      <c r="J66" s="8">
        <f>Dashboard!$C$13*A66</f>
        <v>12800</v>
      </c>
      <c r="K66" s="8">
        <f>Dashboard!$C$14*A66</f>
        <v>19200</v>
      </c>
      <c r="L66" s="8">
        <f>Dashboard!$C$21-K66</f>
        <v>1480800</v>
      </c>
      <c r="M66" s="8">
        <f t="shared" ref="M66:M97" si="10">L66-I66-J66</f>
        <v>1209630.380858988</v>
      </c>
      <c r="N66" s="8">
        <f t="shared" ref="N66:N102" si="11">J66+K66</f>
        <v>32000</v>
      </c>
      <c r="O66" s="8">
        <f>Dashboard!$C$15*(Dashboard!$C$16*EXP(-Dashboard!$C$16*A66)*E66-(1-EXP(-Dashboard!$C$16*A66))*Dashboard!$C$17/Dashboard!$C$19*E66*(1-E66))</f>
        <v>0.24718752905978092</v>
      </c>
      <c r="P66" s="8">
        <f>Dashboard!$C$9*B66*Dashboard!$C$11*(-Dashboard!$C$12*(1-F66)-O66)+2*Dashboard!$C$20*A66</f>
        <v>-158074.77990129421</v>
      </c>
      <c r="Q66" s="8">
        <f>-P66-Dashboard!$C$13-Dashboard!$C$14</f>
        <v>108074.77990129421</v>
      </c>
    </row>
    <row r="67" spans="1:17" x14ac:dyDescent="0.25">
      <c r="A67" s="5">
        <f>(67-2)/100</f>
        <v>0.65</v>
      </c>
      <c r="B67" s="5">
        <f>Dashboard!$C$10*EXP(-Dashboard!$C$12*A67)</f>
        <v>0.15930448429949839</v>
      </c>
      <c r="C67" s="5">
        <f>Dashboard!$C$17*A67</f>
        <v>520</v>
      </c>
      <c r="D67" s="5">
        <f>Dashboard!$C$15*(1-EXP(-Dashboard!$C$16*A67))</f>
        <v>0.22197811708634224</v>
      </c>
      <c r="E67" s="5">
        <f>1/(1+EXP(MIN(700,MAX(-700,(C67-Dashboard!$C$18)/Dashboard!$C$19))))</f>
        <v>0.92177174054821609</v>
      </c>
      <c r="F67" s="5">
        <f t="shared" si="8"/>
        <v>0.2046131553502934</v>
      </c>
      <c r="G67" s="8">
        <f>Dashboard!$C$9*B67*Dashboard!$C$11*(1-F67)</f>
        <v>253417.38221105351</v>
      </c>
      <c r="H67" s="8">
        <f>Dashboard!$C$20*A67^2</f>
        <v>3380.0000000000005</v>
      </c>
      <c r="I67" s="8">
        <f t="shared" si="9"/>
        <v>256797.38221105351</v>
      </c>
      <c r="J67" s="8">
        <f>Dashboard!$C$13*A67</f>
        <v>13000</v>
      </c>
      <c r="K67" s="8">
        <f>Dashboard!$C$14*A67</f>
        <v>19500</v>
      </c>
      <c r="L67" s="8">
        <f>Dashboard!$C$21-K67</f>
        <v>1480500</v>
      </c>
      <c r="M67" s="8">
        <f t="shared" si="10"/>
        <v>1210702.6177889465</v>
      </c>
      <c r="N67" s="8">
        <f t="shared" si="11"/>
        <v>32500</v>
      </c>
      <c r="O67" s="8">
        <f>Dashboard!$C$15*(Dashboard!$C$16*EXP(-Dashboard!$C$16*A67)*E67-(1-EXP(-Dashboard!$C$16*A67))*Dashboard!$C$17/Dashboard!$C$19*E67*(1-E67))</f>
        <v>0.24506007720548517</v>
      </c>
      <c r="P67" s="8">
        <f>Dashboard!$C$9*B67*Dashboard!$C$11*(-Dashboard!$C$12*(1-F67)-O67)+2*Dashboard!$C$20*A67</f>
        <v>-156374.42221709888</v>
      </c>
      <c r="Q67" s="8">
        <f>-P67-Dashboard!$C$13-Dashboard!$C$14</f>
        <v>106374.42221709888</v>
      </c>
    </row>
    <row r="68" spans="1:17" x14ac:dyDescent="0.25">
      <c r="A68" s="5">
        <f>(68-2)/100</f>
        <v>0.66</v>
      </c>
      <c r="B68" s="5">
        <f>Dashboard!$C$10*EXP(-Dashboard!$C$12*A68)</f>
        <v>0.15874789320704857</v>
      </c>
      <c r="C68" s="5">
        <f>Dashboard!$C$17*A68</f>
        <v>528</v>
      </c>
      <c r="D68" s="5">
        <f>Dashboard!$C$15*(1-EXP(-Dashboard!$C$16*A68))</f>
        <v>0.22486101325445906</v>
      </c>
      <c r="E68" s="5">
        <f>1/(1+EXP(MIN(700,MAX(-700,(C68-Dashboard!$C$18)/Dashboard!$C$19))))</f>
        <v>0.92080486956911256</v>
      </c>
      <c r="F68" s="5">
        <f t="shared" si="8"/>
        <v>0.20705311598095066</v>
      </c>
      <c r="G68" s="8">
        <f>Dashboard!$C$9*B68*Dashboard!$C$11*(1-F68)</f>
        <v>251757.29452623593</v>
      </c>
      <c r="H68" s="8">
        <f>Dashboard!$C$20*A68^2</f>
        <v>3484.8</v>
      </c>
      <c r="I68" s="8">
        <f t="shared" si="9"/>
        <v>255242.09452623592</v>
      </c>
      <c r="J68" s="8">
        <f>Dashboard!$C$13*A68</f>
        <v>13200</v>
      </c>
      <c r="K68" s="8">
        <f>Dashboard!$C$14*A68</f>
        <v>19800</v>
      </c>
      <c r="L68" s="8">
        <f>Dashboard!$C$21-K68</f>
        <v>1480200</v>
      </c>
      <c r="M68" s="8">
        <f t="shared" si="10"/>
        <v>1211757.9054737641</v>
      </c>
      <c r="N68" s="8">
        <f t="shared" si="11"/>
        <v>33000</v>
      </c>
      <c r="O68" s="8">
        <f>Dashboard!$C$15*(Dashboard!$C$16*EXP(-Dashboard!$C$16*A68)*E68-(1-EXP(-Dashboard!$C$16*A68))*Dashboard!$C$17/Dashboard!$C$19*E68*(1-E68))</f>
        <v>0.24293192513552564</v>
      </c>
      <c r="P68" s="8">
        <f>Dashboard!$C$9*B68*Dashboard!$C$11*(-Dashboard!$C$12*(1-F68)-O68)+2*Dashboard!$C$20*A68</f>
        <v>-154684.91570017688</v>
      </c>
      <c r="Q68" s="8">
        <f>-P68-Dashboard!$C$13-Dashboard!$C$14</f>
        <v>104684.91570017688</v>
      </c>
    </row>
    <row r="69" spans="1:17" x14ac:dyDescent="0.25">
      <c r="A69" s="5">
        <f>(69-2)/100</f>
        <v>0.67</v>
      </c>
      <c r="B69" s="5">
        <f>Dashboard!$C$10*EXP(-Dashboard!$C$12*A69)</f>
        <v>0.1581932467782757</v>
      </c>
      <c r="C69" s="5">
        <f>Dashboard!$C$17*A69</f>
        <v>536</v>
      </c>
      <c r="D69" s="5">
        <f>Dashboard!$C$15*(1-EXP(-Dashboard!$C$16*A69))</f>
        <v>0.22772953091795209</v>
      </c>
      <c r="E69" s="5">
        <f>1/(1+EXP(MIN(700,MAX(-700,(C69-Dashboard!$C$18)/Dashboard!$C$19))))</f>
        <v>0.91982708782718769</v>
      </c>
      <c r="F69" s="5">
        <f t="shared" si="8"/>
        <v>0.20947179123651138</v>
      </c>
      <c r="G69" s="8">
        <f>Dashboard!$C$9*B69*Dashboard!$C$11*(1-F69)</f>
        <v>250112.44802822161</v>
      </c>
      <c r="H69" s="8">
        <f>Dashboard!$C$20*A69^2</f>
        <v>3591.2000000000007</v>
      </c>
      <c r="I69" s="8">
        <f t="shared" si="9"/>
        <v>253703.64802822162</v>
      </c>
      <c r="J69" s="8">
        <f>Dashboard!$C$13*A69</f>
        <v>13400</v>
      </c>
      <c r="K69" s="8">
        <f>Dashboard!$C$14*A69</f>
        <v>20100</v>
      </c>
      <c r="L69" s="8">
        <f>Dashboard!$C$21-K69</f>
        <v>1479900</v>
      </c>
      <c r="M69" s="8">
        <f t="shared" si="10"/>
        <v>1212796.3519717783</v>
      </c>
      <c r="N69" s="8">
        <f t="shared" si="11"/>
        <v>33500</v>
      </c>
      <c r="O69" s="8">
        <f>Dashboard!$C$15*(Dashboard!$C$16*EXP(-Dashboard!$C$16*A69)*E69-(1-EXP(-Dashboard!$C$16*A69))*Dashboard!$C$17/Dashboard!$C$19*E69*(1-E69))</f>
        <v>0.24080298815063741</v>
      </c>
      <c r="P69" s="8">
        <f>Dashboard!$C$9*B69*Dashboard!$C$11*(-Dashboard!$C$12*(1-F69)-O69)+2*Dashboard!$C$20*A69</f>
        <v>-153006.16986879753</v>
      </c>
      <c r="Q69" s="8">
        <f>-P69-Dashboard!$C$13-Dashboard!$C$14</f>
        <v>103006.16986879753</v>
      </c>
    </row>
    <row r="70" spans="1:17" x14ac:dyDescent="0.25">
      <c r="A70" s="5">
        <f>(70-2)/100</f>
        <v>0.68</v>
      </c>
      <c r="B70" s="5">
        <f>Dashboard!$C$10*EXP(-Dashboard!$C$12*A70)</f>
        <v>0.15764053821875409</v>
      </c>
      <c r="C70" s="5">
        <f>Dashboard!$C$17*A70</f>
        <v>544</v>
      </c>
      <c r="D70" s="5">
        <f>Dashboard!$C$15*(1-EXP(-Dashboard!$C$16*A70))</f>
        <v>0.23058374178991228</v>
      </c>
      <c r="E70" s="5">
        <f>1/(1+EXP(MIN(700,MAX(-700,(C70-Dashboard!$C$18)/Dashboard!$C$19))))</f>
        <v>0.91883829798137617</v>
      </c>
      <c r="F70" s="5">
        <f t="shared" si="8"/>
        <v>0.21186917284842013</v>
      </c>
      <c r="G70" s="8">
        <f>Dashboard!$C$9*B70*Dashboard!$C$11*(1-F70)</f>
        <v>248482.73555793383</v>
      </c>
      <c r="H70" s="8">
        <f>Dashboard!$C$20*A70^2</f>
        <v>3699.2000000000007</v>
      </c>
      <c r="I70" s="8">
        <f t="shared" si="9"/>
        <v>252181.93555793384</v>
      </c>
      <c r="J70" s="8">
        <f>Dashboard!$C$13*A70</f>
        <v>13600.000000000002</v>
      </c>
      <c r="K70" s="8">
        <f>Dashboard!$C$14*A70</f>
        <v>20400</v>
      </c>
      <c r="L70" s="8">
        <f>Dashboard!$C$21-K70</f>
        <v>1479600</v>
      </c>
      <c r="M70" s="8">
        <f t="shared" si="10"/>
        <v>1213818.0644420662</v>
      </c>
      <c r="N70" s="8">
        <f t="shared" si="11"/>
        <v>34000</v>
      </c>
      <c r="O70" s="8">
        <f>Dashboard!$C$15*(Dashboard!$C$16*EXP(-Dashboard!$C$16*A70)*E70-(1-EXP(-Dashboard!$C$16*A70))*Dashboard!$C$17/Dashboard!$C$19*E70*(1-E70))</f>
        <v>0.23867318253679937</v>
      </c>
      <c r="P70" s="8">
        <f>Dashboard!$C$9*B70*Dashboard!$C$11*(-Dashboard!$C$12*(1-F70)-O70)+2*Dashboard!$C$20*A70</f>
        <v>-151338.09535224483</v>
      </c>
      <c r="Q70" s="8">
        <f>-P70-Dashboard!$C$13-Dashboard!$C$14</f>
        <v>101338.09535224483</v>
      </c>
    </row>
    <row r="71" spans="1:17" x14ac:dyDescent="0.25">
      <c r="A71" s="5">
        <f>(71-2)/100</f>
        <v>0.69</v>
      </c>
      <c r="B71" s="5">
        <f>Dashboard!$C$10*EXP(-Dashboard!$C$12*A71)</f>
        <v>0.15708976075779701</v>
      </c>
      <c r="C71" s="5">
        <f>Dashboard!$C$17*A71</f>
        <v>552</v>
      </c>
      <c r="D71" s="5">
        <f>Dashboard!$C$15*(1-EXP(-Dashboard!$C$16*A71))</f>
        <v>0.23342371722576002</v>
      </c>
      <c r="E71" s="5">
        <f>1/(1+EXP(MIN(700,MAX(-700,(C71-Dashboard!$C$18)/Dashboard!$C$19))))</f>
        <v>0.91783840246553161</v>
      </c>
      <c r="F71" s="5">
        <f t="shared" si="8"/>
        <v>0.21424525171605757</v>
      </c>
      <c r="G71" s="8">
        <f>Dashboard!$C$9*B71*Dashboard!$C$11*(1-F71)</f>
        <v>246868.05084445508</v>
      </c>
      <c r="H71" s="8">
        <f>Dashboard!$C$20*A71^2</f>
        <v>3808.7999999999993</v>
      </c>
      <c r="I71" s="8">
        <f t="shared" si="9"/>
        <v>250676.85084445507</v>
      </c>
      <c r="J71" s="8">
        <f>Dashboard!$C$13*A71</f>
        <v>13799.999999999998</v>
      </c>
      <c r="K71" s="8">
        <f>Dashboard!$C$14*A71</f>
        <v>20700</v>
      </c>
      <c r="L71" s="8">
        <f>Dashboard!$C$21-K71</f>
        <v>1479300</v>
      </c>
      <c r="M71" s="8">
        <f t="shared" si="10"/>
        <v>1214823.149155545</v>
      </c>
      <c r="N71" s="8">
        <f t="shared" si="11"/>
        <v>34500</v>
      </c>
      <c r="O71" s="8">
        <f>Dashboard!$C$15*(Dashboard!$C$16*EXP(-Dashboard!$C$16*A71)*E71-(1-EXP(-Dashboard!$C$16*A71))*Dashboard!$C$17/Dashboard!$C$19*E71*(1-E71))</f>
        <v>0.23654242560129643</v>
      </c>
      <c r="P71" s="8">
        <f>Dashboard!$C$9*B71*Dashboard!$C$11*(-Dashboard!$C$12*(1-F71)-O71)+2*Dashboard!$C$20*A71</f>
        <v>-149680.60388911256</v>
      </c>
      <c r="Q71" s="8">
        <f>-P71-Dashboard!$C$13-Dashboard!$C$14</f>
        <v>99680.603889112565</v>
      </c>
    </row>
    <row r="72" spans="1:17" x14ac:dyDescent="0.25">
      <c r="A72" s="5">
        <f>(72-2)/100</f>
        <v>0.7</v>
      </c>
      <c r="B72" s="5">
        <f>Dashboard!$C$10*EXP(-Dashboard!$C$12*A72)</f>
        <v>0.15654090764837364</v>
      </c>
      <c r="C72" s="5">
        <f>Dashboard!$C$17*A72</f>
        <v>560</v>
      </c>
      <c r="D72" s="5">
        <f>Dashboard!$C$15*(1-EXP(-Dashboard!$C$16*A72))</f>
        <v>0.23624952822502926</v>
      </c>
      <c r="E72" s="5">
        <f>1/(1+EXP(MIN(700,MAX(-700,(C72-Dashboard!$C$18)/Dashboard!$C$19))))</f>
        <v>0.91682730350607766</v>
      </c>
      <c r="F72" s="5">
        <f t="shared" si="8"/>
        <v>0.21660001791713657</v>
      </c>
      <c r="G72" s="8">
        <f>Dashboard!$C$9*B72*Dashboard!$C$11*(1-F72)</f>
        <v>245268.28849394221</v>
      </c>
      <c r="H72" s="8">
        <f>Dashboard!$C$20*A72^2</f>
        <v>3919.9999999999995</v>
      </c>
      <c r="I72" s="8">
        <f t="shared" si="9"/>
        <v>249188.28849394221</v>
      </c>
      <c r="J72" s="8">
        <f>Dashboard!$C$13*A72</f>
        <v>14000</v>
      </c>
      <c r="K72" s="8">
        <f>Dashboard!$C$14*A72</f>
        <v>21000</v>
      </c>
      <c r="L72" s="8">
        <f>Dashboard!$C$21-K72</f>
        <v>1479000</v>
      </c>
      <c r="M72" s="8">
        <f t="shared" si="10"/>
        <v>1215811.7115060578</v>
      </c>
      <c r="N72" s="8">
        <f t="shared" si="11"/>
        <v>35000</v>
      </c>
      <c r="O72" s="8">
        <f>Dashboard!$C$15*(Dashboard!$C$16*EXP(-Dashboard!$C$16*A72)*E72-(1-EXP(-Dashboard!$C$16*A72))*Dashboard!$C$17/Dashboard!$C$19*E72*(1-E72))</f>
        <v>0.23441063570946263</v>
      </c>
      <c r="P72" s="8">
        <f>Dashboard!$C$9*B72*Dashboard!$C$11*(-Dashboard!$C$12*(1-F72)-O72)+2*Dashboard!$C$20*A72</f>
        <v>-148033.60832566288</v>
      </c>
      <c r="Q72" s="8">
        <f>-P72-Dashboard!$C$13-Dashboard!$C$14</f>
        <v>98033.608325662877</v>
      </c>
    </row>
    <row r="73" spans="1:17" x14ac:dyDescent="0.25">
      <c r="A73" s="5">
        <f>(73-2)/100</f>
        <v>0.71</v>
      </c>
      <c r="B73" s="5">
        <f>Dashboard!$C$10*EXP(-Dashboard!$C$12*A73)</f>
        <v>0.15599397216702657</v>
      </c>
      <c r="C73" s="5">
        <f>Dashboard!$C$17*A73</f>
        <v>568</v>
      </c>
      <c r="D73" s="5">
        <f>Dashboard!$C$15*(1-EXP(-Dashboard!$C$16*A73))</f>
        <v>0.23906124543314206</v>
      </c>
      <c r="E73" s="5">
        <f>1/(1+EXP(MIN(700,MAX(-700,(C73-Dashboard!$C$18)/Dashboard!$C$19))))</f>
        <v>0.91580490314017859</v>
      </c>
      <c r="F73" s="5">
        <f t="shared" si="8"/>
        <v>0.21893346071846911</v>
      </c>
      <c r="G73" s="8">
        <f>Dashboard!$C$9*B73*Dashboard!$C$11*(1-F73)</f>
        <v>243683.34397855779</v>
      </c>
      <c r="H73" s="8">
        <f>Dashboard!$C$20*A73^2</f>
        <v>4032.7999999999997</v>
      </c>
      <c r="I73" s="8">
        <f t="shared" si="9"/>
        <v>247716.14397855778</v>
      </c>
      <c r="J73" s="8">
        <f>Dashboard!$C$13*A73</f>
        <v>14200</v>
      </c>
      <c r="K73" s="8">
        <f>Dashboard!$C$14*A73</f>
        <v>21300</v>
      </c>
      <c r="L73" s="8">
        <f>Dashboard!$C$21-K73</f>
        <v>1478700</v>
      </c>
      <c r="M73" s="8">
        <f t="shared" si="10"/>
        <v>1216783.8560214422</v>
      </c>
      <c r="N73" s="8">
        <f t="shared" si="11"/>
        <v>35500</v>
      </c>
      <c r="O73" s="8">
        <f>Dashboard!$C$15*(Dashboard!$C$16*EXP(-Dashboard!$C$16*A73)*E73-(1-EXP(-Dashboard!$C$16*A73))*Dashboard!$C$17/Dashboard!$C$19*E73*(1-E73))</f>
        <v>0.23227773232210699</v>
      </c>
      <c r="P73" s="8">
        <f>Dashboard!$C$9*B73*Dashboard!$C$11*(-Dashboard!$C$12*(1-F73)-O73)+2*Dashboard!$C$20*A73</f>
        <v>-146397.02261424481</v>
      </c>
      <c r="Q73" s="8">
        <f>-P73-Dashboard!$C$13-Dashboard!$C$14</f>
        <v>96397.022614244808</v>
      </c>
    </row>
    <row r="74" spans="1:17" x14ac:dyDescent="0.25">
      <c r="A74" s="5">
        <f>(74-2)/100</f>
        <v>0.72</v>
      </c>
      <c r="B74" s="5">
        <f>Dashboard!$C$10*EXP(-Dashboard!$C$12*A74)</f>
        <v>0.15544894761378925</v>
      </c>
      <c r="C74" s="5">
        <f>Dashboard!$C$17*A74</f>
        <v>576</v>
      </c>
      <c r="D74" s="5">
        <f>Dashboard!$C$15*(1-EXP(-Dashboard!$C$16*A74))</f>
        <v>0.24185893914317519</v>
      </c>
      <c r="E74" s="5">
        <f>1/(1+EXP(MIN(700,MAX(-700,(C74-Dashboard!$C$18)/Dashboard!$C$19))))</f>
        <v>0.91477110323443045</v>
      </c>
      <c r="F74" s="5">
        <f t="shared" si="8"/>
        <v>0.22124556858711134</v>
      </c>
      <c r="G74" s="8">
        <f>Dashboard!$C$9*B74*Dashboard!$C$11*(1-F74)</f>
        <v>242113.11362541671</v>
      </c>
      <c r="H74" s="8">
        <f>Dashboard!$C$20*A74^2</f>
        <v>4147.2</v>
      </c>
      <c r="I74" s="8">
        <f t="shared" si="9"/>
        <v>246260.31362541672</v>
      </c>
      <c r="J74" s="8">
        <f>Dashboard!$C$13*A74</f>
        <v>14400</v>
      </c>
      <c r="K74" s="8">
        <f>Dashboard!$C$14*A74</f>
        <v>21600</v>
      </c>
      <c r="L74" s="8">
        <f>Dashboard!$C$21-K74</f>
        <v>1478400</v>
      </c>
      <c r="M74" s="8">
        <f t="shared" si="10"/>
        <v>1217739.6863745833</v>
      </c>
      <c r="N74" s="8">
        <f t="shared" si="11"/>
        <v>36000</v>
      </c>
      <c r="O74" s="8">
        <f>Dashboard!$C$15*(Dashboard!$C$16*EXP(-Dashboard!$C$16*A74)*E74-(1-EXP(-Dashboard!$C$16*A74))*Dashboard!$C$17/Dashboard!$C$19*E74*(1-E74))</f>
        <v>0.23014363603361568</v>
      </c>
      <c r="P74" s="8">
        <f>Dashboard!$C$9*B74*Dashboard!$C$11*(-Dashboard!$C$12*(1-F74)-O74)+2*Dashboard!$C$20*A74</f>
        <v>-144770.76181176884</v>
      </c>
      <c r="Q74" s="8">
        <f>-P74-Dashboard!$C$13-Dashboard!$C$14</f>
        <v>94770.76181176884</v>
      </c>
    </row>
    <row r="75" spans="1:17" x14ac:dyDescent="0.25">
      <c r="A75" s="5">
        <f>(75-2)/100</f>
        <v>0.73</v>
      </c>
      <c r="B75" s="5">
        <f>Dashboard!$C$10*EXP(-Dashboard!$C$12*A75)</f>
        <v>0.15490582731210412</v>
      </c>
      <c r="C75" s="5">
        <f>Dashboard!$C$17*A75</f>
        <v>584</v>
      </c>
      <c r="D75" s="5">
        <f>Dashboard!$C$15*(1-EXP(-Dashboard!$C$16*A75))</f>
        <v>0.24464267929761691</v>
      </c>
      <c r="E75" s="5">
        <f>1/(1+EXP(MIN(700,MAX(-700,(C75-Dashboard!$C$18)/Dashboard!$C$19))))</f>
        <v>0.91372580550408333</v>
      </c>
      <c r="F75" s="5">
        <f t="shared" si="8"/>
        <v>0.22353632920189215</v>
      </c>
      <c r="G75" s="8">
        <f>Dashboard!$C$9*B75*Dashboard!$C$11*(1-F75)</f>
        <v>240557.4946055483</v>
      </c>
      <c r="H75" s="8">
        <f>Dashboard!$C$20*A75^2</f>
        <v>4263.2</v>
      </c>
      <c r="I75" s="8">
        <f t="shared" si="9"/>
        <v>244820.69460554831</v>
      </c>
      <c r="J75" s="8">
        <f>Dashboard!$C$13*A75</f>
        <v>14600</v>
      </c>
      <c r="K75" s="8">
        <f>Dashboard!$C$14*A75</f>
        <v>21900</v>
      </c>
      <c r="L75" s="8">
        <f>Dashboard!$C$21-K75</f>
        <v>1478100</v>
      </c>
      <c r="M75" s="8">
        <f t="shared" si="10"/>
        <v>1218679.3053944516</v>
      </c>
      <c r="N75" s="8">
        <f t="shared" si="11"/>
        <v>36500</v>
      </c>
      <c r="O75" s="8">
        <f>Dashboard!$C$15*(Dashboard!$C$16*EXP(-Dashboard!$C$16*A75)*E75-(1-EXP(-Dashboard!$C$16*A75))*Dashboard!$C$17/Dashboard!$C$19*E75*(1-E75))</f>
        <v>0.22800826861073087</v>
      </c>
      <c r="P75" s="8">
        <f>Dashboard!$C$9*B75*Dashboard!$C$11*(-Dashboard!$C$12*(1-F75)-O75)+2*Dashboard!$C$20*A75</f>
        <v>-143154.74207823334</v>
      </c>
      <c r="Q75" s="8">
        <f>-P75-Dashboard!$C$13-Dashboard!$C$14</f>
        <v>93154.742078233336</v>
      </c>
    </row>
    <row r="76" spans="1:17" x14ac:dyDescent="0.25">
      <c r="A76" s="5">
        <f>(76-2)/100</f>
        <v>0.74</v>
      </c>
      <c r="B76" s="5">
        <f>Dashboard!$C$10*EXP(-Dashboard!$C$12*A76)</f>
        <v>0.15436460460874069</v>
      </c>
      <c r="C76" s="5">
        <f>Dashboard!$C$17*A76</f>
        <v>592</v>
      </c>
      <c r="D76" s="5">
        <f>Dashboard!$C$15*(1-EXP(-Dashboard!$C$16*A76))</f>
        <v>0.24741253549011627</v>
      </c>
      <c r="E76" s="5">
        <f>1/(1+EXP(MIN(700,MAX(-700,(C76-Dashboard!$C$18)/Dashboard!$C$19))))</f>
        <v>0.91266891153279739</v>
      </c>
      <c r="F76" s="5">
        <f t="shared" si="8"/>
        <v>0.22580572946533403</v>
      </c>
      <c r="G76" s="8">
        <f>Dashboard!$C$9*B76*Dashboard!$C$11*(1-F76)</f>
        <v>239016.38492287227</v>
      </c>
      <c r="H76" s="8">
        <f>Dashboard!$C$20*A76^2</f>
        <v>4380.8</v>
      </c>
      <c r="I76" s="8">
        <f t="shared" si="9"/>
        <v>243397.18492287226</v>
      </c>
      <c r="J76" s="8">
        <f>Dashboard!$C$13*A76</f>
        <v>14800</v>
      </c>
      <c r="K76" s="8">
        <f>Dashboard!$C$14*A76</f>
        <v>22200</v>
      </c>
      <c r="L76" s="8">
        <f>Dashboard!$C$21-K76</f>
        <v>1477800</v>
      </c>
      <c r="M76" s="8">
        <f t="shared" si="10"/>
        <v>1219602.8150771277</v>
      </c>
      <c r="N76" s="8">
        <f t="shared" si="11"/>
        <v>37000</v>
      </c>
      <c r="O76" s="8">
        <f>Dashboard!$C$15*(Dashboard!$C$16*EXP(-Dashboard!$C$16*A76)*E76-(1-EXP(-Dashboard!$C$16*A76))*Dashboard!$C$17/Dashboard!$C$19*E76*(1-E76))</f>
        <v>0.2258715530320009</v>
      </c>
      <c r="P76" s="8">
        <f>Dashboard!$C$9*B76*Dashboard!$C$11*(-Dashboard!$C$12*(1-F76)-O76)+2*Dashboard!$C$20*A76</f>
        <v>-141548.88067529933</v>
      </c>
      <c r="Q76" s="8">
        <f>-P76-Dashboard!$C$13-Dashboard!$C$14</f>
        <v>91548.880675299326</v>
      </c>
    </row>
    <row r="77" spans="1:17" x14ac:dyDescent="0.25">
      <c r="A77" s="5">
        <f>(77-2)/100</f>
        <v>0.75</v>
      </c>
      <c r="B77" s="5">
        <f>Dashboard!$C$10*EXP(-Dashboard!$C$12*A77)</f>
        <v>0.15382527287371411</v>
      </c>
      <c r="C77" s="5">
        <f>Dashboard!$C$17*A77</f>
        <v>600</v>
      </c>
      <c r="D77" s="5">
        <f>Dashboard!$C$15*(1-EXP(-Dashboard!$C$16*A77))</f>
        <v>0.25016857696722222</v>
      </c>
      <c r="E77" s="5">
        <f>1/(1+EXP(MIN(700,MAX(-700,(C77-Dashboard!$C$18)/Dashboard!$C$19))))</f>
        <v>0.91160032279294168</v>
      </c>
      <c r="F77" s="5">
        <f t="shared" si="8"/>
        <v>0.22805375551597065</v>
      </c>
      <c r="G77" s="8">
        <f>Dashboard!$C$9*B77*Dashboard!$C$11*(1-F77)</f>
        <v>237489.68340318932</v>
      </c>
      <c r="H77" s="8">
        <f>Dashboard!$C$20*A77^2</f>
        <v>4500</v>
      </c>
      <c r="I77" s="8">
        <f t="shared" si="9"/>
        <v>241989.68340318932</v>
      </c>
      <c r="J77" s="8">
        <f>Dashboard!$C$13*A77</f>
        <v>15000</v>
      </c>
      <c r="K77" s="8">
        <f>Dashboard!$C$14*A77</f>
        <v>22500</v>
      </c>
      <c r="L77" s="8">
        <f>Dashboard!$C$21-K77</f>
        <v>1477500</v>
      </c>
      <c r="M77" s="8">
        <f t="shared" si="10"/>
        <v>1220510.3165968107</v>
      </c>
      <c r="N77" s="8">
        <f t="shared" si="11"/>
        <v>37500</v>
      </c>
      <c r="O77" s="8">
        <f>Dashboard!$C$15*(Dashboard!$C$16*EXP(-Dashboard!$C$16*A77)*E77-(1-EXP(-Dashboard!$C$16*A77))*Dashboard!$C$17/Dashboard!$C$19*E77*(1-E77))</f>
        <v>0.22373341352789911</v>
      </c>
      <c r="P77" s="8">
        <f>Dashboard!$C$9*B77*Dashboard!$C$11*(-Dashboard!$C$12*(1-F77)-O77)+2*Dashboard!$C$20*A77</f>
        <v>-139953.09596490947</v>
      </c>
      <c r="Q77" s="8">
        <f>-P77-Dashboard!$C$13-Dashboard!$C$14</f>
        <v>89953.095964909473</v>
      </c>
    </row>
    <row r="78" spans="1:17" x14ac:dyDescent="0.25">
      <c r="A78" s="5">
        <f>(78-2)/100</f>
        <v>0.76</v>
      </c>
      <c r="B78" s="5">
        <f>Dashboard!$C$10*EXP(-Dashboard!$C$12*A78)</f>
        <v>0.15328782550020384</v>
      </c>
      <c r="C78" s="5">
        <f>Dashboard!$C$17*A78</f>
        <v>608</v>
      </c>
      <c r="D78" s="5">
        <f>Dashboard!$C$15*(1-EXP(-Dashboard!$C$16*A78))</f>
        <v>0.25291087263011536</v>
      </c>
      <c r="E78" s="5">
        <f>1/(1+EXP(MIN(700,MAX(-700,(C78-Dashboard!$C$18)/Dashboard!$C$19))))</f>
        <v>0.9105199406664386</v>
      </c>
      <c r="F78" s="5">
        <f t="shared" si="8"/>
        <v>0.23028039274106984</v>
      </c>
      <c r="G78" s="8">
        <f>Dashboard!$C$9*B78*Dashboard!$C$11*(1-F78)</f>
        <v>235977.28968318462</v>
      </c>
      <c r="H78" s="8">
        <f>Dashboard!$C$20*A78^2</f>
        <v>4620.8</v>
      </c>
      <c r="I78" s="8">
        <f t="shared" si="9"/>
        <v>240598.0896831846</v>
      </c>
      <c r="J78" s="8">
        <f>Dashboard!$C$13*A78</f>
        <v>15200</v>
      </c>
      <c r="K78" s="8">
        <f>Dashboard!$C$14*A78</f>
        <v>22800</v>
      </c>
      <c r="L78" s="8">
        <f>Dashboard!$C$21-K78</f>
        <v>1477200</v>
      </c>
      <c r="M78" s="8">
        <f t="shared" si="10"/>
        <v>1221401.9103168154</v>
      </c>
      <c r="N78" s="8">
        <f t="shared" si="11"/>
        <v>38000</v>
      </c>
      <c r="O78" s="8">
        <f>Dashboard!$C$15*(Dashboard!$C$16*EXP(-Dashboard!$C$16*A78)*E78-(1-EXP(-Dashboard!$C$16*A78))*Dashboard!$C$17/Dashboard!$C$19*E78*(1-E78))</f>
        <v>0.22159377562160487</v>
      </c>
      <c r="P78" s="8">
        <f>Dashboard!$C$9*B78*Dashboard!$C$11*(-Dashboard!$C$12*(1-F78)-O78)+2*Dashboard!$C$20*A78</f>
        <v>-138367.30740794638</v>
      </c>
      <c r="Q78" s="8">
        <f>-P78-Dashboard!$C$13-Dashboard!$C$14</f>
        <v>88367.307407946384</v>
      </c>
    </row>
    <row r="79" spans="1:17" x14ac:dyDescent="0.25">
      <c r="A79" s="5">
        <f>(79-2)/100</f>
        <v>0.77</v>
      </c>
      <c r="B79" s="5">
        <f>Dashboard!$C$10*EXP(-Dashboard!$C$12*A79)</f>
        <v>0.15275225590447283</v>
      </c>
      <c r="C79" s="5">
        <f>Dashboard!$C$17*A79</f>
        <v>616</v>
      </c>
      <c r="D79" s="5">
        <f>Dashboard!$C$15*(1-EXP(-Dashboard!$C$16*A79))</f>
        <v>0.25563949103632988</v>
      </c>
      <c r="E79" s="5">
        <f>1/(1+EXP(MIN(700,MAX(-700,(C79-Dashboard!$C$18)/Dashboard!$C$19))))</f>
        <v>0.90942766646616235</v>
      </c>
      <c r="F79" s="5">
        <f t="shared" si="8"/>
        <v>0.23248562578976692</v>
      </c>
      <c r="G79" s="8">
        <f>Dashboard!$C$9*B79*Dashboard!$C$11*(1-F79)</f>
        <v>234479.10419944569</v>
      </c>
      <c r="H79" s="8">
        <f>Dashboard!$C$20*A79^2</f>
        <v>4743.2</v>
      </c>
      <c r="I79" s="8">
        <f t="shared" si="9"/>
        <v>239222.3041994457</v>
      </c>
      <c r="J79" s="8">
        <f>Dashboard!$C$13*A79</f>
        <v>15400</v>
      </c>
      <c r="K79" s="8">
        <f>Dashboard!$C$14*A79</f>
        <v>23100</v>
      </c>
      <c r="L79" s="8">
        <f>Dashboard!$C$21-K79</f>
        <v>1476900</v>
      </c>
      <c r="M79" s="8">
        <f t="shared" si="10"/>
        <v>1222277.6958005542</v>
      </c>
      <c r="N79" s="8">
        <f t="shared" si="11"/>
        <v>38500</v>
      </c>
      <c r="O79" s="8">
        <f>Dashboard!$C$15*(Dashboard!$C$16*EXP(-Dashboard!$C$16*A79)*E79-(1-EXP(-Dashboard!$C$16*A79))*Dashboard!$C$17/Dashboard!$C$19*E79*(1-E79))</f>
        <v>0.21945256617044318</v>
      </c>
      <c r="P79" s="8">
        <f>Dashboard!$C$9*B79*Dashboard!$C$11*(-Dashboard!$C$12*(1-F79)-O79)+2*Dashboard!$C$20*A79</f>
        <v>-136791.4355629276</v>
      </c>
      <c r="Q79" s="8">
        <f>-P79-Dashboard!$C$13-Dashboard!$C$14</f>
        <v>86791.435562927596</v>
      </c>
    </row>
    <row r="80" spans="1:17" x14ac:dyDescent="0.25">
      <c r="A80" s="5">
        <f>(80-2)/100</f>
        <v>0.78</v>
      </c>
      <c r="B80" s="5">
        <f>Dashboard!$C$10*EXP(-Dashboard!$C$12*A80)</f>
        <v>0.15221855752578686</v>
      </c>
      <c r="C80" s="5">
        <f>Dashboard!$C$17*A80</f>
        <v>624</v>
      </c>
      <c r="D80" s="5">
        <f>Dashboard!$C$15*(1-EXP(-Dashboard!$C$16*A80))</f>
        <v>0.25835450040146829</v>
      </c>
      <c r="E80" s="5">
        <f>1/(1+EXP(MIN(700,MAX(-700,(C80-Dashboard!$C$18)/Dashboard!$C$19))))</f>
        <v>0.9083234014578947</v>
      </c>
      <c r="F80" s="5">
        <f t="shared" si="8"/>
        <v>0.23466943858661671</v>
      </c>
      <c r="G80" s="8">
        <f>Dashboard!$C$9*B80*Dashboard!$C$11*(1-F80)</f>
        <v>232995.02817749168</v>
      </c>
      <c r="H80" s="8">
        <f>Dashboard!$C$20*A80^2</f>
        <v>4867.2000000000007</v>
      </c>
      <c r="I80" s="8">
        <f t="shared" si="9"/>
        <v>237862.22817749169</v>
      </c>
      <c r="J80" s="8">
        <f>Dashboard!$C$13*A80</f>
        <v>15600</v>
      </c>
      <c r="K80" s="8">
        <f>Dashboard!$C$14*A80</f>
        <v>23400</v>
      </c>
      <c r="L80" s="8">
        <f>Dashboard!$C$21-K80</f>
        <v>1476600</v>
      </c>
      <c r="M80" s="8">
        <f t="shared" si="10"/>
        <v>1223137.7718225084</v>
      </c>
      <c r="N80" s="8">
        <f t="shared" si="11"/>
        <v>39000</v>
      </c>
      <c r="O80" s="8">
        <f>Dashboard!$C$15*(Dashboard!$C$16*EXP(-Dashboard!$C$16*A80)*E80-(1-EXP(-Dashboard!$C$16*A80))*Dashboard!$C$17/Dashboard!$C$19*E80*(1-E80))</f>
        <v>0.21730971340797423</v>
      </c>
      <c r="P80" s="8">
        <f>Dashboard!$C$9*B80*Dashboard!$C$11*(-Dashboard!$C$12*(1-F80)-O80)+2*Dashboard!$C$20*A80</f>
        <v>-135225.40208473004</v>
      </c>
      <c r="Q80" s="8">
        <f>-P80-Dashboard!$C$13-Dashboard!$C$14</f>
        <v>85225.402084730042</v>
      </c>
    </row>
    <row r="81" spans="1:17" x14ac:dyDescent="0.25">
      <c r="A81" s="5">
        <f>(81-2)/100</f>
        <v>0.79</v>
      </c>
      <c r="B81" s="5">
        <f>Dashboard!$C$10*EXP(-Dashboard!$C$12*A81)</f>
        <v>0.15168672382633411</v>
      </c>
      <c r="C81" s="5">
        <f>Dashboard!$C$17*A81</f>
        <v>632</v>
      </c>
      <c r="D81" s="5">
        <f>Dashboard!$C$15*(1-EXP(-Dashboard!$C$16*A81))</f>
        <v>0.26105596860090591</v>
      </c>
      <c r="E81" s="5">
        <f>1/(1+EXP(MIN(700,MAX(-700,(C81-Dashboard!$C$18)/Dashboard!$C$19))))</f>
        <v>0.90720704688284304</v>
      </c>
      <c r="F81" s="5">
        <f t="shared" si="8"/>
        <v>0.23683181434556805</v>
      </c>
      <c r="G81" s="8">
        <f>Dashboard!$C$9*B81*Dashboard!$C$11*(1-F81)</f>
        <v>231524.96362081659</v>
      </c>
      <c r="H81" s="8">
        <f>Dashboard!$C$20*A81^2</f>
        <v>4992.8000000000011</v>
      </c>
      <c r="I81" s="8">
        <f t="shared" si="9"/>
        <v>236517.76362081658</v>
      </c>
      <c r="J81" s="8">
        <f>Dashboard!$C$13*A81</f>
        <v>15800</v>
      </c>
      <c r="K81" s="8">
        <f>Dashboard!$C$14*A81</f>
        <v>23700</v>
      </c>
      <c r="L81" s="8">
        <f>Dashboard!$C$21-K81</f>
        <v>1476300</v>
      </c>
      <c r="M81" s="8">
        <f t="shared" si="10"/>
        <v>1223982.2363791834</v>
      </c>
      <c r="N81" s="8">
        <f t="shared" si="11"/>
        <v>39500</v>
      </c>
      <c r="O81" s="8">
        <f>Dashboard!$C$15*(Dashboard!$C$16*EXP(-Dashboard!$C$16*A81)*E81-(1-EXP(-Dashboard!$C$16*A81))*Dashboard!$C$17/Dashboard!$C$19*E81*(1-E81))</f>
        <v>0.21516514698672717</v>
      </c>
      <c r="P81" s="8">
        <f>Dashboard!$C$9*B81*Dashboard!$C$11*(-Dashboard!$C$12*(1-F81)-O81)+2*Dashboard!$C$20*A81</f>
        <v>-133669.12972334234</v>
      </c>
      <c r="Q81" s="8">
        <f>-P81-Dashboard!$C$13-Dashboard!$C$14</f>
        <v>83669.129723342339</v>
      </c>
    </row>
    <row r="82" spans="1:17" x14ac:dyDescent="0.25">
      <c r="A82" s="5">
        <f>(82-2)/100</f>
        <v>0.8</v>
      </c>
      <c r="B82" s="5">
        <f>Dashboard!$C$10*EXP(-Dashboard!$C$12*A82)</f>
        <v>0.15115674829114512</v>
      </c>
      <c r="C82" s="5">
        <f>Dashboard!$C$17*A82</f>
        <v>640</v>
      </c>
      <c r="D82" s="5">
        <f>Dashboard!$C$15*(1-EXP(-Dashboard!$C$16*A82))</f>
        <v>0.26374396317148857</v>
      </c>
      <c r="E82" s="5">
        <f>1/(1+EXP(MIN(700,MAX(-700,(C82-Dashboard!$C$18)/Dashboard!$C$19))))</f>
        <v>0.90607850398072887</v>
      </c>
      <c r="F82" s="5">
        <f t="shared" si="8"/>
        <v>0.23897273558437082</v>
      </c>
      <c r="G82" s="8">
        <f>Dashboard!$C$9*B82*Dashboard!$C$11*(1-F82)</f>
        <v>230068.81329994398</v>
      </c>
      <c r="H82" s="8">
        <f>Dashboard!$C$20*A82^2</f>
        <v>5120.0000000000009</v>
      </c>
      <c r="I82" s="8">
        <f t="shared" si="9"/>
        <v>235188.81329994398</v>
      </c>
      <c r="J82" s="8">
        <f>Dashboard!$C$13*A82</f>
        <v>16000</v>
      </c>
      <c r="K82" s="8">
        <f>Dashboard!$C$14*A82</f>
        <v>24000</v>
      </c>
      <c r="L82" s="8">
        <f>Dashboard!$C$21-K82</f>
        <v>1476000</v>
      </c>
      <c r="M82" s="8">
        <f t="shared" si="10"/>
        <v>1224811.1867000561</v>
      </c>
      <c r="N82" s="8">
        <f t="shared" si="11"/>
        <v>40000</v>
      </c>
      <c r="O82" s="8">
        <f>Dashboard!$C$15*(Dashboard!$C$16*EXP(-Dashboard!$C$16*A82)*E82-(1-EXP(-Dashboard!$C$16*A82))*Dashboard!$C$17/Dashboard!$C$19*E82*(1-E82))</f>
        <v>0.21301879802157042</v>
      </c>
      <c r="P82" s="8">
        <f>Dashboard!$C$9*B82*Dashboard!$C$11*(-Dashboard!$C$12*(1-F82)-O82)+2*Dashboard!$C$20*A82</f>
        <v>-132122.54232263798</v>
      </c>
      <c r="Q82" s="8">
        <f>-P82-Dashboard!$C$13-Dashboard!$C$14</f>
        <v>82122.542322637979</v>
      </c>
    </row>
    <row r="83" spans="1:17" x14ac:dyDescent="0.25">
      <c r="A83" s="5">
        <f>(83-2)/100</f>
        <v>0.81</v>
      </c>
      <c r="B83" s="5">
        <f>Dashboard!$C$10*EXP(-Dashboard!$C$12*A83)</f>
        <v>0.15062862442801292</v>
      </c>
      <c r="C83" s="5">
        <f>Dashboard!$C$17*A83</f>
        <v>648</v>
      </c>
      <c r="D83" s="5">
        <f>Dashboard!$C$15*(1-EXP(-Dashboard!$C$16*A83))</f>
        <v>0.26641855131322051</v>
      </c>
      <c r="E83" s="5">
        <f>1/(1+EXP(MIN(700,MAX(-700,(C83-Dashboard!$C$18)/Dashboard!$C$19))))</f>
        <v>0.90493767401344771</v>
      </c>
      <c r="F83" s="5">
        <f t="shared" si="8"/>
        <v>0.24109218413941813</v>
      </c>
      <c r="G83" s="8">
        <f>Dashboard!$C$9*B83*Dashboard!$C$11*(1-F83)</f>
        <v>228626.48074149436</v>
      </c>
      <c r="H83" s="8">
        <f>Dashboard!$C$20*A83^2</f>
        <v>5248.8000000000011</v>
      </c>
      <c r="I83" s="8">
        <f t="shared" si="9"/>
        <v>233875.28074149435</v>
      </c>
      <c r="J83" s="8">
        <f>Dashboard!$C$13*A83</f>
        <v>16200.000000000002</v>
      </c>
      <c r="K83" s="8">
        <f>Dashboard!$C$14*A83</f>
        <v>24300</v>
      </c>
      <c r="L83" s="8">
        <f>Dashboard!$C$21-K83</f>
        <v>1475700</v>
      </c>
      <c r="M83" s="8">
        <f t="shared" si="10"/>
        <v>1225624.7192585056</v>
      </c>
      <c r="N83" s="8">
        <f t="shared" si="11"/>
        <v>40500</v>
      </c>
      <c r="O83" s="8">
        <f>Dashboard!$C$15*(Dashboard!$C$16*EXP(-Dashboard!$C$16*A83)*E83-(1-EXP(-Dashboard!$C$16*A83))*Dashboard!$C$17/Dashboard!$C$19*E83*(1-E83))</f>
        <v>0.21087059913370837</v>
      </c>
      <c r="P83" s="8">
        <f>Dashboard!$C$9*B83*Dashboard!$C$11*(-Dashboard!$C$12*(1-F83)-O83)+2*Dashboard!$C$20*A83</f>
        <v>-130585.56481916588</v>
      </c>
      <c r="Q83" s="8">
        <f>-P83-Dashboard!$C$13-Dashboard!$C$14</f>
        <v>80585.564819165884</v>
      </c>
    </row>
    <row r="84" spans="1:17" x14ac:dyDescent="0.25">
      <c r="A84" s="5">
        <f>(84-2)/100</f>
        <v>0.82</v>
      </c>
      <c r="B84" s="5">
        <f>Dashboard!$C$10*EXP(-Dashboard!$C$12*A84)</f>
        <v>0.1501023457674136</v>
      </c>
      <c r="C84" s="5">
        <f>Dashboard!$C$17*A84</f>
        <v>656</v>
      </c>
      <c r="D84" s="5">
        <f>Dashboard!$C$15*(1-EXP(-Dashboard!$C$16*A84))</f>
        <v>0.26907979989094449</v>
      </c>
      <c r="E84" s="5">
        <f>1/(1+EXP(MIN(700,MAX(-700,(C84-Dashboard!$C$18)/Dashboard!$C$19))))</f>
        <v>0.9037844582893072</v>
      </c>
      <c r="F84" s="5">
        <f t="shared" si="8"/>
        <v>0.24319014118103247</v>
      </c>
      <c r="G84" s="8">
        <f>Dashboard!$C$9*B84*Dashboard!$C$11*(1-F84)</f>
        <v>227197.87021726425</v>
      </c>
      <c r="H84" s="8">
        <f>Dashboard!$C$20*A84^2</f>
        <v>5379.1999999999989</v>
      </c>
      <c r="I84" s="8">
        <f t="shared" si="9"/>
        <v>232577.07021726426</v>
      </c>
      <c r="J84" s="8">
        <f>Dashboard!$C$13*A84</f>
        <v>16400</v>
      </c>
      <c r="K84" s="8">
        <f>Dashboard!$C$14*A84</f>
        <v>24600</v>
      </c>
      <c r="L84" s="8">
        <f>Dashboard!$C$21-K84</f>
        <v>1475400</v>
      </c>
      <c r="M84" s="8">
        <f t="shared" si="10"/>
        <v>1226422.9297827356</v>
      </c>
      <c r="N84" s="8">
        <f t="shared" si="11"/>
        <v>41000</v>
      </c>
      <c r="O84" s="8">
        <f>Dashboard!$C$15*(Dashboard!$C$16*EXP(-Dashboard!$C$16*A84)*E84-(1-EXP(-Dashboard!$C$16*A84))*Dashboard!$C$17/Dashboard!$C$19*E84*(1-E84))</f>
        <v>0.20872048449529612</v>
      </c>
      <c r="P84" s="8">
        <f>Dashboard!$C$9*B84*Dashboard!$C$11*(-Dashboard!$C$12*(1-F84)-O84)+2*Dashboard!$C$20*A84</f>
        <v>-129058.12324095255</v>
      </c>
      <c r="Q84" s="8">
        <f>-P84-Dashboard!$C$13-Dashboard!$C$14</f>
        <v>79058.123240952555</v>
      </c>
    </row>
    <row r="85" spans="1:17" x14ac:dyDescent="0.25">
      <c r="A85" s="5">
        <f>(85-2)/100</f>
        <v>0.83</v>
      </c>
      <c r="B85" s="5">
        <f>Dashboard!$C$10*EXP(-Dashboard!$C$12*A85)</f>
        <v>0.149577905862427</v>
      </c>
      <c r="C85" s="5">
        <f>Dashboard!$C$17*A85</f>
        <v>664</v>
      </c>
      <c r="D85" s="5">
        <f>Dashboard!$C$15*(1-EXP(-Dashboard!$C$16*A85))</f>
        <v>0.27172777543601373</v>
      </c>
      <c r="E85" s="5">
        <f>1/(1+EXP(MIN(700,MAX(-700,(C85-Dashboard!$C$18)/Dashboard!$C$19))))</f>
        <v>0.90261875818784709</v>
      </c>
      <c r="F85" s="5">
        <f t="shared" si="8"/>
        <v>0.24526658722920089</v>
      </c>
      <c r="G85" s="8">
        <f>Dashboard!$C$9*B85*Dashboard!$C$11*(1-F85)</f>
        <v>225782.88673331769</v>
      </c>
      <c r="H85" s="8">
        <f>Dashboard!$C$20*A85^2</f>
        <v>5511.2</v>
      </c>
      <c r="I85" s="8">
        <f t="shared" si="9"/>
        <v>231294.0867333177</v>
      </c>
      <c r="J85" s="8">
        <f>Dashboard!$C$13*A85</f>
        <v>16600</v>
      </c>
      <c r="K85" s="8">
        <f>Dashboard!$C$14*A85</f>
        <v>24900</v>
      </c>
      <c r="L85" s="8">
        <f>Dashboard!$C$21-K85</f>
        <v>1475100</v>
      </c>
      <c r="M85" s="8">
        <f t="shared" si="10"/>
        <v>1227205.9132666823</v>
      </c>
      <c r="N85" s="8">
        <f t="shared" si="11"/>
        <v>41500</v>
      </c>
      <c r="O85" s="8">
        <f>Dashboard!$C$15*(Dashboard!$C$16*EXP(-Dashboard!$C$16*A85)*E85-(1-EXP(-Dashboard!$C$16*A85))*Dashboard!$C$17/Dashboard!$C$19*E85*(1-E85))</f>
        <v>0.20656838987466064</v>
      </c>
      <c r="P85" s="8">
        <f>Dashboard!$C$9*B85*Dashboard!$C$11*(-Dashboard!$C$12*(1-F85)-O85)+2*Dashboard!$C$20*A85</f>
        <v>-127540.1447063114</v>
      </c>
      <c r="Q85" s="8">
        <f>-P85-Dashboard!$C$13-Dashboard!$C$14</f>
        <v>77540.144706311403</v>
      </c>
    </row>
    <row r="86" spans="1:17" x14ac:dyDescent="0.25">
      <c r="A86" s="5">
        <f>(86-2)/100</f>
        <v>0.84</v>
      </c>
      <c r="B86" s="5">
        <f>Dashboard!$C$10*EXP(-Dashboard!$C$12*A86)</f>
        <v>0.14905529828865774</v>
      </c>
      <c r="C86" s="5">
        <f>Dashboard!$C$17*A86</f>
        <v>672</v>
      </c>
      <c r="D86" s="5">
        <f>Dashboard!$C$15*(1-EXP(-Dashboard!$C$16*A86))</f>
        <v>0.27436254414795463</v>
      </c>
      <c r="E86" s="5">
        <f>1/(1+EXP(MIN(700,MAX(-700,(C86-Dashboard!$C$18)/Dashboard!$C$19))))</f>
        <v>0.90144047518524539</v>
      </c>
      <c r="F86" s="5">
        <f t="shared" si="8"/>
        <v>0.24732150216976509</v>
      </c>
      <c r="G86" s="8">
        <f>Dashboard!$C$9*B86*Dashboard!$C$11*(1-F86)</f>
        <v>224381.43601908899</v>
      </c>
      <c r="H86" s="8">
        <f>Dashboard!$C$20*A86^2</f>
        <v>5644.7999999999993</v>
      </c>
      <c r="I86" s="8">
        <f t="shared" si="9"/>
        <v>230026.23601908897</v>
      </c>
      <c r="J86" s="8">
        <f>Dashboard!$C$13*A86</f>
        <v>16800</v>
      </c>
      <c r="K86" s="8">
        <f>Dashboard!$C$14*A86</f>
        <v>25200</v>
      </c>
      <c r="L86" s="8">
        <f>Dashboard!$C$21-K86</f>
        <v>1474800</v>
      </c>
      <c r="M86" s="8">
        <f t="shared" si="10"/>
        <v>1227973.7639809111</v>
      </c>
      <c r="N86" s="8">
        <f t="shared" si="11"/>
        <v>42000</v>
      </c>
      <c r="O86" s="8">
        <f>Dashboard!$C$15*(Dashboard!$C$16*EXP(-Dashboard!$C$16*A86)*E86-(1-EXP(-Dashboard!$C$16*A86))*Dashboard!$C$17/Dashboard!$C$19*E86*(1-E86))</f>
        <v>0.20441425268211788</v>
      </c>
      <c r="P86" s="8">
        <f>Dashboard!$C$9*B86*Dashboard!$C$11*(-Dashboard!$C$12*(1-F86)-O86)+2*Dashboard!$C$20*A86</f>
        <v>-126031.55742265339</v>
      </c>
      <c r="Q86" s="8">
        <f>-P86-Dashboard!$C$13-Dashboard!$C$14</f>
        <v>76031.557422653394</v>
      </c>
    </row>
    <row r="87" spans="1:17" x14ac:dyDescent="0.25">
      <c r="A87" s="5">
        <f>(87-2)/100</f>
        <v>0.85</v>
      </c>
      <c r="B87" s="5">
        <f>Dashboard!$C$10*EXP(-Dashboard!$C$12*A87)</f>
        <v>0.14853451664415648</v>
      </c>
      <c r="C87" s="5">
        <f>Dashboard!$C$17*A87</f>
        <v>680</v>
      </c>
      <c r="D87" s="5">
        <f>Dashboard!$C$15*(1-EXP(-Dashboard!$C$16*A87))</f>
        <v>0.27698417189612218</v>
      </c>
      <c r="E87" s="5">
        <f>1/(1+EXP(MIN(700,MAX(-700,(C87-Dashboard!$C$18)/Dashboard!$C$19))))</f>
        <v>0.9002495108803148</v>
      </c>
      <c r="F87" s="5">
        <f t="shared" si="8"/>
        <v>0.24935486527107303</v>
      </c>
      <c r="G87" s="8">
        <f>Dashboard!$C$9*B87*Dashboard!$C$11*(1-F87)</f>
        <v>222993.42451649776</v>
      </c>
      <c r="H87" s="8">
        <f>Dashboard!$C$20*A87^2</f>
        <v>5779.9999999999991</v>
      </c>
      <c r="I87" s="8">
        <f t="shared" si="9"/>
        <v>228773.42451649776</v>
      </c>
      <c r="J87" s="8">
        <f>Dashboard!$C$13*A87</f>
        <v>17000</v>
      </c>
      <c r="K87" s="8">
        <f>Dashboard!$C$14*A87</f>
        <v>25500</v>
      </c>
      <c r="L87" s="8">
        <f>Dashboard!$C$21-K87</f>
        <v>1474500</v>
      </c>
      <c r="M87" s="8">
        <f t="shared" si="10"/>
        <v>1228726.5754835024</v>
      </c>
      <c r="N87" s="8">
        <f t="shared" si="11"/>
        <v>42500</v>
      </c>
      <c r="O87" s="8">
        <f>Dashboard!$C$15*(Dashboard!$C$16*EXP(-Dashboard!$C$16*A87)*E87-(1-EXP(-Dashboard!$C$16*A87))*Dashboard!$C$17/Dashboard!$C$19*E87*(1-E87))</f>
        <v>0.20225801201637239</v>
      </c>
      <c r="P87" s="8">
        <f>Dashboard!$C$9*B87*Dashboard!$C$11*(-Dashboard!$C$12*(1-F87)-O87)+2*Dashboard!$C$20*A87</f>
        <v>-124532.29068529393</v>
      </c>
      <c r="Q87" s="8">
        <f>-P87-Dashboard!$C$13-Dashboard!$C$14</f>
        <v>74532.290685293934</v>
      </c>
    </row>
    <row r="88" spans="1:17" x14ac:dyDescent="0.25">
      <c r="A88" s="5">
        <f>(88-2)/100</f>
        <v>0.86</v>
      </c>
      <c r="B88" s="5">
        <f>Dashboard!$C$10*EXP(-Dashboard!$C$12*A88)</f>
        <v>0.14801555454934154</v>
      </c>
      <c r="C88" s="5">
        <f>Dashboard!$C$17*A88</f>
        <v>688</v>
      </c>
      <c r="D88" s="5">
        <f>Dashboard!$C$15*(1-EXP(-Dashboard!$C$16*A88))</f>
        <v>0.27959272422134679</v>
      </c>
      <c r="E88" s="5">
        <f>1/(1+EXP(MIN(700,MAX(-700,(C88-Dashboard!$C$18)/Dashboard!$C$19))))</f>
        <v>0.89904576702109174</v>
      </c>
      <c r="F88" s="5">
        <f t="shared" si="8"/>
        <v>0.2513666552010973</v>
      </c>
      <c r="G88" s="8">
        <f>Dashboard!$C$9*B88*Dashboard!$C$11*(1-F88)</f>
        <v>221618.759369076</v>
      </c>
      <c r="H88" s="8">
        <f>Dashboard!$C$20*A88^2</f>
        <v>5916.7999999999993</v>
      </c>
      <c r="I88" s="8">
        <f t="shared" si="9"/>
        <v>227535.55936907599</v>
      </c>
      <c r="J88" s="8">
        <f>Dashboard!$C$13*A88</f>
        <v>17200</v>
      </c>
      <c r="K88" s="8">
        <f>Dashboard!$C$14*A88</f>
        <v>25800</v>
      </c>
      <c r="L88" s="8">
        <f>Dashboard!$C$21-K88</f>
        <v>1474200</v>
      </c>
      <c r="M88" s="8">
        <f t="shared" si="10"/>
        <v>1229464.440630924</v>
      </c>
      <c r="N88" s="8">
        <f t="shared" si="11"/>
        <v>43000</v>
      </c>
      <c r="O88" s="8">
        <f>Dashboard!$C$15*(Dashboard!$C$16*EXP(-Dashboard!$C$16*A88)*E88-(1-EXP(-Dashboard!$C$16*A88))*Dashboard!$C$17/Dashboard!$C$19*E88*(1-E88))</f>
        <v>0.20009960871148744</v>
      </c>
      <c r="P88" s="8">
        <f>Dashboard!$C$9*B88*Dashboard!$C$11*(-Dashboard!$C$12*(1-F88)-O88)+2*Dashboard!$C$20*A88</f>
        <v>-123042.27487625074</v>
      </c>
      <c r="Q88" s="8">
        <f>-P88-Dashboard!$C$13-Dashboard!$C$14</f>
        <v>73042.27487625074</v>
      </c>
    </row>
    <row r="89" spans="1:17" x14ac:dyDescent="0.25">
      <c r="A89" s="5">
        <f>(89-2)/100</f>
        <v>0.87</v>
      </c>
      <c r="B89" s="5">
        <f>Dashboard!$C$10*EXP(-Dashboard!$C$12*A89)</f>
        <v>0.14749840564692082</v>
      </c>
      <c r="C89" s="5">
        <f>Dashboard!$C$17*A89</f>
        <v>696</v>
      </c>
      <c r="D89" s="5">
        <f>Dashboard!$C$15*(1-EXP(-Dashboard!$C$16*A89))</f>
        <v>0.28218826633757227</v>
      </c>
      <c r="E89" s="5">
        <f>1/(1+EXP(MIN(700,MAX(-700,(C89-Dashboard!$C$18)/Dashboard!$C$19))))</f>
        <v>0.89782914553202275</v>
      </c>
      <c r="F89" s="5">
        <f t="shared" si="8"/>
        <v>0.25335685004502539</v>
      </c>
      <c r="G89" s="8">
        <f>Dashboard!$C$9*B89*Dashboard!$C$11*(1-F89)</f>
        <v>220257.34841110714</v>
      </c>
      <c r="H89" s="8">
        <f>Dashboard!$C$20*A89^2</f>
        <v>6055.2</v>
      </c>
      <c r="I89" s="8">
        <f t="shared" si="9"/>
        <v>226312.54841110716</v>
      </c>
      <c r="J89" s="8">
        <f>Dashboard!$C$13*A89</f>
        <v>17400</v>
      </c>
      <c r="K89" s="8">
        <f>Dashboard!$C$14*A89</f>
        <v>26100</v>
      </c>
      <c r="L89" s="8">
        <f>Dashboard!$C$21-K89</f>
        <v>1473900</v>
      </c>
      <c r="M89" s="8">
        <f t="shared" si="10"/>
        <v>1230187.4515888928</v>
      </c>
      <c r="N89" s="8">
        <f t="shared" si="11"/>
        <v>43500</v>
      </c>
      <c r="O89" s="8">
        <f>Dashboard!$C$15*(Dashboard!$C$16*EXP(-Dashboard!$C$16*A89)*E89-(1-EXP(-Dashboard!$C$16*A89))*Dashboard!$C$17/Dashboard!$C$19*E89*(1-E89))</f>
        <v>0.19793898538440921</v>
      </c>
      <c r="P89" s="8">
        <f>Dashboard!$C$9*B89*Dashboard!$C$11*(-Dashboard!$C$12*(1-F89)-O89)+2*Dashboard!$C$20*A89</f>
        <v>-121561.44146302654</v>
      </c>
      <c r="Q89" s="8">
        <f>-P89-Dashboard!$C$13-Dashboard!$C$14</f>
        <v>71561.441463026538</v>
      </c>
    </row>
    <row r="90" spans="1:17" x14ac:dyDescent="0.25">
      <c r="A90" s="5">
        <f>(90-2)/100</f>
        <v>0.88</v>
      </c>
      <c r="B90" s="5">
        <f>Dashboard!$C$10*EXP(-Dashboard!$C$12*A90)</f>
        <v>0.14698306360181376</v>
      </c>
      <c r="C90" s="5">
        <f>Dashboard!$C$17*A90</f>
        <v>704</v>
      </c>
      <c r="D90" s="5">
        <f>Dashboard!$C$15*(1-EXP(-Dashboard!$C$16*A90))</f>
        <v>0.28477086313348687</v>
      </c>
      <c r="E90" s="5">
        <f>1/(1+EXP(MIN(700,MAX(-700,(C90-Dashboard!$C$18)/Dashboard!$C$19))))</f>
        <v>0.89659954854175039</v>
      </c>
      <c r="F90" s="5">
        <f t="shared" si="8"/>
        <v>0.25532542732332891</v>
      </c>
      <c r="G90" s="8">
        <f>Dashboard!$C$9*B90*Dashboard!$C$11*(1-F90)</f>
        <v>218909.10015677728</v>
      </c>
      <c r="H90" s="8">
        <f>Dashboard!$C$20*A90^2</f>
        <v>6195.2</v>
      </c>
      <c r="I90" s="8">
        <f t="shared" si="9"/>
        <v>225104.30015677729</v>
      </c>
      <c r="J90" s="8">
        <f>Dashboard!$C$13*A90</f>
        <v>17600</v>
      </c>
      <c r="K90" s="8">
        <f>Dashboard!$C$14*A90</f>
        <v>26400</v>
      </c>
      <c r="L90" s="8">
        <f>Dashboard!$C$21-K90</f>
        <v>1473600</v>
      </c>
      <c r="M90" s="8">
        <f t="shared" si="10"/>
        <v>1230895.6998432227</v>
      </c>
      <c r="N90" s="8">
        <f t="shared" si="11"/>
        <v>44000</v>
      </c>
      <c r="O90" s="8">
        <f>Dashboard!$C$15*(Dashboard!$C$16*EXP(-Dashboard!$C$16*A90)*E90-(1-EXP(-Dashboard!$C$16*A90))*Dashboard!$C$17/Dashboard!$C$19*E90*(1-E90))</f>
        <v>0.19577608648303207</v>
      </c>
      <c r="P90" s="8">
        <f>Dashboard!$C$9*B90*Dashboard!$C$11*(-Dashboard!$C$12*(1-F90)-O90)+2*Dashboard!$C$20*A90</f>
        <v>-120089.72299737143</v>
      </c>
      <c r="Q90" s="8">
        <f>-P90-Dashboard!$C$13-Dashboard!$C$14</f>
        <v>70089.722997371427</v>
      </c>
    </row>
    <row r="91" spans="1:17" x14ac:dyDescent="0.25">
      <c r="A91" s="5">
        <f>(91-2)/100</f>
        <v>0.89</v>
      </c>
      <c r="B91" s="5">
        <f>Dashboard!$C$10*EXP(-Dashboard!$C$12*A91)</f>
        <v>0.14646952210107386</v>
      </c>
      <c r="C91" s="5">
        <f>Dashboard!$C$17*A91</f>
        <v>712</v>
      </c>
      <c r="D91" s="5">
        <f>Dashboard!$C$15*(1-EXP(-Dashboard!$C$16*A91))</f>
        <v>0.28734057917414502</v>
      </c>
      <c r="E91" s="5">
        <f>1/(1+EXP(MIN(700,MAX(-700,(C91-Dashboard!$C$18)/Dashboard!$C$19))))</f>
        <v>0.89535687841150213</v>
      </c>
      <c r="F91" s="5">
        <f t="shared" si="8"/>
        <v>0.25727236401031556</v>
      </c>
      <c r="G91" s="8">
        <f>Dashboard!$C$9*B91*Dashboard!$C$11*(1-F91)</f>
        <v>217573.92378933885</v>
      </c>
      <c r="H91" s="8">
        <f>Dashboard!$C$20*A91^2</f>
        <v>6336.8</v>
      </c>
      <c r="I91" s="8">
        <f t="shared" si="9"/>
        <v>223910.72378933884</v>
      </c>
      <c r="J91" s="8">
        <f>Dashboard!$C$13*A91</f>
        <v>17800</v>
      </c>
      <c r="K91" s="8">
        <f>Dashboard!$C$14*A91</f>
        <v>26700</v>
      </c>
      <c r="L91" s="8">
        <f>Dashboard!$C$21-K91</f>
        <v>1473300</v>
      </c>
      <c r="M91" s="8">
        <f t="shared" si="10"/>
        <v>1231589.276210661</v>
      </c>
      <c r="N91" s="8">
        <f t="shared" si="11"/>
        <v>44500</v>
      </c>
      <c r="O91" s="8">
        <f>Dashboard!$C$15*(Dashboard!$C$16*EXP(-Dashboard!$C$16*A91)*E91-(1-EXP(-Dashboard!$C$16*A91))*Dashboard!$C$17/Dashboard!$C$19*E91*(1-E91))</f>
        <v>0.19361085833478744</v>
      </c>
      <c r="P91" s="8">
        <f>Dashboard!$C$9*B91*Dashboard!$C$11*(-Dashboard!$C$12*(1-F91)-O91)+2*Dashboard!$C$20*A91</f>
        <v>-118627.05311401866</v>
      </c>
      <c r="Q91" s="8">
        <f>-P91-Dashboard!$C$13-Dashboard!$C$14</f>
        <v>68627.053114018665</v>
      </c>
    </row>
    <row r="92" spans="1:17" x14ac:dyDescent="0.25">
      <c r="A92" s="5">
        <f>(92-2)/100</f>
        <v>0.9</v>
      </c>
      <c r="B92" s="5">
        <f>Dashboard!$C$10*EXP(-Dashboard!$C$12*A92)</f>
        <v>0.14595777485381137</v>
      </c>
      <c r="C92" s="5">
        <f>Dashboard!$C$17*A92</f>
        <v>720</v>
      </c>
      <c r="D92" s="5">
        <f>Dashboard!$C$15*(1-EXP(-Dashboard!$C$16*A92))</f>
        <v>0.28989747870258137</v>
      </c>
      <c r="E92" s="5">
        <f>1/(1+EXP(MIN(700,MAX(-700,(C92-Dashboard!$C$18)/Dashboard!$C$19))))</f>
        <v>0.89410103776408223</v>
      </c>
      <c r="F92" s="5">
        <f t="shared" si="8"/>
        <v>0.25919763655316891</v>
      </c>
      <c r="G92" s="8">
        <f>Dashboard!$C$9*B92*Dashboard!$C$11*(1-F92)</f>
        <v>216251.72915028781</v>
      </c>
      <c r="H92" s="8">
        <f>Dashboard!$C$20*A92^2</f>
        <v>6480</v>
      </c>
      <c r="I92" s="8">
        <f t="shared" si="9"/>
        <v>222731.72915028781</v>
      </c>
      <c r="J92" s="8">
        <f>Dashboard!$C$13*A92</f>
        <v>18000</v>
      </c>
      <c r="K92" s="8">
        <f>Dashboard!$C$14*A92</f>
        <v>27000</v>
      </c>
      <c r="L92" s="8">
        <f>Dashboard!$C$21-K92</f>
        <v>1473000</v>
      </c>
      <c r="M92" s="8">
        <f t="shared" si="10"/>
        <v>1232268.2708497122</v>
      </c>
      <c r="N92" s="8">
        <f t="shared" si="11"/>
        <v>45000</v>
      </c>
      <c r="O92" s="8">
        <f>Dashboard!$C$15*(Dashboard!$C$16*EXP(-Dashboard!$C$16*A92)*E92-(1-EXP(-Dashboard!$C$16*A92))*Dashboard!$C$17/Dashboard!$C$19*E92*(1-E92))</f>
        <v>0.19144324919573755</v>
      </c>
      <c r="P92" s="8">
        <f>Dashboard!$C$9*B92*Dashboard!$C$11*(-Dashboard!$C$12*(1-F92)-O92)+2*Dashboard!$C$20*A92</f>
        <v>-117173.36652938786</v>
      </c>
      <c r="Q92" s="8">
        <f>-P92-Dashboard!$C$13-Dashboard!$C$14</f>
        <v>67173.366529387858</v>
      </c>
    </row>
    <row r="93" spans="1:17" x14ac:dyDescent="0.25">
      <c r="A93" s="5">
        <f>(93-2)/100</f>
        <v>0.91</v>
      </c>
      <c r="B93" s="5">
        <f>Dashboard!$C$10*EXP(-Dashboard!$C$12*A93)</f>
        <v>0.14544781559111605</v>
      </c>
      <c r="C93" s="5">
        <f>Dashboard!$C$17*A93</f>
        <v>728</v>
      </c>
      <c r="D93" s="5">
        <f>Dashboard!$C$15*(1-EXP(-Dashboard!$C$16*A93))</f>
        <v>0.29244162564141746</v>
      </c>
      <c r="E93" s="5">
        <f>1/(1+EXP(MIN(700,MAX(-700,(C93-Dashboard!$C$18)/Dashboard!$C$19))))</f>
        <v>0.8928319295134719</v>
      </c>
      <c r="F93" s="5">
        <f t="shared" si="8"/>
        <v>0.26110122089148319</v>
      </c>
      <c r="G93" s="8">
        <f>Dashboard!$C$9*B93*Dashboard!$C$11*(1-F93)</f>
        <v>214942.42672855273</v>
      </c>
      <c r="H93" s="8">
        <f>Dashboard!$C$20*A93^2</f>
        <v>6624.8</v>
      </c>
      <c r="I93" s="8">
        <f t="shared" si="9"/>
        <v>221567.22672855272</v>
      </c>
      <c r="J93" s="8">
        <f>Dashboard!$C$13*A93</f>
        <v>18200</v>
      </c>
      <c r="K93" s="8">
        <f>Dashboard!$C$14*A93</f>
        <v>27300</v>
      </c>
      <c r="L93" s="8">
        <f>Dashboard!$C$21-K93</f>
        <v>1472700</v>
      </c>
      <c r="M93" s="8">
        <f t="shared" si="10"/>
        <v>1232932.7732714473</v>
      </c>
      <c r="N93" s="8">
        <f t="shared" si="11"/>
        <v>45500</v>
      </c>
      <c r="O93" s="8">
        <f>Dashboard!$C$15*(Dashboard!$C$16*EXP(-Dashboard!$C$16*A93)*E93-(1-EXP(-Dashboard!$C$16*A93))*Dashboard!$C$17/Dashboard!$C$19*E93*(1-E93))</f>
        <v>0.18927320930015784</v>
      </c>
      <c r="P93" s="8">
        <f>Dashboard!$C$9*B93*Dashboard!$C$11*(-Dashboard!$C$12*(1-F93)-O93)+2*Dashboard!$C$20*A93</f>
        <v>-115728.59904024958</v>
      </c>
      <c r="Q93" s="8">
        <f>-P93-Dashboard!$C$13-Dashboard!$C$14</f>
        <v>65728.599040249581</v>
      </c>
    </row>
    <row r="94" spans="1:17" x14ac:dyDescent="0.25">
      <c r="A94" s="5">
        <f>(94-2)/100</f>
        <v>0.92</v>
      </c>
      <c r="B94" s="5">
        <f>Dashboard!$C$10*EXP(-Dashboard!$C$12*A94)</f>
        <v>0.14493963806598059</v>
      </c>
      <c r="C94" s="5">
        <f>Dashboard!$C$17*A94</f>
        <v>736</v>
      </c>
      <c r="D94" s="5">
        <f>Dashboard!$C$15*(1-EXP(-Dashboard!$C$16*A94))</f>
        <v>0.29497308359445923</v>
      </c>
      <c r="E94" s="5">
        <f>1/(1+EXP(MIN(700,MAX(-700,(C94-Dashboard!$C$18)/Dashboard!$C$19))))</f>
        <v>0.89154945689503684</v>
      </c>
      <c r="F94" s="5">
        <f t="shared" si="8"/>
        <v>0.2629830924772944</v>
      </c>
      <c r="G94" s="8">
        <f>Dashboard!$C$9*B94*Dashboard!$C$11*(1-F94)</f>
        <v>213645.92764969848</v>
      </c>
      <c r="H94" s="8">
        <f>Dashboard!$C$20*A94^2</f>
        <v>6771.2000000000007</v>
      </c>
      <c r="I94" s="8">
        <f t="shared" si="9"/>
        <v>220417.12764969849</v>
      </c>
      <c r="J94" s="8">
        <f>Dashboard!$C$13*A94</f>
        <v>18400</v>
      </c>
      <c r="K94" s="8">
        <f>Dashboard!$C$14*A94</f>
        <v>27600</v>
      </c>
      <c r="L94" s="8">
        <f>Dashboard!$C$21-K94</f>
        <v>1472400</v>
      </c>
      <c r="M94" s="8">
        <f t="shared" si="10"/>
        <v>1233582.8723503016</v>
      </c>
      <c r="N94" s="8">
        <f t="shared" si="11"/>
        <v>46000</v>
      </c>
      <c r="O94" s="8">
        <f>Dashboard!$C$15*(Dashboard!$C$16*EXP(-Dashboard!$C$16*A94)*E94-(1-EXP(-Dashboard!$C$16*A94))*Dashboard!$C$17/Dashboard!$C$19*E94*(1-E94))</f>
        <v>0.18710069091058706</v>
      </c>
      <c r="P94" s="8">
        <f>Dashboard!$C$9*B94*Dashboard!$C$11*(-Dashboard!$C$12*(1-F94)-O94)+2*Dashboard!$C$20*A94</f>
        <v>-114292.68752234527</v>
      </c>
      <c r="Q94" s="8">
        <f>-P94-Dashboard!$C$13-Dashboard!$C$14</f>
        <v>64292.687522345266</v>
      </c>
    </row>
    <row r="95" spans="1:17" x14ac:dyDescent="0.25">
      <c r="A95" s="5">
        <f>(95-2)/100</f>
        <v>0.93</v>
      </c>
      <c r="B95" s="5">
        <f>Dashboard!$C$10*EXP(-Dashboard!$C$12*A95)</f>
        <v>0.14443323605322392</v>
      </c>
      <c r="C95" s="5">
        <f>Dashboard!$C$17*A95</f>
        <v>744</v>
      </c>
      <c r="D95" s="5">
        <f>Dashboard!$C$15*(1-EXP(-Dashboard!$C$16*A95))</f>
        <v>0.29749191584828738</v>
      </c>
      <c r="E95" s="5">
        <f>1/(1+EXP(MIN(700,MAX(-700,(C95-Dashboard!$C$18)/Dashboard!$C$19))))</f>
        <v>0.8902535234963449</v>
      </c>
      <c r="F95" s="5">
        <f t="shared" si="8"/>
        <v>0.26484322629561596</v>
      </c>
      <c r="G95" s="8">
        <f>Dashboard!$C$9*B95*Dashboard!$C$11*(1-F95)</f>
        <v>212362.14366514364</v>
      </c>
      <c r="H95" s="8">
        <f>Dashboard!$C$20*A95^2</f>
        <v>6919.2000000000007</v>
      </c>
      <c r="I95" s="8">
        <f t="shared" si="9"/>
        <v>219281.34366514365</v>
      </c>
      <c r="J95" s="8">
        <f>Dashboard!$C$13*A95</f>
        <v>18600</v>
      </c>
      <c r="K95" s="8">
        <f>Dashboard!$C$14*A95</f>
        <v>27900</v>
      </c>
      <c r="L95" s="8">
        <f>Dashboard!$C$21-K95</f>
        <v>1472100</v>
      </c>
      <c r="M95" s="8">
        <f t="shared" si="10"/>
        <v>1234218.6563348563</v>
      </c>
      <c r="N95" s="8">
        <f t="shared" si="11"/>
        <v>46500</v>
      </c>
      <c r="O95" s="8">
        <f>Dashboard!$C$15*(Dashboard!$C$16*EXP(-Dashboard!$C$16*A95)*E95-(1-EXP(-Dashboard!$C$16*A95))*Dashboard!$C$17/Dashboard!$C$19*E95*(1-E95))</f>
        <v>0.18492564836832462</v>
      </c>
      <c r="P95" s="8">
        <f>Dashboard!$C$9*B95*Dashboard!$C$11*(-Dashboard!$C$12*(1-F95)-O95)+2*Dashboard!$C$20*A95</f>
        <v>-112865.56992895569</v>
      </c>
      <c r="Q95" s="8">
        <f>-P95-Dashboard!$C$13-Dashboard!$C$14</f>
        <v>62865.569928955694</v>
      </c>
    </row>
    <row r="96" spans="1:17" x14ac:dyDescent="0.25">
      <c r="A96" s="5">
        <f>(96-2)/100</f>
        <v>0.94</v>
      </c>
      <c r="B96" s="5">
        <f>Dashboard!$C$10*EXP(-Dashboard!$C$12*A96)</f>
        <v>0.1439286033494151</v>
      </c>
      <c r="C96" s="5">
        <f>Dashboard!$C$17*A96</f>
        <v>752</v>
      </c>
      <c r="D96" s="5">
        <f>Dashboard!$C$15*(1-EXP(-Dashboard!$C$16*A96))</f>
        <v>0.29999818537383938</v>
      </c>
      <c r="E96" s="5">
        <f>1/(1+EXP(MIN(700,MAX(-700,(C96-Dashboard!$C$18)/Dashboard!$C$19))))</f>
        <v>0.88894403328859239</v>
      </c>
      <c r="F96" s="5">
        <f t="shared" si="8"/>
        <v>0.2666815968854796</v>
      </c>
      <c r="G96" s="8">
        <f>Dashboard!$C$9*B96*Dashboard!$C$11*(1-F96)</f>
        <v>211090.9871413926</v>
      </c>
      <c r="H96" s="8">
        <f>Dashboard!$C$20*A96^2</f>
        <v>7068.7999999999993</v>
      </c>
      <c r="I96" s="8">
        <f t="shared" si="9"/>
        <v>218159.78714139259</v>
      </c>
      <c r="J96" s="8">
        <f>Dashboard!$C$13*A96</f>
        <v>18800</v>
      </c>
      <c r="K96" s="8">
        <f>Dashboard!$C$14*A96</f>
        <v>28200</v>
      </c>
      <c r="L96" s="8">
        <f>Dashboard!$C$21-K96</f>
        <v>1471800</v>
      </c>
      <c r="M96" s="8">
        <f t="shared" si="10"/>
        <v>1234840.2128586075</v>
      </c>
      <c r="N96" s="8">
        <f t="shared" si="11"/>
        <v>47000</v>
      </c>
      <c r="O96" s="8">
        <f>Dashboard!$C$15*(Dashboard!$C$16*EXP(-Dashboard!$C$16*A96)*E96-(1-EXP(-Dashboard!$C$16*A96))*Dashboard!$C$17/Dashboard!$C$19*E96*(1-E96))</f>
        <v>0.18274803814435203</v>
      </c>
      <c r="P96" s="8">
        <f>Dashboard!$C$9*B96*Dashboard!$C$11*(-Dashboard!$C$12*(1-F96)-O96)+2*Dashboard!$C$20*A96</f>
        <v>-111447.18528941186</v>
      </c>
      <c r="Q96" s="8">
        <f>-P96-Dashboard!$C$13-Dashboard!$C$14</f>
        <v>61447.185289411864</v>
      </c>
    </row>
    <row r="97" spans="1:17" x14ac:dyDescent="0.25">
      <c r="A97" s="5">
        <f>(97-2)/100</f>
        <v>0.95</v>
      </c>
      <c r="B97" s="5">
        <f>Dashboard!$C$10*EXP(-Dashboard!$C$12*A97)</f>
        <v>0.14342573377279713</v>
      </c>
      <c r="C97" s="5">
        <f>Dashboard!$C$17*A97</f>
        <v>760</v>
      </c>
      <c r="D97" s="5">
        <f>Dashboard!$C$15*(1-EXP(-Dashboard!$C$16*A97))</f>
        <v>0.30249195482798391</v>
      </c>
      <c r="E97" s="5">
        <f>1/(1+EXP(MIN(700,MAX(-700,(C97-Dashboard!$C$18)/Dashboard!$C$19))))</f>
        <v>0.88762089065864325</v>
      </c>
      <c r="F97" s="5">
        <f t="shared" si="8"/>
        <v>0.26849817836148915</v>
      </c>
      <c r="G97" s="8">
        <f>Dashboard!$C$9*B97*Dashboard!$C$11*(1-F97)</f>
        <v>209832.37104928237</v>
      </c>
      <c r="H97" s="8">
        <f>Dashboard!$C$20*A97^2</f>
        <v>7220</v>
      </c>
      <c r="I97" s="8">
        <f t="shared" si="9"/>
        <v>217052.37104928237</v>
      </c>
      <c r="J97" s="8">
        <f>Dashboard!$C$13*A97</f>
        <v>19000</v>
      </c>
      <c r="K97" s="8">
        <f>Dashboard!$C$14*A97</f>
        <v>28500</v>
      </c>
      <c r="L97" s="8">
        <f>Dashboard!$C$21-K97</f>
        <v>1471500</v>
      </c>
      <c r="M97" s="8">
        <f t="shared" si="10"/>
        <v>1235447.6289507176</v>
      </c>
      <c r="N97" s="8">
        <f t="shared" si="11"/>
        <v>47500</v>
      </c>
      <c r="O97" s="8">
        <f>Dashboard!$C$15*(Dashboard!$C$16*EXP(-Dashboard!$C$16*A97)*E97-(1-EXP(-Dashboard!$C$16*A97))*Dashboard!$C$17/Dashboard!$C$19*E97*(1-E97))</f>
        <v>0.1805678188906582</v>
      </c>
      <c r="P97" s="8">
        <f>Dashboard!$C$9*B97*Dashboard!$C$11*(-Dashboard!$C$12*(1-F97)-O97)+2*Dashboard!$C$20*A97</f>
        <v>-110037.47370754121</v>
      </c>
      <c r="Q97" s="8">
        <f>-P97-Dashboard!$C$13-Dashboard!$C$14</f>
        <v>60037.473707541212</v>
      </c>
    </row>
    <row r="98" spans="1:17" x14ac:dyDescent="0.25">
      <c r="A98" s="5">
        <f>(98-2)/100</f>
        <v>0.96</v>
      </c>
      <c r="B98" s="5">
        <f>Dashboard!$C$10*EXP(-Dashboard!$C$12*A98)</f>
        <v>0.14292462116321147</v>
      </c>
      <c r="C98" s="5">
        <f>Dashboard!$C$17*A98</f>
        <v>768</v>
      </c>
      <c r="D98" s="5">
        <f>Dashboard!$C$15*(1-EXP(-Dashboard!$C$16*A98))</f>
        <v>0.30497328655508738</v>
      </c>
      <c r="E98" s="5">
        <f>1/(1+EXP(MIN(700,MAX(-700,(C98-Dashboard!$C$18)/Dashboard!$C$19))))</f>
        <v>0.88628400044167732</v>
      </c>
      <c r="F98" s="5">
        <f t="shared" ref="F98:F102" si="12">D98*E98</f>
        <v>0.27029294443588886</v>
      </c>
      <c r="G98" s="8">
        <f>Dashboard!$C$9*B98*Dashboard!$C$11*(1-F98)</f>
        <v>208586.20895324618</v>
      </c>
      <c r="H98" s="8">
        <f>Dashboard!$C$20*A98^2</f>
        <v>7372.8</v>
      </c>
      <c r="I98" s="8">
        <f t="shared" ref="I98:I102" si="13">G98+H98</f>
        <v>215959.00895324617</v>
      </c>
      <c r="J98" s="8">
        <f>Dashboard!$C$13*A98</f>
        <v>19200</v>
      </c>
      <c r="K98" s="8">
        <f>Dashboard!$C$14*A98</f>
        <v>28800</v>
      </c>
      <c r="L98" s="8">
        <f>Dashboard!$C$21-K98</f>
        <v>1471200</v>
      </c>
      <c r="M98" s="8">
        <f t="shared" ref="M98:M102" si="14">L98-I98-J98</f>
        <v>1236040.9910467537</v>
      </c>
      <c r="N98" s="8">
        <f t="shared" si="11"/>
        <v>48000</v>
      </c>
      <c r="O98" s="8">
        <f>Dashboard!$C$15*(Dashboard!$C$16*EXP(-Dashboard!$C$16*A98)*E98-(1-EXP(-Dashboard!$C$16*A98))*Dashboard!$C$17/Dashboard!$C$19*E98*(1-E98))</f>
        <v>0.17838495149194086</v>
      </c>
      <c r="P98" s="8">
        <f>Dashboard!$C$9*B98*Dashboard!$C$11*(-Dashboard!$C$12*(1-F98)-O98)+2*Dashboard!$C$20*A98</f>
        <v>-108636.37636004318</v>
      </c>
      <c r="Q98" s="8">
        <f>-P98-Dashboard!$C$13-Dashboard!$C$14</f>
        <v>58636.376360043185</v>
      </c>
    </row>
    <row r="99" spans="1:17" x14ac:dyDescent="0.25">
      <c r="A99" s="5">
        <f>(99-2)/100</f>
        <v>0.97</v>
      </c>
      <c r="B99" s="5">
        <f>Dashboard!$C$10*EXP(-Dashboard!$C$12*A99)</f>
        <v>0.14242525938202236</v>
      </c>
      <c r="C99" s="5">
        <f>Dashboard!$C$17*A99</f>
        <v>776</v>
      </c>
      <c r="D99" s="5">
        <f>Dashboard!$C$15*(1-EXP(-Dashboard!$C$16*A99))</f>
        <v>0.30744224258857189</v>
      </c>
      <c r="E99" s="5">
        <f>1/(1+EXP(MIN(700,MAX(-700,(C99-Dashboard!$C$18)/Dashboard!$C$19))))</f>
        <v>0.88493326795445015</v>
      </c>
      <c r="F99" s="5">
        <f t="shared" si="12"/>
        <v>0.27206586844114977</v>
      </c>
      <c r="G99" s="8">
        <f>Dashboard!$C$9*B99*Dashboard!$C$11*(1-F99)</f>
        <v>207352.41500059282</v>
      </c>
      <c r="H99" s="8">
        <f>Dashboard!$C$20*A99^2</f>
        <v>7527.2</v>
      </c>
      <c r="I99" s="8">
        <f t="shared" si="13"/>
        <v>214879.61500059284</v>
      </c>
      <c r="J99" s="8">
        <f>Dashboard!$C$13*A99</f>
        <v>19400</v>
      </c>
      <c r="K99" s="8">
        <f>Dashboard!$C$14*A99</f>
        <v>29100</v>
      </c>
      <c r="L99" s="8">
        <f>Dashboard!$C$21-K99</f>
        <v>1470900</v>
      </c>
      <c r="M99" s="8">
        <f t="shared" si="14"/>
        <v>1236620.3849994072</v>
      </c>
      <c r="N99" s="8">
        <f t="shared" si="11"/>
        <v>48500</v>
      </c>
      <c r="O99" s="8">
        <f>Dashboard!$C$15*(Dashboard!$C$16*EXP(-Dashboard!$C$16*A99)*E99-(1-EXP(-Dashboard!$C$16*A99))*Dashboard!$C$17/Dashboard!$C$19*E99*(1-E99))</f>
        <v>0.17619939911766172</v>
      </c>
      <c r="P99" s="8">
        <f>Dashboard!$C$9*B99*Dashboard!$C$11*(-Dashboard!$C$12*(1-F99)-O99)+2*Dashboard!$C$20*A99</f>
        <v>-107243.8354947864</v>
      </c>
      <c r="Q99" s="8">
        <f>-P99-Dashboard!$C$13-Dashboard!$C$14</f>
        <v>57243.835494786399</v>
      </c>
    </row>
    <row r="100" spans="1:17" x14ac:dyDescent="0.25">
      <c r="A100" s="5">
        <f>(100-2)/100</f>
        <v>0.98</v>
      </c>
      <c r="B100" s="5">
        <f>Dashboard!$C$10*EXP(-Dashboard!$C$12*A100)</f>
        <v>0.14192764231204175</v>
      </c>
      <c r="C100" s="5">
        <f>Dashboard!$C$17*A100</f>
        <v>784</v>
      </c>
      <c r="D100" s="5">
        <f>Dashboard!$C$15*(1-EXP(-Dashboard!$C$16*A100))</f>
        <v>0.30989888465246712</v>
      </c>
      <c r="E100" s="5">
        <f>1/(1+EXP(MIN(700,MAX(-700,(C100-Dashboard!$C$18)/Dashboard!$C$19))))</f>
        <v>0.88356859902916107</v>
      </c>
      <c r="F100" s="5">
        <f t="shared" si="12"/>
        <v>0.27381692335307994</v>
      </c>
      <c r="G100" s="8">
        <f>Dashboard!$C$9*B100*Dashboard!$C$11*(1-F100)</f>
        <v>206130.90391080413</v>
      </c>
      <c r="H100" s="8">
        <f>Dashboard!$C$20*A100^2</f>
        <v>7683.1999999999989</v>
      </c>
      <c r="I100" s="8">
        <f t="shared" si="13"/>
        <v>213814.10391080414</v>
      </c>
      <c r="J100" s="8">
        <f>Dashboard!$C$13*A100</f>
        <v>19600</v>
      </c>
      <c r="K100" s="8">
        <f>Dashboard!$C$14*A100</f>
        <v>29400</v>
      </c>
      <c r="L100" s="8">
        <f>Dashboard!$C$21-K100</f>
        <v>1470600</v>
      </c>
      <c r="M100" s="8">
        <f t="shared" si="14"/>
        <v>1237185.8960891957</v>
      </c>
      <c r="N100" s="8">
        <f t="shared" si="11"/>
        <v>49000</v>
      </c>
      <c r="O100" s="8">
        <f>Dashboard!$C$15*(Dashboard!$C$16*EXP(-Dashboard!$C$16*A100)*E100-(1-EXP(-Dashboard!$C$16*A100))*Dashboard!$C$17/Dashboard!$C$19*E100*(1-E100))</f>
        <v>0.17401112727442591</v>
      </c>
      <c r="P100" s="8">
        <f>Dashboard!$C$9*B100*Dashboard!$C$11*(-Dashboard!$C$12*(1-F100)-O100)+2*Dashboard!$C$20*A100</f>
        <v>-105859.79442902123</v>
      </c>
      <c r="Q100" s="8">
        <f>-P100-Dashboard!$C$13-Dashboard!$C$14</f>
        <v>55859.794429021233</v>
      </c>
    </row>
    <row r="101" spans="1:17" x14ac:dyDescent="0.25">
      <c r="A101" s="5">
        <f>(101-2)/100</f>
        <v>0.99</v>
      </c>
      <c r="B101" s="5">
        <f>Dashboard!$C$10*EXP(-Dashboard!$C$12*A101)</f>
        <v>0.14143176385745426</v>
      </c>
      <c r="C101" s="5">
        <f>Dashboard!$C$17*A101</f>
        <v>792</v>
      </c>
      <c r="D101" s="5">
        <f>Dashboard!$C$15*(1-EXP(-Dashboard!$C$16*A101))</f>
        <v>0.3123432741629526</v>
      </c>
      <c r="E101" s="5">
        <f>1/(1+EXP(MIN(700,MAX(-700,(C101-Dashboard!$C$18)/Dashboard!$C$19))))</f>
        <v>0.8821899000479303</v>
      </c>
      <c r="F101" s="5">
        <f t="shared" si="12"/>
        <v>0.27554608181445844</v>
      </c>
      <c r="G101" s="8">
        <f>Dashboard!$C$9*B101*Dashboard!$C$11*(1-F101)</f>
        <v>204921.59096485004</v>
      </c>
      <c r="H101" s="8">
        <f>Dashboard!$C$20*A101^2</f>
        <v>7840.8</v>
      </c>
      <c r="I101" s="8">
        <f t="shared" si="13"/>
        <v>212762.39096485003</v>
      </c>
      <c r="J101" s="8">
        <f>Dashboard!$C$13*A101</f>
        <v>19800</v>
      </c>
      <c r="K101" s="8">
        <f>Dashboard!$C$14*A101</f>
        <v>29700</v>
      </c>
      <c r="L101" s="8">
        <f>Dashboard!$C$21-K101</f>
        <v>1470300</v>
      </c>
      <c r="M101" s="8">
        <f t="shared" si="14"/>
        <v>1237737.6090351499</v>
      </c>
      <c r="N101" s="8">
        <f t="shared" si="11"/>
        <v>49500</v>
      </c>
      <c r="O101" s="8">
        <f>Dashboard!$C$15*(Dashboard!$C$16*EXP(-Dashboard!$C$16*A101)*E101-(1-EXP(-Dashboard!$C$16*A101))*Dashboard!$C$17/Dashboard!$C$19*E101*(1-E101))</f>
        <v>0.17182010385865953</v>
      </c>
      <c r="P101" s="8">
        <f>Dashboard!$C$9*B101*Dashboard!$C$11*(-Dashboard!$C$12*(1-F101)-O101)+2*Dashboard!$C$20*A101</f>
        <v>-104484.19754749991</v>
      </c>
      <c r="Q101" s="8">
        <f>-P101-Dashboard!$C$13-Dashboard!$C$14</f>
        <v>54484.197547499905</v>
      </c>
    </row>
    <row r="102" spans="1:17" x14ac:dyDescent="0.25">
      <c r="A102" s="5">
        <f>(102-2)/100</f>
        <v>1</v>
      </c>
      <c r="B102" s="5">
        <f>Dashboard!$C$10*EXP(-Dashboard!$C$12*A102)</f>
        <v>0.14093761794374268</v>
      </c>
      <c r="C102" s="5">
        <f>Dashboard!$C$17*A102</f>
        <v>800</v>
      </c>
      <c r="D102" s="5">
        <f>Dashboard!$C$15*(1-EXP(-Dashboard!$C$16*A102))</f>
        <v>0.31477547222989327</v>
      </c>
      <c r="E102" s="5">
        <f>1/(1+EXP(MIN(700,MAX(-700,(C102-Dashboard!$C$18)/Dashboard!$C$19))))</f>
        <v>0.88079707797788231</v>
      </c>
      <c r="F102" s="5">
        <f t="shared" si="12"/>
        <v>0.27725331615919802</v>
      </c>
      <c r="G102" s="8">
        <f>Dashboard!$C$9*B102*Dashboard!$C$11*(1-F102)</f>
        <v>203724.39199452387</v>
      </c>
      <c r="H102" s="8">
        <f>Dashboard!$C$20*A102^2</f>
        <v>8000</v>
      </c>
      <c r="I102" s="8">
        <f t="shared" si="13"/>
        <v>211724.39199452387</v>
      </c>
      <c r="J102" s="8">
        <f>Dashboard!$C$13*A102</f>
        <v>20000</v>
      </c>
      <c r="K102" s="8">
        <f>Dashboard!$C$14*A102</f>
        <v>30000</v>
      </c>
      <c r="L102" s="8">
        <f>Dashboard!$C$21-K102</f>
        <v>1470000</v>
      </c>
      <c r="M102" s="8">
        <f t="shared" si="14"/>
        <v>1238275.6080054762</v>
      </c>
      <c r="N102" s="8">
        <f t="shared" si="11"/>
        <v>50000</v>
      </c>
      <c r="O102" s="8">
        <f>Dashboard!$C$15*(Dashboard!$C$16*EXP(-Dashboard!$C$16*A102)*E102-(1-EXP(-Dashboard!$C$16*A102))*Dashboard!$C$17/Dashboard!$C$19*E102*(1-E102))</f>
        <v>0.16962629920955605</v>
      </c>
      <c r="P102" s="8">
        <f>Dashboard!$C$9*B102*Dashboard!$C$11*(-Dashboard!$C$12*(1-F102)-O102)+2*Dashboard!$C$20*A102</f>
        <v>-103116.99030049815</v>
      </c>
      <c r="Q102" s="8">
        <f>-P102-Dashboard!$C$13-Dashboard!$C$14</f>
        <v>53116.990300498146</v>
      </c>
    </row>
    <row r="103" spans="1:17" x14ac:dyDescent="0.25">
      <c r="A103" s="5">
        <f>(103-2)/100</f>
        <v>1.01</v>
      </c>
      <c r="B103" s="5">
        <f>Dashboard!$C$10*EXP(-Dashboard!$C$12*A103)</f>
        <v>0.14044519851761336</v>
      </c>
      <c r="C103" s="5">
        <f>Dashboard!$C$17*A103</f>
        <v>808</v>
      </c>
      <c r="D103" s="5">
        <f>Dashboard!$C$15*(1-EXP(-Dashboard!$C$16*A103))</f>
        <v>0.31719553965836761</v>
      </c>
      <c r="E103" s="5">
        <f>1/(1+EXP(MIN(700,MAX(-700,(C103-Dashboard!$C$18)/Dashboard!$C$19))))</f>
        <v>0.87939004040683277</v>
      </c>
      <c r="F103" s="5">
        <f t="shared" ref="F103:F166" si="15">D103*E103</f>
        <v>0.278938598437039</v>
      </c>
      <c r="G103" s="8">
        <f>Dashboard!$C$9*B103*Dashboard!$C$11*(1-F103)</f>
        <v>202539.22337179721</v>
      </c>
      <c r="H103" s="8">
        <f>Dashboard!$C$20*A103^2</f>
        <v>8160.8</v>
      </c>
      <c r="I103" s="8">
        <f t="shared" ref="I103:I166" si="16">G103+H103</f>
        <v>210700.0233717972</v>
      </c>
      <c r="J103" s="8">
        <f>Dashboard!$C$13*A103</f>
        <v>20200</v>
      </c>
      <c r="K103" s="8">
        <f>Dashboard!$C$14*A103</f>
        <v>30300</v>
      </c>
      <c r="L103" s="8">
        <f>Dashboard!$C$21-K103</f>
        <v>1469700</v>
      </c>
      <c r="M103" s="8">
        <f t="shared" ref="M103:M166" si="17">L103-I103-J103</f>
        <v>1238799.9766282027</v>
      </c>
      <c r="N103" s="8">
        <f t="shared" ref="N103:N166" si="18">J103+K103</f>
        <v>50500</v>
      </c>
      <c r="O103" s="8">
        <f>Dashboard!$C$15*(Dashboard!$C$16*EXP(-Dashboard!$C$16*A103)*E103-(1-EXP(-Dashboard!$C$16*A103))*Dashboard!$C$17/Dashboard!$C$19*E103*(1-E103))</f>
        <v>0.16742968616225898</v>
      </c>
      <c r="P103" s="8">
        <f>Dashboard!$C$9*B103*Dashboard!$C$11*(-Dashboard!$C$12*(1-F103)-O103)+2*Dashboard!$C$20*A103</f>
        <v>-101758.11920172934</v>
      </c>
      <c r="Q103" s="8">
        <f>-P103-Dashboard!$C$13-Dashboard!$C$14</f>
        <v>51758.119201729336</v>
      </c>
    </row>
    <row r="104" spans="1:17" x14ac:dyDescent="0.25">
      <c r="A104" s="5">
        <f>(104-2)/100</f>
        <v>1.02</v>
      </c>
      <c r="B104" s="5">
        <f>Dashboard!$C$10*EXP(-Dashboard!$C$12*A104)</f>
        <v>0.13995449954692221</v>
      </c>
      <c r="C104" s="5">
        <f>Dashboard!$C$17*A104</f>
        <v>816</v>
      </c>
      <c r="D104" s="5">
        <f>Dashboard!$C$15*(1-EXP(-Dashboard!$C$16*A104))</f>
        <v>0.31960353695018728</v>
      </c>
      <c r="E104" s="5">
        <f>1/(1+EXP(MIN(700,MAX(-700,(C104-Dashboard!$C$18)/Dashboard!$C$19))))</f>
        <v>0.87796869557957691</v>
      </c>
      <c r="F104" s="5">
        <f t="shared" si="15"/>
        <v>0.28060190043877503</v>
      </c>
      <c r="G104" s="8">
        <f>Dashboard!$C$9*B104*Dashboard!$C$11*(1-F104)</f>
        <v>201366.00199819636</v>
      </c>
      <c r="H104" s="8">
        <f>Dashboard!$C$20*A104^2</f>
        <v>8323.2000000000007</v>
      </c>
      <c r="I104" s="8">
        <f t="shared" si="16"/>
        <v>209689.20199819637</v>
      </c>
      <c r="J104" s="8">
        <f>Dashboard!$C$13*A104</f>
        <v>20400</v>
      </c>
      <c r="K104" s="8">
        <f>Dashboard!$C$14*A104</f>
        <v>30600</v>
      </c>
      <c r="L104" s="8">
        <f>Dashboard!$C$21-K104</f>
        <v>1469400</v>
      </c>
      <c r="M104" s="8">
        <f t="shared" si="17"/>
        <v>1239310.7980018037</v>
      </c>
      <c r="N104" s="8">
        <f t="shared" si="18"/>
        <v>51000</v>
      </c>
      <c r="O104" s="8">
        <f>Dashboard!$C$15*(Dashboard!$C$16*EXP(-Dashboard!$C$16*A104)*E104-(1-EXP(-Dashboard!$C$16*A104))*Dashboard!$C$17/Dashboard!$C$19*E104*(1-E104))</f>
        <v>0.16523024010125203</v>
      </c>
      <c r="P104" s="8">
        <f>Dashboard!$C$9*B104*Dashboard!$C$11*(-Dashboard!$C$12*(1-F104)-O104)+2*Dashboard!$C$20*A104</f>
        <v>-100407.53182614577</v>
      </c>
      <c r="Q104" s="8">
        <f>-P104-Dashboard!$C$13-Dashboard!$C$14</f>
        <v>50407.531826145772</v>
      </c>
    </row>
    <row r="105" spans="1:17" x14ac:dyDescent="0.25">
      <c r="A105" s="5">
        <f>(105-2)/100</f>
        <v>1.03</v>
      </c>
      <c r="B105" s="5">
        <f>Dashboard!$C$10*EXP(-Dashboard!$C$12*A105)</f>
        <v>0.13946551502060064</v>
      </c>
      <c r="C105" s="5">
        <f>Dashboard!$C$17*A105</f>
        <v>824</v>
      </c>
      <c r="D105" s="5">
        <f>Dashboard!$C$15*(1-EXP(-Dashboard!$C$16*A105))</f>
        <v>0.32199952430541007</v>
      </c>
      <c r="E105" s="5">
        <f>1/(1+EXP(MIN(700,MAX(-700,(C105-Dashboard!$C$18)/Dashboard!$C$19))))</f>
        <v>0.87653295243477591</v>
      </c>
      <c r="F105" s="5">
        <f t="shared" si="15"/>
        <v>0.28224319372201445</v>
      </c>
      <c r="G105" s="8">
        <f>Dashboard!$C$9*B105*Dashboard!$C$11*(1-F105)</f>
        <v>200204.64529420147</v>
      </c>
      <c r="H105" s="8">
        <f>Dashboard!$C$20*A105^2</f>
        <v>8487.1999999999989</v>
      </c>
      <c r="I105" s="8">
        <f t="shared" si="16"/>
        <v>208691.84529420148</v>
      </c>
      <c r="J105" s="8">
        <f>Dashboard!$C$13*A105</f>
        <v>20600</v>
      </c>
      <c r="K105" s="8">
        <f>Dashboard!$C$14*A105</f>
        <v>30900</v>
      </c>
      <c r="L105" s="8">
        <f>Dashboard!$C$21-K105</f>
        <v>1469100</v>
      </c>
      <c r="M105" s="8">
        <f t="shared" si="17"/>
        <v>1239808.1547057985</v>
      </c>
      <c r="N105" s="8">
        <f t="shared" si="18"/>
        <v>51500</v>
      </c>
      <c r="O105" s="8">
        <f>Dashboard!$C$15*(Dashboard!$C$16*EXP(-Dashboard!$C$16*A105)*E105-(1-EXP(-Dashboard!$C$16*A105))*Dashboard!$C$17/Dashboard!$C$19*E105*(1-E105))</f>
        <v>0.16302793901392088</v>
      </c>
      <c r="P105" s="8">
        <f>Dashboard!$C$9*B105*Dashboard!$C$11*(-Dashboard!$C$12*(1-F105)-O105)+2*Dashboard!$C$20*A105</f>
        <v>-99065.176807617609</v>
      </c>
      <c r="Q105" s="8">
        <f>-P105-Dashboard!$C$13-Dashboard!$C$14</f>
        <v>49065.176807617609</v>
      </c>
    </row>
    <row r="106" spans="1:17" x14ac:dyDescent="0.25">
      <c r="A106" s="5">
        <f>(106-2)/100</f>
        <v>1.04</v>
      </c>
      <c r="B106" s="5">
        <f>Dashboard!$C$10*EXP(-Dashboard!$C$12*A106)</f>
        <v>0.13897823894858213</v>
      </c>
      <c r="C106" s="5">
        <f>Dashboard!$C$17*A106</f>
        <v>832</v>
      </c>
      <c r="D106" s="5">
        <f>Dashboard!$C$15*(1-EXP(-Dashboard!$C$16*A106))</f>
        <v>0.32438356162384452</v>
      </c>
      <c r="E106" s="5">
        <f>1/(1+EXP(MIN(700,MAX(-700,(C106-Dashboard!$C$18)/Dashboard!$C$19))))</f>
        <v>0.87508272064243797</v>
      </c>
      <c r="F106" s="5">
        <f t="shared" si="15"/>
        <v>0.28386244963747781</v>
      </c>
      <c r="G106" s="8">
        <f>Dashboard!$C$9*B106*Dashboard!$C$11*(1-F106)</f>
        <v>199055.07118866977</v>
      </c>
      <c r="H106" s="8">
        <f>Dashboard!$C$20*A106^2</f>
        <v>8652.8000000000011</v>
      </c>
      <c r="I106" s="8">
        <f t="shared" si="16"/>
        <v>207707.87118866976</v>
      </c>
      <c r="J106" s="8">
        <f>Dashboard!$C$13*A106</f>
        <v>20800</v>
      </c>
      <c r="K106" s="8">
        <f>Dashboard!$C$14*A106</f>
        <v>31200</v>
      </c>
      <c r="L106" s="8">
        <f>Dashboard!$C$21-K106</f>
        <v>1468800</v>
      </c>
      <c r="M106" s="8">
        <f t="shared" si="17"/>
        <v>1240292.1288113303</v>
      </c>
      <c r="N106" s="8">
        <f t="shared" si="18"/>
        <v>52000</v>
      </c>
      <c r="O106" s="8">
        <f>Dashboard!$C$15*(Dashboard!$C$16*EXP(-Dashboard!$C$16*A106)*E106-(1-EXP(-Dashboard!$C$16*A106))*Dashboard!$C$17/Dashboard!$C$19*E106*(1-E106))</f>
        <v>0.16082276354425404</v>
      </c>
      <c r="P106" s="8">
        <f>Dashboard!$C$9*B106*Dashboard!$C$11*(-Dashboard!$C$12*(1-F106)-O106)+2*Dashboard!$C$20*A106</f>
        <v>-97731.003836483724</v>
      </c>
      <c r="Q106" s="8">
        <f>-P106-Dashboard!$C$13-Dashboard!$C$14</f>
        <v>47731.003836483724</v>
      </c>
    </row>
    <row r="107" spans="1:17" x14ac:dyDescent="0.25">
      <c r="A107" s="5">
        <f>(107-2)/100</f>
        <v>1.05</v>
      </c>
      <c r="B107" s="5">
        <f>Dashboard!$C$10*EXP(-Dashboard!$C$12*A107)</f>
        <v>0.13849266536172869</v>
      </c>
      <c r="C107" s="5">
        <f>Dashboard!$C$17*A107</f>
        <v>840</v>
      </c>
      <c r="D107" s="5">
        <f>Dashboard!$C$15*(1-EXP(-Dashboard!$C$16*A107))</f>
        <v>0.32675570850654795</v>
      </c>
      <c r="E107" s="5">
        <f>1/(1+EXP(MIN(700,MAX(-700,(C107-Dashboard!$C$18)/Dashboard!$C$19))))</f>
        <v>0.87361791064198713</v>
      </c>
      <c r="F107" s="5">
        <f t="shared" si="15"/>
        <v>0.28545963935583257</v>
      </c>
      <c r="G107" s="8">
        <f>Dashboard!$C$9*B107*Dashboard!$C$11*(1-F107)</f>
        <v>197917.19810828322</v>
      </c>
      <c r="H107" s="8">
        <f>Dashboard!$C$20*A107^2</f>
        <v>8820</v>
      </c>
      <c r="I107" s="8">
        <f t="shared" si="16"/>
        <v>206737.19810828322</v>
      </c>
      <c r="J107" s="8">
        <f>Dashboard!$C$13*A107</f>
        <v>21000</v>
      </c>
      <c r="K107" s="8">
        <f>Dashboard!$C$14*A107</f>
        <v>31500</v>
      </c>
      <c r="L107" s="8">
        <f>Dashboard!$C$21-K107</f>
        <v>1468500</v>
      </c>
      <c r="M107" s="8">
        <f t="shared" si="17"/>
        <v>1240762.8018917167</v>
      </c>
      <c r="N107" s="8">
        <f t="shared" si="18"/>
        <v>52500</v>
      </c>
      <c r="O107" s="8">
        <f>Dashboard!$C$15*(Dashboard!$C$16*EXP(-Dashboard!$C$16*A107)*E107-(1-EXP(-Dashboard!$C$16*A107))*Dashboard!$C$17/Dashboard!$C$19*E107*(1-E107))</f>
        <v>0.15861469704664533</v>
      </c>
      <c r="P107" s="8">
        <f>Dashboard!$C$9*B107*Dashboard!$C$11*(-Dashboard!$C$12*(1-F107)-O107)+2*Dashboard!$C$20*A107</f>
        <v>-96404.963656965178</v>
      </c>
      <c r="Q107" s="8">
        <f>-P107-Dashboard!$C$13-Dashboard!$C$14</f>
        <v>46404.963656965178</v>
      </c>
    </row>
    <row r="108" spans="1:17" x14ac:dyDescent="0.25">
      <c r="A108" s="5">
        <f>(108-2)/100</f>
        <v>1.06</v>
      </c>
      <c r="B108" s="5">
        <f>Dashboard!$C$10*EXP(-Dashboard!$C$12*A108)</f>
        <v>0.13800878831175781</v>
      </c>
      <c r="C108" s="5">
        <f>Dashboard!$C$17*A108</f>
        <v>848</v>
      </c>
      <c r="D108" s="5">
        <f>Dashboard!$C$15*(1-EXP(-Dashboard!$C$16*A108))</f>
        <v>0.3291160242573159</v>
      </c>
      <c r="E108" s="5">
        <f>1/(1+EXP(MIN(700,MAX(-700,(C108-Dashboard!$C$18)/Dashboard!$C$19))))</f>
        <v>0.8721384336809187</v>
      </c>
      <c r="F108" s="5">
        <f t="shared" si="15"/>
        <v>0.28703473389506673</v>
      </c>
      <c r="G108" s="8">
        <f>Dashboard!$C$9*B108*Dashboard!$C$11*(1-F108)</f>
        <v>196790.94496702359</v>
      </c>
      <c r="H108" s="8">
        <f>Dashboard!$C$20*A108^2</f>
        <v>8988.8000000000011</v>
      </c>
      <c r="I108" s="8">
        <f t="shared" si="16"/>
        <v>205779.74496702358</v>
      </c>
      <c r="J108" s="8">
        <f>Dashboard!$C$13*A108</f>
        <v>21200</v>
      </c>
      <c r="K108" s="8">
        <f>Dashboard!$C$14*A108</f>
        <v>31800</v>
      </c>
      <c r="L108" s="8">
        <f>Dashboard!$C$21-K108</f>
        <v>1468200</v>
      </c>
      <c r="M108" s="8">
        <f t="shared" si="17"/>
        <v>1241220.2550329764</v>
      </c>
      <c r="N108" s="8">
        <f t="shared" si="18"/>
        <v>53000</v>
      </c>
      <c r="O108" s="8">
        <f>Dashboard!$C$15*(Dashboard!$C$16*EXP(-Dashboard!$C$16*A108)*E108-(1-EXP(-Dashboard!$C$16*A108))*Dashboard!$C$17/Dashboard!$C$19*E108*(1-E108))</f>
        <v>0.15640372563976224</v>
      </c>
      <c r="P108" s="8">
        <f>Dashboard!$C$9*B108*Dashboard!$C$11*(-Dashboard!$C$12*(1-F108)-O108)+2*Dashboard!$C$20*A108</f>
        <v>-95087.008064434645</v>
      </c>
      <c r="Q108" s="8">
        <f>-P108-Dashboard!$C$13-Dashboard!$C$14</f>
        <v>45087.008064434645</v>
      </c>
    </row>
    <row r="109" spans="1:17" x14ac:dyDescent="0.25">
      <c r="A109" s="5">
        <f>(109-2)/100</f>
        <v>1.07</v>
      </c>
      <c r="B109" s="5">
        <f>Dashboard!$C$10*EXP(-Dashboard!$C$12*A109)</f>
        <v>0.13752660187116958</v>
      </c>
      <c r="C109" s="5">
        <f>Dashboard!$C$17*A109</f>
        <v>856</v>
      </c>
      <c r="D109" s="5">
        <f>Dashboard!$C$15*(1-EXP(-Dashboard!$C$16*A109))</f>
        <v>0.33146456788416501</v>
      </c>
      <c r="E109" s="5">
        <f>1/(1+EXP(MIN(700,MAX(-700,(C109-Dashboard!$C$18)/Dashboard!$C$19))))</f>
        <v>0.87064420185403246</v>
      </c>
      <c r="F109" s="5">
        <f t="shared" si="15"/>
        <v>0.28858770414840063</v>
      </c>
      <c r="G109" s="8">
        <f>Dashboard!$C$9*B109*Dashboard!$C$11*(1-F109)</f>
        <v>195676.23115567522</v>
      </c>
      <c r="H109" s="8">
        <f>Dashboard!$C$20*A109^2</f>
        <v>9159.2000000000007</v>
      </c>
      <c r="I109" s="8">
        <f t="shared" si="16"/>
        <v>204835.43115567524</v>
      </c>
      <c r="J109" s="8">
        <f>Dashboard!$C$13*A109</f>
        <v>21400</v>
      </c>
      <c r="K109" s="8">
        <f>Dashboard!$C$14*A109</f>
        <v>32100.000000000004</v>
      </c>
      <c r="L109" s="8">
        <f>Dashboard!$C$21-K109</f>
        <v>1467900</v>
      </c>
      <c r="M109" s="8">
        <f t="shared" si="17"/>
        <v>1241664.5688443247</v>
      </c>
      <c r="N109" s="8">
        <f t="shared" si="18"/>
        <v>53500</v>
      </c>
      <c r="O109" s="8">
        <f>Dashboard!$C$15*(Dashboard!$C$16*EXP(-Dashboard!$C$16*A109)*E109-(1-EXP(-Dashboard!$C$16*A109))*Dashboard!$C$17/Dashboard!$C$19*E109*(1-E109))</f>
        <v>0.15418983826044108</v>
      </c>
      <c r="P109" s="8">
        <f>Dashboard!$C$9*B109*Dashboard!$C$11*(-Dashboard!$C$12*(1-F109)-O109)+2*Dashboard!$C$20*A109</f>
        <v>-93777.089902533742</v>
      </c>
      <c r="Q109" s="8">
        <f>-P109-Dashboard!$C$13-Dashboard!$C$14</f>
        <v>43777.089902533742</v>
      </c>
    </row>
    <row r="110" spans="1:17" x14ac:dyDescent="0.25">
      <c r="A110" s="5">
        <f>(110-2)/100</f>
        <v>1.08</v>
      </c>
      <c r="B110" s="5">
        <f>Dashboard!$C$10*EXP(-Dashboard!$C$12*A110)</f>
        <v>0.13704610013317406</v>
      </c>
      <c r="C110" s="5">
        <f>Dashboard!$C$17*A110</f>
        <v>864</v>
      </c>
      <c r="D110" s="5">
        <f>Dashboard!$C$15*(1-EXP(-Dashboard!$C$16*A110))</f>
        <v>0.33380139810080833</v>
      </c>
      <c r="E110" s="5">
        <f>1/(1+EXP(MIN(700,MAX(-700,(C110-Dashboard!$C$18)/Dashboard!$C$19))))</f>
        <v>0.86913512814323968</v>
      </c>
      <c r="F110" s="5">
        <f t="shared" si="15"/>
        <v>0.2901185209127386</v>
      </c>
      <c r="G110" s="8">
        <f>Dashboard!$C$9*B110*Dashboard!$C$11*(1-F110)</f>
        <v>194572.97653135707</v>
      </c>
      <c r="H110" s="8">
        <f>Dashboard!$C$20*A110^2</f>
        <v>9331.2000000000007</v>
      </c>
      <c r="I110" s="8">
        <f t="shared" si="16"/>
        <v>203904.17653135708</v>
      </c>
      <c r="J110" s="8">
        <f>Dashboard!$C$13*A110</f>
        <v>21600</v>
      </c>
      <c r="K110" s="8">
        <f>Dashboard!$C$14*A110</f>
        <v>32400.000000000004</v>
      </c>
      <c r="L110" s="8">
        <f>Dashboard!$C$21-K110</f>
        <v>1467600</v>
      </c>
      <c r="M110" s="8">
        <f t="shared" si="17"/>
        <v>1242095.823468643</v>
      </c>
      <c r="N110" s="8">
        <f t="shared" si="18"/>
        <v>54000</v>
      </c>
      <c r="O110" s="8">
        <f>Dashboard!$C$15*(Dashboard!$C$16*EXP(-Dashboard!$C$16*A110)*E110-(1-EXP(-Dashboard!$C$16*A110))*Dashboard!$C$17/Dashboard!$C$19*E110*(1-E110))</f>
        <v>0.15197302671756879</v>
      </c>
      <c r="P110" s="8">
        <f>Dashboard!$C$9*B110*Dashboard!$C$11*(-Dashboard!$C$12*(1-F110)-O110)+2*Dashboard!$C$20*A110</f>
        <v>-92475.163060129911</v>
      </c>
      <c r="Q110" s="8">
        <f>-P110-Dashboard!$C$13-Dashboard!$C$14</f>
        <v>42475.163060129911</v>
      </c>
    </row>
    <row r="111" spans="1:17" x14ac:dyDescent="0.25">
      <c r="A111" s="5">
        <f>(111-2)/100</f>
        <v>1.0900000000000001</v>
      </c>
      <c r="B111" s="5">
        <f>Dashboard!$C$10*EXP(-Dashboard!$C$12*A111)</f>
        <v>0.13656727721161896</v>
      </c>
      <c r="C111" s="5">
        <f>Dashboard!$C$17*A111</f>
        <v>872.00000000000011</v>
      </c>
      <c r="D111" s="5">
        <f>Dashboard!$C$15*(1-EXP(-Dashboard!$C$16*A111))</f>
        <v>0.3361265733281229</v>
      </c>
      <c r="E111" s="5">
        <f>1/(1+EXP(MIN(700,MAX(-700,(C111-Dashboard!$C$18)/Dashboard!$C$19))))</f>
        <v>0.86761112645793459</v>
      </c>
      <c r="F111" s="5">
        <f t="shared" si="15"/>
        <v>0.29162715491765828</v>
      </c>
      <c r="G111" s="8">
        <f>Dashboard!$C$9*B111*Dashboard!$C$11*(1-F111)</f>
        <v>193481.10140708674</v>
      </c>
      <c r="H111" s="8">
        <f>Dashboard!$C$20*A111^2</f>
        <v>9504.8000000000011</v>
      </c>
      <c r="I111" s="8">
        <f t="shared" si="16"/>
        <v>202985.90140708673</v>
      </c>
      <c r="J111" s="8">
        <f>Dashboard!$C$13*A111</f>
        <v>21800</v>
      </c>
      <c r="K111" s="8">
        <f>Dashboard!$C$14*A111</f>
        <v>32700.000000000004</v>
      </c>
      <c r="L111" s="8">
        <f>Dashboard!$C$21-K111</f>
        <v>1467300</v>
      </c>
      <c r="M111" s="8">
        <f t="shared" si="17"/>
        <v>1242514.0985929132</v>
      </c>
      <c r="N111" s="8">
        <f t="shared" si="18"/>
        <v>54500</v>
      </c>
      <c r="O111" s="8">
        <f>Dashboard!$C$15*(Dashboard!$C$16*EXP(-Dashboard!$C$16*A111)*E111-(1-EXP(-Dashboard!$C$16*A111))*Dashboard!$C$17/Dashboard!$C$19*E111*(1-E111))</f>
        <v>0.14975328574590982</v>
      </c>
      <c r="P111" s="8">
        <f>Dashboard!$C$9*B111*Dashboard!$C$11*(-Dashboard!$C$12*(1-F111)-O111)+2*Dashboard!$C$20*A111</f>
        <v>-91181.182468105253</v>
      </c>
      <c r="Q111" s="8">
        <f>-P111-Dashboard!$C$13-Dashboard!$C$14</f>
        <v>41181.182468105253</v>
      </c>
    </row>
    <row r="112" spans="1:17" x14ac:dyDescent="0.25">
      <c r="A112" s="5">
        <f>(112-2)/100</f>
        <v>1.1000000000000001</v>
      </c>
      <c r="B112" s="5">
        <f>Dashboard!$C$10*EXP(-Dashboard!$C$12*A112)</f>
        <v>0.13609012724091754</v>
      </c>
      <c r="C112" s="5">
        <f>Dashboard!$C$17*A112</f>
        <v>880.00000000000011</v>
      </c>
      <c r="D112" s="5">
        <f>Dashboard!$C$15*(1-EXP(-Dashboard!$C$16*A112))</f>
        <v>0.3384401516956107</v>
      </c>
      <c r="E112" s="5">
        <f>1/(1+EXP(MIN(700,MAX(-700,(C112-Dashboard!$C$18)/Dashboard!$C$19))))</f>
        <v>0.86607211167592635</v>
      </c>
      <c r="F112" s="5">
        <f t="shared" si="15"/>
        <v>0.29311357685493838</v>
      </c>
      <c r="G112" s="8">
        <f>Dashboard!$C$9*B112*Dashboard!$C$11*(1-F112)</f>
        <v>192400.52654137698</v>
      </c>
      <c r="H112" s="8">
        <f>Dashboard!$C$20*A112^2</f>
        <v>9680.0000000000018</v>
      </c>
      <c r="I112" s="8">
        <f t="shared" si="16"/>
        <v>202080.52654137698</v>
      </c>
      <c r="J112" s="8">
        <f>Dashboard!$C$13*A112</f>
        <v>22000</v>
      </c>
      <c r="K112" s="8">
        <f>Dashboard!$C$14*A112</f>
        <v>33000</v>
      </c>
      <c r="L112" s="8">
        <f>Dashboard!$C$21-K112</f>
        <v>1467000</v>
      </c>
      <c r="M112" s="8">
        <f t="shared" si="17"/>
        <v>1242919.473458623</v>
      </c>
      <c r="N112" s="8">
        <f t="shared" si="18"/>
        <v>55000</v>
      </c>
      <c r="O112" s="8">
        <f>Dashboard!$C$15*(Dashboard!$C$16*EXP(-Dashboard!$C$16*A112)*E112-(1-EXP(-Dashboard!$C$16*A112))*Dashboard!$C$17/Dashboard!$C$19*E112*(1-E112))</f>
        <v>0.14753061305983739</v>
      </c>
      <c r="P112" s="8">
        <f>Dashboard!$C$9*B112*Dashboard!$C$11*(-Dashboard!$C$12*(1-F112)-O112)+2*Dashboard!$C$20*A112</f>
        <v>-89895.104095969611</v>
      </c>
      <c r="Q112" s="8">
        <f>-P112-Dashboard!$C$13-Dashboard!$C$14</f>
        <v>39895.104095969611</v>
      </c>
    </row>
    <row r="113" spans="1:17" x14ac:dyDescent="0.25">
      <c r="A113" s="5">
        <f>(113-2)/100</f>
        <v>1.1100000000000001</v>
      </c>
      <c r="B113" s="5">
        <f>Dashboard!$C$10*EXP(-Dashboard!$C$12*A113)</f>
        <v>0.13561464437597662</v>
      </c>
      <c r="C113" s="5">
        <f>Dashboard!$C$17*A113</f>
        <v>888.00000000000011</v>
      </c>
      <c r="D113" s="5">
        <f>Dashboard!$C$15*(1-EXP(-Dashboard!$C$16*A113))</f>
        <v>0.34074219104285125</v>
      </c>
      <c r="E113" s="5">
        <f>1/(1+EXP(MIN(700,MAX(-700,(C113-Dashboard!$C$18)/Dashboard!$C$19))))</f>
        <v>0.86451799968492005</v>
      </c>
      <c r="F113" s="5">
        <f t="shared" si="15"/>
        <v>0.29457775740862263</v>
      </c>
      <c r="G113" s="8">
        <f>Dashboard!$C$9*B113*Dashboard!$C$11*(1-F113)</f>
        <v>191331.17312786711</v>
      </c>
      <c r="H113" s="8">
        <f>Dashboard!$C$20*A113^2</f>
        <v>9856.8000000000011</v>
      </c>
      <c r="I113" s="8">
        <f t="shared" si="16"/>
        <v>201187.9731278671</v>
      </c>
      <c r="J113" s="8">
        <f>Dashboard!$C$13*A113</f>
        <v>22200.000000000004</v>
      </c>
      <c r="K113" s="8">
        <f>Dashboard!$C$14*A113</f>
        <v>33300</v>
      </c>
      <c r="L113" s="8">
        <f>Dashboard!$C$21-K113</f>
        <v>1466700</v>
      </c>
      <c r="M113" s="8">
        <f t="shared" si="17"/>
        <v>1243312.0268721329</v>
      </c>
      <c r="N113" s="8">
        <f t="shared" si="18"/>
        <v>55500</v>
      </c>
      <c r="O113" s="8">
        <f>Dashboard!$C$15*(Dashboard!$C$16*EXP(-Dashboard!$C$16*A113)*E113-(1-EXP(-Dashboard!$C$16*A113))*Dashboard!$C$17/Dashboard!$C$19*E113*(1-E113))</f>
        <v>0.14530500940692265</v>
      </c>
      <c r="P113" s="8">
        <f>Dashboard!$C$9*B113*Dashboard!$C$11*(-Dashboard!$C$12*(1-F113)-O113)+2*Dashboard!$C$20*A113</f>
        <v>-88616.884948288978</v>
      </c>
      <c r="Q113" s="8">
        <f>-P113-Dashboard!$C$13-Dashboard!$C$14</f>
        <v>38616.884948288978</v>
      </c>
    </row>
    <row r="114" spans="1:17" x14ac:dyDescent="0.25">
      <c r="A114" s="5">
        <f>(114-2)/100</f>
        <v>1.1200000000000001</v>
      </c>
      <c r="B114" s="5">
        <f>Dashboard!$C$10*EXP(-Dashboard!$C$12*A114)</f>
        <v>0.13514082279212522</v>
      </c>
      <c r="C114" s="5">
        <f>Dashboard!$C$17*A114</f>
        <v>896.00000000000011</v>
      </c>
      <c r="D114" s="5">
        <f>Dashboard!$C$15*(1-EXP(-Dashboard!$C$16*A114))</f>
        <v>0.34303274892094815</v>
      </c>
      <c r="E114" s="5">
        <f>1/(1+EXP(MIN(700,MAX(-700,(C114-Dashboard!$C$18)/Dashboard!$C$19))))</f>
        <v>0.86294870742454044</v>
      </c>
      <c r="F114" s="5">
        <f t="shared" si="15"/>
        <v>0.29601966728561913</v>
      </c>
      <c r="G114" s="8">
        <f>Dashboard!$C$9*B114*Dashboard!$C$11*(1-F114)</f>
        <v>190272.96278499102</v>
      </c>
      <c r="H114" s="8">
        <f>Dashboard!$C$20*A114^2</f>
        <v>10035.200000000001</v>
      </c>
      <c r="I114" s="8">
        <f t="shared" si="16"/>
        <v>200308.16278499103</v>
      </c>
      <c r="J114" s="8">
        <f>Dashboard!$C$13*A114</f>
        <v>22400.000000000004</v>
      </c>
      <c r="K114" s="8">
        <f>Dashboard!$C$14*A114</f>
        <v>33600</v>
      </c>
      <c r="L114" s="8">
        <f>Dashboard!$C$21-K114</f>
        <v>1466400</v>
      </c>
      <c r="M114" s="8">
        <f t="shared" si="17"/>
        <v>1243691.8372150089</v>
      </c>
      <c r="N114" s="8">
        <f t="shared" si="18"/>
        <v>56000</v>
      </c>
      <c r="O114" s="8">
        <f>Dashboard!$C$15*(Dashboard!$C$16*EXP(-Dashboard!$C$16*A114)*E114-(1-EXP(-Dashboard!$C$16*A114))*Dashboard!$C$17/Dashboard!$C$19*E114*(1-E114))</f>
        <v>0.14307647862133785</v>
      </c>
      <c r="P114" s="8">
        <f>Dashboard!$C$9*B114*Dashboard!$C$11*(-Dashboard!$C$12*(1-F114)-O114)+2*Dashboard!$C$20*A114</f>
        <v>-87346.483060921862</v>
      </c>
      <c r="Q114" s="8">
        <f>-P114-Dashboard!$C$13-Dashboard!$C$14</f>
        <v>37346.483060921862</v>
      </c>
    </row>
    <row r="115" spans="1:17" x14ac:dyDescent="0.25">
      <c r="A115" s="5">
        <f>(115-2)/100</f>
        <v>1.1299999999999999</v>
      </c>
      <c r="B115" s="5">
        <f>Dashboard!$C$10*EXP(-Dashboard!$C$12*A115)</f>
        <v>0.13466865668504299</v>
      </c>
      <c r="C115" s="5">
        <f>Dashboard!$C$17*A115</f>
        <v>903.99999999999989</v>
      </c>
      <c r="D115" s="5">
        <f>Dashboard!$C$15*(1-EXP(-Dashboard!$C$16*A115))</f>
        <v>0.34531188259396761</v>
      </c>
      <c r="E115" s="5">
        <f>1/(1+EXP(MIN(700,MAX(-700,(C115-Dashboard!$C$18)/Dashboard!$C$19))))</f>
        <v>0.86136415292888702</v>
      </c>
      <c r="F115" s="5">
        <f t="shared" si="15"/>
        <v>0.29743927724683222</v>
      </c>
      <c r="G115" s="8">
        <f>Dashboard!$C$9*B115*Dashboard!$C$11*(1-F115)</f>
        <v>189225.81754568408</v>
      </c>
      <c r="H115" s="8">
        <f>Dashboard!$C$20*A115^2</f>
        <v>10215.199999999997</v>
      </c>
      <c r="I115" s="8">
        <f t="shared" si="16"/>
        <v>199441.01754568407</v>
      </c>
      <c r="J115" s="8">
        <f>Dashboard!$C$13*A115</f>
        <v>22599.999999999996</v>
      </c>
      <c r="K115" s="8">
        <f>Dashboard!$C$14*A115</f>
        <v>33900</v>
      </c>
      <c r="L115" s="8">
        <f>Dashboard!$C$21-K115</f>
        <v>1466100</v>
      </c>
      <c r="M115" s="8">
        <f t="shared" si="17"/>
        <v>1244058.982454316</v>
      </c>
      <c r="N115" s="8">
        <f t="shared" si="18"/>
        <v>56500</v>
      </c>
      <c r="O115" s="8">
        <f>Dashboard!$C$15*(Dashboard!$C$16*EXP(-Dashboard!$C$16*A115)*E115-(1-EXP(-Dashboard!$C$16*A115))*Dashboard!$C$17/Dashboard!$C$19*E115*(1-E115))</f>
        <v>0.14084502767702647</v>
      </c>
      <c r="P115" s="8">
        <f>Dashboard!$C$9*B115*Dashboard!$C$11*(-Dashboard!$C$12*(1-F115)-O115)+2*Dashboard!$C$20*A115</f>
        <v>-86083.857497055142</v>
      </c>
      <c r="Q115" s="8">
        <f>-P115-Dashboard!$C$13-Dashboard!$C$14</f>
        <v>36083.857497055142</v>
      </c>
    </row>
    <row r="116" spans="1:17" x14ac:dyDescent="0.25">
      <c r="A116" s="5">
        <f>(116-2)/100</f>
        <v>1.1399999999999999</v>
      </c>
      <c r="B116" s="5">
        <f>Dashboard!$C$10*EXP(-Dashboard!$C$12*A116)</f>
        <v>0.13419814027068919</v>
      </c>
      <c r="C116" s="5">
        <f>Dashboard!$C$17*A116</f>
        <v>911.99999999999989</v>
      </c>
      <c r="D116" s="5">
        <f>Dashboard!$C$15*(1-EXP(-Dashboard!$C$16*A116))</f>
        <v>0.34757964904037036</v>
      </c>
      <c r="E116" s="5">
        <f>1/(1+EXP(MIN(700,MAX(-700,(C116-Dashboard!$C$18)/Dashboard!$C$19))))</f>
        <v>0.85976425536961243</v>
      </c>
      <c r="F116" s="5">
        <f t="shared" si="15"/>
        <v>0.29883655813882526</v>
      </c>
      <c r="G116" s="8">
        <f>Dashboard!$C$9*B116*Dashboard!$C$11*(1-F116)</f>
        <v>188189.6598471303</v>
      </c>
      <c r="H116" s="8">
        <f>Dashboard!$C$20*A116^2</f>
        <v>10396.799999999999</v>
      </c>
      <c r="I116" s="8">
        <f t="shared" si="16"/>
        <v>198586.45984713029</v>
      </c>
      <c r="J116" s="8">
        <f>Dashboard!$C$13*A116</f>
        <v>22799.999999999996</v>
      </c>
      <c r="K116" s="8">
        <f>Dashboard!$C$14*A116</f>
        <v>34200</v>
      </c>
      <c r="L116" s="8">
        <f>Dashboard!$C$21-K116</f>
        <v>1465800</v>
      </c>
      <c r="M116" s="8">
        <f t="shared" si="17"/>
        <v>1244413.5401528697</v>
      </c>
      <c r="N116" s="8">
        <f t="shared" si="18"/>
        <v>57000</v>
      </c>
      <c r="O116" s="8">
        <f>Dashboard!$C$15*(Dashboard!$C$16*EXP(-Dashboard!$C$16*A116)*E116-(1-EXP(-Dashboard!$C$16*A116))*Dashboard!$C$17/Dashboard!$C$19*E116*(1-E116))</f>
        <v>0.13861066674059203</v>
      </c>
      <c r="P116" s="8">
        <f>Dashboard!$C$9*B116*Dashboard!$C$11*(-Dashboard!$C$12*(1-F116)-O116)+2*Dashboard!$C$20*A116</f>
        <v>-84828.96834303104</v>
      </c>
      <c r="Q116" s="8">
        <f>-P116-Dashboard!$C$13-Dashboard!$C$14</f>
        <v>34828.96834303104</v>
      </c>
    </row>
    <row r="117" spans="1:17" x14ac:dyDescent="0.25">
      <c r="A117" s="5">
        <f>(117-2)/100</f>
        <v>1.1499999999999999</v>
      </c>
      <c r="B117" s="5">
        <f>Dashboard!$C$10*EXP(-Dashboard!$C$12*A117)</f>
        <v>0.13372926778523189</v>
      </c>
      <c r="C117" s="5">
        <f>Dashboard!$C$17*A117</f>
        <v>919.99999999999989</v>
      </c>
      <c r="D117" s="5">
        <f>Dashboard!$C$15*(1-EXP(-Dashboard!$C$16*A117))</f>
        <v>0.34983610495443546</v>
      </c>
      <c r="E117" s="5">
        <f>1/(1+EXP(MIN(700,MAX(-700,(C117-Dashboard!$C$18)/Dashboard!$C$19))))</f>
        <v>0.85814893509951229</v>
      </c>
      <c r="F117" s="5">
        <f t="shared" si="15"/>
        <v>0.30021148092601002</v>
      </c>
      <c r="G117" s="8">
        <f>Dashboard!$C$9*B117*Dashboard!$C$11*(1-F117)</f>
        <v>187164.4125205529</v>
      </c>
      <c r="H117" s="8">
        <f>Dashboard!$C$20*A117^2</f>
        <v>10579.999999999998</v>
      </c>
      <c r="I117" s="8">
        <f t="shared" si="16"/>
        <v>197744.4125205529</v>
      </c>
      <c r="J117" s="8">
        <f>Dashboard!$C$13*A117</f>
        <v>23000</v>
      </c>
      <c r="K117" s="8">
        <f>Dashboard!$C$14*A117</f>
        <v>34500</v>
      </c>
      <c r="L117" s="8">
        <f>Dashboard!$C$21-K117</f>
        <v>1465500</v>
      </c>
      <c r="M117" s="8">
        <f t="shared" si="17"/>
        <v>1244755.587479447</v>
      </c>
      <c r="N117" s="8">
        <f t="shared" si="18"/>
        <v>57500</v>
      </c>
      <c r="O117" s="8">
        <f>Dashboard!$C$15*(Dashboard!$C$16*EXP(-Dashboard!$C$16*A117)*E117-(1-EXP(-Dashboard!$C$16*A117))*Dashboard!$C$17/Dashboard!$C$19*E117*(1-E117))</f>
        <v>0.13637340922385729</v>
      </c>
      <c r="P117" s="8">
        <f>Dashboard!$C$9*B117*Dashboard!$C$11*(-Dashboard!$C$12*(1-F117)-O117)+2*Dashboard!$C$20*A117</f>
        <v>-83581.776703957948</v>
      </c>
      <c r="Q117" s="8">
        <f>-P117-Dashboard!$C$13-Dashboard!$C$14</f>
        <v>33581.776703957948</v>
      </c>
    </row>
    <row r="118" spans="1:17" x14ac:dyDescent="0.25">
      <c r="A118" s="5">
        <f>(118-2)/100</f>
        <v>1.1599999999999999</v>
      </c>
      <c r="B118" s="5">
        <f>Dashboard!$C$10*EXP(-Dashboard!$C$12*A118)</f>
        <v>0.13326203348497728</v>
      </c>
      <c r="C118" s="5">
        <f>Dashboard!$C$17*A118</f>
        <v>927.99999999999989</v>
      </c>
      <c r="D118" s="5">
        <f>Dashboard!$C$15*(1-EXP(-Dashboard!$C$16*A118))</f>
        <v>0.3520813067476784</v>
      </c>
      <c r="E118" s="5">
        <f>1/(1+EXP(MIN(700,MAX(-700,(C118-Dashboard!$C$18)/Dashboard!$C$19))))</f>
        <v>0.85651811369661279</v>
      </c>
      <c r="F118" s="5">
        <f t="shared" si="15"/>
        <v>0.30156401672336003</v>
      </c>
      <c r="G118" s="8">
        <f>Dashboard!$C$9*B118*Dashboard!$C$11*(1-F118)</f>
        <v>186149.99878104925</v>
      </c>
      <c r="H118" s="8">
        <f>Dashboard!$C$20*A118^2</f>
        <v>10764.8</v>
      </c>
      <c r="I118" s="8">
        <f t="shared" si="16"/>
        <v>196914.79878104923</v>
      </c>
      <c r="J118" s="8">
        <f>Dashboard!$C$13*A118</f>
        <v>23200</v>
      </c>
      <c r="K118" s="8">
        <f>Dashboard!$C$14*A118</f>
        <v>34800</v>
      </c>
      <c r="L118" s="8">
        <f>Dashboard!$C$21-K118</f>
        <v>1465200</v>
      </c>
      <c r="M118" s="8">
        <f t="shared" si="17"/>
        <v>1245085.2012189508</v>
      </c>
      <c r="N118" s="8">
        <f t="shared" si="18"/>
        <v>58000</v>
      </c>
      <c r="O118" s="8">
        <f>Dashboard!$C$15*(Dashboard!$C$16*EXP(-Dashboard!$C$16*A118)*E118-(1-EXP(-Dashboard!$C$16*A118))*Dashboard!$C$17/Dashboard!$C$19*E118*(1-E118))</f>
        <v>0.13413327183603996</v>
      </c>
      <c r="P118" s="8">
        <f>Dashboard!$C$9*B118*Dashboard!$C$11*(-Dashboard!$C$12*(1-F118)-O118)+2*Dashboard!$C$20*A118</f>
        <v>-82342.244699095056</v>
      </c>
      <c r="Q118" s="8">
        <f>-P118-Dashboard!$C$13-Dashboard!$C$14</f>
        <v>32342.244699095056</v>
      </c>
    </row>
    <row r="119" spans="1:17" x14ac:dyDescent="0.25">
      <c r="A119" s="5">
        <f>(119-2)/100</f>
        <v>1.17</v>
      </c>
      <c r="B119" s="5">
        <f>Dashboard!$C$10*EXP(-Dashboard!$C$12*A119)</f>
        <v>0.13279643164629931</v>
      </c>
      <c r="C119" s="5">
        <f>Dashboard!$C$17*A119</f>
        <v>936</v>
      </c>
      <c r="D119" s="5">
        <f>Dashboard!$C$15*(1-EXP(-Dashboard!$C$16*A119))</f>
        <v>0.35431531055026089</v>
      </c>
      <c r="E119" s="5">
        <f>1/(1+EXP(MIN(700,MAX(-700,(C119-Dashboard!$C$18)/Dashboard!$C$19))))</f>
        <v>0.85487171400874951</v>
      </c>
      <c r="F119" s="5">
        <f t="shared" si="15"/>
        <v>0.30289413682964389</v>
      </c>
      <c r="G119" s="8">
        <f>Dashboard!$C$9*B119*Dashboard!$C$11*(1-F119)</f>
        <v>185146.34221747337</v>
      </c>
      <c r="H119" s="8">
        <f>Dashboard!$C$20*A119^2</f>
        <v>10951.199999999999</v>
      </c>
      <c r="I119" s="8">
        <f t="shared" si="16"/>
        <v>196097.54221747338</v>
      </c>
      <c r="J119" s="8">
        <f>Dashboard!$C$13*A119</f>
        <v>23400</v>
      </c>
      <c r="K119" s="8">
        <f>Dashboard!$C$14*A119</f>
        <v>35100</v>
      </c>
      <c r="L119" s="8">
        <f>Dashboard!$C$21-K119</f>
        <v>1464900</v>
      </c>
      <c r="M119" s="8">
        <f t="shared" si="17"/>
        <v>1245402.4577825265</v>
      </c>
      <c r="N119" s="8">
        <f t="shared" si="18"/>
        <v>58500</v>
      </c>
      <c r="O119" s="8">
        <f>Dashboard!$C$15*(Dashboard!$C$16*EXP(-Dashboard!$C$16*A119)*E119-(1-EXP(-Dashboard!$C$16*A119))*Dashboard!$C$17/Dashboard!$C$19*E119*(1-E119))</f>
        <v>0.13189027463549718</v>
      </c>
      <c r="P119" s="8">
        <f>Dashboard!$C$9*B119*Dashboard!$C$11*(-Dashboard!$C$12*(1-F119)-O119)+2*Dashboard!$C$20*A119</f>
        <v>-81110.335457004578</v>
      </c>
      <c r="Q119" s="8">
        <f>-P119-Dashboard!$C$13-Dashboard!$C$14</f>
        <v>31110.335457004578</v>
      </c>
    </row>
    <row r="120" spans="1:17" x14ac:dyDescent="0.25">
      <c r="A120" s="5">
        <f>(120-2)/100</f>
        <v>1.18</v>
      </c>
      <c r="B120" s="5">
        <f>Dashboard!$C$10*EXP(-Dashboard!$C$12*A120)</f>
        <v>0.13233245656556966</v>
      </c>
      <c r="C120" s="5">
        <f>Dashboard!$C$17*A120</f>
        <v>944</v>
      </c>
      <c r="D120" s="5">
        <f>Dashboard!$C$15*(1-EXP(-Dashboard!$C$16*A120))</f>
        <v>0.35653817221239437</v>
      </c>
      <c r="E120" s="5">
        <f>1/(1+EXP(MIN(700,MAX(-700,(C120-Dashboard!$C$18)/Dashboard!$C$19))))</f>
        <v>0.85320966019861766</v>
      </c>
      <c r="F120" s="5">
        <f t="shared" si="15"/>
        <v>0.3042018127611732</v>
      </c>
      <c r="G120" s="8">
        <f>Dashboard!$C$9*B120*Dashboard!$C$11*(1-F120)</f>
        <v>184153.36678236834</v>
      </c>
      <c r="H120" s="8">
        <f>Dashboard!$C$20*A120^2</f>
        <v>11139.199999999999</v>
      </c>
      <c r="I120" s="8">
        <f t="shared" si="16"/>
        <v>195292.56678236835</v>
      </c>
      <c r="J120" s="8">
        <f>Dashboard!$C$13*A120</f>
        <v>23600</v>
      </c>
      <c r="K120" s="8">
        <f>Dashboard!$C$14*A120</f>
        <v>35400</v>
      </c>
      <c r="L120" s="8">
        <f>Dashboard!$C$21-K120</f>
        <v>1464600</v>
      </c>
      <c r="M120" s="8">
        <f t="shared" si="17"/>
        <v>1245707.4332176317</v>
      </c>
      <c r="N120" s="8">
        <f t="shared" si="18"/>
        <v>59000</v>
      </c>
      <c r="O120" s="8">
        <f>Dashboard!$C$15*(Dashboard!$C$16*EXP(-Dashboard!$C$16*A120)*E120-(1-EXP(-Dashboard!$C$16*A120))*Dashboard!$C$17/Dashboard!$C$19*E120*(1-E120))</f>
        <v>0.12964444108098166</v>
      </c>
      <c r="P120" s="8">
        <f>Dashboard!$C$9*B120*Dashboard!$C$11*(-Dashboard!$C$12*(1-F120)-O120)+2*Dashboard!$C$20*A120</f>
        <v>-79886.013110462038</v>
      </c>
      <c r="Q120" s="8">
        <f>-P120-Dashboard!$C$13-Dashboard!$C$14</f>
        <v>29886.013110462038</v>
      </c>
    </row>
    <row r="121" spans="1:17" x14ac:dyDescent="0.25">
      <c r="A121" s="5">
        <f>(121-2)/100</f>
        <v>1.19</v>
      </c>
      <c r="B121" s="5">
        <f>Dashboard!$C$10*EXP(-Dashboard!$C$12*A121)</f>
        <v>0.13187010255908782</v>
      </c>
      <c r="C121" s="5">
        <f>Dashboard!$C$17*A121</f>
        <v>952</v>
      </c>
      <c r="D121" s="5">
        <f>Dashboard!$C$15*(1-EXP(-Dashboard!$C$16*A121))</f>
        <v>0.35874994730573617</v>
      </c>
      <c r="E121" s="5">
        <f>1/(1+EXP(MIN(700,MAX(-700,(C121-Dashboard!$C$18)/Dashboard!$C$19))))</f>
        <v>0.85153187778928552</v>
      </c>
      <c r="F121" s="5">
        <f t="shared" si="15"/>
        <v>0.30548701628606073</v>
      </c>
      <c r="G121" s="8">
        <f>Dashboard!$C$9*B121*Dashboard!$C$11*(1-F121)</f>
        <v>183170.99678195053</v>
      </c>
      <c r="H121" s="8">
        <f>Dashboard!$C$20*A121^2</f>
        <v>11328.8</v>
      </c>
      <c r="I121" s="8">
        <f t="shared" si="16"/>
        <v>194499.79678195051</v>
      </c>
      <c r="J121" s="8">
        <f>Dashboard!$C$13*A121</f>
        <v>23800</v>
      </c>
      <c r="K121" s="8">
        <f>Dashboard!$C$14*A121</f>
        <v>35700</v>
      </c>
      <c r="L121" s="8">
        <f>Dashboard!$C$21-K121</f>
        <v>1464300</v>
      </c>
      <c r="M121" s="8">
        <f t="shared" si="17"/>
        <v>1246000.2032180494</v>
      </c>
      <c r="N121" s="8">
        <f t="shared" si="18"/>
        <v>59500</v>
      </c>
      <c r="O121" s="8">
        <f>Dashboard!$C$15*(Dashboard!$C$16*EXP(-Dashboard!$C$16*A121)*E121-(1-EXP(-Dashboard!$C$16*A121))*Dashboard!$C$17/Dashboard!$C$19*E121*(1-E121))</f>
        <v>0.12739579808235665</v>
      </c>
      <c r="P121" s="8">
        <f>Dashboard!$C$9*B121*Dashboard!$C$11*(-Dashboard!$C$12*(1-F121)-O121)+2*Dashboard!$C$20*A121</f>
        <v>-78669.242791117096</v>
      </c>
      <c r="Q121" s="8">
        <f>-P121-Dashboard!$C$13-Dashboard!$C$14</f>
        <v>28669.242791117096</v>
      </c>
    </row>
    <row r="122" spans="1:17" x14ac:dyDescent="0.25">
      <c r="A122" s="5">
        <f>(122-2)/100</f>
        <v>1.2</v>
      </c>
      <c r="B122" s="5">
        <f>Dashboard!$C$10*EXP(-Dashboard!$C$12*A122)</f>
        <v>0.13140936396301137</v>
      </c>
      <c r="C122" s="5">
        <f>Dashboard!$C$17*A122</f>
        <v>960</v>
      </c>
      <c r="D122" s="5">
        <f>Dashboard!$C$15*(1-EXP(-Dashboard!$C$16*A122))</f>
        <v>0.3609506911247789</v>
      </c>
      <c r="E122" s="5">
        <f>1/(1+EXP(MIN(700,MAX(-700,(C122-Dashboard!$C$18)/Dashboard!$C$19))))</f>
        <v>0.84983829371015274</v>
      </c>
      <c r="F122" s="5">
        <f t="shared" si="15"/>
        <v>0.30674971945898249</v>
      </c>
      <c r="G122" s="8">
        <f>Dashboard!$C$9*B122*Dashboard!$C$11*(1-F122)</f>
        <v>182199.15686614858</v>
      </c>
      <c r="H122" s="8">
        <f>Dashboard!$C$20*A122^2</f>
        <v>11520</v>
      </c>
      <c r="I122" s="8">
        <f t="shared" si="16"/>
        <v>193719.15686614858</v>
      </c>
      <c r="J122" s="8">
        <f>Dashboard!$C$13*A122</f>
        <v>24000</v>
      </c>
      <c r="K122" s="8">
        <f>Dashboard!$C$14*A122</f>
        <v>36000</v>
      </c>
      <c r="L122" s="8">
        <f>Dashboard!$C$21-K122</f>
        <v>1464000</v>
      </c>
      <c r="M122" s="8">
        <f t="shared" si="17"/>
        <v>1246280.8431338514</v>
      </c>
      <c r="N122" s="8">
        <f t="shared" si="18"/>
        <v>60000</v>
      </c>
      <c r="O122" s="8">
        <f>Dashboard!$C$15*(Dashboard!$C$16*EXP(-Dashboard!$C$16*A122)*E122-(1-EXP(-Dashboard!$C$16*A122))*Dashboard!$C$17/Dashboard!$C$19*E122*(1-E122))</f>
        <v>0.12514437605071285</v>
      </c>
      <c r="P122" s="8">
        <f>Dashboard!$C$9*B122*Dashboard!$C$11*(-Dashboard!$C$12*(1-F122)-O122)+2*Dashboard!$C$20*A122</f>
        <v>-77459.990623896185</v>
      </c>
      <c r="Q122" s="8">
        <f>-P122-Dashboard!$C$13-Dashboard!$C$14</f>
        <v>27459.990623896185</v>
      </c>
    </row>
    <row r="123" spans="1:17" x14ac:dyDescent="0.25">
      <c r="A123" s="5">
        <f>(123-2)/100</f>
        <v>1.21</v>
      </c>
      <c r="B123" s="5">
        <f>Dashboard!$C$10*EXP(-Dashboard!$C$12*A123)</f>
        <v>0.13095023513328677</v>
      </c>
      <c r="C123" s="5">
        <f>Dashboard!$C$17*A123</f>
        <v>968</v>
      </c>
      <c r="D123" s="5">
        <f>Dashboard!$C$15*(1-EXP(-Dashboard!$C$16*A123))</f>
        <v>0.36314045868823253</v>
      </c>
      <c r="E123" s="5">
        <f>1/(1+EXP(MIN(700,MAX(-700,(C123-Dashboard!$C$18)/Dashboard!$C$19))))</f>
        <v>0.84812883634334069</v>
      </c>
      <c r="F123" s="5">
        <f t="shared" si="15"/>
        <v>0.30798989465643761</v>
      </c>
      <c r="G123" s="8">
        <f>Dashboard!$C$9*B123*Dashboard!$C$11*(1-F123)</f>
        <v>181237.77201870008</v>
      </c>
      <c r="H123" s="8">
        <f>Dashboard!$C$20*A123^2</f>
        <v>11712.8</v>
      </c>
      <c r="I123" s="8">
        <f t="shared" si="16"/>
        <v>192950.57201870007</v>
      </c>
      <c r="J123" s="8">
        <f>Dashboard!$C$13*A123</f>
        <v>24200</v>
      </c>
      <c r="K123" s="8">
        <f>Dashboard!$C$14*A123</f>
        <v>36300</v>
      </c>
      <c r="L123" s="8">
        <f>Dashboard!$C$21-K123</f>
        <v>1463700</v>
      </c>
      <c r="M123" s="8">
        <f t="shared" si="17"/>
        <v>1246549.4279812998</v>
      </c>
      <c r="N123" s="8">
        <f t="shared" si="18"/>
        <v>60500</v>
      </c>
      <c r="O123" s="8">
        <f>Dashboard!$C$15*(Dashboard!$C$16*EXP(-Dashboard!$C$16*A123)*E123-(1-EXP(-Dashboard!$C$16*A123))*Dashboard!$C$17/Dashboard!$C$19*E123*(1-E123))</f>
        <v>0.1228902089478307</v>
      </c>
      <c r="P123" s="8">
        <f>Dashboard!$C$9*B123*Dashboard!$C$11*(-Dashboard!$C$12*(1-F123)-O123)+2*Dashboard!$C$20*A123</f>
        <v>-76258.223721139366</v>
      </c>
      <c r="Q123" s="8">
        <f>-P123-Dashboard!$C$13-Dashboard!$C$14</f>
        <v>26258.223721139366</v>
      </c>
    </row>
    <row r="124" spans="1:17" x14ac:dyDescent="0.25">
      <c r="A124" s="5">
        <f>(124-2)/100</f>
        <v>1.22</v>
      </c>
      <c r="B124" s="5">
        <f>Dashboard!$C$10*EXP(-Dashboard!$C$12*A124)</f>
        <v>0.13049271044558008</v>
      </c>
      <c r="C124" s="5">
        <f>Dashboard!$C$17*A124</f>
        <v>976</v>
      </c>
      <c r="D124" s="5">
        <f>Dashboard!$C$15*(1-EXP(-Dashboard!$C$16*A124))</f>
        <v>0.3653193047404002</v>
      </c>
      <c r="E124" s="5">
        <f>1/(1+EXP(MIN(700,MAX(-700,(C124-Dashboard!$C$18)/Dashboard!$C$19))))</f>
        <v>0.8464034355704978</v>
      </c>
      <c r="F124" s="5">
        <f t="shared" si="15"/>
        <v>0.30920751461250034</v>
      </c>
      <c r="G124" s="8">
        <f>Dashboard!$C$9*B124*Dashboard!$C$11*(1-F124)</f>
        <v>180286.76754730719</v>
      </c>
      <c r="H124" s="8">
        <f>Dashboard!$C$20*A124^2</f>
        <v>11907.199999999999</v>
      </c>
      <c r="I124" s="8">
        <f t="shared" si="16"/>
        <v>192193.9675473072</v>
      </c>
      <c r="J124" s="8">
        <f>Dashboard!$C$13*A124</f>
        <v>24400</v>
      </c>
      <c r="K124" s="8">
        <f>Dashboard!$C$14*A124</f>
        <v>36600</v>
      </c>
      <c r="L124" s="8">
        <f>Dashboard!$C$21-K124</f>
        <v>1463400</v>
      </c>
      <c r="M124" s="8">
        <f t="shared" si="17"/>
        <v>1246806.0324526927</v>
      </c>
      <c r="N124" s="8">
        <f t="shared" si="18"/>
        <v>61000</v>
      </c>
      <c r="O124" s="8">
        <f>Dashboard!$C$15*(Dashboard!$C$16*EXP(-Dashboard!$C$16*A124)*E124-(1-EXP(-Dashboard!$C$16*A124))*Dashboard!$C$17/Dashboard!$C$19*E124*(1-E124))</f>
        <v>0.12063333433492876</v>
      </c>
      <c r="P124" s="8">
        <f>Dashboard!$C$9*B124*Dashboard!$C$11*(-Dashboard!$C$12*(1-F124)-O124)+2*Dashboard!$C$20*A124</f>
        <v>-75063.910176462945</v>
      </c>
      <c r="Q124" s="8">
        <f>-P124-Dashboard!$C$13-Dashboard!$C$14</f>
        <v>25063.910176462945</v>
      </c>
    </row>
    <row r="125" spans="1:17" x14ac:dyDescent="0.25">
      <c r="A125" s="5">
        <f>(125-2)/100</f>
        <v>1.23</v>
      </c>
      <c r="B125" s="5">
        <f>Dashboard!$C$10*EXP(-Dashboard!$C$12*A125)</f>
        <v>0.13003678429520824</v>
      </c>
      <c r="C125" s="5">
        <f>Dashboard!$C$17*A125</f>
        <v>984</v>
      </c>
      <c r="D125" s="5">
        <f>Dashboard!$C$15*(1-EXP(-Dashboard!$C$16*A125))</f>
        <v>0.36748728375254675</v>
      </c>
      <c r="E125" s="5">
        <f>1/(1+EXP(MIN(700,MAX(-700,(C125-Dashboard!$C$18)/Dashboard!$C$19))))</f>
        <v>0.84466202282000247</v>
      </c>
      <c r="F125" s="5">
        <f t="shared" si="15"/>
        <v>0.31040255245505438</v>
      </c>
      <c r="G125" s="8">
        <f>Dashboard!$C$9*B125*Dashboard!$C$11*(1-F125)</f>
        <v>179346.06907385655</v>
      </c>
      <c r="H125" s="8">
        <f>Dashboard!$C$20*A125^2</f>
        <v>12103.199999999999</v>
      </c>
      <c r="I125" s="8">
        <f t="shared" si="16"/>
        <v>191449.26907385656</v>
      </c>
      <c r="J125" s="8">
        <f>Dashboard!$C$13*A125</f>
        <v>24600</v>
      </c>
      <c r="K125" s="8">
        <f>Dashboard!$C$14*A125</f>
        <v>36900</v>
      </c>
      <c r="L125" s="8">
        <f>Dashboard!$C$21-K125</f>
        <v>1463100</v>
      </c>
      <c r="M125" s="8">
        <f t="shared" si="17"/>
        <v>1247050.7309261435</v>
      </c>
      <c r="N125" s="8">
        <f t="shared" si="18"/>
        <v>61500</v>
      </c>
      <c r="O125" s="8">
        <f>Dashboard!$C$15*(Dashboard!$C$16*EXP(-Dashboard!$C$16*A125)*E125-(1-EXP(-Dashboard!$C$16*A125))*Dashboard!$C$17/Dashboard!$C$19*E125*(1-E125))</f>
        <v>0.11837379342063886</v>
      </c>
      <c r="P125" s="8">
        <f>Dashboard!$C$9*B125*Dashboard!$C$11*(-Dashboard!$C$12*(1-F125)-O125)+2*Dashboard!$C$20*A125</f>
        <v>-73877.019058340098</v>
      </c>
      <c r="Q125" s="8">
        <f>-P125-Dashboard!$C$13-Dashboard!$C$14</f>
        <v>23877.019058340098</v>
      </c>
    </row>
    <row r="126" spans="1:17" x14ac:dyDescent="0.25">
      <c r="A126" s="5">
        <f>(126-2)/100</f>
        <v>1.24</v>
      </c>
      <c r="B126" s="5">
        <f>Dashboard!$C$10*EXP(-Dashboard!$C$12*A126)</f>
        <v>0.12958245109707012</v>
      </c>
      <c r="C126" s="5">
        <f>Dashboard!$C$17*A126</f>
        <v>992</v>
      </c>
      <c r="D126" s="5">
        <f>Dashboard!$C$15*(1-EXP(-Dashboard!$C$16*A126))</f>
        <v>0.36964444992426043</v>
      </c>
      <c r="E126" s="5">
        <f>1/(1+EXP(MIN(700,MAX(-700,(C126-Dashboard!$C$18)/Dashboard!$C$19))))</f>
        <v>0.84290453111454733</v>
      </c>
      <c r="F126" s="5">
        <f t="shared" si="15"/>
        <v>0.31157498174250353</v>
      </c>
      <c r="G126" s="8">
        <f>Dashboard!$C$9*B126*Dashboard!$C$11*(1-F126)</f>
        <v>178415.60252470328</v>
      </c>
      <c r="H126" s="8">
        <f>Dashboard!$C$20*A126^2</f>
        <v>12300.800000000001</v>
      </c>
      <c r="I126" s="8">
        <f t="shared" si="16"/>
        <v>190716.40252470327</v>
      </c>
      <c r="J126" s="8">
        <f>Dashboard!$C$13*A126</f>
        <v>24800</v>
      </c>
      <c r="K126" s="8">
        <f>Dashboard!$C$14*A126</f>
        <v>37200</v>
      </c>
      <c r="L126" s="8">
        <f>Dashboard!$C$21-K126</f>
        <v>1462800</v>
      </c>
      <c r="M126" s="8">
        <f t="shared" si="17"/>
        <v>1247283.5974752968</v>
      </c>
      <c r="N126" s="8">
        <f t="shared" si="18"/>
        <v>62000</v>
      </c>
      <c r="O126" s="8">
        <f>Dashboard!$C$15*(Dashboard!$C$16*EXP(-Dashboard!$C$16*A126)*E126-(1-EXP(-Dashboard!$C$16*A126))*Dashboard!$C$17/Dashboard!$C$19*E126*(1-E126))</f>
        <v>0.11611163110814726</v>
      </c>
      <c r="P126" s="8">
        <f>Dashboard!$C$9*B126*Dashboard!$C$11*(-Dashboard!$C$12*(1-F126)-O126)+2*Dashboard!$C$20*A126</f>
        <v>-72697.520403391231</v>
      </c>
      <c r="Q126" s="8">
        <f>-P126-Dashboard!$C$13-Dashboard!$C$14</f>
        <v>22697.520403391231</v>
      </c>
    </row>
    <row r="127" spans="1:17" x14ac:dyDescent="0.25">
      <c r="A127" s="5">
        <f>(127-2)/100</f>
        <v>1.25</v>
      </c>
      <c r="B127" s="5">
        <f>Dashboard!$C$10*EXP(-Dashboard!$C$12*A127)</f>
        <v>0.12912970528557841</v>
      </c>
      <c r="C127" s="5">
        <f>Dashboard!$C$17*A127</f>
        <v>1000</v>
      </c>
      <c r="D127" s="5">
        <f>Dashboard!$C$15*(1-EXP(-Dashboard!$C$16*A127))</f>
        <v>0.37179085718480781</v>
      </c>
      <c r="E127" s="5">
        <f>1/(1+EXP(MIN(700,MAX(-700,(C127-Dashboard!$C$18)/Dashboard!$C$19))))</f>
        <v>0.8411308951190849</v>
      </c>
      <c r="F127" s="5">
        <f t="shared" si="15"/>
        <v>0.31272477650094926</v>
      </c>
      <c r="G127" s="8">
        <f>Dashboard!$C$9*B127*Dashboard!$C$11*(1-F127)</f>
        <v>177495.2941210249</v>
      </c>
      <c r="H127" s="8">
        <f>Dashboard!$C$20*A127^2</f>
        <v>12500</v>
      </c>
      <c r="I127" s="8">
        <f t="shared" si="16"/>
        <v>189995.2941210249</v>
      </c>
      <c r="J127" s="8">
        <f>Dashboard!$C$13*A127</f>
        <v>25000</v>
      </c>
      <c r="K127" s="8">
        <f>Dashboard!$C$14*A127</f>
        <v>37500</v>
      </c>
      <c r="L127" s="8">
        <f>Dashboard!$C$21-K127</f>
        <v>1462500</v>
      </c>
      <c r="M127" s="8">
        <f t="shared" si="17"/>
        <v>1247504.7058789751</v>
      </c>
      <c r="N127" s="8">
        <f t="shared" si="18"/>
        <v>62500</v>
      </c>
      <c r="O127" s="8">
        <f>Dashboard!$C$15*(Dashboard!$C$16*EXP(-Dashboard!$C$16*A127)*E127-(1-EXP(-Dashboard!$C$16*A127))*Dashboard!$C$17/Dashboard!$C$19*E127*(1-E127))</f>
        <v>0.1138468960414393</v>
      </c>
      <c r="P127" s="8">
        <f>Dashboard!$C$9*B127*Dashboard!$C$11*(-Dashboard!$C$12*(1-F127)-O127)+2*Dashboard!$C$20*A127</f>
        <v>-71525.385209376589</v>
      </c>
      <c r="Q127" s="8">
        <f>-P127-Dashboard!$C$13-Dashboard!$C$14</f>
        <v>21525.385209376589</v>
      </c>
    </row>
    <row r="128" spans="1:17" x14ac:dyDescent="0.25">
      <c r="A128" s="5">
        <f>(128-2)/100</f>
        <v>1.26</v>
      </c>
      <c r="B128" s="5">
        <f>Dashboard!$C$10*EXP(-Dashboard!$C$12*A128)</f>
        <v>0.12867854131459125</v>
      </c>
      <c r="C128" s="5">
        <f>Dashboard!$C$17*A128</f>
        <v>1008</v>
      </c>
      <c r="D128" s="5">
        <f>Dashboard!$C$15*(1-EXP(-Dashboard!$C$16*A128))</f>
        <v>0.37392655919448226</v>
      </c>
      <c r="E128" s="5">
        <f>1/(1+EXP(MIN(700,MAX(-700,(C128-Dashboard!$C$18)/Dashboard!$C$19))))</f>
        <v>0.8393410511891165</v>
      </c>
      <c r="F128" s="5">
        <f t="shared" si="15"/>
        <v>0.31385191126182616</v>
      </c>
      <c r="G128" s="8">
        <f>Dashboard!$C$9*B128*Dashboard!$C$11*(1-F128)</f>
        <v>176585.07036924586</v>
      </c>
      <c r="H128" s="8">
        <f>Dashboard!$C$20*A128^2</f>
        <v>12700.800000000001</v>
      </c>
      <c r="I128" s="8">
        <f t="shared" si="16"/>
        <v>189285.87036924585</v>
      </c>
      <c r="J128" s="8">
        <f>Dashboard!$C$13*A128</f>
        <v>25200</v>
      </c>
      <c r="K128" s="8">
        <f>Dashboard!$C$14*A128</f>
        <v>37800</v>
      </c>
      <c r="L128" s="8">
        <f>Dashboard!$C$21-K128</f>
        <v>1462200</v>
      </c>
      <c r="M128" s="8">
        <f t="shared" si="17"/>
        <v>1247714.1296307542</v>
      </c>
      <c r="N128" s="8">
        <f t="shared" si="18"/>
        <v>63000</v>
      </c>
      <c r="O128" s="8">
        <f>Dashboard!$C$15*(Dashboard!$C$16*EXP(-Dashboard!$C$16*A128)*E128-(1-EXP(-Dashboard!$C$16*A128))*Dashboard!$C$17/Dashboard!$C$19*E128*(1-E128))</f>
        <v>0.11157964065058464</v>
      </c>
      <c r="P128" s="8">
        <f>Dashboard!$C$9*B128*Dashboard!$C$11*(-Dashboard!$C$12*(1-F128)-O128)+2*Dashboard!$C$20*A128</f>
        <v>-70360.585427883052</v>
      </c>
      <c r="Q128" s="8">
        <f>-P128-Dashboard!$C$13-Dashboard!$C$14</f>
        <v>20360.585427883052</v>
      </c>
    </row>
    <row r="129" spans="1:17" x14ac:dyDescent="0.25">
      <c r="A129" s="5">
        <f>(129-2)/100</f>
        <v>1.27</v>
      </c>
      <c r="B129" s="5">
        <f>Dashboard!$C$10*EXP(-Dashboard!$C$12*A129)</f>
        <v>0.12822895365734432</v>
      </c>
      <c r="C129" s="5">
        <f>Dashboard!$C$17*A129</f>
        <v>1016</v>
      </c>
      <c r="D129" s="5">
        <f>Dashboard!$C$15*(1-EXP(-Dashboard!$C$16*A129))</f>
        <v>0.37605160934594517</v>
      </c>
      <c r="E129" s="5">
        <f>1/(1+EXP(MIN(700,MAX(-700,(C129-Dashboard!$C$18)/Dashboard!$C$19))))</f>
        <v>0.83753493741930385</v>
      </c>
      <c r="F129" s="5">
        <f t="shared" si="15"/>
        <v>0.31495636109998471</v>
      </c>
      <c r="G129" s="8">
        <f>Dashboard!$C$9*B129*Dashboard!$C$11*(1-F129)</f>
        <v>175684.85805153716</v>
      </c>
      <c r="H129" s="8">
        <f>Dashboard!$C$20*A129^2</f>
        <v>12903.2</v>
      </c>
      <c r="I129" s="8">
        <f t="shared" si="16"/>
        <v>188588.05805153717</v>
      </c>
      <c r="J129" s="8">
        <f>Dashboard!$C$13*A129</f>
        <v>25400</v>
      </c>
      <c r="K129" s="8">
        <f>Dashboard!$C$14*A129</f>
        <v>38100</v>
      </c>
      <c r="L129" s="8">
        <f>Dashboard!$C$21-K129</f>
        <v>1461900</v>
      </c>
      <c r="M129" s="8">
        <f t="shared" si="17"/>
        <v>1247911.9419484627</v>
      </c>
      <c r="N129" s="8">
        <f t="shared" si="18"/>
        <v>63500</v>
      </c>
      <c r="O129" s="8">
        <f>Dashboard!$C$15*(Dashboard!$C$16*EXP(-Dashboard!$C$16*A129)*E129-(1-EXP(-Dashboard!$C$16*A129))*Dashboard!$C$17/Dashboard!$C$19*E129*(1-E129))</f>
        <v>0.10930992119599942</v>
      </c>
      <c r="P129" s="8">
        <f>Dashboard!$C$9*B129*Dashboard!$C$11*(-Dashboard!$C$12*(1-F129)-O129)+2*Dashboard!$C$20*A129</f>
        <v>-69203.093956697528</v>
      </c>
      <c r="Q129" s="8">
        <f>-P129-Dashboard!$C$13-Dashboard!$C$14</f>
        <v>19203.093956697528</v>
      </c>
    </row>
    <row r="130" spans="1:17" x14ac:dyDescent="0.25">
      <c r="A130" s="5">
        <f>(130-2)/100</f>
        <v>1.28</v>
      </c>
      <c r="B130" s="5">
        <f>Dashboard!$C$10*EXP(-Dashboard!$C$12*A130)</f>
        <v>0.12778093680638325</v>
      </c>
      <c r="C130" s="5">
        <f>Dashboard!$C$17*A130</f>
        <v>1024</v>
      </c>
      <c r="D130" s="5">
        <f>Dashboard!$C$15*(1-EXP(-Dashboard!$C$16*A130))</f>
        <v>0.3781660607655612</v>
      </c>
      <c r="E130" s="5">
        <f>1/(1+EXP(MIN(700,MAX(-700,(C130-Dashboard!$C$18)/Dashboard!$C$19))))</f>
        <v>0.83571249369238143</v>
      </c>
      <c r="F130" s="5">
        <f t="shared" si="15"/>
        <v>0.3160381016722118</v>
      </c>
      <c r="G130" s="8">
        <f>Dashboard!$C$9*B130*Dashboard!$C$11*(1-F130)</f>
        <v>174794.58421639405</v>
      </c>
      <c r="H130" s="8">
        <f>Dashboard!$C$20*A130^2</f>
        <v>13107.2</v>
      </c>
      <c r="I130" s="8">
        <f t="shared" si="16"/>
        <v>187901.78421639407</v>
      </c>
      <c r="J130" s="8">
        <f>Dashboard!$C$13*A130</f>
        <v>25600</v>
      </c>
      <c r="K130" s="8">
        <f>Dashboard!$C$14*A130</f>
        <v>38400</v>
      </c>
      <c r="L130" s="8">
        <f>Dashboard!$C$21-K130</f>
        <v>1461600</v>
      </c>
      <c r="M130" s="8">
        <f t="shared" si="17"/>
        <v>1248098.2157836058</v>
      </c>
      <c r="N130" s="8">
        <f t="shared" si="18"/>
        <v>64000</v>
      </c>
      <c r="O130" s="8">
        <f>Dashboard!$C$15*(Dashboard!$C$16*EXP(-Dashboard!$C$16*A130)*E130-(1-EXP(-Dashboard!$C$16*A130))*Dashboard!$C$17/Dashboard!$C$19*E130*(1-E130))</f>
        <v>0.10703779781161833</v>
      </c>
      <c r="P130" s="8">
        <f>Dashboard!$C$9*B130*Dashboard!$C$11*(-Dashboard!$C$12*(1-F130)-O130)+2*Dashboard!$C$20*A130</f>
        <v>-68052.88463185959</v>
      </c>
      <c r="Q130" s="8">
        <f>-P130-Dashboard!$C$13-Dashboard!$C$14</f>
        <v>18052.88463185959</v>
      </c>
    </row>
    <row r="131" spans="1:17" x14ac:dyDescent="0.25">
      <c r="A131" s="5">
        <f>(131-2)/100</f>
        <v>1.29</v>
      </c>
      <c r="B131" s="5">
        <f>Dashboard!$C$10*EXP(-Dashboard!$C$12*A131)</f>
        <v>0.12733448527349597</v>
      </c>
      <c r="C131" s="5">
        <f>Dashboard!$C$17*A131</f>
        <v>1032</v>
      </c>
      <c r="D131" s="5">
        <f>Dashboard!$C$15*(1-EXP(-Dashboard!$C$16*A131))</f>
        <v>0.3802699663147257</v>
      </c>
      <c r="E131" s="5">
        <f>1/(1+EXP(MIN(700,MAX(-700,(C131-Dashboard!$C$18)/Dashboard!$C$19))))</f>
        <v>0.83387366172834942</v>
      </c>
      <c r="F131" s="5">
        <f t="shared" si="15"/>
        <v>0.3170971092561764</v>
      </c>
      <c r="G131" s="8">
        <f>Dashboard!$C$9*B131*Dashboard!$C$11*(1-F131)</f>
        <v>173914.17616929449</v>
      </c>
      <c r="H131" s="8">
        <f>Dashboard!$C$20*A131^2</f>
        <v>13312.800000000001</v>
      </c>
      <c r="I131" s="8">
        <f t="shared" si="16"/>
        <v>187226.97616929447</v>
      </c>
      <c r="J131" s="8">
        <f>Dashboard!$C$13*A131</f>
        <v>25800</v>
      </c>
      <c r="K131" s="8">
        <f>Dashboard!$C$14*A131</f>
        <v>38700</v>
      </c>
      <c r="L131" s="8">
        <f>Dashboard!$C$21-K131</f>
        <v>1461300</v>
      </c>
      <c r="M131" s="8">
        <f t="shared" si="17"/>
        <v>1248273.0238307056</v>
      </c>
      <c r="N131" s="8">
        <f t="shared" si="18"/>
        <v>64500</v>
      </c>
      <c r="O131" s="8">
        <f>Dashboard!$C$15*(Dashboard!$C$16*EXP(-Dashboard!$C$16*A131)*E131-(1-EXP(-Dashboard!$C$16*A131))*Dashboard!$C$17/Dashboard!$C$19*E131*(1-E131))</f>
        <v>0.10476333454691278</v>
      </c>
      <c r="P131" s="8">
        <f>Dashboard!$C$9*B131*Dashboard!$C$11*(-Dashboard!$C$12*(1-F131)-O131)+2*Dashboard!$C$20*A131</f>
        <v>-66909.932219385475</v>
      </c>
      <c r="Q131" s="8">
        <f>-P131-Dashboard!$C$13-Dashboard!$C$14</f>
        <v>16909.932219385475</v>
      </c>
    </row>
    <row r="132" spans="1:17" x14ac:dyDescent="0.25">
      <c r="A132" s="5">
        <f>(132-2)/100</f>
        <v>1.3</v>
      </c>
      <c r="B132" s="5">
        <f>Dashboard!$C$10*EXP(-Dashboard!$C$12*A132)</f>
        <v>0.12688959358964566</v>
      </c>
      <c r="C132" s="5">
        <f>Dashboard!$C$17*A132</f>
        <v>1040</v>
      </c>
      <c r="D132" s="5">
        <f>Dashboard!$C$15*(1-EXP(-Dashboard!$C$16*A132))</f>
        <v>0.38236337859118719</v>
      </c>
      <c r="E132" s="5">
        <f>1/(1+EXP(MIN(700,MAX(-700,(C132-Dashboard!$C$18)/Dashboard!$C$19))))</f>
        <v>0.83201838513392445</v>
      </c>
      <c r="F132" s="5">
        <f t="shared" si="15"/>
        <v>0.31813336078979093</v>
      </c>
      <c r="G132" s="8">
        <f>Dashboard!$C$9*B132*Dashboard!$C$11*(1-F132)</f>
        <v>173043.56146344196</v>
      </c>
      <c r="H132" s="8">
        <f>Dashboard!$C$20*A132^2</f>
        <v>13520.000000000002</v>
      </c>
      <c r="I132" s="8">
        <f t="shared" si="16"/>
        <v>186563.56146344196</v>
      </c>
      <c r="J132" s="8">
        <f>Dashboard!$C$13*A132</f>
        <v>26000</v>
      </c>
      <c r="K132" s="8">
        <f>Dashboard!$C$14*A132</f>
        <v>39000</v>
      </c>
      <c r="L132" s="8">
        <f>Dashboard!$C$21-K132</f>
        <v>1461000</v>
      </c>
      <c r="M132" s="8">
        <f t="shared" si="17"/>
        <v>1248436.4385365581</v>
      </c>
      <c r="N132" s="8">
        <f t="shared" si="18"/>
        <v>65000</v>
      </c>
      <c r="O132" s="8">
        <f>Dashboard!$C$15*(Dashboard!$C$16*EXP(-Dashboard!$C$16*A132)*E132-(1-EXP(-Dashboard!$C$16*A132))*Dashboard!$C$17/Dashboard!$C$19*E132*(1-E132))</f>
        <v>0.10248659940768641</v>
      </c>
      <c r="P132" s="8">
        <f>Dashboard!$C$9*B132*Dashboard!$C$11*(-Dashboard!$C$12*(1-F132)-O132)+2*Dashboard!$C$20*A132</f>
        <v>-65774.212406656981</v>
      </c>
      <c r="Q132" s="8">
        <f>-P132-Dashboard!$C$13-Dashboard!$C$14</f>
        <v>15774.212406656981</v>
      </c>
    </row>
    <row r="133" spans="1:17" x14ac:dyDescent="0.25">
      <c r="A133" s="5">
        <f>(133-2)/100</f>
        <v>1.31</v>
      </c>
      <c r="B133" s="5">
        <f>Dashboard!$C$10*EXP(-Dashboard!$C$12*A133)</f>
        <v>0.12644625630490355</v>
      </c>
      <c r="C133" s="5">
        <f>Dashboard!$C$17*A133</f>
        <v>1048</v>
      </c>
      <c r="D133" s="5">
        <f>Dashboard!$C$15*(1-EXP(-Dashboard!$C$16*A133))</f>
        <v>0.38444634993036148</v>
      </c>
      <c r="E133" s="5">
        <f>1/(1+EXP(MIN(700,MAX(-700,(C133-Dashboard!$C$18)/Dashboard!$C$19))))</f>
        <v>0.83014660945222263</v>
      </c>
      <c r="F133" s="5">
        <f t="shared" si="15"/>
        <v>0.31914683391097232</v>
      </c>
      <c r="G133" s="8">
        <f>Dashboard!$C$9*B133*Dashboard!$C$11*(1-F133)</f>
        <v>172182.66789059652</v>
      </c>
      <c r="H133" s="8">
        <f>Dashboard!$C$20*A133^2</f>
        <v>13728.800000000001</v>
      </c>
      <c r="I133" s="8">
        <f t="shared" si="16"/>
        <v>185911.46789059651</v>
      </c>
      <c r="J133" s="8">
        <f>Dashboard!$C$13*A133</f>
        <v>26200</v>
      </c>
      <c r="K133" s="8">
        <f>Dashboard!$C$14*A133</f>
        <v>39300</v>
      </c>
      <c r="L133" s="8">
        <f>Dashboard!$C$21-K133</f>
        <v>1460700</v>
      </c>
      <c r="M133" s="8">
        <f t="shared" si="17"/>
        <v>1248588.5321094035</v>
      </c>
      <c r="N133" s="8">
        <f t="shared" si="18"/>
        <v>65500</v>
      </c>
      <c r="O133" s="8">
        <f>Dashboard!$C$15*(Dashboard!$C$16*EXP(-Dashboard!$C$16*A133)*E133-(1-EXP(-Dashboard!$C$16*A133))*Dashboard!$C$17/Dashboard!$C$19*E133*(1-E133))</f>
        <v>0.10020766439558022</v>
      </c>
      <c r="P133" s="8">
        <f>Dashboard!$C$9*B133*Dashboard!$C$11*(-Dashboard!$C$12*(1-F133)-O133)+2*Dashboard!$C$20*A133</f>
        <v>-64645.701793467364</v>
      </c>
      <c r="Q133" s="8">
        <f>-P133-Dashboard!$C$13-Dashboard!$C$14</f>
        <v>14645.701793467364</v>
      </c>
    </row>
    <row r="134" spans="1:17" x14ac:dyDescent="0.25">
      <c r="A134" s="5">
        <f>(134-2)/100</f>
        <v>1.32</v>
      </c>
      <c r="B134" s="5">
        <f>Dashboard!$C$10*EXP(-Dashboard!$C$12*A134)</f>
        <v>0.12600446798838247</v>
      </c>
      <c r="C134" s="5">
        <f>Dashboard!$C$17*A134</f>
        <v>1056</v>
      </c>
      <c r="D134" s="5">
        <f>Dashboard!$C$15*(1-EXP(-Dashboard!$C$16*A134))</f>
        <v>0.3865189324066407</v>
      </c>
      <c r="E134" s="5">
        <f>1/(1+EXP(MIN(700,MAX(-700,(C134-Dashboard!$C$18)/Dashboard!$C$19))))</f>
        <v>0.82825828221265307</v>
      </c>
      <c r="F134" s="5">
        <f t="shared" si="15"/>
        <v>0.32013750699779281</v>
      </c>
      <c r="G134" s="8">
        <f>Dashboard!$C$9*B134*Dashboard!$C$11*(1-F134)</f>
        <v>171331.42347199706</v>
      </c>
      <c r="H134" s="8">
        <f>Dashboard!$C$20*A134^2</f>
        <v>13939.2</v>
      </c>
      <c r="I134" s="8">
        <f t="shared" si="16"/>
        <v>185270.62347199707</v>
      </c>
      <c r="J134" s="8">
        <f>Dashboard!$C$13*A134</f>
        <v>26400</v>
      </c>
      <c r="K134" s="8">
        <f>Dashboard!$C$14*A134</f>
        <v>39600</v>
      </c>
      <c r="L134" s="8">
        <f>Dashboard!$C$21-K134</f>
        <v>1460400</v>
      </c>
      <c r="M134" s="8">
        <f t="shared" si="17"/>
        <v>1248729.376528003</v>
      </c>
      <c r="N134" s="8">
        <f t="shared" si="18"/>
        <v>66000</v>
      </c>
      <c r="O134" s="8">
        <f>Dashboard!$C$15*(Dashboard!$C$16*EXP(-Dashboard!$C$16*A134)*E134-(1-EXP(-Dashboard!$C$16*A134))*Dashboard!$C$17/Dashboard!$C$19*E134*(1-E134))</f>
        <v>9.7926605546218556E-2</v>
      </c>
      <c r="P134" s="8">
        <f>Dashboard!$C$9*B134*Dashboard!$C$11*(-Dashboard!$C$12*(1-F134)-O134)+2*Dashboard!$C$20*A134</f>
        <v>-63524.377882717861</v>
      </c>
      <c r="Q134" s="8">
        <f>-P134-Dashboard!$C$13-Dashboard!$C$14</f>
        <v>13524.377882717861</v>
      </c>
    </row>
    <row r="135" spans="1:17" x14ac:dyDescent="0.25">
      <c r="A135" s="5">
        <f>(135-2)/100</f>
        <v>1.33</v>
      </c>
      <c r="B135" s="5">
        <f>Dashboard!$C$10*EXP(-Dashboard!$C$12*A135)</f>
        <v>0.12556422322816993</v>
      </c>
      <c r="C135" s="5">
        <f>Dashboard!$C$17*A135</f>
        <v>1064</v>
      </c>
      <c r="D135" s="5">
        <f>Dashboard!$C$15*(1-EXP(-Dashboard!$C$16*A135))</f>
        <v>0.38858117783469448</v>
      </c>
      <c r="E135" s="5">
        <f>1/(1+EXP(MIN(700,MAX(-700,(C135-Dashboard!$C$18)/Dashboard!$C$19))))</f>
        <v>0.82635335298099499</v>
      </c>
      <c r="F135" s="5">
        <f t="shared" si="15"/>
        <v>0.32110535920900407</v>
      </c>
      <c r="G135" s="8">
        <f>Dashboard!$C$9*B135*Dashboard!$C$11*(1-F135)</f>
        <v>170489.75644937772</v>
      </c>
      <c r="H135" s="8">
        <f>Dashboard!$C$20*A135^2</f>
        <v>14151.2</v>
      </c>
      <c r="I135" s="8">
        <f t="shared" si="16"/>
        <v>184640.95644937773</v>
      </c>
      <c r="J135" s="8">
        <f>Dashboard!$C$13*A135</f>
        <v>26600</v>
      </c>
      <c r="K135" s="8">
        <f>Dashboard!$C$14*A135</f>
        <v>39900</v>
      </c>
      <c r="L135" s="8">
        <f>Dashboard!$C$21-K135</f>
        <v>1460100</v>
      </c>
      <c r="M135" s="8">
        <f t="shared" si="17"/>
        <v>1248859.0435506222</v>
      </c>
      <c r="N135" s="8">
        <f t="shared" si="18"/>
        <v>66500</v>
      </c>
      <c r="O135" s="8">
        <f>Dashboard!$C$15*(Dashboard!$C$16*EXP(-Dashboard!$C$16*A135)*E135-(1-EXP(-Dashboard!$C$16*A135))*Dashboard!$C$17/Dashboard!$C$19*E135*(1-E135))</f>
        <v>9.5643502965926996E-2</v>
      </c>
      <c r="P135" s="8">
        <f>Dashboard!$C$9*B135*Dashboard!$C$11*(-Dashboard!$C$12*(1-F135)-O135)+2*Dashboard!$C$20*A135</f>
        <v>-62410.219070757783</v>
      </c>
      <c r="Q135" s="8">
        <f>-P135-Dashboard!$C$13-Dashboard!$C$14</f>
        <v>12410.219070757783</v>
      </c>
    </row>
    <row r="136" spans="1:17" x14ac:dyDescent="0.25">
      <c r="A136" s="5">
        <f>(136-2)/100</f>
        <v>1.34</v>
      </c>
      <c r="B136" s="5">
        <f>Dashboard!$C$10*EXP(-Dashboard!$C$12*A136)</f>
        <v>0.12512551663126215</v>
      </c>
      <c r="C136" s="5">
        <f>Dashboard!$C$17*A136</f>
        <v>1072</v>
      </c>
      <c r="D136" s="5">
        <f>Dashboard!$C$15*(1-EXP(-Dashboard!$C$16*A136))</f>
        <v>0.39063313777076608</v>
      </c>
      <c r="E136" s="5">
        <f>1/(1+EXP(MIN(700,MAX(-700,(C136-Dashboard!$C$18)/Dashboard!$C$19))))</f>
        <v>0.82443177340963358</v>
      </c>
      <c r="F136" s="5">
        <f t="shared" si="15"/>
        <v>0.32205037052492241</v>
      </c>
      <c r="G136" s="8">
        <f>Dashboard!$C$9*B136*Dashboard!$C$11*(1-F136)</f>
        <v>169657.59527608365</v>
      </c>
      <c r="H136" s="8">
        <f>Dashboard!$C$20*A136^2</f>
        <v>14364.800000000003</v>
      </c>
      <c r="I136" s="8">
        <f t="shared" si="16"/>
        <v>184022.39527608367</v>
      </c>
      <c r="J136" s="8">
        <f>Dashboard!$C$13*A136</f>
        <v>26800</v>
      </c>
      <c r="K136" s="8">
        <f>Dashboard!$C$14*A136</f>
        <v>40200</v>
      </c>
      <c r="L136" s="8">
        <f>Dashboard!$C$21-K136</f>
        <v>1459800</v>
      </c>
      <c r="M136" s="8">
        <f t="shared" si="17"/>
        <v>1248977.6047239164</v>
      </c>
      <c r="N136" s="8">
        <f t="shared" si="18"/>
        <v>67000</v>
      </c>
      <c r="O136" s="8">
        <f>Dashboard!$C$15*(Dashboard!$C$16*EXP(-Dashboard!$C$16*A136)*E136-(1-EXP(-Dashboard!$C$16*A136))*Dashboard!$C$17/Dashboard!$C$19*E136*(1-E136))</f>
        <v>9.3358440866950873E-2</v>
      </c>
      <c r="P136" s="8">
        <f>Dashboard!$C$9*B136*Dashboard!$C$11*(-Dashboard!$C$12*(1-F136)-O136)+2*Dashboard!$C$20*A136</f>
        <v>-61303.204637361996</v>
      </c>
      <c r="Q136" s="8">
        <f>-P136-Dashboard!$C$13-Dashboard!$C$14</f>
        <v>11303.204637361996</v>
      </c>
    </row>
    <row r="137" spans="1:17" x14ac:dyDescent="0.25">
      <c r="A137" s="5">
        <f>(137-2)/100</f>
        <v>1.35</v>
      </c>
      <c r="B137" s="5">
        <f>Dashboard!$C$10*EXP(-Dashboard!$C$12*A137)</f>
        <v>0.12468834282349783</v>
      </c>
      <c r="C137" s="5">
        <f>Dashboard!$C$17*A137</f>
        <v>1080</v>
      </c>
      <c r="D137" s="5">
        <f>Dashboard!$C$15*(1-EXP(-Dashboard!$C$16*A137))</f>
        <v>0.39267486351396069</v>
      </c>
      <c r="E137" s="5">
        <f>1/(1+EXP(MIN(700,MAX(-700,(C137-Dashboard!$C$18)/Dashboard!$C$19))))</f>
        <v>0.8224934972879262</v>
      </c>
      <c r="F137" s="5">
        <f t="shared" si="15"/>
        <v>0.3229725217886566</v>
      </c>
      <c r="G137" s="8">
        <f>Dashboard!$C$9*B137*Dashboard!$C$11*(1-F137)</f>
        <v>168834.86860828841</v>
      </c>
      <c r="H137" s="8">
        <f>Dashboard!$C$20*A137^2</f>
        <v>14580.000000000002</v>
      </c>
      <c r="I137" s="8">
        <f t="shared" si="16"/>
        <v>183414.86860828841</v>
      </c>
      <c r="J137" s="8">
        <f>Dashboard!$C$13*A137</f>
        <v>27000</v>
      </c>
      <c r="K137" s="8">
        <f>Dashboard!$C$14*A137</f>
        <v>40500</v>
      </c>
      <c r="L137" s="8">
        <f>Dashboard!$C$21-K137</f>
        <v>1459500</v>
      </c>
      <c r="M137" s="8">
        <f t="shared" si="17"/>
        <v>1249085.1313917115</v>
      </c>
      <c r="N137" s="8">
        <f t="shared" si="18"/>
        <v>67500</v>
      </c>
      <c r="O137" s="8">
        <f>Dashboard!$C$15*(Dashboard!$C$16*EXP(-Dashboard!$C$16*A137)*E137-(1-EXP(-Dashboard!$C$16*A137))*Dashboard!$C$17/Dashboard!$C$19*E137*(1-E137))</f>
        <v>9.1071507601104218E-2</v>
      </c>
      <c r="P137" s="8">
        <f>Dashboard!$C$9*B137*Dashboard!$C$11*(-Dashboard!$C$12*(1-F137)-O137)+2*Dashboard!$C$20*A137</f>
        <v>-60203.314735339489</v>
      </c>
      <c r="Q137" s="8">
        <f>-P137-Dashboard!$C$13-Dashboard!$C$14</f>
        <v>10203.314735339489</v>
      </c>
    </row>
    <row r="138" spans="1:17" x14ac:dyDescent="0.25">
      <c r="A138" s="5">
        <f>(138-2)/100</f>
        <v>1.36</v>
      </c>
      <c r="B138" s="5">
        <f>Dashboard!$C$10*EXP(-Dashboard!$C$12*A138)</f>
        <v>0.12425269644949236</v>
      </c>
      <c r="C138" s="5">
        <f>Dashboard!$C$17*A138</f>
        <v>1088</v>
      </c>
      <c r="D138" s="5">
        <f>Dashboard!$C$15*(1-EXP(-Dashboard!$C$16*A138))</f>
        <v>0.39470640610752838</v>
      </c>
      <c r="E138" s="5">
        <f>1/(1+EXP(MIN(700,MAX(-700,(C138-Dashboard!$C$18)/Dashboard!$C$19))))</f>
        <v>0.82053848059267331</v>
      </c>
      <c r="F138" s="5">
        <f t="shared" si="15"/>
        <v>0.32387179474766603</v>
      </c>
      <c r="G138" s="8">
        <f>Dashboard!$C$9*B138*Dashboard!$C$11*(1-F138)</f>
        <v>168021.50529631661</v>
      </c>
      <c r="H138" s="8">
        <f>Dashboard!$C$20*A138^2</f>
        <v>14796.800000000003</v>
      </c>
      <c r="I138" s="8">
        <f t="shared" si="16"/>
        <v>182818.30529631663</v>
      </c>
      <c r="J138" s="8">
        <f>Dashboard!$C$13*A138</f>
        <v>27200.000000000004</v>
      </c>
      <c r="K138" s="8">
        <f>Dashboard!$C$14*A138</f>
        <v>40800</v>
      </c>
      <c r="L138" s="8">
        <f>Dashboard!$C$21-K138</f>
        <v>1459200</v>
      </c>
      <c r="M138" s="8">
        <f t="shared" si="17"/>
        <v>1249181.6947036833</v>
      </c>
      <c r="N138" s="8">
        <f t="shared" si="18"/>
        <v>68000</v>
      </c>
      <c r="O138" s="8">
        <f>Dashboard!$C$15*(Dashboard!$C$16*EXP(-Dashboard!$C$16*A138)*E138-(1-EXP(-Dashboard!$C$16*A138))*Dashboard!$C$17/Dashboard!$C$19*E138*(1-E138))</f>
        <v>8.8782795691777661E-2</v>
      </c>
      <c r="P138" s="8">
        <f>Dashboard!$C$9*B138*Dashboard!$C$11*(-Dashboard!$C$12*(1-F138)-O138)+2*Dashboard!$C$20*A138</f>
        <v>-59110.530379766307</v>
      </c>
      <c r="Q138" s="8">
        <f>-P138-Dashboard!$C$13-Dashboard!$C$14</f>
        <v>9110.5303797663073</v>
      </c>
    </row>
    <row r="139" spans="1:17" x14ac:dyDescent="0.25">
      <c r="A139" s="5">
        <f>(139-2)/100</f>
        <v>1.37</v>
      </c>
      <c r="B139" s="5">
        <f>Dashboard!$C$10*EXP(-Dashboard!$C$12*A139)</f>
        <v>0.12381857217257218</v>
      </c>
      <c r="C139" s="5">
        <f>Dashboard!$C$17*A139</f>
        <v>1096</v>
      </c>
      <c r="D139" s="5">
        <f>Dashboard!$C$15*(1-EXP(-Dashboard!$C$16*A139))</f>
        <v>0.39672781634013959</v>
      </c>
      <c r="E139" s="5">
        <f>1/(1+EXP(MIN(700,MAX(-700,(C139-Dashboard!$C$18)/Dashboard!$C$19))))</f>
        <v>0.81856668153866241</v>
      </c>
      <c r="F139" s="5">
        <f t="shared" si="15"/>
        <v>0.32474817209562801</v>
      </c>
      <c r="G139" s="8">
        <f>Dashboard!$C$9*B139*Dashboard!$C$11*(1-F139)</f>
        <v>167217.43437607752</v>
      </c>
      <c r="H139" s="8">
        <f>Dashboard!$C$20*A139^2</f>
        <v>15015.200000000003</v>
      </c>
      <c r="I139" s="8">
        <f t="shared" si="16"/>
        <v>182232.63437607753</v>
      </c>
      <c r="J139" s="8">
        <f>Dashboard!$C$13*A139</f>
        <v>27400.000000000004</v>
      </c>
      <c r="K139" s="8">
        <f>Dashboard!$C$14*A139</f>
        <v>41100</v>
      </c>
      <c r="L139" s="8">
        <f>Dashboard!$C$21-K139</f>
        <v>1458900</v>
      </c>
      <c r="M139" s="8">
        <f t="shared" si="17"/>
        <v>1249267.3656239226</v>
      </c>
      <c r="N139" s="8">
        <f t="shared" si="18"/>
        <v>68500</v>
      </c>
      <c r="O139" s="8">
        <f>Dashboard!$C$15*(Dashboard!$C$16*EXP(-Dashboard!$C$16*A139)*E139-(1-EXP(-Dashboard!$C$16*A139))*Dashboard!$C$17/Dashboard!$C$19*E139*(1-E139))</f>
        <v>8.6492401864233182E-2</v>
      </c>
      <c r="P139" s="8">
        <f>Dashboard!$C$9*B139*Dashboard!$C$11*(-Dashboard!$C$12*(1-F139)-O139)+2*Dashboard!$C$20*A139</f>
        <v>-58024.833436838468</v>
      </c>
      <c r="Q139" s="8">
        <f>-P139-Dashboard!$C$13-Dashboard!$C$14</f>
        <v>8024.8334368384676</v>
      </c>
    </row>
    <row r="140" spans="1:17" x14ac:dyDescent="0.25">
      <c r="A140" s="5">
        <f>(140-2)/100</f>
        <v>1.38</v>
      </c>
      <c r="B140" s="5">
        <f>Dashboard!$C$10*EXP(-Dashboard!$C$12*A140)</f>
        <v>0.12338596467470951</v>
      </c>
      <c r="C140" s="5">
        <f>Dashboard!$C$17*A140</f>
        <v>1104</v>
      </c>
      <c r="D140" s="5">
        <f>Dashboard!$C$15*(1-EXP(-Dashboard!$C$16*A140))</f>
        <v>0.39873914474715555</v>
      </c>
      <c r="E140" s="5">
        <f>1/(1+EXP(MIN(700,MAX(-700,(C140-Dashboard!$C$18)/Dashboard!$C$19))))</f>
        <v>0.81657806062926053</v>
      </c>
      <c r="F140" s="5">
        <f t="shared" si="15"/>
        <v>0.32560163751460225</v>
      </c>
      <c r="G140" s="8">
        <f>Dashboard!$C$9*B140*Dashboard!$C$11*(1-F140)</f>
        <v>166422.58506061044</v>
      </c>
      <c r="H140" s="8">
        <f>Dashboard!$C$20*A140^2</f>
        <v>15235.199999999997</v>
      </c>
      <c r="I140" s="8">
        <f t="shared" si="16"/>
        <v>181657.78506061045</v>
      </c>
      <c r="J140" s="8">
        <f>Dashboard!$C$13*A140</f>
        <v>27599.999999999996</v>
      </c>
      <c r="K140" s="8">
        <f>Dashboard!$C$14*A140</f>
        <v>41400</v>
      </c>
      <c r="L140" s="8">
        <f>Dashboard!$C$21-K140</f>
        <v>1458600</v>
      </c>
      <c r="M140" s="8">
        <f t="shared" si="17"/>
        <v>1249342.2149393896</v>
      </c>
      <c r="N140" s="8">
        <f t="shared" si="18"/>
        <v>69000</v>
      </c>
      <c r="O140" s="8">
        <f>Dashboard!$C$15*(Dashboard!$C$16*EXP(-Dashboard!$C$16*A140)*E140-(1-EXP(-Dashboard!$C$16*A140))*Dashboard!$C$17/Dashboard!$C$19*E140*(1-E140))</f>
        <v>8.4200427074113918E-2</v>
      </c>
      <c r="P140" s="8">
        <f>Dashboard!$C$9*B140*Dashboard!$C$11*(-Dashboard!$C$12*(1-F140)-O140)+2*Dashboard!$C$20*A140</f>
        <v>-56946.206612337788</v>
      </c>
      <c r="Q140" s="8">
        <f>-P140-Dashboard!$C$13-Dashboard!$C$14</f>
        <v>6946.2066123377881</v>
      </c>
    </row>
    <row r="141" spans="1:17" x14ac:dyDescent="0.25">
      <c r="A141" s="5">
        <f>(141-2)/100</f>
        <v>1.39</v>
      </c>
      <c r="B141" s="5">
        <f>Dashboard!$C$10*EXP(-Dashboard!$C$12*A141)</f>
        <v>0.12295486865645705</v>
      </c>
      <c r="C141" s="5">
        <f>Dashboard!$C$17*A141</f>
        <v>1112</v>
      </c>
      <c r="D141" s="5">
        <f>Dashboard!$C$15*(1-EXP(-Dashboard!$C$16*A141))</f>
        <v>0.40074044161189121</v>
      </c>
      <c r="E141" s="5">
        <f>1/(1+EXP(MIN(700,MAX(-700,(C141-Dashboard!$C$18)/Dashboard!$C$19))))</f>
        <v>0.81457258070701777</v>
      </c>
      <c r="F141" s="5">
        <f t="shared" si="15"/>
        <v>0.32643217571746819</v>
      </c>
      <c r="G141" s="8">
        <f>Dashboard!$C$9*B141*Dashboard!$C$11*(1-F141)</f>
        <v>165636.88673174847</v>
      </c>
      <c r="H141" s="8">
        <f>Dashboard!$C$20*A141^2</f>
        <v>15456.799999999997</v>
      </c>
      <c r="I141" s="8">
        <f t="shared" si="16"/>
        <v>181093.68673174846</v>
      </c>
      <c r="J141" s="8">
        <f>Dashboard!$C$13*A141</f>
        <v>27799.999999999996</v>
      </c>
      <c r="K141" s="8">
        <f>Dashboard!$C$14*A141</f>
        <v>41700</v>
      </c>
      <c r="L141" s="8">
        <f>Dashboard!$C$21-K141</f>
        <v>1458300</v>
      </c>
      <c r="M141" s="8">
        <f t="shared" si="17"/>
        <v>1249406.3132682515</v>
      </c>
      <c r="N141" s="8">
        <f t="shared" si="18"/>
        <v>69500</v>
      </c>
      <c r="O141" s="8">
        <f>Dashboard!$C$15*(Dashboard!$C$16*EXP(-Dashboard!$C$16*A141)*E141-(1-EXP(-Dashboard!$C$16*A141))*Dashboard!$C$17/Dashboard!$C$19*E141*(1-E141))</f>
        <v>8.1906976534095122E-2</v>
      </c>
      <c r="P141" s="8">
        <f>Dashboard!$C$9*B141*Dashboard!$C$11*(-Dashboard!$C$12*(1-F141)-O141)+2*Dashboard!$C$20*A141</f>
        <v>-55874.633439706304</v>
      </c>
      <c r="Q141" s="8">
        <f>-P141-Dashboard!$C$13-Dashboard!$C$14</f>
        <v>5874.6334397063038</v>
      </c>
    </row>
    <row r="142" spans="1:17" x14ac:dyDescent="0.25">
      <c r="A142" s="5">
        <f>(142-2)/100</f>
        <v>1.4</v>
      </c>
      <c r="B142" s="5">
        <f>Dashboard!$C$10*EXP(-Dashboard!$C$12*A142)</f>
        <v>0.12252527883688323</v>
      </c>
      <c r="C142" s="5">
        <f>Dashboard!$C$17*A142</f>
        <v>1120</v>
      </c>
      <c r="D142" s="5">
        <f>Dashboard!$C$15*(1-EXP(-Dashboard!$C$16*A142))</f>
        <v>0.40273175696687241</v>
      </c>
      <c r="E142" s="5">
        <f>1/(1+EXP(MIN(700,MAX(-700,(C142-Dashboard!$C$18)/Dashboard!$C$19))))</f>
        <v>0.81255020700425873</v>
      </c>
      <c r="F142" s="5">
        <f t="shared" si="15"/>
        <v>0.32723977249062097</v>
      </c>
      <c r="G142" s="8">
        <f>Dashboard!$C$9*B142*Dashboard!$C$11*(1-F142)</f>
        <v>164860.26893190332</v>
      </c>
      <c r="H142" s="8">
        <f>Dashboard!$C$20*A142^2</f>
        <v>15679.999999999998</v>
      </c>
      <c r="I142" s="8">
        <f t="shared" si="16"/>
        <v>180540.26893190332</v>
      </c>
      <c r="J142" s="8">
        <f>Dashboard!$C$13*A142</f>
        <v>28000</v>
      </c>
      <c r="K142" s="8">
        <f>Dashboard!$C$14*A142</f>
        <v>42000</v>
      </c>
      <c r="L142" s="8">
        <f>Dashboard!$C$21-K142</f>
        <v>1458000</v>
      </c>
      <c r="M142" s="8">
        <f t="shared" si="17"/>
        <v>1249459.7310680966</v>
      </c>
      <c r="N142" s="8">
        <f t="shared" si="18"/>
        <v>70000</v>
      </c>
      <c r="O142" s="8">
        <f>Dashboard!$C$15*(Dashboard!$C$16*EXP(-Dashboard!$C$16*A142)*E142-(1-EXP(-Dashboard!$C$16*A142))*Dashboard!$C$17/Dashboard!$C$19*E142*(1-E142))</f>
        <v>7.9612159738605873E-2</v>
      </c>
      <c r="P142" s="8">
        <f>Dashboard!$C$9*B142*Dashboard!$C$11*(-Dashboard!$C$12*(1-F142)-O142)+2*Dashboard!$C$20*A142</f>
        <v>-54810.098267724505</v>
      </c>
      <c r="Q142" s="8">
        <f>-P142-Dashboard!$C$13-Dashboard!$C$14</f>
        <v>4810.0982677245047</v>
      </c>
    </row>
    <row r="143" spans="1:17" x14ac:dyDescent="0.25">
      <c r="A143" s="5">
        <f>(143-2)/100</f>
        <v>1.41</v>
      </c>
      <c r="B143" s="5">
        <f>Dashboard!$C$10*EXP(-Dashboard!$C$12*A143)</f>
        <v>0.12209718995350737</v>
      </c>
      <c r="C143" s="5">
        <f>Dashboard!$C$17*A143</f>
        <v>1128</v>
      </c>
      <c r="D143" s="5">
        <f>Dashboard!$C$15*(1-EXP(-Dashboard!$C$16*A143))</f>
        <v>0.40471314059508662</v>
      </c>
      <c r="E143" s="5">
        <f>1/(1+EXP(MIN(700,MAX(-700,(C143-Dashboard!$C$18)/Dashboard!$C$19))))</f>
        <v>0.81051090719362429</v>
      </c>
      <c r="F143" s="5">
        <f t="shared" si="15"/>
        <v>0.32802441473690447</v>
      </c>
      <c r="G143" s="8">
        <f>Dashboard!$C$9*B143*Dashboard!$C$11*(1-F143)</f>
        <v>164092.66135597491</v>
      </c>
      <c r="H143" s="8">
        <f>Dashboard!$C$20*A143^2</f>
        <v>15904.799999999997</v>
      </c>
      <c r="I143" s="8">
        <f t="shared" si="16"/>
        <v>179997.4613559749</v>
      </c>
      <c r="J143" s="8">
        <f>Dashboard!$C$13*A143</f>
        <v>28200</v>
      </c>
      <c r="K143" s="8">
        <f>Dashboard!$C$14*A143</f>
        <v>42300</v>
      </c>
      <c r="L143" s="8">
        <f>Dashboard!$C$21-K143</f>
        <v>1457700</v>
      </c>
      <c r="M143" s="8">
        <f t="shared" si="17"/>
        <v>1249502.5386440251</v>
      </c>
      <c r="N143" s="8">
        <f t="shared" si="18"/>
        <v>70500</v>
      </c>
      <c r="O143" s="8">
        <f>Dashboard!$C$15*(Dashboard!$C$16*EXP(-Dashboard!$C$16*A143)*E143-(1-EXP(-Dashboard!$C$16*A143))*Dashboard!$C$17/Dashboard!$C$19*E143*(1-E143))</f>
        <v>7.7316090486546307E-2</v>
      </c>
      <c r="P143" s="8">
        <f>Dashboard!$C$9*B143*Dashboard!$C$11*(-Dashboard!$C$12*(1-F143)-O143)+2*Dashboard!$C$20*A143</f>
        <v>-53752.586247788029</v>
      </c>
      <c r="Q143" s="8">
        <f>-P143-Dashboard!$C$13-Dashboard!$C$14</f>
        <v>3752.5862477880291</v>
      </c>
    </row>
    <row r="144" spans="1:17" x14ac:dyDescent="0.25">
      <c r="A144" s="5">
        <f>(144-2)/100</f>
        <v>1.42</v>
      </c>
      <c r="B144" s="5">
        <f>Dashboard!$C$10*EXP(-Dashboard!$C$12*A144)</f>
        <v>0.12167059676223527</v>
      </c>
      <c r="C144" s="5">
        <f>Dashboard!$C$17*A144</f>
        <v>1136</v>
      </c>
      <c r="D144" s="5">
        <f>Dashboard!$C$15*(1-EXP(-Dashboard!$C$16*A144))</f>
        <v>0.40668464203122795</v>
      </c>
      <c r="E144" s="5">
        <f>1/(1+EXP(MIN(700,MAX(-700,(C144-Dashboard!$C$18)/Dashboard!$C$19))))</f>
        <v>0.80845465143853257</v>
      </c>
      <c r="F144" s="5">
        <f t="shared" si="15"/>
        <v>0.32878609051876079</v>
      </c>
      <c r="G144" s="8">
        <f>Dashboard!$C$9*B144*Dashboard!$C$11*(1-F144)</f>
        <v>163333.99384339069</v>
      </c>
      <c r="H144" s="8">
        <f>Dashboard!$C$20*A144^2</f>
        <v>16131.199999999999</v>
      </c>
      <c r="I144" s="8">
        <f t="shared" si="16"/>
        <v>179465.19384339071</v>
      </c>
      <c r="J144" s="8">
        <f>Dashboard!$C$13*A144</f>
        <v>28400</v>
      </c>
      <c r="K144" s="8">
        <f>Dashboard!$C$14*A144</f>
        <v>42600</v>
      </c>
      <c r="L144" s="8">
        <f>Dashboard!$C$21-K144</f>
        <v>1457400</v>
      </c>
      <c r="M144" s="8">
        <f t="shared" si="17"/>
        <v>1249534.8061566092</v>
      </c>
      <c r="N144" s="8">
        <f t="shared" si="18"/>
        <v>71000</v>
      </c>
      <c r="O144" s="8">
        <f>Dashboard!$C$15*(Dashboard!$C$16*EXP(-Dashboard!$C$16*A144)*E144-(1-EXP(-Dashboard!$C$16*A144))*Dashboard!$C$17/Dashboard!$C$19*E144*(1-E144))</f>
        <v>7.5018886901928372E-2</v>
      </c>
      <c r="P144" s="8">
        <f>Dashboard!$C$9*B144*Dashboard!$C$11*(-Dashboard!$C$12*(1-F144)-O144)+2*Dashboard!$C$20*A144</f>
        <v>-52702.08332077926</v>
      </c>
      <c r="Q144" s="8">
        <f>-P144-Dashboard!$C$13-Dashboard!$C$14</f>
        <v>2702.0833207792602</v>
      </c>
    </row>
    <row r="145" spans="1:17" x14ac:dyDescent="0.25">
      <c r="A145" s="5">
        <f>(145-2)/100</f>
        <v>1.43</v>
      </c>
      <c r="B145" s="5">
        <f>Dashboard!$C$10*EXP(-Dashboard!$C$12*A145)</f>
        <v>0.12124549403729504</v>
      </c>
      <c r="C145" s="5">
        <f>Dashboard!$C$17*A145</f>
        <v>1144</v>
      </c>
      <c r="D145" s="5">
        <f>Dashboard!$C$15*(1-EXP(-Dashboard!$C$16*A145))</f>
        <v>0.40864631056293477</v>
      </c>
      <c r="E145" s="5">
        <f>1/(1+EXP(MIN(700,MAX(-700,(C145-Dashboard!$C$18)/Dashboard!$C$19))))</f>
        <v>0.80638141244352679</v>
      </c>
      <c r="F145" s="5">
        <f t="shared" si="15"/>
        <v>0.32952478910157545</v>
      </c>
      <c r="G145" s="8">
        <f>Dashboard!$C$9*B145*Dashboard!$C$11*(1-F145)</f>
        <v>162584.19637027814</v>
      </c>
      <c r="H145" s="8">
        <f>Dashboard!$C$20*A145^2</f>
        <v>16359.199999999997</v>
      </c>
      <c r="I145" s="8">
        <f t="shared" si="16"/>
        <v>178943.39637027815</v>
      </c>
      <c r="J145" s="8">
        <f>Dashboard!$C$13*A145</f>
        <v>28600</v>
      </c>
      <c r="K145" s="8">
        <f>Dashboard!$C$14*A145</f>
        <v>42900</v>
      </c>
      <c r="L145" s="8">
        <f>Dashboard!$C$21-K145</f>
        <v>1457100</v>
      </c>
      <c r="M145" s="8">
        <f t="shared" si="17"/>
        <v>1249556.6036297218</v>
      </c>
      <c r="N145" s="8">
        <f t="shared" si="18"/>
        <v>71500</v>
      </c>
      <c r="O145" s="8">
        <f>Dashboard!$C$15*(Dashboard!$C$16*EXP(-Dashboard!$C$16*A145)*E145-(1-EXP(-Dashboard!$C$16*A145))*Dashboard!$C$17/Dashboard!$C$19*E145*(1-E145))</f>
        <v>7.2720671452367353E-2</v>
      </c>
      <c r="P145" s="8">
        <f>Dashboard!$C$9*B145*Dashboard!$C$11*(-Dashboard!$C$12*(1-F145)-O145)+2*Dashboard!$C$20*A145</f>
        <v>-51658.576203529534</v>
      </c>
      <c r="Q145" s="8">
        <f>-P145-Dashboard!$C$13-Dashboard!$C$14</f>
        <v>1658.5762035295338</v>
      </c>
    </row>
    <row r="146" spans="1:17" x14ac:dyDescent="0.25">
      <c r="A146" s="5">
        <f>(146-2)/100</f>
        <v>1.44</v>
      </c>
      <c r="B146" s="5">
        <f>Dashboard!$C$10*EXP(-Dashboard!$C$12*A146)</f>
        <v>0.12082187657117294</v>
      </c>
      <c r="C146" s="5">
        <f>Dashboard!$C$17*A146</f>
        <v>1152</v>
      </c>
      <c r="D146" s="5">
        <f>Dashboard!$C$15*(1-EXP(-Dashboard!$C$16*A146))</f>
        <v>0.41059819523202262</v>
      </c>
      <c r="E146" s="5">
        <f>1/(1+EXP(MIN(700,MAX(-700,(C146-Dashboard!$C$18)/Dashboard!$C$19))))</f>
        <v>0.80429116550447433</v>
      </c>
      <c r="F146" s="5">
        <f t="shared" si="15"/>
        <v>0.33024050099719715</v>
      </c>
      <c r="G146" s="8">
        <f>Dashboard!$C$9*B146*Dashboard!$C$11*(1-F146)</f>
        <v>161843.19904177453</v>
      </c>
      <c r="H146" s="8">
        <f>Dashboard!$C$20*A146^2</f>
        <v>16588.8</v>
      </c>
      <c r="I146" s="8">
        <f t="shared" si="16"/>
        <v>178431.99904177451</v>
      </c>
      <c r="J146" s="8">
        <f>Dashboard!$C$13*A146</f>
        <v>28800</v>
      </c>
      <c r="K146" s="8">
        <f>Dashboard!$C$14*A146</f>
        <v>43200</v>
      </c>
      <c r="L146" s="8">
        <f>Dashboard!$C$21-K146</f>
        <v>1456800</v>
      </c>
      <c r="M146" s="8">
        <f t="shared" si="17"/>
        <v>1249568.0009582255</v>
      </c>
      <c r="N146" s="8">
        <f t="shared" si="18"/>
        <v>72000</v>
      </c>
      <c r="O146" s="8">
        <f>Dashboard!$C$15*(Dashboard!$C$16*EXP(-Dashboard!$C$16*A146)*E146-(1-EXP(-Dashboard!$C$16*A146))*Dashboard!$C$17/Dashboard!$C$19*E146*(1-E146))</f>
        <v>7.0421570965351218E-2</v>
      </c>
      <c r="P146" s="8">
        <f>Dashboard!$C$9*B146*Dashboard!$C$11*(-Dashboard!$C$12*(1-F146)-O146)+2*Dashboard!$C$20*A146</f>
        <v>-50622.05237486861</v>
      </c>
      <c r="Q146" s="8">
        <f>-P146-Dashboard!$C$13-Dashboard!$C$14</f>
        <v>622.05237486861006</v>
      </c>
    </row>
    <row r="147" spans="1:17" x14ac:dyDescent="0.25">
      <c r="A147" s="5">
        <f>(147-2)/100</f>
        <v>1.45</v>
      </c>
      <c r="B147" s="5">
        <f>Dashboard!$C$10*EXP(-Dashboard!$C$12*A147)</f>
        <v>0.12039973917454978</v>
      </c>
      <c r="C147" s="5">
        <f>Dashboard!$C$17*A147</f>
        <v>1160</v>
      </c>
      <c r="D147" s="5">
        <f>Dashboard!$C$15*(1-EXP(-Dashboard!$C$16*A147))</f>
        <v>0.41254034483571006</v>
      </c>
      <c r="E147" s="5">
        <f>1/(1+EXP(MIN(700,MAX(-700,(C147-Dashboard!$C$18)/Dashboard!$C$19))))</f>
        <v>0.80218388855858169</v>
      </c>
      <c r="F147" s="5">
        <f t="shared" si="15"/>
        <v>0.33093321800760811</v>
      </c>
      <c r="G147" s="8">
        <f>Dashboard!$C$9*B147*Dashboard!$C$11*(1-F147)</f>
        <v>161110.93208447867</v>
      </c>
      <c r="H147" s="8">
        <f>Dashboard!$C$20*A147^2</f>
        <v>16820</v>
      </c>
      <c r="I147" s="8">
        <f t="shared" si="16"/>
        <v>177930.93208447867</v>
      </c>
      <c r="J147" s="8">
        <f>Dashboard!$C$13*A147</f>
        <v>29000</v>
      </c>
      <c r="K147" s="8">
        <f>Dashboard!$C$14*A147</f>
        <v>43500</v>
      </c>
      <c r="L147" s="8">
        <f>Dashboard!$C$21-K147</f>
        <v>1456500</v>
      </c>
      <c r="M147" s="8">
        <f t="shared" si="17"/>
        <v>1249569.0679155213</v>
      </c>
      <c r="N147" s="8">
        <f t="shared" si="18"/>
        <v>72500</v>
      </c>
      <c r="O147" s="8">
        <f>Dashboard!$C$15*(Dashboard!$C$16*EXP(-Dashboard!$C$16*A147)*E147-(1-EXP(-Dashboard!$C$16*A147))*Dashboard!$C$17/Dashboard!$C$19*E147*(1-E147))</f>
        <v>6.8121716642215072E-2</v>
      </c>
      <c r="P147" s="8">
        <f>Dashboard!$C$9*B147*Dashboard!$C$11*(-Dashboard!$C$12*(1-F147)-O147)+2*Dashboard!$C$20*A147</f>
        <v>-49592.500061258092</v>
      </c>
      <c r="Q147" s="8">
        <f>-P147-Dashboard!$C$13-Dashboard!$C$14</f>
        <v>-407.49993874190841</v>
      </c>
    </row>
    <row r="148" spans="1:17" x14ac:dyDescent="0.25">
      <c r="A148" s="5">
        <f>(148-2)/100</f>
        <v>1.46</v>
      </c>
      <c r="B148" s="5">
        <f>Dashboard!$C$10*EXP(-Dashboard!$C$12*A148)</f>
        <v>0.11997907667623711</v>
      </c>
      <c r="C148" s="5">
        <f>Dashboard!$C$17*A148</f>
        <v>1168</v>
      </c>
      <c r="D148" s="5">
        <f>Dashboard!$C$15*(1-EXP(-Dashboard!$C$16*A148))</f>
        <v>0.41447280792783803</v>
      </c>
      <c r="E148" s="5">
        <f>1/(1+EXP(MIN(700,MAX(-700,(C148-Dashboard!$C$18)/Dashboard!$C$19))))</f>
        <v>0.80005956223419117</v>
      </c>
      <c r="F148" s="5">
        <f t="shared" si="15"/>
        <v>0.33160293326872209</v>
      </c>
      <c r="G148" s="8">
        <f>Dashboard!$C$9*B148*Dashboard!$C$11*(1-F148)</f>
        <v>160387.32583904793</v>
      </c>
      <c r="H148" s="8">
        <f>Dashboard!$C$20*A148^2</f>
        <v>17052.8</v>
      </c>
      <c r="I148" s="8">
        <f t="shared" si="16"/>
        <v>177440.12583904792</v>
      </c>
      <c r="J148" s="8">
        <f>Dashboard!$C$13*A148</f>
        <v>29200</v>
      </c>
      <c r="K148" s="8">
        <f>Dashboard!$C$14*A148</f>
        <v>43800</v>
      </c>
      <c r="L148" s="8">
        <f>Dashboard!$C$21-K148</f>
        <v>1456200</v>
      </c>
      <c r="M148" s="8">
        <f t="shared" si="17"/>
        <v>1249559.8741609522</v>
      </c>
      <c r="N148" s="8">
        <f t="shared" si="18"/>
        <v>73000</v>
      </c>
      <c r="O148" s="8">
        <f>Dashboard!$C$15*(Dashboard!$C$16*EXP(-Dashboard!$C$16*A148)*E148-(1-EXP(-Dashboard!$C$16*A148))*Dashboard!$C$17/Dashboard!$C$19*E148*(1-E148))</f>
        <v>6.5821244069749291E-2</v>
      </c>
      <c r="P148" s="8">
        <f>Dashboard!$C$9*B148*Dashboard!$C$11*(-Dashboard!$C$12*(1-F148)-O148)+2*Dashboard!$C$20*A148</f>
        <v>-48569.908222006314</v>
      </c>
      <c r="Q148" s="8">
        <f>-P148-Dashboard!$C$13-Dashboard!$C$14</f>
        <v>-1430.0917779936863</v>
      </c>
    </row>
    <row r="149" spans="1:17" x14ac:dyDescent="0.25">
      <c r="A149" s="5">
        <f>(149-2)/100</f>
        <v>1.47</v>
      </c>
      <c r="B149" s="5">
        <f>Dashboard!$C$10*EXP(-Dashboard!$C$12*A149)</f>
        <v>0.1195598839231141</v>
      </c>
      <c r="C149" s="5">
        <f>Dashboard!$C$17*A149</f>
        <v>1176</v>
      </c>
      <c r="D149" s="5">
        <f>Dashboard!$C$15*(1-EXP(-Dashboard!$C$16*A149))</f>
        <v>0.41639563282008468</v>
      </c>
      <c r="E149" s="5">
        <f>1/(1+EXP(MIN(700,MAX(-700,(C149-Dashboard!$C$18)/Dashboard!$C$19))))</f>
        <v>0.79791816990032005</v>
      </c>
      <c r="F149" s="5">
        <f t="shared" si="15"/>
        <v>0.33224964129428763</v>
      </c>
      <c r="G149" s="8">
        <f>Dashboard!$C$9*B149*Dashboard!$C$11*(1-F149)</f>
        <v>159672.31075294554</v>
      </c>
      <c r="H149" s="8">
        <f>Dashboard!$C$20*A149^2</f>
        <v>17287.199999999997</v>
      </c>
      <c r="I149" s="8">
        <f t="shared" si="16"/>
        <v>176959.51075294556</v>
      </c>
      <c r="J149" s="8">
        <f>Dashboard!$C$13*A149</f>
        <v>29400</v>
      </c>
      <c r="K149" s="8">
        <f>Dashboard!$C$14*A149</f>
        <v>44100</v>
      </c>
      <c r="L149" s="8">
        <f>Dashboard!$C$21-K149</f>
        <v>1455900</v>
      </c>
      <c r="M149" s="8">
        <f t="shared" si="17"/>
        <v>1249540.4892470543</v>
      </c>
      <c r="N149" s="8">
        <f t="shared" si="18"/>
        <v>73500</v>
      </c>
      <c r="O149" s="8">
        <f>Dashboard!$C$15*(Dashboard!$C$16*EXP(-Dashboard!$C$16*A149)*E149-(1-EXP(-Dashboard!$C$16*A149))*Dashboard!$C$17/Dashboard!$C$19*E149*(1-E149))</f>
        <v>6.3520293229368432E-2</v>
      </c>
      <c r="P149" s="8">
        <f>Dashboard!$C$9*B149*Dashboard!$C$11*(-Dashboard!$C$12*(1-F149)-O149)+2*Dashboard!$C$20*A149</f>
        <v>-47554.266534061855</v>
      </c>
      <c r="Q149" s="8">
        <f>-P149-Dashboard!$C$13-Dashboard!$C$14</f>
        <v>-2445.7334659381449</v>
      </c>
    </row>
    <row r="150" spans="1:17" x14ac:dyDescent="0.25">
      <c r="A150" s="5">
        <f>(150-2)/100</f>
        <v>1.48</v>
      </c>
      <c r="B150" s="5">
        <f>Dashboard!$C$10*EXP(-Dashboard!$C$12*A150)</f>
        <v>0.11914215578006425</v>
      </c>
      <c r="C150" s="5">
        <f>Dashboard!$C$17*A150</f>
        <v>1184</v>
      </c>
      <c r="D150" s="5">
        <f>Dashboard!$C$15*(1-EXP(-Dashboard!$C$16*A150))</f>
        <v>0.41830886758317248</v>
      </c>
      <c r="E150" s="5">
        <f>1/(1+EXP(MIN(700,MAX(-700,(C150-Dashboard!$C$18)/Dashboard!$C$19))))</f>
        <v>0.79575969771590827</v>
      </c>
      <c r="F150" s="5">
        <f t="shared" si="15"/>
        <v>0.33287333801986924</v>
      </c>
      <c r="G150" s="8">
        <f>Dashboard!$C$9*B150*Dashboard!$C$11*(1-F150)</f>
        <v>158965.81737334203</v>
      </c>
      <c r="H150" s="8">
        <f>Dashboard!$C$20*A150^2</f>
        <v>17523.2</v>
      </c>
      <c r="I150" s="8">
        <f t="shared" si="16"/>
        <v>176489.01737334204</v>
      </c>
      <c r="J150" s="8">
        <f>Dashboard!$C$13*A150</f>
        <v>29600</v>
      </c>
      <c r="K150" s="8">
        <f>Dashboard!$C$14*A150</f>
        <v>44400</v>
      </c>
      <c r="L150" s="8">
        <f>Dashboard!$C$21-K150</f>
        <v>1455600</v>
      </c>
      <c r="M150" s="8">
        <f t="shared" si="17"/>
        <v>1249510.9826266579</v>
      </c>
      <c r="N150" s="8">
        <f t="shared" si="18"/>
        <v>74000</v>
      </c>
      <c r="O150" s="8">
        <f>Dashboard!$C$15*(Dashboard!$C$16*EXP(-Dashboard!$C$16*A150)*E150-(1-EXP(-Dashboard!$C$16*A150))*Dashboard!$C$17/Dashboard!$C$19*E150*(1-E150))</f>
        <v>6.121900850377171E-2</v>
      </c>
      <c r="P150" s="8">
        <f>Dashboard!$C$9*B150*Dashboard!$C$11*(-Dashboard!$C$12*(1-F150)-O150)+2*Dashboard!$C$20*A150</f>
        <v>-46545.565376384606</v>
      </c>
      <c r="Q150" s="8">
        <f>-P150-Dashboard!$C$13-Dashboard!$C$14</f>
        <v>-3454.4346236153942</v>
      </c>
    </row>
    <row r="151" spans="1:17" x14ac:dyDescent="0.25">
      <c r="A151" s="5">
        <f>(151-2)/100</f>
        <v>1.49</v>
      </c>
      <c r="B151" s="5">
        <f>Dashboard!$C$10*EXP(-Dashboard!$C$12*A151)</f>
        <v>0.11872588712991261</v>
      </c>
      <c r="C151" s="5">
        <f>Dashboard!$C$17*A151</f>
        <v>1192</v>
      </c>
      <c r="D151" s="5">
        <f>Dashboard!$C$15*(1-EXP(-Dashboard!$C$16*A151))</f>
        <v>0.42021256004807006</v>
      </c>
      <c r="E151" s="5">
        <f>1/(1+EXP(MIN(700,MAX(-700,(C151-Dashboard!$C$18)/Dashboard!$C$19))))</f>
        <v>0.79358413467873323</v>
      </c>
      <c r="F151" s="5">
        <f t="shared" si="15"/>
        <v>0.33347402084688288</v>
      </c>
      <c r="G151" s="8">
        <f>Dashboard!$C$9*B151*Dashboard!$C$11*(1-F151)</f>
        <v>158267.77634017493</v>
      </c>
      <c r="H151" s="8">
        <f>Dashboard!$C$20*A151^2</f>
        <v>17760.8</v>
      </c>
      <c r="I151" s="8">
        <f t="shared" si="16"/>
        <v>176028.57634017491</v>
      </c>
      <c r="J151" s="8">
        <f>Dashboard!$C$13*A151</f>
        <v>29800</v>
      </c>
      <c r="K151" s="8">
        <f>Dashboard!$C$14*A151</f>
        <v>44700</v>
      </c>
      <c r="L151" s="8">
        <f>Dashboard!$C$21-K151</f>
        <v>1455300</v>
      </c>
      <c r="M151" s="8">
        <f t="shared" si="17"/>
        <v>1249471.423659825</v>
      </c>
      <c r="N151" s="8">
        <f t="shared" si="18"/>
        <v>74500</v>
      </c>
      <c r="O151" s="8">
        <f>Dashboard!$C$15*(Dashboard!$C$16*EXP(-Dashboard!$C$16*A151)*E151-(1-EXP(-Dashboard!$C$16*A151))*Dashboard!$C$17/Dashboard!$C$19*E151*(1-E151))</f>
        <v>5.8917538681023174E-2</v>
      </c>
      <c r="P151" s="8">
        <f>Dashboard!$C$9*B151*Dashboard!$C$11*(-Dashboard!$C$12*(1-F151)-O151)+2*Dashboard!$C$20*A151</f>
        <v>-45543.795813892051</v>
      </c>
      <c r="Q151" s="8">
        <f>-P151-Dashboard!$C$13-Dashboard!$C$14</f>
        <v>-4456.2041861079488</v>
      </c>
    </row>
    <row r="152" spans="1:17" x14ac:dyDescent="0.25">
      <c r="A152" s="5">
        <f>(152-2)/100</f>
        <v>1.5</v>
      </c>
      <c r="B152" s="5">
        <f>Dashboard!$C$10*EXP(-Dashboard!$C$12*A152)</f>
        <v>0.11831107287336302</v>
      </c>
      <c r="C152" s="5">
        <f>Dashboard!$C$17*A152</f>
        <v>1200</v>
      </c>
      <c r="D152" s="5">
        <f>Dashboard!$C$15*(1-EXP(-Dashboard!$C$16*A152))</f>
        <v>0.42210675780718826</v>
      </c>
      <c r="E152" s="5">
        <f>1/(1+EXP(MIN(700,MAX(-700,(C152-Dashboard!$C$18)/Dashboard!$C$19))))</f>
        <v>0.79139147267395504</v>
      </c>
      <c r="F152" s="5">
        <f t="shared" si="15"/>
        <v>0.33405168868665919</v>
      </c>
      <c r="G152" s="8">
        <f>Dashboard!$C$9*B152*Dashboard!$C$11*(1-F152)</f>
        <v>157578.11837937144</v>
      </c>
      <c r="H152" s="8">
        <f>Dashboard!$C$20*A152^2</f>
        <v>18000</v>
      </c>
      <c r="I152" s="8">
        <f t="shared" si="16"/>
        <v>175578.11837937144</v>
      </c>
      <c r="J152" s="8">
        <f>Dashboard!$C$13*A152</f>
        <v>30000</v>
      </c>
      <c r="K152" s="8">
        <f>Dashboard!$C$14*A152</f>
        <v>45000</v>
      </c>
      <c r="L152" s="8">
        <f>Dashboard!$C$21-K152</f>
        <v>1455000</v>
      </c>
      <c r="M152" s="8">
        <f t="shared" si="17"/>
        <v>1249421.8816206285</v>
      </c>
      <c r="N152" s="8">
        <f t="shared" si="18"/>
        <v>75000</v>
      </c>
      <c r="O152" s="8">
        <f>Dashboard!$C$15*(Dashboard!$C$16*EXP(-Dashboard!$C$16*A152)*E152-(1-EXP(-Dashboard!$C$16*A152))*Dashboard!$C$17/Dashboard!$C$19*E152*(1-E152))</f>
        <v>5.6616036955982565E-2</v>
      </c>
      <c r="P152" s="8">
        <f>Dashboard!$C$9*B152*Dashboard!$C$11*(-Dashboard!$C$12*(1-F152)-O152)+2*Dashboard!$C$20*A152</f>
        <v>-44548.949580980538</v>
      </c>
      <c r="Q152" s="8">
        <f>-P152-Dashboard!$C$13-Dashboard!$C$14</f>
        <v>-5451.0504190194624</v>
      </c>
    </row>
    <row r="153" spans="1:17" x14ac:dyDescent="0.25">
      <c r="A153" s="5">
        <f>(153-2)/100</f>
        <v>1.51</v>
      </c>
      <c r="B153" s="5">
        <f>Dashboard!$C$10*EXP(-Dashboard!$C$12*A153)</f>
        <v>0.11789770792893564</v>
      </c>
      <c r="C153" s="5">
        <f>Dashboard!$C$17*A153</f>
        <v>1208</v>
      </c>
      <c r="D153" s="5">
        <f>Dashboard!$C$15*(1-EXP(-Dashboard!$C$16*A153))</f>
        <v>0.42399150821556963</v>
      </c>
      <c r="E153" s="5">
        <f>1/(1+EXP(MIN(700,MAX(-700,(C153-Dashboard!$C$18)/Dashboard!$C$19))))</f>
        <v>0.78918170652225295</v>
      </c>
      <c r="F153" s="5">
        <f t="shared" si="15"/>
        <v>0.33460634200450706</v>
      </c>
      <c r="G153" s="8">
        <f>Dashboard!$C$9*B153*Dashboard!$C$11*(1-F153)</f>
        <v>156896.77429623742</v>
      </c>
      <c r="H153" s="8">
        <f>Dashboard!$C$20*A153^2</f>
        <v>18240.8</v>
      </c>
      <c r="I153" s="8">
        <f t="shared" si="16"/>
        <v>175137.57429623741</v>
      </c>
      <c r="J153" s="8">
        <f>Dashboard!$C$13*A153</f>
        <v>30200</v>
      </c>
      <c r="K153" s="8">
        <f>Dashboard!$C$14*A153</f>
        <v>45300</v>
      </c>
      <c r="L153" s="8">
        <f>Dashboard!$C$21-K153</f>
        <v>1454700</v>
      </c>
      <c r="M153" s="8">
        <f t="shared" si="17"/>
        <v>1249362.4257037626</v>
      </c>
      <c r="N153" s="8">
        <f t="shared" si="18"/>
        <v>75500</v>
      </c>
      <c r="O153" s="8">
        <f>Dashboard!$C$15*(Dashboard!$C$16*EXP(-Dashboard!$C$16*A153)*E153-(1-EXP(-Dashboard!$C$16*A153))*Dashboard!$C$17/Dashboard!$C$19*E153*(1-E153))</f>
        <v>5.4314660929018876E-2</v>
      </c>
      <c r="P153" s="8">
        <f>Dashboard!$C$9*B153*Dashboard!$C$11*(-Dashboard!$C$12*(1-F153)-O153)+2*Dashboard!$C$20*A153</f>
        <v>-43561.01906462037</v>
      </c>
      <c r="Q153" s="8">
        <f>-P153-Dashboard!$C$13-Dashboard!$C$14</f>
        <v>-6438.98093537963</v>
      </c>
    </row>
    <row r="154" spans="1:17" x14ac:dyDescent="0.25">
      <c r="A154" s="5">
        <f>(154-2)/100</f>
        <v>1.52</v>
      </c>
      <c r="B154" s="5">
        <f>Dashboard!$C$10*EXP(-Dashboard!$C$12*A154)</f>
        <v>0.1174857872329047</v>
      </c>
      <c r="C154" s="5">
        <f>Dashboard!$C$17*A154</f>
        <v>1216</v>
      </c>
      <c r="D154" s="5">
        <f>Dashboard!$C$15*(1-EXP(-Dashboard!$C$16*A154))</f>
        <v>0.42586685839207261</v>
      </c>
      <c r="E154" s="5">
        <f>1/(1+EXP(MIN(700,MAX(-700,(C154-Dashboard!$C$18)/Dashboard!$C$19))))</f>
        <v>0.78695483402751054</v>
      </c>
      <c r="F154" s="5">
        <f t="shared" si="15"/>
        <v>0.33513798286375085</v>
      </c>
      <c r="G154" s="8">
        <f>Dashboard!$C$9*B154*Dashboard!$C$11*(1-F154)</f>
        <v>156223.67496901844</v>
      </c>
      <c r="H154" s="8">
        <f>Dashboard!$C$20*A154^2</f>
        <v>18483.2</v>
      </c>
      <c r="I154" s="8">
        <f t="shared" si="16"/>
        <v>174706.87496901845</v>
      </c>
      <c r="J154" s="8">
        <f>Dashboard!$C$13*A154</f>
        <v>30400</v>
      </c>
      <c r="K154" s="8">
        <f>Dashboard!$C$14*A154</f>
        <v>45600</v>
      </c>
      <c r="L154" s="8">
        <f>Dashboard!$C$21-K154</f>
        <v>1454400</v>
      </c>
      <c r="M154" s="8">
        <f t="shared" si="17"/>
        <v>1249293.1250309816</v>
      </c>
      <c r="N154" s="8">
        <f t="shared" si="18"/>
        <v>76000</v>
      </c>
      <c r="O154" s="8">
        <f>Dashboard!$C$15*(Dashboard!$C$16*EXP(-Dashboard!$C$16*A154)*E154-(1-EXP(-Dashboard!$C$16*A154))*Dashboard!$C$17/Dashboard!$C$19*E154*(1-E154))</f>
        <v>5.2013572601937945E-2</v>
      </c>
      <c r="P154" s="8">
        <f>Dashboard!$C$9*B154*Dashboard!$C$11*(-Dashboard!$C$12*(1-F154)-O154)+2*Dashboard!$C$20*A154</f>
        <v>-42579.997287025501</v>
      </c>
      <c r="Q154" s="8">
        <f>-P154-Dashboard!$C$13-Dashboard!$C$14</f>
        <v>-7420.0027129744994</v>
      </c>
    </row>
    <row r="155" spans="1:17" x14ac:dyDescent="0.25">
      <c r="A155" s="5">
        <f>(155-2)/100</f>
        <v>1.53</v>
      </c>
      <c r="B155" s="5">
        <f>Dashboard!$C$10*EXP(-Dashboard!$C$12*A155)</f>
        <v>0.11707530573923655</v>
      </c>
      <c r="C155" s="5">
        <f>Dashboard!$C$17*A155</f>
        <v>1224</v>
      </c>
      <c r="D155" s="5">
        <f>Dashboard!$C$15*(1-EXP(-Dashboard!$C$16*A155))</f>
        <v>0.42773285522054927</v>
      </c>
      <c r="E155" s="5">
        <f>1/(1+EXP(MIN(700,MAX(-700,(C155-Dashboard!$C$18)/Dashboard!$C$19))))</f>
        <v>0.78471085602401336</v>
      </c>
      <c r="F155" s="5">
        <f t="shared" si="15"/>
        <v>0.3356466149697126</v>
      </c>
      <c r="G155" s="8">
        <f>Dashboard!$C$9*B155*Dashboard!$C$11*(1-F155)</f>
        <v>155558.75134263525</v>
      </c>
      <c r="H155" s="8">
        <f>Dashboard!$C$20*A155^2</f>
        <v>18727.2</v>
      </c>
      <c r="I155" s="8">
        <f t="shared" si="16"/>
        <v>174285.95134263526</v>
      </c>
      <c r="J155" s="8">
        <f>Dashboard!$C$13*A155</f>
        <v>30600</v>
      </c>
      <c r="K155" s="8">
        <f>Dashboard!$C$14*A155</f>
        <v>45900</v>
      </c>
      <c r="L155" s="8">
        <f>Dashboard!$C$21-K155</f>
        <v>1454100</v>
      </c>
      <c r="M155" s="8">
        <f t="shared" si="17"/>
        <v>1249214.0486573647</v>
      </c>
      <c r="N155" s="8">
        <f t="shared" si="18"/>
        <v>76500</v>
      </c>
      <c r="O155" s="8">
        <f>Dashboard!$C$15*(Dashboard!$C$16*EXP(-Dashboard!$C$16*A155)*E155-(1-EXP(-Dashboard!$C$16*A155))*Dashboard!$C$17/Dashboard!$C$19*E155*(1-E155))</f>
        <v>4.9712938371059702E-2</v>
      </c>
      <c r="P155" s="8">
        <f>Dashboard!$C$9*B155*Dashboard!$C$11*(-Dashboard!$C$12*(1-F155)-O155)+2*Dashboard!$C$20*A155</f>
        <v>-41605.877887897615</v>
      </c>
      <c r="Q155" s="8">
        <f>-P155-Dashboard!$C$13-Dashboard!$C$14</f>
        <v>-8394.1221121023846</v>
      </c>
    </row>
    <row r="156" spans="1:17" x14ac:dyDescent="0.25">
      <c r="A156" s="5">
        <f>(156-2)/100</f>
        <v>1.54</v>
      </c>
      <c r="B156" s="5">
        <f>Dashboard!$C$10*EXP(-Dashboard!$C$12*A156)</f>
        <v>0.11666625841952778</v>
      </c>
      <c r="C156" s="5">
        <f>Dashboard!$C$17*A156</f>
        <v>1232</v>
      </c>
      <c r="D156" s="5">
        <f>Dashboard!$C$15*(1-EXP(-Dashboard!$C$16*A156))</f>
        <v>0.42958954535101751</v>
      </c>
      <c r="E156" s="5">
        <f>1/(1+EXP(MIN(700,MAX(-700,(C156-Dashboard!$C$18)/Dashboard!$C$19))))</f>
        <v>0.78244977642311242</v>
      </c>
      <c r="F156" s="5">
        <f t="shared" si="15"/>
        <v>0.33613224371361017</v>
      </c>
      <c r="G156" s="8">
        <f>Dashboard!$C$9*B156*Dashboard!$C$11*(1-F156)</f>
        <v>154901.93442260008</v>
      </c>
      <c r="H156" s="8">
        <f>Dashboard!$C$20*A156^2</f>
        <v>18972.8</v>
      </c>
      <c r="I156" s="8">
        <f t="shared" si="16"/>
        <v>173874.73442260007</v>
      </c>
      <c r="J156" s="8">
        <f>Dashboard!$C$13*A156</f>
        <v>30800</v>
      </c>
      <c r="K156" s="8">
        <f>Dashboard!$C$14*A156</f>
        <v>46200</v>
      </c>
      <c r="L156" s="8">
        <f>Dashboard!$C$21-K156</f>
        <v>1453800</v>
      </c>
      <c r="M156" s="8">
        <f t="shared" si="17"/>
        <v>1249125.2655773999</v>
      </c>
      <c r="N156" s="8">
        <f t="shared" si="18"/>
        <v>77000</v>
      </c>
      <c r="O156" s="8">
        <f>Dashboard!$C$15*(Dashboard!$C$16*EXP(-Dashboard!$C$16*A156)*E156-(1-EXP(-Dashboard!$C$16*A156))*Dashboard!$C$17/Dashboard!$C$19*E156*(1-E156))</f>
        <v>4.741292901737755E-2</v>
      </c>
      <c r="P156" s="8">
        <f>Dashboard!$C$9*B156*Dashboard!$C$11*(-Dashboard!$C$12*(1-F156)-O156)+2*Dashboard!$C$20*A156</f>
        <v>-40638.655106246209</v>
      </c>
      <c r="Q156" s="8">
        <f>-P156-Dashboard!$C$13-Dashboard!$C$14</f>
        <v>-9361.3448937537905</v>
      </c>
    </row>
    <row r="157" spans="1:17" x14ac:dyDescent="0.25">
      <c r="A157" s="5">
        <f>(157-2)/100</f>
        <v>1.55</v>
      </c>
      <c r="B157" s="5">
        <f>Dashboard!$C$10*EXP(-Dashboard!$C$12*A157)</f>
        <v>0.11625864026294358</v>
      </c>
      <c r="C157" s="5">
        <f>Dashboard!$C$17*A157</f>
        <v>1240</v>
      </c>
      <c r="D157" s="5">
        <f>Dashboard!$C$15*(1-EXP(-Dashboard!$C$16*A157))</f>
        <v>0.43143697520082736</v>
      </c>
      <c r="E157" s="5">
        <f>1/(1+EXP(MIN(700,MAX(-700,(C157-Dashboard!$C$18)/Dashboard!$C$19))))</f>
        <v>0.78017160225931748</v>
      </c>
      <c r="F157" s="5">
        <f t="shared" si="15"/>
        <v>0.33659487621634288</v>
      </c>
      <c r="G157" s="8">
        <f>Dashboard!$C$9*B157*Dashboard!$C$11*(1-F157)</f>
        <v>154253.15526911549</v>
      </c>
      <c r="H157" s="8">
        <f>Dashboard!$C$20*A157^2</f>
        <v>19220.000000000004</v>
      </c>
      <c r="I157" s="8">
        <f t="shared" si="16"/>
        <v>173473.15526911549</v>
      </c>
      <c r="J157" s="8">
        <f>Dashboard!$C$13*A157</f>
        <v>31000</v>
      </c>
      <c r="K157" s="8">
        <f>Dashboard!$C$14*A157</f>
        <v>46500</v>
      </c>
      <c r="L157" s="8">
        <f>Dashboard!$C$21-K157</f>
        <v>1453500</v>
      </c>
      <c r="M157" s="8">
        <f t="shared" si="17"/>
        <v>1249026.8447308845</v>
      </c>
      <c r="N157" s="8">
        <f t="shared" si="18"/>
        <v>77500</v>
      </c>
      <c r="O157" s="8">
        <f>Dashboard!$C$15*(Dashboard!$C$16*EXP(-Dashboard!$C$16*A157)*E157-(1-EXP(-Dashboard!$C$16*A157))*Dashboard!$C$17/Dashboard!$C$19*E157*(1-E157))</f>
        <v>4.5113719693739507E-2</v>
      </c>
      <c r="P157" s="8">
        <f>Dashboard!$C$9*B157*Dashboard!$C$11*(-Dashboard!$C$12*(1-F157)-O157)+2*Dashboard!$C$20*A157</f>
        <v>-39678.323761785883</v>
      </c>
      <c r="Q157" s="8">
        <f>-P157-Dashboard!$C$13-Dashboard!$C$14</f>
        <v>-10321.676238214117</v>
      </c>
    </row>
    <row r="158" spans="1:17" x14ac:dyDescent="0.25">
      <c r="A158" s="5">
        <f>(158-2)/100</f>
        <v>1.56</v>
      </c>
      <c r="B158" s="5">
        <f>Dashboard!$C$10*EXP(-Dashboard!$C$12*A158)</f>
        <v>0.11585244627615643</v>
      </c>
      <c r="C158" s="5">
        <f>Dashboard!$C$17*A158</f>
        <v>1248</v>
      </c>
      <c r="D158" s="5">
        <f>Dashboard!$C$15*(1-EXP(-Dashboard!$C$16*A158))</f>
        <v>0.43327519095582123</v>
      </c>
      <c r="E158" s="5">
        <f>1/(1+EXP(MIN(700,MAX(-700,(C158-Dashboard!$C$18)/Dashboard!$C$19))))</f>
        <v>0.7778763437357723</v>
      </c>
      <c r="F158" s="5">
        <f t="shared" si="15"/>
        <v>0.3370345213721328</v>
      </c>
      <c r="G158" s="8">
        <f>Dashboard!$C$9*B158*Dashboard!$C$11*(1-F158)</f>
        <v>153612.34499136262</v>
      </c>
      <c r="H158" s="8">
        <f>Dashboard!$C$20*A158^2</f>
        <v>19468.800000000003</v>
      </c>
      <c r="I158" s="8">
        <f t="shared" si="16"/>
        <v>173081.14499136264</v>
      </c>
      <c r="J158" s="8">
        <f>Dashboard!$C$13*A158</f>
        <v>31200</v>
      </c>
      <c r="K158" s="8">
        <f>Dashboard!$C$14*A158</f>
        <v>46800</v>
      </c>
      <c r="L158" s="8">
        <f>Dashboard!$C$21-K158</f>
        <v>1453200</v>
      </c>
      <c r="M158" s="8">
        <f t="shared" si="17"/>
        <v>1248918.8550086373</v>
      </c>
      <c r="N158" s="8">
        <f t="shared" si="18"/>
        <v>78000</v>
      </c>
      <c r="O158" s="8">
        <f>Dashboard!$C$15*(Dashboard!$C$16*EXP(-Dashboard!$C$16*A158)*E158-(1-EXP(-Dashboard!$C$16*A158))*Dashboard!$C$17/Dashboard!$C$19*E158*(1-E158))</f>
        <v>4.2815489908986405E-2</v>
      </c>
      <c r="P158" s="8">
        <f>Dashboard!$C$9*B158*Dashboard!$C$11*(-Dashboard!$C$12*(1-F158)-O158)+2*Dashboard!$C$20*A158</f>
        <v>-38724.879235913242</v>
      </c>
      <c r="Q158" s="8">
        <f>-P158-Dashboard!$C$13-Dashboard!$C$14</f>
        <v>-11275.120764086758</v>
      </c>
    </row>
    <row r="159" spans="1:17" x14ac:dyDescent="0.25">
      <c r="A159" s="5">
        <f>(159-2)/100</f>
        <v>1.57</v>
      </c>
      <c r="B159" s="5">
        <f>Dashboard!$C$10*EXP(-Dashboard!$C$12*A159)</f>
        <v>0.1154476714832849</v>
      </c>
      <c r="C159" s="5">
        <f>Dashboard!$C$17*A159</f>
        <v>1256</v>
      </c>
      <c r="D159" s="5">
        <f>Dashboard!$C$15*(1-EXP(-Dashboard!$C$16*A159))</f>
        <v>0.43510423857148867</v>
      </c>
      <c r="E159" s="5">
        <f>1/(1+EXP(MIN(700,MAX(-700,(C159-Dashboard!$C$18)/Dashboard!$C$19))))</f>
        <v>0.7755640142690734</v>
      </c>
      <c r="F159" s="5">
        <f t="shared" si="15"/>
        <v>0.33745118989199235</v>
      </c>
      <c r="G159" s="8">
        <f>Dashboard!$C$9*B159*Dashboard!$C$11*(1-F159)</f>
        <v>152979.43474198115</v>
      </c>
      <c r="H159" s="8">
        <f>Dashboard!$C$20*A159^2</f>
        <v>19719.2</v>
      </c>
      <c r="I159" s="8">
        <f t="shared" si="16"/>
        <v>172698.63474198116</v>
      </c>
      <c r="J159" s="8">
        <f>Dashboard!$C$13*A159</f>
        <v>31400</v>
      </c>
      <c r="K159" s="8">
        <f>Dashboard!$C$14*A159</f>
        <v>47100</v>
      </c>
      <c r="L159" s="8">
        <f>Dashboard!$C$21-K159</f>
        <v>1452900</v>
      </c>
      <c r="M159" s="8">
        <f t="shared" si="17"/>
        <v>1248801.365258019</v>
      </c>
      <c r="N159" s="8">
        <f t="shared" si="18"/>
        <v>78500</v>
      </c>
      <c r="O159" s="8">
        <f>Dashboard!$C$15*(Dashboard!$C$16*EXP(-Dashboard!$C$16*A159)*E159-(1-EXP(-Dashboard!$C$16*A159))*Dashboard!$C$17/Dashboard!$C$19*E159*(1-E159))</f>
        <v>4.0518423508988669E-2</v>
      </c>
      <c r="P159" s="8">
        <f>Dashboard!$C$9*B159*Dashboard!$C$11*(-Dashboard!$C$12*(1-F159)-O159)+2*Dashboard!$C$20*A159</f>
        <v>-37778.31745226607</v>
      </c>
      <c r="Q159" s="8">
        <f>-P159-Dashboard!$C$13-Dashboard!$C$14</f>
        <v>-12221.68254773393</v>
      </c>
    </row>
    <row r="160" spans="1:17" x14ac:dyDescent="0.25">
      <c r="A160" s="5">
        <f>(160-2)/100</f>
        <v>1.58</v>
      </c>
      <c r="B160" s="5">
        <f>Dashboard!$C$10*EXP(-Dashboard!$C$12*A160)</f>
        <v>0.11504431092583278</v>
      </c>
      <c r="C160" s="5">
        <f>Dashboard!$C$17*A160</f>
        <v>1264</v>
      </c>
      <c r="D160" s="5">
        <f>Dashboard!$C$15*(1-EXP(-Dashboard!$C$16*A160))</f>
        <v>0.4369241637741153</v>
      </c>
      <c r="E160" s="5">
        <f>1/(1+EXP(MIN(700,MAX(-700,(C160-Dashboard!$C$18)/Dashboard!$C$19))))</f>
        <v>0.77323463053338792</v>
      </c>
      <c r="F160" s="5">
        <f t="shared" si="15"/>
        <v>0.3378448943469875</v>
      </c>
      <c r="G160" s="8">
        <f>Dashboard!$C$9*B160*Dashboard!$C$11*(1-F160)</f>
        <v>152354.35571174565</v>
      </c>
      <c r="H160" s="8">
        <f>Dashboard!$C$20*A160^2</f>
        <v>19971.200000000004</v>
      </c>
      <c r="I160" s="8">
        <f t="shared" si="16"/>
        <v>172325.55571174566</v>
      </c>
      <c r="J160" s="8">
        <f>Dashboard!$C$13*A160</f>
        <v>31600</v>
      </c>
      <c r="K160" s="8">
        <f>Dashboard!$C$14*A160</f>
        <v>47400</v>
      </c>
      <c r="L160" s="8">
        <f>Dashboard!$C$21-K160</f>
        <v>1452600</v>
      </c>
      <c r="M160" s="8">
        <f t="shared" si="17"/>
        <v>1248674.4442882542</v>
      </c>
      <c r="N160" s="8">
        <f t="shared" si="18"/>
        <v>79000</v>
      </c>
      <c r="O160" s="8">
        <f>Dashboard!$C$15*(Dashboard!$C$16*EXP(-Dashboard!$C$16*A160)*E160-(1-EXP(-Dashboard!$C$16*A160))*Dashboard!$C$17/Dashboard!$C$19*E160*(1-E160))</f>
        <v>3.8222708654523867E-2</v>
      </c>
      <c r="P160" s="8">
        <f>Dashboard!$C$9*B160*Dashboard!$C$11*(-Dashboard!$C$12*(1-F160)-O160)+2*Dashboard!$C$20*A160</f>
        <v>-36838.634856868099</v>
      </c>
      <c r="Q160" s="8">
        <f>-P160-Dashboard!$C$13-Dashboard!$C$14</f>
        <v>-13161.365143131901</v>
      </c>
    </row>
    <row r="161" spans="1:17" x14ac:dyDescent="0.25">
      <c r="A161" s="5">
        <f>(161-2)/100</f>
        <v>1.59</v>
      </c>
      <c r="B161" s="5">
        <f>Dashboard!$C$10*EXP(-Dashboard!$C$12*A161)</f>
        <v>0.11464235966262813</v>
      </c>
      <c r="C161" s="5">
        <f>Dashboard!$C$17*A161</f>
        <v>1272</v>
      </c>
      <c r="D161" s="5">
        <f>Dashboard!$C$15*(1-EXP(-Dashboard!$C$16*A161))</f>
        <v>0.43873501206192622</v>
      </c>
      <c r="E161" s="5">
        <f>1/(1+EXP(MIN(700,MAX(-700,(C161-Dashboard!$C$18)/Dashboard!$C$19))))</f>
        <v>0.77088821250382478</v>
      </c>
      <c r="F161" s="5">
        <f t="shared" si="15"/>
        <v>0.33821564921126229</v>
      </c>
      <c r="G161" s="8">
        <f>Dashboard!$C$9*B161*Dashboard!$C$11*(1-F161)</f>
        <v>151737.03912444267</v>
      </c>
      <c r="H161" s="8">
        <f>Dashboard!$C$20*A161^2</f>
        <v>20224.800000000003</v>
      </c>
      <c r="I161" s="8">
        <f t="shared" si="16"/>
        <v>171961.83912444266</v>
      </c>
      <c r="J161" s="8">
        <f>Dashboard!$C$13*A161</f>
        <v>31800</v>
      </c>
      <c r="K161" s="8">
        <f>Dashboard!$C$14*A161</f>
        <v>47700</v>
      </c>
      <c r="L161" s="8">
        <f>Dashboard!$C$21-K161</f>
        <v>1452300</v>
      </c>
      <c r="M161" s="8">
        <f t="shared" si="17"/>
        <v>1248538.1608755575</v>
      </c>
      <c r="N161" s="8">
        <f t="shared" si="18"/>
        <v>79500</v>
      </c>
      <c r="O161" s="8">
        <f>Dashboard!$C$15*(Dashboard!$C$16*EXP(-Dashboard!$C$16*A161)*E161-(1-EXP(-Dashboard!$C$16*A161))*Dashboard!$C$17/Dashboard!$C$19*E161*(1-E161))</f>
        <v>3.5928537795936522E-2</v>
      </c>
      <c r="P161" s="8">
        <f>Dashboard!$C$9*B161*Dashboard!$C$11*(-Dashboard!$C$12*(1-F161)-O161)+2*Dashboard!$C$20*A161</f>
        <v>-35905.828397863086</v>
      </c>
      <c r="Q161" s="8">
        <f>-P161-Dashboard!$C$13-Dashboard!$C$14</f>
        <v>-14094.171602136914</v>
      </c>
    </row>
    <row r="162" spans="1:17" x14ac:dyDescent="0.25">
      <c r="A162" s="5">
        <f>(162-2)/100</f>
        <v>1.6</v>
      </c>
      <c r="B162" s="5">
        <f>Dashboard!$C$10*EXP(-Dashboard!$C$12*A162)</f>
        <v>0.11424181276976297</v>
      </c>
      <c r="C162" s="5">
        <f>Dashboard!$C$17*A162</f>
        <v>1280</v>
      </c>
      <c r="D162" s="5">
        <f>Dashboard!$C$15*(1-EXP(-Dashboard!$C$16*A162))</f>
        <v>0.44053682870622279</v>
      </c>
      <c r="E162" s="5">
        <f>1/(1+EXP(MIN(700,MAX(-700,(C162-Dashboard!$C$18)/Dashboard!$C$19))))</f>
        <v>0.76852478349901754</v>
      </c>
      <c r="F162" s="5">
        <f t="shared" si="15"/>
        <v>0.33856347090479366</v>
      </c>
      <c r="G162" s="8">
        <f>Dashboard!$C$9*B162*Dashboard!$C$11*(1-F162)</f>
        <v>151127.41623195287</v>
      </c>
      <c r="H162" s="8">
        <f>Dashboard!$C$20*A162^2</f>
        <v>20480.000000000004</v>
      </c>
      <c r="I162" s="8">
        <f t="shared" si="16"/>
        <v>171607.41623195287</v>
      </c>
      <c r="J162" s="8">
        <f>Dashboard!$C$13*A162</f>
        <v>32000</v>
      </c>
      <c r="K162" s="8">
        <f>Dashboard!$C$14*A162</f>
        <v>48000</v>
      </c>
      <c r="L162" s="8">
        <f>Dashboard!$C$21-K162</f>
        <v>1452000</v>
      </c>
      <c r="M162" s="8">
        <f t="shared" si="17"/>
        <v>1248392.5837680472</v>
      </c>
      <c r="N162" s="8">
        <f t="shared" si="18"/>
        <v>80000</v>
      </c>
      <c r="O162" s="8">
        <f>Dashboard!$C$15*(Dashboard!$C$16*EXP(-Dashboard!$C$16*A162)*E162-(1-EXP(-Dashboard!$C$16*A162))*Dashboard!$C$17/Dashboard!$C$19*E162*(1-E162))</f>
        <v>3.3636107644528623E-2</v>
      </c>
      <c r="P162" s="8">
        <f>Dashboard!$C$9*B162*Dashboard!$C$11*(-Dashboard!$C$12*(1-F162)-O162)+2*Dashboard!$C$20*A162</f>
        <v>-34979.895504843174</v>
      </c>
      <c r="Q162" s="8">
        <f>-P162-Dashboard!$C$13-Dashboard!$C$14</f>
        <v>-15020.104495156826</v>
      </c>
    </row>
    <row r="163" spans="1:17" x14ac:dyDescent="0.25">
      <c r="A163" s="5">
        <f>(163-2)/100</f>
        <v>1.61</v>
      </c>
      <c r="B163" s="5">
        <f>Dashboard!$C$10*EXP(-Dashboard!$C$12*A163)</f>
        <v>0.11384266534053288</v>
      </c>
      <c r="C163" s="5">
        <f>Dashboard!$C$17*A163</f>
        <v>1288</v>
      </c>
      <c r="D163" s="5">
        <f>Dashboard!$C$15*(1-EXP(-Dashboard!$C$16*A163))</f>
        <v>0.44232965875251495</v>
      </c>
      <c r="E163" s="5">
        <f>1/(1+EXP(MIN(700,MAX(-700,(C163-Dashboard!$C$18)/Dashboard!$C$19))))</f>
        <v>0.76614437022287618</v>
      </c>
      <c r="F163" s="5">
        <f t="shared" si="15"/>
        <v>0.3388883778358453</v>
      </c>
      <c r="G163" s="8">
        <f>Dashboard!$C$9*B163*Dashboard!$C$11*(1-F163)</f>
        <v>150525.41830954133</v>
      </c>
      <c r="H163" s="8">
        <f>Dashboard!$C$20*A163^2</f>
        <v>20736.800000000003</v>
      </c>
      <c r="I163" s="8">
        <f t="shared" si="16"/>
        <v>171262.21830954135</v>
      </c>
      <c r="J163" s="8">
        <f>Dashboard!$C$13*A163</f>
        <v>32200.000000000004</v>
      </c>
      <c r="K163" s="8">
        <f>Dashboard!$C$14*A163</f>
        <v>48300</v>
      </c>
      <c r="L163" s="8">
        <f>Dashboard!$C$21-K163</f>
        <v>1451700</v>
      </c>
      <c r="M163" s="8">
        <f t="shared" si="17"/>
        <v>1248237.7816904588</v>
      </c>
      <c r="N163" s="8">
        <f t="shared" si="18"/>
        <v>80500</v>
      </c>
      <c r="O163" s="8">
        <f>Dashboard!$C$15*(Dashboard!$C$16*EXP(-Dashboard!$C$16*A163)*E163-(1-EXP(-Dashboard!$C$16*A163))*Dashboard!$C$17/Dashboard!$C$19*E163*(1-E163))</f>
        <v>3.1345619140628569E-2</v>
      </c>
      <c r="P163" s="8">
        <f>Dashboard!$C$9*B163*Dashboard!$C$11*(-Dashboard!$C$12*(1-F163)-O163)+2*Dashboard!$C$20*A163</f>
        <v>-34060.834067776217</v>
      </c>
      <c r="Q163" s="8">
        <f>-P163-Dashboard!$C$13-Dashboard!$C$14</f>
        <v>-15939.165932223783</v>
      </c>
    </row>
    <row r="164" spans="1:17" x14ac:dyDescent="0.25">
      <c r="A164" s="5">
        <f>(164-2)/100</f>
        <v>1.62</v>
      </c>
      <c r="B164" s="5">
        <f>Dashboard!$C$10*EXP(-Dashboard!$C$12*A164)</f>
        <v>0.11344491248537683</v>
      </c>
      <c r="C164" s="5">
        <f>Dashboard!$C$17*A164</f>
        <v>1296</v>
      </c>
      <c r="D164" s="5">
        <f>Dashboard!$C$15*(1-EXP(-Dashboard!$C$16*A164))</f>
        <v>0.44411354702164713</v>
      </c>
      <c r="E164" s="5">
        <f>1/(1+EXP(MIN(700,MAX(-700,(C164-Dashboard!$C$18)/Dashboard!$C$19))))</f>
        <v>0.76374700280545627</v>
      </c>
      <c r="F164" s="5">
        <f t="shared" si="15"/>
        <v>0.33919039044308308</v>
      </c>
      <c r="G164" s="8">
        <f>Dashboard!$C$9*B164*Dashboard!$C$11*(1-F164)</f>
        <v>149930.97665136095</v>
      </c>
      <c r="H164" s="8">
        <f>Dashboard!$C$20*A164^2</f>
        <v>20995.200000000004</v>
      </c>
      <c r="I164" s="8">
        <f t="shared" si="16"/>
        <v>170926.17665136096</v>
      </c>
      <c r="J164" s="8">
        <f>Dashboard!$C$13*A164</f>
        <v>32400.000000000004</v>
      </c>
      <c r="K164" s="8">
        <f>Dashboard!$C$14*A164</f>
        <v>48600</v>
      </c>
      <c r="L164" s="8">
        <f>Dashboard!$C$21-K164</f>
        <v>1451400</v>
      </c>
      <c r="M164" s="8">
        <f t="shared" si="17"/>
        <v>1248073.8233486391</v>
      </c>
      <c r="N164" s="8">
        <f t="shared" si="18"/>
        <v>81000</v>
      </c>
      <c r="O164" s="8">
        <f>Dashboard!$C$15*(Dashboard!$C$16*EXP(-Dashboard!$C$16*A164)*E164-(1-EXP(-Dashboard!$C$16*A164))*Dashboard!$C$17/Dashboard!$C$19*E164*(1-E164))</f>
        <v>2.9057277418286453E-2</v>
      </c>
      <c r="P164" s="8">
        <f>Dashboard!$C$9*B164*Dashboard!$C$11*(-Dashboard!$C$12*(1-F164)-O164)+2*Dashboard!$C$20*A164</f>
        <v>-33148.642415537979</v>
      </c>
      <c r="Q164" s="8">
        <f>-P164-Dashboard!$C$13-Dashboard!$C$14</f>
        <v>-16851.357584462021</v>
      </c>
    </row>
    <row r="165" spans="1:17" x14ac:dyDescent="0.25">
      <c r="A165" s="5">
        <f>(165-2)/100</f>
        <v>1.63</v>
      </c>
      <c r="B165" s="5">
        <f>Dashboard!$C$10*EXP(-Dashboard!$C$12*A165)</f>
        <v>0.11304854933181739</v>
      </c>
      <c r="C165" s="5">
        <f>Dashboard!$C$17*A165</f>
        <v>1304</v>
      </c>
      <c r="D165" s="5">
        <f>Dashboard!$C$15*(1-EXP(-Dashboard!$C$16*A165))</f>
        <v>0.44588853811091911</v>
      </c>
      <c r="E165" s="5">
        <f>1/(1+EXP(MIN(700,MAX(-700,(C165-Dashboard!$C$18)/Dashboard!$C$19))))</f>
        <v>0.76133271484291043</v>
      </c>
      <c r="F165" s="5">
        <f t="shared" si="15"/>
        <v>0.3394695312373226</v>
      </c>
      <c r="G165" s="8">
        <f>Dashboard!$C$9*B165*Dashboard!$C$11*(1-F165)</f>
        <v>149344.022566172</v>
      </c>
      <c r="H165" s="8">
        <f>Dashboard!$C$20*A165^2</f>
        <v>21255.199999999997</v>
      </c>
      <c r="I165" s="8">
        <f t="shared" si="16"/>
        <v>170599.22256617201</v>
      </c>
      <c r="J165" s="8">
        <f>Dashboard!$C$13*A165</f>
        <v>32599.999999999996</v>
      </c>
      <c r="K165" s="8">
        <f>Dashboard!$C$14*A165</f>
        <v>48900</v>
      </c>
      <c r="L165" s="8">
        <f>Dashboard!$C$21-K165</f>
        <v>1451100</v>
      </c>
      <c r="M165" s="8">
        <f t="shared" si="17"/>
        <v>1247900.777433828</v>
      </c>
      <c r="N165" s="8">
        <f t="shared" si="18"/>
        <v>81500</v>
      </c>
      <c r="O165" s="8">
        <f>Dashboard!$C$15*(Dashboard!$C$16*EXP(-Dashboard!$C$16*A165)*E165-(1-EXP(-Dashboard!$C$16*A165))*Dashboard!$C$17/Dashboard!$C$19*E165*(1-E165))</f>
        <v>2.6771291766554108E-2</v>
      </c>
      <c r="P165" s="8">
        <f>Dashboard!$C$9*B165*Dashboard!$C$11*(-Dashboard!$C$12*(1-F165)-O165)+2*Dashboard!$C$20*A165</f>
        <v>-32243.319294055735</v>
      </c>
      <c r="Q165" s="8">
        <f>-P165-Dashboard!$C$13-Dashboard!$C$14</f>
        <v>-17756.680705944265</v>
      </c>
    </row>
    <row r="166" spans="1:17" x14ac:dyDescent="0.25">
      <c r="A166" s="5">
        <f>(166-2)/100</f>
        <v>1.64</v>
      </c>
      <c r="B166" s="5">
        <f>Dashboard!$C$10*EXP(-Dashboard!$C$12*A166)</f>
        <v>0.11265357102440095</v>
      </c>
      <c r="C166" s="5">
        <f>Dashboard!$C$17*A166</f>
        <v>1312</v>
      </c>
      <c r="D166" s="5">
        <f>Dashboard!$C$15*(1-EXP(-Dashboard!$C$16*A166))</f>
        <v>0.44765467639520057</v>
      </c>
      <c r="E166" s="5">
        <f>1/(1+EXP(MIN(700,MAX(-700,(C166-Dashboard!$C$18)/Dashboard!$C$19))))</f>
        <v>0.75890154343646821</v>
      </c>
      <c r="F166" s="5">
        <f t="shared" si="15"/>
        <v>0.33972582484287045</v>
      </c>
      <c r="G166" s="8">
        <f>Dashboard!$C$9*B166*Dashboard!$C$11*(1-F166)</f>
        <v>148764.48737328287</v>
      </c>
      <c r="H166" s="8">
        <f>Dashboard!$C$20*A166^2</f>
        <v>21516.799999999996</v>
      </c>
      <c r="I166" s="8">
        <f t="shared" si="16"/>
        <v>170281.28737328286</v>
      </c>
      <c r="J166" s="8">
        <f>Dashboard!$C$13*A166</f>
        <v>32800</v>
      </c>
      <c r="K166" s="8">
        <f>Dashboard!$C$14*A166</f>
        <v>49200</v>
      </c>
      <c r="L166" s="8">
        <f>Dashboard!$C$21-K166</f>
        <v>1450800</v>
      </c>
      <c r="M166" s="8">
        <f t="shared" si="17"/>
        <v>1247718.7126267171</v>
      </c>
      <c r="N166" s="8">
        <f t="shared" si="18"/>
        <v>82000</v>
      </c>
      <c r="O166" s="8">
        <f>Dashboard!$C$15*(Dashboard!$C$16*EXP(-Dashboard!$C$16*A166)*E166-(1-EXP(-Dashboard!$C$16*A166))*Dashboard!$C$17/Dashboard!$C$19*E166*(1-E166))</f>
        <v>2.4487875587300346E-2</v>
      </c>
      <c r="P166" s="8">
        <f>Dashboard!$C$9*B166*Dashboard!$C$11*(-Dashboard!$C$12*(1-F166)-O166)+2*Dashboard!$C$20*A166</f>
        <v>-31344.863844070263</v>
      </c>
      <c r="Q166" s="8">
        <f>-P166-Dashboard!$C$13-Dashboard!$C$14</f>
        <v>-18655.136155929737</v>
      </c>
    </row>
    <row r="167" spans="1:17" x14ac:dyDescent="0.25">
      <c r="A167" s="5">
        <f>(167-2)/100</f>
        <v>1.65</v>
      </c>
      <c r="B167" s="5">
        <f>Dashboard!$C$10*EXP(-Dashboard!$C$12*A167)</f>
        <v>0.11225997272463831</v>
      </c>
      <c r="C167" s="5">
        <f>Dashboard!$C$17*A167</f>
        <v>1320</v>
      </c>
      <c r="D167" s="5">
        <f>Dashboard!$C$15*(1-EXP(-Dashboard!$C$16*A167))</f>
        <v>0.44941200602804066</v>
      </c>
      <c r="E167" s="5">
        <f>1/(1+EXP(MIN(700,MAX(-700,(C167-Dashboard!$C$18)/Dashboard!$C$19))))</f>
        <v>0.75645352923040432</v>
      </c>
      <c r="F167" s="5">
        <f t="shared" ref="F167:F230" si="19">D167*E167</f>
        <v>0.33995929803842712</v>
      </c>
      <c r="G167" s="8">
        <f>Dashboard!$C$9*B167*Dashboard!$C$11*(1-F167)</f>
        <v>148192.30239871456</v>
      </c>
      <c r="H167" s="8">
        <f>Dashboard!$C$20*A167^2</f>
        <v>21779.999999999996</v>
      </c>
      <c r="I167" s="8">
        <f t="shared" ref="I167:I230" si="20">G167+H167</f>
        <v>169972.30239871456</v>
      </c>
      <c r="J167" s="8">
        <f>Dashboard!$C$13*A167</f>
        <v>33000</v>
      </c>
      <c r="K167" s="8">
        <f>Dashboard!$C$14*A167</f>
        <v>49500</v>
      </c>
      <c r="L167" s="8">
        <f>Dashboard!$C$21-K167</f>
        <v>1450500</v>
      </c>
      <c r="M167" s="8">
        <f t="shared" ref="M167:M230" si="21">L167-I167-J167</f>
        <v>1247527.6976012855</v>
      </c>
      <c r="N167" s="8">
        <f t="shared" ref="N167:N230" si="22">J167+K167</f>
        <v>82500</v>
      </c>
      <c r="O167" s="8">
        <f>Dashboard!$C$15*(Dashboard!$C$16*EXP(-Dashboard!$C$16*A167)*E167-(1-EXP(-Dashboard!$C$16*A167))*Dashboard!$C$17/Dashboard!$C$19*E167*(1-E167))</f>
        <v>2.2207246349524135E-2</v>
      </c>
      <c r="P167" s="8">
        <f>Dashboard!$C$9*B167*Dashboard!$C$11*(-Dashboard!$C$12*(1-F167)-O167)+2*Dashboard!$C$20*A167</f>
        <v>-30453.275578523891</v>
      </c>
      <c r="Q167" s="8">
        <f>-P167-Dashboard!$C$13-Dashboard!$C$14</f>
        <v>-19546.724421476109</v>
      </c>
    </row>
    <row r="168" spans="1:17" x14ac:dyDescent="0.25">
      <c r="A168" s="5">
        <f>(168-2)/100</f>
        <v>1.66</v>
      </c>
      <c r="B168" s="5">
        <f>Dashboard!$C$10*EXP(-Dashboard!$C$12*A168)</f>
        <v>0.11186774961094537</v>
      </c>
      <c r="C168" s="5">
        <f>Dashboard!$C$17*A168</f>
        <v>1328</v>
      </c>
      <c r="D168" s="5">
        <f>Dashboard!$C$15*(1-EXP(-Dashboard!$C$16*A168))</f>
        <v>0.45116057094277151</v>
      </c>
      <c r="E168" s="5">
        <f>1/(1+EXP(MIN(700,MAX(-700,(C168-Dashboard!$C$18)/Dashboard!$C$19))))</f>
        <v>0.75398871644894816</v>
      </c>
      <c r="F168" s="5">
        <f t="shared" si="19"/>
        <v>0.3401699797975149</v>
      </c>
      <c r="G168" s="8">
        <f>Dashboard!$C$9*B168*Dashboard!$C$11*(1-F168)</f>
        <v>147627.39897159327</v>
      </c>
      <c r="H168" s="8">
        <f>Dashboard!$C$20*A168^2</f>
        <v>22044.799999999999</v>
      </c>
      <c r="I168" s="8">
        <f t="shared" si="20"/>
        <v>169672.19897159326</v>
      </c>
      <c r="J168" s="8">
        <f>Dashboard!$C$13*A168</f>
        <v>33200</v>
      </c>
      <c r="K168" s="8">
        <f>Dashboard!$C$14*A168</f>
        <v>49800</v>
      </c>
      <c r="L168" s="8">
        <f>Dashboard!$C$21-K168</f>
        <v>1450200</v>
      </c>
      <c r="M168" s="8">
        <f t="shared" si="21"/>
        <v>1247327.8010284067</v>
      </c>
      <c r="N168" s="8">
        <f t="shared" si="22"/>
        <v>83000</v>
      </c>
      <c r="O168" s="8">
        <f>Dashboard!$C$15*(Dashboard!$C$16*EXP(-Dashboard!$C$16*A168)*E168-(1-EXP(-Dashboard!$C$16*A168))*Dashboard!$C$17/Dashboard!$C$19*E168*(1-E168))</f>
        <v>1.9929625540125784E-2</v>
      </c>
      <c r="P168" s="8">
        <f>Dashboard!$C$9*B168*Dashboard!$C$11*(-Dashboard!$C$12*(1-F168)-O168)+2*Dashboard!$C$20*A168</f>
        <v>-29568.554359583017</v>
      </c>
      <c r="Q168" s="8">
        <f>-P168-Dashboard!$C$13-Dashboard!$C$14</f>
        <v>-20431.445640416983</v>
      </c>
    </row>
    <row r="169" spans="1:17" x14ac:dyDescent="0.25">
      <c r="A169" s="5">
        <f>(169-2)/100</f>
        <v>1.67</v>
      </c>
      <c r="B169" s="5">
        <f>Dashboard!$C$10*EXP(-Dashboard!$C$12*A169)</f>
        <v>0.11147689687858411</v>
      </c>
      <c r="C169" s="5">
        <f>Dashboard!$C$17*A169</f>
        <v>1336</v>
      </c>
      <c r="D169" s="5">
        <f>Dashboard!$C$15*(1-EXP(-Dashboard!$C$16*A169))</f>
        <v>0.45290041485360732</v>
      </c>
      <c r="E169" s="5">
        <f>1/(1+EXP(MIN(700,MAX(-700,(C169-Dashboard!$C$18)/Dashboard!$C$19))))</f>
        <v>0.75150715293208903</v>
      </c>
      <c r="F169" s="5">
        <f t="shared" si="19"/>
        <v>0.34035790132839644</v>
      </c>
      <c r="G169" s="8">
        <f>Dashboard!$C$9*B169*Dashboard!$C$11*(1-F169)</f>
        <v>147069.70842077432</v>
      </c>
      <c r="H169" s="8">
        <f>Dashboard!$C$20*A169^2</f>
        <v>22311.200000000001</v>
      </c>
      <c r="I169" s="8">
        <f t="shared" si="20"/>
        <v>169380.90842077433</v>
      </c>
      <c r="J169" s="8">
        <f>Dashboard!$C$13*A169</f>
        <v>33400</v>
      </c>
      <c r="K169" s="8">
        <f>Dashboard!$C$14*A169</f>
        <v>50100</v>
      </c>
      <c r="L169" s="8">
        <f>Dashboard!$C$21-K169</f>
        <v>1449900</v>
      </c>
      <c r="M169" s="8">
        <f t="shared" si="21"/>
        <v>1247119.0915792256</v>
      </c>
      <c r="N169" s="8">
        <f t="shared" si="22"/>
        <v>83500</v>
      </c>
      <c r="O169" s="8">
        <f>Dashboard!$C$15*(Dashboard!$C$16*EXP(-Dashboard!$C$16*A169)*E169-(1-EXP(-Dashboard!$C$16*A169))*Dashboard!$C$17/Dashboard!$C$19*E169*(1-E169))</f>
        <v>1.7655238611100944E-2</v>
      </c>
      <c r="P169" s="8">
        <f>Dashboard!$C$9*B169*Dashboard!$C$11*(-Dashboard!$C$12*(1-F169)-O169)+2*Dashboard!$C$20*A169</f>
        <v>-28690.700375303997</v>
      </c>
      <c r="Q169" s="8">
        <f>-P169-Dashboard!$C$13-Dashboard!$C$14</f>
        <v>-21309.299624696003</v>
      </c>
    </row>
    <row r="170" spans="1:17" x14ac:dyDescent="0.25">
      <c r="A170" s="5">
        <f>(170-2)/100</f>
        <v>1.68</v>
      </c>
      <c r="B170" s="5">
        <f>Dashboard!$C$10*EXP(-Dashboard!$C$12*A170)</f>
        <v>0.11108740973960365</v>
      </c>
      <c r="C170" s="5">
        <f>Dashboard!$C$17*A170</f>
        <v>1344</v>
      </c>
      <c r="D170" s="5">
        <f>Dashboard!$C$15*(1-EXP(-Dashboard!$C$16*A170))</f>
        <v>0.45463158125673631</v>
      </c>
      <c r="E170" s="5">
        <f>1/(1+EXP(MIN(700,MAX(-700,(C170-Dashboard!$C$18)/Dashboard!$C$19))))</f>
        <v>0.74900889017023287</v>
      </c>
      <c r="F170" s="5">
        <f t="shared" si="19"/>
        <v>0.34052309611344611</v>
      </c>
      <c r="G170" s="8">
        <f>Dashboard!$C$9*B170*Dashboard!$C$11*(1-F170)</f>
        <v>146519.16207170166</v>
      </c>
      <c r="H170" s="8">
        <f>Dashboard!$C$20*A170^2</f>
        <v>22579.199999999997</v>
      </c>
      <c r="I170" s="8">
        <f t="shared" si="20"/>
        <v>169098.36207170167</v>
      </c>
      <c r="J170" s="8">
        <f>Dashboard!$C$13*A170</f>
        <v>33600</v>
      </c>
      <c r="K170" s="8">
        <f>Dashboard!$C$14*A170</f>
        <v>50400</v>
      </c>
      <c r="L170" s="8">
        <f>Dashboard!$C$21-K170</f>
        <v>1449600</v>
      </c>
      <c r="M170" s="8">
        <f t="shared" si="21"/>
        <v>1246901.6379282982</v>
      </c>
      <c r="N170" s="8">
        <f t="shared" si="22"/>
        <v>84000</v>
      </c>
      <c r="O170" s="8">
        <f>Dashboard!$C$15*(Dashboard!$C$16*EXP(-Dashboard!$C$16*A170)*E170-(1-EXP(-Dashboard!$C$16*A170))*Dashboard!$C$17/Dashboard!$C$19*E170*(1-E170))</f>
        <v>1.5384314923127085E-2</v>
      </c>
      <c r="P170" s="8">
        <f>Dashboard!$C$9*B170*Dashboard!$C$11*(-Dashboard!$C$12*(1-F170)-O170)+2*Dashboard!$C$20*A170</f>
        <v>-27819.714115952607</v>
      </c>
      <c r="Q170" s="8">
        <f>-P170-Dashboard!$C$13-Dashboard!$C$14</f>
        <v>-22180.285884047393</v>
      </c>
    </row>
    <row r="171" spans="1:17" x14ac:dyDescent="0.25">
      <c r="A171" s="5">
        <f>(171-2)/100</f>
        <v>1.69</v>
      </c>
      <c r="B171" s="5">
        <f>Dashboard!$C$10*EXP(-Dashboard!$C$12*A171)</f>
        <v>0.11069928342278168</v>
      </c>
      <c r="C171" s="5">
        <f>Dashboard!$C$17*A171</f>
        <v>1352</v>
      </c>
      <c r="D171" s="5">
        <f>Dashboard!$C$15*(1-EXP(-Dashboard!$C$16*A171))</f>
        <v>0.45635411343140869</v>
      </c>
      <c r="E171" s="5">
        <f>1/(1+EXP(MIN(700,MAX(-700,(C171-Dashboard!$C$18)/Dashboard!$C$19))))</f>
        <v>0.74649398333766215</v>
      </c>
      <c r="F171" s="5">
        <f t="shared" si="19"/>
        <v>0.3406655999479396</v>
      </c>
      <c r="G171" s="8">
        <f>Dashboard!$C$9*B171*Dashboard!$C$11*(1-F171)</f>
        <v>145975.69124350551</v>
      </c>
      <c r="H171" s="8">
        <f>Dashboard!$C$20*A171^2</f>
        <v>22848.799999999996</v>
      </c>
      <c r="I171" s="8">
        <f t="shared" si="20"/>
        <v>168824.4912435055</v>
      </c>
      <c r="J171" s="8">
        <f>Dashboard!$C$13*A171</f>
        <v>33800</v>
      </c>
      <c r="K171" s="8">
        <f>Dashboard!$C$14*A171</f>
        <v>50700</v>
      </c>
      <c r="L171" s="8">
        <f>Dashboard!$C$21-K171</f>
        <v>1449300</v>
      </c>
      <c r="M171" s="8">
        <f t="shared" si="21"/>
        <v>1246675.5087564946</v>
      </c>
      <c r="N171" s="8">
        <f t="shared" si="22"/>
        <v>84500</v>
      </c>
      <c r="O171" s="8">
        <f>Dashboard!$C$15*(Dashboard!$C$16*EXP(-Dashboard!$C$16*A171)*E171-(1-EXP(-Dashboard!$C$16*A171))*Dashboard!$C$17/Dashboard!$C$19*E171*(1-E171))</f>
        <v>1.3117087685511498E-2</v>
      </c>
      <c r="P171" s="8">
        <f>Dashboard!$C$9*B171*Dashboard!$C$11*(-Dashboard!$C$12*(1-F171)-O171)+2*Dashboard!$C$20*A171</f>
        <v>-26955.596349986765</v>
      </c>
      <c r="Q171" s="8">
        <f>-P171-Dashboard!$C$13-Dashboard!$C$14</f>
        <v>-23044.403650013235</v>
      </c>
    </row>
    <row r="172" spans="1:17" x14ac:dyDescent="0.25">
      <c r="A172" s="5">
        <f>(172-2)/100</f>
        <v>1.7</v>
      </c>
      <c r="B172" s="5">
        <f>Dashboard!$C$10*EXP(-Dashboard!$C$12*A172)</f>
        <v>0.11031251317356597</v>
      </c>
      <c r="C172" s="5">
        <f>Dashboard!$C$17*A172</f>
        <v>1360</v>
      </c>
      <c r="D172" s="5">
        <f>Dashboard!$C$15*(1-EXP(-Dashboard!$C$16*A172))</f>
        <v>0.45806805444101867</v>
      </c>
      <c r="E172" s="5">
        <f>1/(1+EXP(MIN(700,MAX(-700,(C172-Dashboard!$C$18)/Dashboard!$C$19))))</f>
        <v>0.74396249132475811</v>
      </c>
      <c r="F172" s="5">
        <f t="shared" si="19"/>
        <v>0.34078545097822516</v>
      </c>
      <c r="G172" s="8">
        <f>Dashboard!$C$9*B172*Dashboard!$C$11*(1-F172)</f>
        <v>145439.22724634179</v>
      </c>
      <c r="H172" s="8">
        <f>Dashboard!$C$20*A172^2</f>
        <v>23119.999999999996</v>
      </c>
      <c r="I172" s="8">
        <f t="shared" si="20"/>
        <v>168559.22724634179</v>
      </c>
      <c r="J172" s="8">
        <f>Dashboard!$C$13*A172</f>
        <v>34000</v>
      </c>
      <c r="K172" s="8">
        <f>Dashboard!$C$14*A172</f>
        <v>51000</v>
      </c>
      <c r="L172" s="8">
        <f>Dashboard!$C$21-K172</f>
        <v>1449000</v>
      </c>
      <c r="M172" s="8">
        <f t="shared" si="21"/>
        <v>1246440.7727536582</v>
      </c>
      <c r="N172" s="8">
        <f t="shared" si="22"/>
        <v>85000</v>
      </c>
      <c r="O172" s="8">
        <f>Dashboard!$C$15*(Dashboard!$C$16*EXP(-Dashboard!$C$16*A172)*E172-(1-EXP(-Dashboard!$C$16*A172))*Dashboard!$C$17/Dashboard!$C$19*E172*(1-E172))</f>
        <v>1.085379389247927E-2</v>
      </c>
      <c r="P172" s="8">
        <f>Dashboard!$C$9*B172*Dashboard!$C$11*(-Dashboard!$C$12*(1-F172)-O172)+2*Dashboard!$C$20*A172</f>
        <v>-26098.348099714196</v>
      </c>
      <c r="Q172" s="8">
        <f>-P172-Dashboard!$C$13-Dashboard!$C$14</f>
        <v>-23901.651900285804</v>
      </c>
    </row>
    <row r="173" spans="1:17" x14ac:dyDescent="0.25">
      <c r="A173" s="5">
        <f>(173-2)/100</f>
        <v>1.71</v>
      </c>
      <c r="B173" s="5">
        <f>Dashboard!$C$10*EXP(-Dashboard!$C$12*A173)</f>
        <v>0.1099270942540161</v>
      </c>
      <c r="C173" s="5">
        <f>Dashboard!$C$17*A173</f>
        <v>1368</v>
      </c>
      <c r="D173" s="5">
        <f>Dashboard!$C$15*(1-EXP(-Dashboard!$C$16*A173))</f>
        <v>0.45977344713418078</v>
      </c>
      <c r="E173" s="5">
        <f>1/(1+EXP(MIN(700,MAX(-700,(C173-Dashboard!$C$18)/Dashboard!$C$19))))</f>
        <v>0.74141447676893546</v>
      </c>
      <c r="F173" s="5">
        <f t="shared" si="19"/>
        <v>0.34088268973923846</v>
      </c>
      <c r="G173" s="8">
        <f>Dashboard!$C$9*B173*Dashboard!$C$11*(1-F173)</f>
        <v>144909.70137897661</v>
      </c>
      <c r="H173" s="8">
        <f>Dashboard!$C$20*A173^2</f>
        <v>23392.799999999999</v>
      </c>
      <c r="I173" s="8">
        <f t="shared" si="20"/>
        <v>168302.50137897659</v>
      </c>
      <c r="J173" s="8">
        <f>Dashboard!$C$13*A173</f>
        <v>34200</v>
      </c>
      <c r="K173" s="8">
        <f>Dashboard!$C$14*A173</f>
        <v>51300</v>
      </c>
      <c r="L173" s="8">
        <f>Dashboard!$C$21-K173</f>
        <v>1448700</v>
      </c>
      <c r="M173" s="8">
        <f t="shared" si="21"/>
        <v>1246197.4986210235</v>
      </c>
      <c r="N173" s="8">
        <f t="shared" si="22"/>
        <v>85500</v>
      </c>
      <c r="O173" s="8">
        <f>Dashboard!$C$15*(Dashboard!$C$16*EXP(-Dashboard!$C$16*A173)*E173-(1-EXP(-Dashboard!$C$16*A173))*Dashboard!$C$17/Dashboard!$C$19*E173*(1-E173))</f>
        <v>8.5946742557768459E-3</v>
      </c>
      <c r="P173" s="8">
        <f>Dashboard!$C$9*B173*Dashboard!$C$11*(-Dashboard!$C$12*(1-F173)-O173)+2*Dashboard!$C$20*A173</f>
        <v>-25247.970616636507</v>
      </c>
      <c r="Q173" s="8">
        <f>-P173-Dashboard!$C$13-Dashboard!$C$14</f>
        <v>-24752.029383363493</v>
      </c>
    </row>
    <row r="174" spans="1:17" x14ac:dyDescent="0.25">
      <c r="A174" s="5">
        <f>(174-2)/100</f>
        <v>1.72</v>
      </c>
      <c r="B174" s="5">
        <f>Dashboard!$C$10*EXP(-Dashboard!$C$12*A174)</f>
        <v>0.10954302194274551</v>
      </c>
      <c r="C174" s="5">
        <f>Dashboard!$C$17*A174</f>
        <v>1376</v>
      </c>
      <c r="D174" s="5">
        <f>Dashboard!$C$15*(1-EXP(-Dashboard!$C$16*A174))</f>
        <v>0.46147033414580091</v>
      </c>
      <c r="E174" s="5">
        <f>1/(1+EXP(MIN(700,MAX(-700,(C174-Dashboard!$C$18)/Dashboard!$C$19))))</f>
        <v>0.73885000608424889</v>
      </c>
      <c r="F174" s="5">
        <f t="shared" si="19"/>
        <v>0.34095735919132536</v>
      </c>
      <c r="G174" s="8">
        <f>Dashboard!$C$9*B174*Dashboard!$C$11*(1-F174)</f>
        <v>144387.04492661922</v>
      </c>
      <c r="H174" s="8">
        <f>Dashboard!$C$20*A174^2</f>
        <v>23667.199999999997</v>
      </c>
      <c r="I174" s="8">
        <f t="shared" si="20"/>
        <v>168054.24492661923</v>
      </c>
      <c r="J174" s="8">
        <f>Dashboard!$C$13*A174</f>
        <v>34400</v>
      </c>
      <c r="K174" s="8">
        <f>Dashboard!$C$14*A174</f>
        <v>51600</v>
      </c>
      <c r="L174" s="8">
        <f>Dashboard!$C$21-K174</f>
        <v>1448400</v>
      </c>
      <c r="M174" s="8">
        <f t="shared" si="21"/>
        <v>1245945.7550733807</v>
      </c>
      <c r="N174" s="8">
        <f t="shared" si="22"/>
        <v>86000</v>
      </c>
      <c r="O174" s="8">
        <f>Dashboard!$C$15*(Dashboard!$C$16*EXP(-Dashboard!$C$16*A174)*E174-(1-EXP(-Dashboard!$C$16*A174))*Dashboard!$C$17/Dashboard!$C$19*E174*(1-E174))</f>
        <v>6.3399731335766155E-3</v>
      </c>
      <c r="P174" s="8">
        <f>Dashboard!$C$9*B174*Dashboard!$C$11*(-Dashboard!$C$12*(1-F174)-O174)+2*Dashboard!$C$20*A174</f>
        <v>-24404.465356492321</v>
      </c>
      <c r="Q174" s="8">
        <f>-P174-Dashboard!$C$13-Dashboard!$C$14</f>
        <v>-25595.534643507679</v>
      </c>
    </row>
    <row r="175" spans="1:17" x14ac:dyDescent="0.25">
      <c r="A175" s="5">
        <f>(175-2)/100</f>
        <v>1.73</v>
      </c>
      <c r="B175" s="5">
        <f>Dashboard!$C$10*EXP(-Dashboard!$C$12*A175)</f>
        <v>0.10916029153486356</v>
      </c>
      <c r="C175" s="5">
        <f>Dashboard!$C$17*A175</f>
        <v>1384</v>
      </c>
      <c r="D175" s="5">
        <f>Dashboard!$C$15*(1-EXP(-Dashboard!$C$16*A175))</f>
        <v>0.46315875789814309</v>
      </c>
      <c r="E175" s="5">
        <f>1/(1+EXP(MIN(700,MAX(-700,(C175-Dashboard!$C$18)/Dashboard!$C$19))))</f>
        <v>0.73626914948962308</v>
      </c>
      <c r="F175" s="5">
        <f t="shared" si="19"/>
        <v>0.34100950475633607</v>
      </c>
      <c r="G175" s="8">
        <f>Dashboard!$C$9*B175*Dashboard!$C$11*(1-F175)</f>
        <v>143871.18915900495</v>
      </c>
      <c r="H175" s="8">
        <f>Dashboard!$C$20*A175^2</f>
        <v>23943.200000000001</v>
      </c>
      <c r="I175" s="8">
        <f t="shared" si="20"/>
        <v>167814.38915900496</v>
      </c>
      <c r="J175" s="8">
        <f>Dashboard!$C$13*A175</f>
        <v>34600</v>
      </c>
      <c r="K175" s="8">
        <f>Dashboard!$C$14*A175</f>
        <v>51900</v>
      </c>
      <c r="L175" s="8">
        <f>Dashboard!$C$21-K175</f>
        <v>1448100</v>
      </c>
      <c r="M175" s="8">
        <f t="shared" si="21"/>
        <v>1245685.6108409951</v>
      </c>
      <c r="N175" s="8">
        <f t="shared" si="22"/>
        <v>86500</v>
      </c>
      <c r="O175" s="8">
        <f>Dashboard!$C$15*(Dashboard!$C$16*EXP(-Dashboard!$C$16*A175)*E175-(1-EXP(-Dashboard!$C$16*A175))*Dashboard!$C$17/Dashboard!$C$19*E175*(1-E175))</f>
        <v>4.0899384556666533E-3</v>
      </c>
      <c r="P175" s="8">
        <f>Dashboard!$C$9*B175*Dashboard!$C$11*(-Dashboard!$C$12*(1-F175)-O175)+2*Dashboard!$C$20*A175</f>
        <v>-23567.833954012167</v>
      </c>
      <c r="Q175" s="8">
        <f>-P175-Dashboard!$C$13-Dashboard!$C$14</f>
        <v>-26432.166045987833</v>
      </c>
    </row>
    <row r="176" spans="1:17" x14ac:dyDescent="0.25">
      <c r="A176" s="5">
        <f>(176-2)/100</f>
        <v>1.74</v>
      </c>
      <c r="B176" s="5">
        <f>Dashboard!$C$10*EXP(-Dashboard!$C$12*A176)</f>
        <v>0.10877889834191799</v>
      </c>
      <c r="C176" s="5">
        <f>Dashboard!$C$17*A176</f>
        <v>1392</v>
      </c>
      <c r="D176" s="5">
        <f>Dashboard!$C$15*(1-EXP(-Dashboard!$C$16*A176))</f>
        <v>0.46483876060188883</v>
      </c>
      <c r="E176" s="5">
        <f>1/(1+EXP(MIN(700,MAX(-700,(C176-Dashboard!$C$18)/Dashboard!$C$19))))</f>
        <v>0.73367198103566345</v>
      </c>
      <c r="F176" s="5">
        <f t="shared" si="19"/>
        <v>0.34103917435295028</v>
      </c>
      <c r="G176" s="8">
        <f>Dashboard!$C$9*B176*Dashboard!$C$11*(1-F176)</f>
        <v>143362.06532873353</v>
      </c>
      <c r="H176" s="8">
        <f>Dashboard!$C$20*A176^2</f>
        <v>24220.799999999999</v>
      </c>
      <c r="I176" s="8">
        <f t="shared" si="20"/>
        <v>167582.86532873352</v>
      </c>
      <c r="J176" s="8">
        <f>Dashboard!$C$13*A176</f>
        <v>34800</v>
      </c>
      <c r="K176" s="8">
        <f>Dashboard!$C$14*A176</f>
        <v>52200</v>
      </c>
      <c r="L176" s="8">
        <f>Dashboard!$C$21-K176</f>
        <v>1447800</v>
      </c>
      <c r="M176" s="8">
        <f t="shared" si="21"/>
        <v>1245417.1346712664</v>
      </c>
      <c r="N176" s="8">
        <f t="shared" si="22"/>
        <v>87000</v>
      </c>
      <c r="O176" s="8">
        <f>Dashboard!$C$15*(Dashboard!$C$16*EXP(-Dashboard!$C$16*A176)*E176-(1-EXP(-Dashboard!$C$16*A176))*Dashboard!$C$17/Dashboard!$C$19*E176*(1-E176))</f>
        <v>1.8448216449179489E-3</v>
      </c>
      <c r="P176" s="8">
        <f>Dashboard!$C$9*B176*Dashboard!$C$11*(-Dashboard!$C$12*(1-F176)-O176)+2*Dashboard!$C$20*A176</f>
        <v>-22738.078197399729</v>
      </c>
      <c r="Q176" s="8">
        <f>-P176-Dashboard!$C$13-Dashboard!$C$14</f>
        <v>-27261.921802600271</v>
      </c>
    </row>
    <row r="177" spans="1:17" x14ac:dyDescent="0.25">
      <c r="A177" s="5">
        <f>(177-2)/100</f>
        <v>1.75</v>
      </c>
      <c r="B177" s="5">
        <f>Dashboard!$C$10*EXP(-Dashboard!$C$12*A177)</f>
        <v>0.10839883769183743</v>
      </c>
      <c r="C177" s="5">
        <f>Dashboard!$C$17*A177</f>
        <v>1400</v>
      </c>
      <c r="D177" s="5">
        <f>Dashboard!$C$15*(1-EXP(-Dashboard!$C$16*A177))</f>
        <v>0.46651038425719327</v>
      </c>
      <c r="E177" s="5">
        <f>1/(1+EXP(MIN(700,MAX(-700,(C177-Dashboard!$C$18)/Dashboard!$C$19))))</f>
        <v>0.7310585786300049</v>
      </c>
      <c r="F177" s="5">
        <f t="shared" si="19"/>
        <v>0.34104641843120115</v>
      </c>
      <c r="G177" s="8">
        <f>Dashboard!$C$9*B177*Dashboard!$C$11*(1-F177)</f>
        <v>142859.60466986234</v>
      </c>
      <c r="H177" s="8">
        <f>Dashboard!$C$20*A177^2</f>
        <v>24500</v>
      </c>
      <c r="I177" s="8">
        <f t="shared" si="20"/>
        <v>167359.60466986234</v>
      </c>
      <c r="J177" s="8">
        <f>Dashboard!$C$13*A177</f>
        <v>35000</v>
      </c>
      <c r="K177" s="8">
        <f>Dashboard!$C$14*A177</f>
        <v>52500</v>
      </c>
      <c r="L177" s="8">
        <f>Dashboard!$C$21-K177</f>
        <v>1447500</v>
      </c>
      <c r="M177" s="8">
        <f t="shared" si="21"/>
        <v>1245140.3953301376</v>
      </c>
      <c r="N177" s="8">
        <f t="shared" si="22"/>
        <v>87500</v>
      </c>
      <c r="O177" s="8">
        <f>Dashboard!$C$15*(Dashboard!$C$16*EXP(-Dashboard!$C$16*A177)*E177-(1-EXP(-Dashboard!$C$16*A177))*Dashboard!$C$17/Dashboard!$C$19*E177*(1-E177))</f>
        <v>-3.9512246497639406E-4</v>
      </c>
      <c r="P177" s="8">
        <f>Dashboard!$C$9*B177*Dashboard!$C$11*(-Dashboard!$C$12*(1-F177)-O177)+2*Dashboard!$C$20*A177</f>
        <v>-21915.200002553072</v>
      </c>
      <c r="Q177" s="8">
        <f>-P177-Dashboard!$C$13-Dashboard!$C$14</f>
        <v>-28084.799997446928</v>
      </c>
    </row>
    <row r="178" spans="1:17" x14ac:dyDescent="0.25">
      <c r="A178" s="5">
        <f>(178-2)/100</f>
        <v>1.76</v>
      </c>
      <c r="B178" s="5">
        <f>Dashboard!$C$10*EXP(-Dashboard!$C$12*A178)</f>
        <v>0.10802010492887414</v>
      </c>
      <c r="C178" s="5">
        <f>Dashboard!$C$17*A178</f>
        <v>1408</v>
      </c>
      <c r="D178" s="5">
        <f>Dashboard!$C$15*(1-EXP(-Dashboard!$C$16*A178))</f>
        <v>0.46817367065473497</v>
      </c>
      <c r="E178" s="5">
        <f>1/(1+EXP(MIN(700,MAX(-700,(C178-Dashboard!$C$18)/Dashboard!$C$19))))</f>
        <v>0.72842902406115229</v>
      </c>
      <c r="F178" s="5">
        <f t="shared" si="19"/>
        <v>0.34103129000615595</v>
      </c>
      <c r="G178" s="8">
        <f>Dashboard!$C$9*B178*Dashboard!$C$11*(1-F178)</f>
        <v>142363.73839675973</v>
      </c>
      <c r="H178" s="8">
        <f>Dashboard!$C$20*A178^2</f>
        <v>24780.799999999999</v>
      </c>
      <c r="I178" s="8">
        <f t="shared" si="20"/>
        <v>167144.53839675972</v>
      </c>
      <c r="J178" s="8">
        <f>Dashboard!$C$13*A178</f>
        <v>35200</v>
      </c>
      <c r="K178" s="8">
        <f>Dashboard!$C$14*A178</f>
        <v>52800</v>
      </c>
      <c r="L178" s="8">
        <f>Dashboard!$C$21-K178</f>
        <v>1447200</v>
      </c>
      <c r="M178" s="8">
        <f t="shared" si="21"/>
        <v>1244855.4616032403</v>
      </c>
      <c r="N178" s="8">
        <f t="shared" si="22"/>
        <v>88000</v>
      </c>
      <c r="O178" s="8">
        <f>Dashboard!$C$15*(Dashboard!$C$16*EXP(-Dashboard!$C$16*A178)*E178-(1-EXP(-Dashboard!$C$16*A178))*Dashboard!$C$17/Dashboard!$C$19*E178*(1-E178))</f>
        <v>-2.6296357154916407E-3</v>
      </c>
      <c r="P178" s="8">
        <f>Dashboard!$C$9*B178*Dashboard!$C$11*(-Dashboard!$C$12*(1-F178)-O178)+2*Dashboard!$C$20*A178</f>
        <v>-21099.201387041656</v>
      </c>
      <c r="Q178" s="8">
        <f>-P178-Dashboard!$C$13-Dashboard!$C$14</f>
        <v>-28900.798612958344</v>
      </c>
    </row>
    <row r="179" spans="1:17" x14ac:dyDescent="0.25">
      <c r="A179" s="5">
        <f>(179-2)/100</f>
        <v>1.77</v>
      </c>
      <c r="B179" s="5">
        <f>Dashboard!$C$10*EXP(-Dashboard!$C$12*A179)</f>
        <v>0.10764269541354704</v>
      </c>
      <c r="C179" s="5">
        <f>Dashboard!$C$17*A179</f>
        <v>1416</v>
      </c>
      <c r="D179" s="5">
        <f>Dashboard!$C$15*(1-EXP(-Dashboard!$C$16*A179))</f>
        <v>0.46982866137676038</v>
      </c>
      <c r="E179" s="5">
        <f>1/(1+EXP(MIN(700,MAX(-700,(C179-Dashboard!$C$18)/Dashboard!$C$19))))</f>
        <v>0.72578340302077171</v>
      </c>
      <c r="F179" s="5">
        <f t="shared" si="19"/>
        <v>0.34099384469071897</v>
      </c>
      <c r="G179" s="8">
        <f>Dashboard!$C$9*B179*Dashboard!$C$11*(1-F179)</f>
        <v>141874.39770321921</v>
      </c>
      <c r="H179" s="8">
        <f>Dashboard!$C$20*A179^2</f>
        <v>25063.200000000001</v>
      </c>
      <c r="I179" s="8">
        <f t="shared" si="20"/>
        <v>166937.59770321922</v>
      </c>
      <c r="J179" s="8">
        <f>Dashboard!$C$13*A179</f>
        <v>35400</v>
      </c>
      <c r="K179" s="8">
        <f>Dashboard!$C$14*A179</f>
        <v>53100</v>
      </c>
      <c r="L179" s="8">
        <f>Dashboard!$C$21-K179</f>
        <v>1446900</v>
      </c>
      <c r="M179" s="8">
        <f t="shared" si="21"/>
        <v>1244562.4022967808</v>
      </c>
      <c r="N179" s="8">
        <f t="shared" si="22"/>
        <v>88500</v>
      </c>
      <c r="O179" s="8">
        <f>Dashboard!$C$15*(Dashboard!$C$16*EXP(-Dashboard!$C$16*A179)*E179-(1-EXP(-Dashboard!$C$16*A179))*Dashboard!$C$17/Dashboard!$C$19*E179*(1-E179))</f>
        <v>-4.8584567129873468E-3</v>
      </c>
      <c r="P179" s="8">
        <f>Dashboard!$C$9*B179*Dashboard!$C$11*(-Dashboard!$C$12*(1-F179)-O179)+2*Dashboard!$C$20*A179</f>
        <v>-20290.084443854714</v>
      </c>
      <c r="Q179" s="8">
        <f>-P179-Dashboard!$C$13-Dashboard!$C$14</f>
        <v>-29709.915556145286</v>
      </c>
    </row>
    <row r="180" spans="1:17" x14ac:dyDescent="0.25">
      <c r="A180" s="5">
        <f>(180-2)/100</f>
        <v>1.78</v>
      </c>
      <c r="B180" s="5">
        <f>Dashboard!$C$10*EXP(-Dashboard!$C$12*A180)</f>
        <v>0.10726660452258484</v>
      </c>
      <c r="C180" s="5">
        <f>Dashboard!$C$17*A180</f>
        <v>1424</v>
      </c>
      <c r="D180" s="5">
        <f>Dashboard!$C$15*(1-EXP(-Dashboard!$C$16*A180))</f>
        <v>0.47147539779812359</v>
      </c>
      <c r="E180" s="5">
        <f>1/(1+EXP(MIN(700,MAX(-700,(C180-Dashboard!$C$18)/Dashboard!$C$19))))</f>
        <v>0.72312180512438984</v>
      </c>
      <c r="F180" s="5">
        <f t="shared" si="19"/>
        <v>0.34093414072751888</v>
      </c>
      <c r="G180" s="8">
        <f>Dashboard!$C$9*B180*Dashboard!$C$11*(1-F180)</f>
        <v>141391.51376183759</v>
      </c>
      <c r="H180" s="8">
        <f>Dashboard!$C$20*A180^2</f>
        <v>25347.200000000001</v>
      </c>
      <c r="I180" s="8">
        <f t="shared" si="20"/>
        <v>166738.7137618376</v>
      </c>
      <c r="J180" s="8">
        <f>Dashboard!$C$13*A180</f>
        <v>35600</v>
      </c>
      <c r="K180" s="8">
        <f>Dashboard!$C$14*A180</f>
        <v>53400</v>
      </c>
      <c r="L180" s="8">
        <f>Dashboard!$C$21-K180</f>
        <v>1446600</v>
      </c>
      <c r="M180" s="8">
        <f t="shared" si="21"/>
        <v>1244261.2862381623</v>
      </c>
      <c r="N180" s="8">
        <f t="shared" si="22"/>
        <v>89000</v>
      </c>
      <c r="O180" s="8">
        <f>Dashboard!$C$15*(Dashboard!$C$16*EXP(-Dashboard!$C$16*A180)*E180-(1-EXP(-Dashboard!$C$16*A180))*Dashboard!$C$17/Dashboard!$C$19*E180*(1-E180))</f>
        <v>-7.0813209221404E-3</v>
      </c>
      <c r="P180" s="8">
        <f>Dashboard!$C$9*B180*Dashboard!$C$11*(-Dashboard!$C$12*(1-F180)-O180)+2*Dashboard!$C$20*A180</f>
        <v>-19487.851314937674</v>
      </c>
      <c r="Q180" s="8">
        <f>-P180-Dashboard!$C$13-Dashboard!$C$14</f>
        <v>-30512.148685062326</v>
      </c>
    </row>
    <row r="181" spans="1:17" x14ac:dyDescent="0.25">
      <c r="A181" s="5">
        <f>(181-2)/100</f>
        <v>1.79</v>
      </c>
      <c r="B181" s="5">
        <f>Dashboard!$C$10*EXP(-Dashboard!$C$12*A181)</f>
        <v>0.10689182764886945</v>
      </c>
      <c r="C181" s="5">
        <f>Dashboard!$C$17*A181</f>
        <v>1432</v>
      </c>
      <c r="D181" s="5">
        <f>Dashboard!$C$15*(1-EXP(-Dashboard!$C$16*A181))</f>
        <v>0.47311392108732131</v>
      </c>
      <c r="E181" s="5">
        <f>1/(1+EXP(MIN(700,MAX(-700,(C181-Dashboard!$C$18)/Dashboard!$C$19))))</f>
        <v>0.72044432393045754</v>
      </c>
      <c r="F181" s="5">
        <f t="shared" si="19"/>
        <v>0.34085223901984302</v>
      </c>
      <c r="G181" s="8">
        <f>Dashboard!$C$9*B181*Dashboard!$C$11*(1-F181)</f>
        <v>140915.0177236583</v>
      </c>
      <c r="H181" s="8">
        <f>Dashboard!$C$20*A181^2</f>
        <v>25632.799999999999</v>
      </c>
      <c r="I181" s="8">
        <f t="shared" si="20"/>
        <v>166547.81772365829</v>
      </c>
      <c r="J181" s="8">
        <f>Dashboard!$C$13*A181</f>
        <v>35800</v>
      </c>
      <c r="K181" s="8">
        <f>Dashboard!$C$14*A181</f>
        <v>53700</v>
      </c>
      <c r="L181" s="8">
        <f>Dashboard!$C$21-K181</f>
        <v>1446300</v>
      </c>
      <c r="M181" s="8">
        <f t="shared" si="21"/>
        <v>1243952.1822763416</v>
      </c>
      <c r="N181" s="8">
        <f t="shared" si="22"/>
        <v>89500</v>
      </c>
      <c r="O181" s="8">
        <f>Dashboard!$C$15*(Dashboard!$C$16*EXP(-Dashboard!$C$16*A181)*E181-(1-EXP(-Dashboard!$C$16*A181))*Dashboard!$C$17/Dashboard!$C$19*E181*(1-E181))</f>
        <v>-9.2979607630844906E-3</v>
      </c>
      <c r="P181" s="8">
        <f>Dashboard!$C$9*B181*Dashboard!$C$11*(-Dashboard!$C$12*(1-F181)-O181)+2*Dashboard!$C$20*A181</f>
        <v>-18692.504164533253</v>
      </c>
      <c r="Q181" s="8">
        <f>-P181-Dashboard!$C$13-Dashboard!$C$14</f>
        <v>-31307.495835466747</v>
      </c>
    </row>
    <row r="182" spans="1:17" x14ac:dyDescent="0.25">
      <c r="A182" s="5">
        <f>(182-2)/100</f>
        <v>1.8</v>
      </c>
      <c r="B182" s="5">
        <f>Dashboard!$C$10*EXP(-Dashboard!$C$12*A182)</f>
        <v>0.10651836020137945</v>
      </c>
      <c r="C182" s="5">
        <f>Dashboard!$C$17*A182</f>
        <v>1440</v>
      </c>
      <c r="D182" s="5">
        <f>Dashboard!$C$15*(1-EXP(-Dashboard!$C$16*A182))</f>
        <v>0.47474427220752075</v>
      </c>
      <c r="E182" s="5">
        <f>1/(1+EXP(MIN(700,MAX(-700,(C182-Dashboard!$C$18)/Dashboard!$C$19))))</f>
        <v>0.71775105695774</v>
      </c>
      <c r="F182" s="5">
        <f t="shared" si="19"/>
        <v>0.34074820316158105</v>
      </c>
      <c r="G182" s="8">
        <f>Dashboard!$C$9*B182*Dashboard!$C$11*(1-F182)</f>
        <v>140444.84071808268</v>
      </c>
      <c r="H182" s="8">
        <f>Dashboard!$C$20*A182^2</f>
        <v>25920</v>
      </c>
      <c r="I182" s="8">
        <f t="shared" si="20"/>
        <v>166364.84071808268</v>
      </c>
      <c r="J182" s="8">
        <f>Dashboard!$C$13*A182</f>
        <v>36000</v>
      </c>
      <c r="K182" s="8">
        <f>Dashboard!$C$14*A182</f>
        <v>54000</v>
      </c>
      <c r="L182" s="8">
        <f>Dashboard!$C$21-K182</f>
        <v>1446000</v>
      </c>
      <c r="M182" s="8">
        <f t="shared" si="21"/>
        <v>1243635.1592819174</v>
      </c>
      <c r="N182" s="8">
        <f t="shared" si="22"/>
        <v>90000</v>
      </c>
      <c r="O182" s="8">
        <f>Dashboard!$C$15*(Dashboard!$C$16*EXP(-Dashboard!$C$16*A182)*E182-(1-EXP(-Dashboard!$C$16*A182))*Dashboard!$C$17/Dashboard!$C$19*E182*(1-E182))</f>
        <v>-1.1508105712235218E-2</v>
      </c>
      <c r="P182" s="8">
        <f>Dashboard!$C$9*B182*Dashboard!$C$11*(-Dashboard!$C$12*(1-F182)-O182)+2*Dashboard!$C$20*A182</f>
        <v>-17904.045152346087</v>
      </c>
      <c r="Q182" s="8">
        <f>-P182-Dashboard!$C$13-Dashboard!$C$14</f>
        <v>-32095.954847653913</v>
      </c>
    </row>
    <row r="183" spans="1:17" x14ac:dyDescent="0.25">
      <c r="A183" s="5">
        <f>(183-2)/100</f>
        <v>1.81</v>
      </c>
      <c r="B183" s="5">
        <f>Dashboard!$C$10*EXP(-Dashboard!$C$12*A183)</f>
        <v>0.10614619760513395</v>
      </c>
      <c r="C183" s="5">
        <f>Dashboard!$C$17*A183</f>
        <v>1448</v>
      </c>
      <c r="D183" s="5">
        <f>Dashboard!$C$15*(1-EXP(-Dashboard!$C$16*A183))</f>
        <v>0.47636649191758496</v>
      </c>
      <c r="E183" s="5">
        <f>1/(1+EXP(MIN(700,MAX(-700,(C183-Dashboard!$C$18)/Dashboard!$C$19))))</f>
        <v>0.71504210570098981</v>
      </c>
      <c r="F183" s="5">
        <f t="shared" si="19"/>
        <v>0.34062209946614347</v>
      </c>
      <c r="G183" s="8">
        <f>Dashboard!$C$9*B183*Dashboard!$C$11*(1-F183)</f>
        <v>139980.91385305018</v>
      </c>
      <c r="H183" s="8">
        <f>Dashboard!$C$20*A183^2</f>
        <v>26208.799999999999</v>
      </c>
      <c r="I183" s="8">
        <f t="shared" si="20"/>
        <v>166189.71385305017</v>
      </c>
      <c r="J183" s="8">
        <f>Dashboard!$C$13*A183</f>
        <v>36200</v>
      </c>
      <c r="K183" s="8">
        <f>Dashboard!$C$14*A183</f>
        <v>54300</v>
      </c>
      <c r="L183" s="8">
        <f>Dashboard!$C$21-K183</f>
        <v>1445700</v>
      </c>
      <c r="M183" s="8">
        <f t="shared" si="21"/>
        <v>1243310.2861469497</v>
      </c>
      <c r="N183" s="8">
        <f t="shared" si="22"/>
        <v>90500</v>
      </c>
      <c r="O183" s="8">
        <f>Dashboard!$C$15*(Dashboard!$C$16*EXP(-Dashboard!$C$16*A183)*E183-(1-EXP(-Dashboard!$C$16*A183))*Dashboard!$C$17/Dashboard!$C$19*E183*(1-E183))</f>
        <v>-1.3711482406782816E-2</v>
      </c>
      <c r="P183" s="8">
        <f>Dashboard!$C$9*B183*Dashboard!$C$11*(-Dashboard!$C$12*(1-F183)-O183)+2*Dashboard!$C$20*A183</f>
        <v>-17122.476406548187</v>
      </c>
      <c r="Q183" s="8">
        <f>-P183-Dashboard!$C$13-Dashboard!$C$14</f>
        <v>-32877.523593451813</v>
      </c>
    </row>
    <row r="184" spans="1:17" x14ac:dyDescent="0.25">
      <c r="A184" s="5">
        <f>(184-2)/100</f>
        <v>1.82</v>
      </c>
      <c r="B184" s="5">
        <f>Dashboard!$C$10*EXP(-Dashboard!$C$12*A184)</f>
        <v>0.1057753353011365</v>
      </c>
      <c r="C184" s="5">
        <f>Dashboard!$C$17*A184</f>
        <v>1456</v>
      </c>
      <c r="D184" s="5">
        <f>Dashboard!$C$15*(1-EXP(-Dashboard!$C$16*A184))</f>
        <v>0.47798062077309122</v>
      </c>
      <c r="E184" s="5">
        <f>1/(1+EXP(MIN(700,MAX(-700,(C184-Dashboard!$C$18)/Dashboard!$C$19))))</f>
        <v>0.71231757564486509</v>
      </c>
      <c r="F184" s="5">
        <f t="shared" si="19"/>
        <v>0.34047399699431596</v>
      </c>
      <c r="G184" s="8">
        <f>Dashboard!$C$9*B184*Dashboard!$C$11*(1-F184)</f>
        <v>139523.16821548916</v>
      </c>
      <c r="H184" s="8">
        <f>Dashboard!$C$20*A184^2</f>
        <v>26499.200000000001</v>
      </c>
      <c r="I184" s="8">
        <f t="shared" si="20"/>
        <v>166022.36821548917</v>
      </c>
      <c r="J184" s="8">
        <f>Dashboard!$C$13*A184</f>
        <v>36400</v>
      </c>
      <c r="K184" s="8">
        <f>Dashboard!$C$14*A184</f>
        <v>54600</v>
      </c>
      <c r="L184" s="8">
        <f>Dashboard!$C$21-K184</f>
        <v>1445400</v>
      </c>
      <c r="M184" s="8">
        <f t="shared" si="21"/>
        <v>1242977.6317845108</v>
      </c>
      <c r="N184" s="8">
        <f t="shared" si="22"/>
        <v>91000</v>
      </c>
      <c r="O184" s="8">
        <f>Dashboard!$C$15*(Dashboard!$C$16*EXP(-Dashboard!$C$16*A184)*E184-(1-EXP(-Dashboard!$C$16*A184))*Dashboard!$C$17/Dashboard!$C$19*E184*(1-E184))</f>
        <v>-1.5907814752822279E-2</v>
      </c>
      <c r="P184" s="8">
        <f>Dashboard!$C$9*B184*Dashboard!$C$11*(-Dashboard!$C$12*(1-F184)-O184)+2*Dashboard!$C$20*A184</f>
        <v>-16347.799996644921</v>
      </c>
      <c r="Q184" s="8">
        <f>-P184-Dashboard!$C$13-Dashboard!$C$14</f>
        <v>-33652.200003355079</v>
      </c>
    </row>
    <row r="185" spans="1:17" x14ac:dyDescent="0.25">
      <c r="A185" s="5">
        <f>(185-2)/100</f>
        <v>1.83</v>
      </c>
      <c r="B185" s="5">
        <f>Dashboard!$C$10*EXP(-Dashboard!$C$12*A185)</f>
        <v>0.10540576874631924</v>
      </c>
      <c r="C185" s="5">
        <f>Dashboard!$C$17*A185</f>
        <v>1464</v>
      </c>
      <c r="D185" s="5">
        <f>Dashboard!$C$15*(1-EXP(-Dashboard!$C$16*A185))</f>
        <v>0.47958669912734497</v>
      </c>
      <c r="E185" s="5">
        <f>1/(1+EXP(MIN(700,MAX(-700,(C185-Dashboard!$C$18)/Dashboard!$C$19))))</f>
        <v>0.70957757627605422</v>
      </c>
      <c r="F185" s="5">
        <f t="shared" si="19"/>
        <v>0.34030396758101472</v>
      </c>
      <c r="G185" s="8">
        <f>Dashboard!$C$9*B185*Dashboard!$C$11*(1-F185)</f>
        <v>139071.53487203977</v>
      </c>
      <c r="H185" s="8">
        <f>Dashboard!$C$20*A185^2</f>
        <v>26791.200000000004</v>
      </c>
      <c r="I185" s="8">
        <f t="shared" si="20"/>
        <v>165862.73487203979</v>
      </c>
      <c r="J185" s="8">
        <f>Dashboard!$C$13*A185</f>
        <v>36600</v>
      </c>
      <c r="K185" s="8">
        <f>Dashboard!$C$14*A185</f>
        <v>54900</v>
      </c>
      <c r="L185" s="8">
        <f>Dashboard!$C$21-K185</f>
        <v>1445100</v>
      </c>
      <c r="M185" s="8">
        <f t="shared" si="21"/>
        <v>1242637.2651279601</v>
      </c>
      <c r="N185" s="8">
        <f t="shared" si="22"/>
        <v>91500</v>
      </c>
      <c r="O185" s="8">
        <f>Dashboard!$C$15*(Dashboard!$C$16*EXP(-Dashboard!$C$16*A185)*E185-(1-EXP(-Dashboard!$C$16*A185))*Dashboard!$C$17/Dashboard!$C$19*E185*(1-E185))</f>
        <v>-1.8096824037090144E-2</v>
      </c>
      <c r="P185" s="8">
        <f>Dashboard!$C$9*B185*Dashboard!$C$11*(-Dashboard!$C$12*(1-F185)-O185)+2*Dashboard!$C$20*A185</f>
        <v>-15580.017906221205</v>
      </c>
      <c r="Q185" s="8">
        <f>-P185-Dashboard!$C$13-Dashboard!$C$14</f>
        <v>-34419.982093778795</v>
      </c>
    </row>
    <row r="186" spans="1:17" x14ac:dyDescent="0.25">
      <c r="A186" s="5">
        <f>(186-2)/100</f>
        <v>1.84</v>
      </c>
      <c r="B186" s="5">
        <f>Dashboard!$C$10*EXP(-Dashboard!$C$12*A186)</f>
        <v>0.10503749341348723</v>
      </c>
      <c r="C186" s="5">
        <f>Dashboard!$C$17*A186</f>
        <v>1472</v>
      </c>
      <c r="D186" s="5">
        <f>Dashboard!$C$15*(1-EXP(-Dashboard!$C$16*A186))</f>
        <v>0.48118476713238878</v>
      </c>
      <c r="E186" s="5">
        <f>1/(1+EXP(MIN(700,MAX(-700,(C186-Dashboard!$C$18)/Dashboard!$C$19))))</f>
        <v>0.70682222109356763</v>
      </c>
      <c r="F186" s="5">
        <f t="shared" si="19"/>
        <v>0.34011208586090613</v>
      </c>
      <c r="G186" s="8">
        <f>Dashboard!$C$9*B186*Dashboard!$C$11*(1-F186)</f>
        <v>138625.9448700498</v>
      </c>
      <c r="H186" s="8">
        <f>Dashboard!$C$20*A186^2</f>
        <v>27084.800000000003</v>
      </c>
      <c r="I186" s="8">
        <f t="shared" si="20"/>
        <v>165710.74487004982</v>
      </c>
      <c r="J186" s="8">
        <f>Dashboard!$C$13*A186</f>
        <v>36800</v>
      </c>
      <c r="K186" s="8">
        <f>Dashboard!$C$14*A186</f>
        <v>55200</v>
      </c>
      <c r="L186" s="8">
        <f>Dashboard!$C$21-K186</f>
        <v>1444800</v>
      </c>
      <c r="M186" s="8">
        <f t="shared" si="21"/>
        <v>1242289.2551299501</v>
      </c>
      <c r="N186" s="8">
        <f t="shared" si="22"/>
        <v>92000</v>
      </c>
      <c r="O186" s="8">
        <f>Dashboard!$C$15*(Dashboard!$C$16*EXP(-Dashboard!$C$16*A186)*E186-(1-EXP(-Dashboard!$C$16*A186))*Dashboard!$C$17/Dashboard!$C$19*E186*(1-E186))</f>
        <v>-2.0278229042271702E-2</v>
      </c>
      <c r="P186" s="8">
        <f>Dashboard!$C$9*B186*Dashboard!$C$11*(-Dashboard!$C$12*(1-F186)-O186)+2*Dashboard!$C$20*A186</f>
        <v>-14819.132005587831</v>
      </c>
      <c r="Q186" s="8">
        <f>-P186-Dashboard!$C$13-Dashboard!$C$14</f>
        <v>-35180.867994412169</v>
      </c>
    </row>
    <row r="187" spans="1:17" x14ac:dyDescent="0.25">
      <c r="A187" s="5">
        <f>(187-2)/100</f>
        <v>1.85</v>
      </c>
      <c r="B187" s="5">
        <f>Dashboard!$C$10*EXP(-Dashboard!$C$12*A187)</f>
        <v>0.10467050479126305</v>
      </c>
      <c r="C187" s="5">
        <f>Dashboard!$C$17*A187</f>
        <v>1480</v>
      </c>
      <c r="D187" s="5">
        <f>Dashboard!$C$15*(1-EXP(-Dashboard!$C$16*A187))</f>
        <v>0.48277486474000569</v>
      </c>
      <c r="E187" s="5">
        <f>1/(1+EXP(MIN(700,MAX(-700,(C187-Dashboard!$C$18)/Dashboard!$C$19))))</f>
        <v>0.70405162761716245</v>
      </c>
      <c r="F187" s="5">
        <f t="shared" si="19"/>
        <v>0.33989842929285646</v>
      </c>
      <c r="G187" s="8">
        <f>Dashboard!$C$9*B187*Dashboard!$C$11*(1-F187)</f>
        <v>138186.32923884469</v>
      </c>
      <c r="H187" s="8">
        <f>Dashboard!$C$20*A187^2</f>
        <v>27380.000000000004</v>
      </c>
      <c r="I187" s="8">
        <f t="shared" si="20"/>
        <v>165566.32923884469</v>
      </c>
      <c r="J187" s="8">
        <f>Dashboard!$C$13*A187</f>
        <v>37000</v>
      </c>
      <c r="K187" s="8">
        <f>Dashboard!$C$14*A187</f>
        <v>55500</v>
      </c>
      <c r="L187" s="8">
        <f>Dashboard!$C$21-K187</f>
        <v>1444500</v>
      </c>
      <c r="M187" s="8">
        <f t="shared" si="21"/>
        <v>1241933.6707611554</v>
      </c>
      <c r="N187" s="8">
        <f t="shared" si="22"/>
        <v>92500</v>
      </c>
      <c r="O187" s="8">
        <f>Dashboard!$C$15*(Dashboard!$C$16*EXP(-Dashboard!$C$16*A187)*E187-(1-EXP(-Dashboard!$C$16*A187))*Dashboard!$C$17/Dashboard!$C$19*E187*(1-E187))</f>
        <v>-2.2451746165835097E-2</v>
      </c>
      <c r="P187" s="8">
        <f>Dashboard!$C$9*B187*Dashboard!$C$11*(-Dashboard!$C$12*(1-F187)-O187)+2*Dashboard!$C$20*A187</f>
        <v>-14065.144024349109</v>
      </c>
      <c r="Q187" s="8">
        <f>-P187-Dashboard!$C$13-Dashboard!$C$14</f>
        <v>-35934.855975650891</v>
      </c>
    </row>
    <row r="188" spans="1:17" x14ac:dyDescent="0.25">
      <c r="A188" s="5">
        <f>(188-2)/100</f>
        <v>1.86</v>
      </c>
      <c r="B188" s="5">
        <f>Dashboard!$C$10*EXP(-Dashboard!$C$12*A188)</f>
        <v>0.10430479838403151</v>
      </c>
      <c r="C188" s="5">
        <f>Dashboard!$C$17*A188</f>
        <v>1488</v>
      </c>
      <c r="D188" s="5">
        <f>Dashboard!$C$15*(1-EXP(-Dashboard!$C$16*A188))</f>
        <v>0.48435703170271921</v>
      </c>
      <c r="E188" s="5">
        <f>1/(1+EXP(MIN(700,MAX(-700,(C188-Dashboard!$C$18)/Dashboard!$C$19))))</f>
        <v>0.70126591739386235</v>
      </c>
      <c r="F188" s="5">
        <f t="shared" si="19"/>
        <v>0.33966307818317548</v>
      </c>
      <c r="G188" s="8">
        <f>Dashboard!$C$9*B188*Dashboard!$C$11*(1-F188)</f>
        <v>137752.61899127168</v>
      </c>
      <c r="H188" s="8">
        <f>Dashboard!$C$20*A188^2</f>
        <v>27676.800000000003</v>
      </c>
      <c r="I188" s="8">
        <f t="shared" si="20"/>
        <v>165429.4189912717</v>
      </c>
      <c r="J188" s="8">
        <f>Dashboard!$C$13*A188</f>
        <v>37200</v>
      </c>
      <c r="K188" s="8">
        <f>Dashboard!$C$14*A188</f>
        <v>55800</v>
      </c>
      <c r="L188" s="8">
        <f>Dashboard!$C$21-K188</f>
        <v>1444200</v>
      </c>
      <c r="M188" s="8">
        <f t="shared" si="21"/>
        <v>1241570.5810087284</v>
      </c>
      <c r="N188" s="8">
        <f t="shared" si="22"/>
        <v>93000</v>
      </c>
      <c r="O188" s="8">
        <f>Dashboard!$C$15*(Dashboard!$C$16*EXP(-Dashboard!$C$16*A188)*E188-(1-EXP(-Dashboard!$C$16*A188))*Dashboard!$C$17/Dashboard!$C$19*E188*(1-E188))</f>
        <v>-2.4617089542346406E-2</v>
      </c>
      <c r="P188" s="8">
        <f>Dashboard!$C$9*B188*Dashboard!$C$11*(-Dashboard!$C$12*(1-F188)-O188)+2*Dashboard!$C$20*A188</f>
        <v>-13318.055523912903</v>
      </c>
      <c r="Q188" s="8">
        <f>-P188-Dashboard!$C$13-Dashboard!$C$14</f>
        <v>-36681.944476087097</v>
      </c>
    </row>
    <row r="189" spans="1:17" x14ac:dyDescent="0.25">
      <c r="A189" s="5">
        <f>(189-2)/100</f>
        <v>1.87</v>
      </c>
      <c r="B189" s="5">
        <f>Dashboard!$C$10*EXP(-Dashboard!$C$12*A189)</f>
        <v>0.10394036971188453</v>
      </c>
      <c r="C189" s="5">
        <f>Dashboard!$C$17*A189</f>
        <v>1496</v>
      </c>
      <c r="D189" s="5">
        <f>Dashboard!$C$15*(1-EXP(-Dashboard!$C$16*A189))</f>
        <v>0.48593130757478531</v>
      </c>
      <c r="E189" s="5">
        <f>1/(1+EXP(MIN(700,MAX(-700,(C189-Dashboard!$C$18)/Dashboard!$C$19))))</f>
        <v>0.69846521600253875</v>
      </c>
      <c r="F189" s="5">
        <f t="shared" si="19"/>
        <v>0.33940611570761853</v>
      </c>
      <c r="G189" s="8">
        <f>Dashboard!$C$9*B189*Dashboard!$C$11*(1-F189)</f>
        <v>137324.74512552004</v>
      </c>
      <c r="H189" s="8">
        <f>Dashboard!$C$20*A189^2</f>
        <v>27975.200000000004</v>
      </c>
      <c r="I189" s="8">
        <f t="shared" si="20"/>
        <v>165299.94512552005</v>
      </c>
      <c r="J189" s="8">
        <f>Dashboard!$C$13*A189</f>
        <v>37400</v>
      </c>
      <c r="K189" s="8">
        <f>Dashboard!$C$14*A189</f>
        <v>56100</v>
      </c>
      <c r="L189" s="8">
        <f>Dashboard!$C$21-K189</f>
        <v>1443900</v>
      </c>
      <c r="M189" s="8">
        <f t="shared" si="21"/>
        <v>1241200.05487448</v>
      </c>
      <c r="N189" s="8">
        <f t="shared" si="22"/>
        <v>93500</v>
      </c>
      <c r="O189" s="8">
        <f>Dashboard!$C$15*(Dashboard!$C$16*EXP(-Dashboard!$C$16*A189)*E189-(1-EXP(-Dashboard!$C$16*A189))*Dashboard!$C$17/Dashboard!$C$19*E189*(1-E189))</f>
        <v>-2.677397116921252E-2</v>
      </c>
      <c r="P189" s="8">
        <f>Dashboard!$C$9*B189*Dashboard!$C$11*(-Dashboard!$C$12*(1-F189)-O189)+2*Dashboard!$C$20*A189</f>
        <v>-12577.867869965434</v>
      </c>
      <c r="Q189" s="8">
        <f>-P189-Dashboard!$C$13-Dashboard!$C$14</f>
        <v>-37422.132130034566</v>
      </c>
    </row>
    <row r="190" spans="1:17" x14ac:dyDescent="0.25">
      <c r="A190" s="5">
        <f>(190-2)/100</f>
        <v>1.88</v>
      </c>
      <c r="B190" s="5">
        <f>Dashboard!$C$10*EXP(-Dashboard!$C$12*A190)</f>
        <v>0.10357721431056631</v>
      </c>
      <c r="C190" s="5">
        <f>Dashboard!$C$17*A190</f>
        <v>1504</v>
      </c>
      <c r="D190" s="5">
        <f>Dashboard!$C$15*(1-EXP(-Dashboard!$C$16*A190))</f>
        <v>0.48749773171318317</v>
      </c>
      <c r="E190" s="5">
        <f>1/(1+EXP(MIN(700,MAX(-700,(C190-Dashboard!$C$18)/Dashboard!$C$19))))</f>
        <v>0.69564965305652127</v>
      </c>
      <c r="F190" s="5">
        <f t="shared" si="19"/>
        <v>0.33912762793211698</v>
      </c>
      <c r="G190" s="8">
        <f>Dashboard!$C$9*B190*Dashboard!$C$11*(1-F190)</f>
        <v>136902.63862721488</v>
      </c>
      <c r="H190" s="8">
        <f>Dashboard!$C$20*A190^2</f>
        <v>28275.199999999997</v>
      </c>
      <c r="I190" s="8">
        <f t="shared" si="20"/>
        <v>165177.83862721489</v>
      </c>
      <c r="J190" s="8">
        <f>Dashboard!$C$13*A190</f>
        <v>37600</v>
      </c>
      <c r="K190" s="8">
        <f>Dashboard!$C$14*A190</f>
        <v>56400</v>
      </c>
      <c r="L190" s="8">
        <f>Dashboard!$C$21-K190</f>
        <v>1443600</v>
      </c>
      <c r="M190" s="8">
        <f t="shared" si="21"/>
        <v>1240822.161372785</v>
      </c>
      <c r="N190" s="8">
        <f t="shared" si="22"/>
        <v>94000</v>
      </c>
      <c r="O190" s="8">
        <f>Dashboard!$C$15*(Dashboard!$C$16*EXP(-Dashboard!$C$16*A190)*E190-(1-EXP(-Dashboard!$C$16*A190))*Dashboard!$C$17/Dashboard!$C$19*E190*(1-E190))</f>
        <v>-2.8922101035794956E-2</v>
      </c>
      <c r="P190" s="8">
        <f>Dashboard!$C$9*B190*Dashboard!$C$11*(-Dashboard!$C$12*(1-F190)-O190)+2*Dashboard!$C$20*A190</f>
        <v>-11844.582204932434</v>
      </c>
      <c r="Q190" s="8">
        <f>-P190-Dashboard!$C$13-Dashboard!$C$14</f>
        <v>-38155.417795067566</v>
      </c>
    </row>
    <row r="191" spans="1:17" x14ac:dyDescent="0.25">
      <c r="A191" s="5">
        <f>(191-2)/100</f>
        <v>1.89</v>
      </c>
      <c r="B191" s="5">
        <f>Dashboard!$C$10*EXP(-Dashboard!$C$12*A191)</f>
        <v>0.10321532773141862</v>
      </c>
      <c r="C191" s="5">
        <f>Dashboard!$C$17*A191</f>
        <v>1512</v>
      </c>
      <c r="D191" s="5">
        <f>Dashboard!$C$15*(1-EXP(-Dashboard!$C$16*A191))</f>
        <v>0.48905634327859765</v>
      </c>
      <c r="E191" s="5">
        <f>1/(1+EXP(MIN(700,MAX(-700,(C191-Dashboard!$C$18)/Dashboard!$C$19))))</f>
        <v>0.69281936220420293</v>
      </c>
      <c r="F191" s="5">
        <f t="shared" si="19"/>
        <v>0.33882770383219774</v>
      </c>
      <c r="G191" s="8">
        <f>Dashboard!$C$9*B191*Dashboard!$C$11*(1-F191)</f>
        <v>136486.23047178856</v>
      </c>
      <c r="H191" s="8">
        <f>Dashboard!$C$20*A191^2</f>
        <v>28576.799999999999</v>
      </c>
      <c r="I191" s="8">
        <f t="shared" si="20"/>
        <v>165063.03047178854</v>
      </c>
      <c r="J191" s="8">
        <f>Dashboard!$C$13*A191</f>
        <v>37800</v>
      </c>
      <c r="K191" s="8">
        <f>Dashboard!$C$14*A191</f>
        <v>56700</v>
      </c>
      <c r="L191" s="8">
        <f>Dashboard!$C$21-K191</f>
        <v>1443300</v>
      </c>
      <c r="M191" s="8">
        <f t="shared" si="21"/>
        <v>1240436.9695282115</v>
      </c>
      <c r="N191" s="8">
        <f t="shared" si="22"/>
        <v>94500</v>
      </c>
      <c r="O191" s="8">
        <f>Dashboard!$C$15*(Dashboard!$C$16*EXP(-Dashboard!$C$16*A191)*E191-(1-EXP(-Dashboard!$C$16*A191))*Dashboard!$C$17/Dashboard!$C$19*E191*(1-E191))</f>
        <v>-3.1061187255830937E-2</v>
      </c>
      <c r="P191" s="8">
        <f>Dashboard!$C$9*B191*Dashboard!$C$11*(-Dashboard!$C$12*(1-F191)-O191)+2*Dashboard!$C$20*A191</f>
        <v>-11118.199420450888</v>
      </c>
      <c r="Q191" s="8">
        <f>-P191-Dashboard!$C$13-Dashboard!$C$14</f>
        <v>-38881.800579549112</v>
      </c>
    </row>
    <row r="192" spans="1:17" x14ac:dyDescent="0.25">
      <c r="A192" s="5">
        <f>(192-2)/100</f>
        <v>1.9</v>
      </c>
      <c r="B192" s="5">
        <f>Dashboard!$C$10*EXP(-Dashboard!$C$12*A192)</f>
        <v>0.10285470554132642</v>
      </c>
      <c r="C192" s="5">
        <f>Dashboard!$C$17*A192</f>
        <v>1520</v>
      </c>
      <c r="D192" s="5">
        <f>Dashboard!$C$15*(1-EXP(-Dashboard!$C$16*A192))</f>
        <v>0.49060718123639901</v>
      </c>
      <c r="E192" s="5">
        <f>1/(1+EXP(MIN(700,MAX(-700,(C192-Dashboard!$C$18)/Dashboard!$C$19))))</f>
        <v>0.6899744811276125</v>
      </c>
      <c r="F192" s="5">
        <f t="shared" si="19"/>
        <v>0.33850643531106495</v>
      </c>
      <c r="G192" s="8">
        <f>Dashboard!$C$9*B192*Dashboard!$C$11*(1-F192)</f>
        <v>136075.45162712556</v>
      </c>
      <c r="H192" s="8">
        <f>Dashboard!$C$20*A192^2</f>
        <v>28880</v>
      </c>
      <c r="I192" s="8">
        <f t="shared" si="20"/>
        <v>164955.45162712556</v>
      </c>
      <c r="J192" s="8">
        <f>Dashboard!$C$13*A192</f>
        <v>38000</v>
      </c>
      <c r="K192" s="8">
        <f>Dashboard!$C$14*A192</f>
        <v>57000</v>
      </c>
      <c r="L192" s="8">
        <f>Dashboard!$C$21-K192</f>
        <v>1443000</v>
      </c>
      <c r="M192" s="8">
        <f t="shared" si="21"/>
        <v>1240044.5483728745</v>
      </c>
      <c r="N192" s="8">
        <f t="shared" si="22"/>
        <v>95000</v>
      </c>
      <c r="O192" s="8">
        <f>Dashboard!$C$15*(Dashboard!$C$16*EXP(-Dashboard!$C$16*A192)*E192-(1-EXP(-Dashboard!$C$16*A192))*Dashboard!$C$17/Dashboard!$C$19*E192*(1-E192))</f>
        <v>-3.3190936203094372E-2</v>
      </c>
      <c r="P192" s="8">
        <f>Dashboard!$C$9*B192*Dashboard!$C$11*(-Dashboard!$C$12*(1-F192)-O192)+2*Dashboard!$C$20*A192</f>
        <v>-10398.720129873502</v>
      </c>
      <c r="Q192" s="8">
        <f>-P192-Dashboard!$C$13-Dashboard!$C$14</f>
        <v>-39601.279870126498</v>
      </c>
    </row>
    <row r="193" spans="1:17" x14ac:dyDescent="0.25">
      <c r="A193" s="5">
        <f>(193-2)/100</f>
        <v>1.91</v>
      </c>
      <c r="B193" s="5">
        <f>Dashboard!$C$10*EXP(-Dashboard!$C$12*A193)</f>
        <v>0.10249534332266329</v>
      </c>
      <c r="C193" s="5">
        <f>Dashboard!$C$17*A193</f>
        <v>1528</v>
      </c>
      <c r="D193" s="5">
        <f>Dashboard!$C$15*(1-EXP(-Dashboard!$C$16*A193))</f>
        <v>0.4921502843576171</v>
      </c>
      <c r="E193" s="5">
        <f>1/(1+EXP(MIN(700,MAX(-700,(C193-Dashboard!$C$18)/Dashboard!$C$19))))</f>
        <v>0.68711515153892144</v>
      </c>
      <c r="F193" s="5">
        <f t="shared" si="19"/>
        <v>0.33816391721630734</v>
      </c>
      <c r="G193" s="8">
        <f>Dashboard!$C$9*B193*Dashboard!$C$11*(1-F193)</f>
        <v>135670.23305648234</v>
      </c>
      <c r="H193" s="8">
        <f>Dashboard!$C$20*A193^2</f>
        <v>29184.799999999999</v>
      </c>
      <c r="I193" s="8">
        <f t="shared" si="20"/>
        <v>164855.03305648232</v>
      </c>
      <c r="J193" s="8">
        <f>Dashboard!$C$13*A193</f>
        <v>38200</v>
      </c>
      <c r="K193" s="8">
        <f>Dashboard!$C$14*A193</f>
        <v>57300</v>
      </c>
      <c r="L193" s="8">
        <f>Dashboard!$C$21-K193</f>
        <v>1442700</v>
      </c>
      <c r="M193" s="8">
        <f t="shared" si="21"/>
        <v>1239644.9669435178</v>
      </c>
      <c r="N193" s="8">
        <f t="shared" si="22"/>
        <v>95500</v>
      </c>
      <c r="O193" s="8">
        <f>Dashboard!$C$15*(Dashboard!$C$16*EXP(-Dashboard!$C$16*A193)*E193-(1-EXP(-Dashboard!$C$16*A193))*Dashboard!$C$17/Dashboard!$C$19*E193*(1-E193))</f>
        <v>-3.5311052650223849E-2</v>
      </c>
      <c r="P193" s="8">
        <f>Dashboard!$C$9*B193*Dashboard!$C$11*(-Dashboard!$C$12*(1-F193)-O193)+2*Dashboard!$C$20*A193</f>
        <v>-9686.144640830149</v>
      </c>
      <c r="Q193" s="8">
        <f>-P193-Dashboard!$C$13-Dashboard!$C$14</f>
        <v>-40313.855359169851</v>
      </c>
    </row>
    <row r="194" spans="1:17" x14ac:dyDescent="0.25">
      <c r="A194" s="5">
        <f>(194-2)/100</f>
        <v>1.92</v>
      </c>
      <c r="B194" s="5">
        <f>Dashboard!$C$10*EXP(-Dashboard!$C$12*A194)</f>
        <v>0.10213723667323758</v>
      </c>
      <c r="C194" s="5">
        <f>Dashboard!$C$17*A194</f>
        <v>1536</v>
      </c>
      <c r="D194" s="5">
        <f>Dashboard!$C$15*(1-EXP(-Dashboard!$C$16*A194))</f>
        <v>0.49368569121991035</v>
      </c>
      <c r="E194" s="5">
        <f>1/(1+EXP(MIN(700,MAX(-700,(C194-Dashboard!$C$18)/Dashboard!$C$19))))</f>
        <v>0.68424151917486231</v>
      </c>
      <c r="F194" s="5">
        <f t="shared" si="19"/>
        <v>0.33780024735520342</v>
      </c>
      <c r="G194" s="8">
        <f>Dashboard!$C$9*B194*Dashboard!$C$11*(1-F194)</f>
        <v>135270.50572168196</v>
      </c>
      <c r="H194" s="8">
        <f>Dashboard!$C$20*A194^2</f>
        <v>29491.200000000001</v>
      </c>
      <c r="I194" s="8">
        <f t="shared" si="20"/>
        <v>164761.70572168197</v>
      </c>
      <c r="J194" s="8">
        <f>Dashboard!$C$13*A194</f>
        <v>38400</v>
      </c>
      <c r="K194" s="8">
        <f>Dashboard!$C$14*A194</f>
        <v>57600</v>
      </c>
      <c r="L194" s="8">
        <f>Dashboard!$C$21-K194</f>
        <v>1442400</v>
      </c>
      <c r="M194" s="8">
        <f t="shared" si="21"/>
        <v>1239238.2942783181</v>
      </c>
      <c r="N194" s="8">
        <f t="shared" si="22"/>
        <v>96000</v>
      </c>
      <c r="O194" s="8">
        <f>Dashboard!$C$15*(Dashboard!$C$16*EXP(-Dashboard!$C$16*A194)*E194-(1-EXP(-Dashboard!$C$16*A194))*Dashboard!$C$17/Dashboard!$C$19*E194*(1-E194))</f>
        <v>-3.7421239910636485E-2</v>
      </c>
      <c r="P194" s="8">
        <f>Dashboard!$C$9*B194*Dashboard!$C$11*(-Dashboard!$C$12*(1-F194)-O194)+2*Dashboard!$C$20*A194</f>
        <v>-8980.472927871313</v>
      </c>
      <c r="Q194" s="8">
        <f>-P194-Dashboard!$C$13-Dashboard!$C$14</f>
        <v>-41019.527072128687</v>
      </c>
    </row>
    <row r="195" spans="1:17" x14ac:dyDescent="0.25">
      <c r="A195" s="5">
        <f>(195-2)/100</f>
        <v>1.93</v>
      </c>
      <c r="B195" s="5">
        <f>Dashboard!$C$10*EXP(-Dashboard!$C$12*A195)</f>
        <v>0.10178038120623839</v>
      </c>
      <c r="C195" s="5">
        <f>Dashboard!$C$17*A195</f>
        <v>1544</v>
      </c>
      <c r="D195" s="5">
        <f>Dashboard!$C$15*(1-EXP(-Dashboard!$C$16*A195))</f>
        <v>0.4952134402085302</v>
      </c>
      <c r="E195" s="5">
        <f>1/(1+EXP(MIN(700,MAX(-700,(C195-Dashboard!$C$18)/Dashboard!$C$19))))</f>
        <v>0.68135373378902564</v>
      </c>
      <c r="F195" s="5">
        <f t="shared" si="19"/>
        <v>0.33741552650859047</v>
      </c>
      <c r="G195" s="8">
        <f>Dashboard!$C$9*B195*Dashboard!$C$11*(1-F195)</f>
        <v>134876.20058658082</v>
      </c>
      <c r="H195" s="8">
        <f>Dashboard!$C$20*A195^2</f>
        <v>29799.200000000001</v>
      </c>
      <c r="I195" s="8">
        <f t="shared" si="20"/>
        <v>164675.40058658083</v>
      </c>
      <c r="J195" s="8">
        <f>Dashboard!$C$13*A195</f>
        <v>38600</v>
      </c>
      <c r="K195" s="8">
        <f>Dashboard!$C$14*A195</f>
        <v>57900</v>
      </c>
      <c r="L195" s="8">
        <f>Dashboard!$C$21-K195</f>
        <v>1442100</v>
      </c>
      <c r="M195" s="8">
        <f t="shared" si="21"/>
        <v>1238824.5994134191</v>
      </c>
      <c r="N195" s="8">
        <f t="shared" si="22"/>
        <v>96500</v>
      </c>
      <c r="O195" s="8">
        <f>Dashboard!$C$15*(Dashboard!$C$16*EXP(-Dashboard!$C$16*A195)*E195-(1-EXP(-Dashboard!$C$16*A195))*Dashboard!$C$17/Dashboard!$C$19*E195*(1-E195))</f>
        <v>-3.9521199983448142E-2</v>
      </c>
      <c r="P195" s="8">
        <f>Dashboard!$C$9*B195*Dashboard!$C$11*(-Dashboard!$C$12*(1-F195)-O195)+2*Dashboard!$C$20*A195</f>
        <v>-8281.7046052166115</v>
      </c>
      <c r="Q195" s="8">
        <f>-P195-Dashboard!$C$13-Dashboard!$C$14</f>
        <v>-41718.295394783388</v>
      </c>
    </row>
    <row r="196" spans="1:17" x14ac:dyDescent="0.25">
      <c r="A196" s="5">
        <f>(196-2)/100</f>
        <v>1.94</v>
      </c>
      <c r="B196" s="5">
        <f>Dashboard!$C$10*EXP(-Dashboard!$C$12*A196)</f>
        <v>0.10142477255018174</v>
      </c>
      <c r="C196" s="5">
        <f>Dashboard!$C$17*A196</f>
        <v>1552</v>
      </c>
      <c r="D196" s="5">
        <f>Dashboard!$C$15*(1-EXP(-Dashboard!$C$16*A196))</f>
        <v>0.49673356951728098</v>
      </c>
      <c r="E196" s="5">
        <f>1/(1+EXP(MIN(700,MAX(-700,(C196-Dashboard!$C$18)/Dashboard!$C$19))))</f>
        <v>0.67845194914201812</v>
      </c>
      <c r="F196" s="5">
        <f t="shared" si="19"/>
        <v>0.33700985844327142</v>
      </c>
      <c r="G196" s="8">
        <f>Dashboard!$C$9*B196*Dashboard!$C$11*(1-F196)</f>
        <v>134487.24862080798</v>
      </c>
      <c r="H196" s="8">
        <f>Dashboard!$C$20*A196^2</f>
        <v>30108.799999999999</v>
      </c>
      <c r="I196" s="8">
        <f t="shared" si="20"/>
        <v>164596.04862080797</v>
      </c>
      <c r="J196" s="8">
        <f>Dashboard!$C$13*A196</f>
        <v>38800</v>
      </c>
      <c r="K196" s="8">
        <f>Dashboard!$C$14*A196</f>
        <v>58200</v>
      </c>
      <c r="L196" s="8">
        <f>Dashboard!$C$21-K196</f>
        <v>1441800</v>
      </c>
      <c r="M196" s="8">
        <f t="shared" si="21"/>
        <v>1238403.9513791921</v>
      </c>
      <c r="N196" s="8">
        <f t="shared" si="22"/>
        <v>97000</v>
      </c>
      <c r="O196" s="8">
        <f>Dashboard!$C$15*(Dashboard!$C$16*EXP(-Dashboard!$C$16*A196)*E196-(1-EXP(-Dashboard!$C$16*A196))*Dashboard!$C$17/Dashboard!$C$19*E196*(1-E196))</f>
        <v>-4.1610633701306202E-2</v>
      </c>
      <c r="P196" s="8">
        <f>Dashboard!$C$9*B196*Dashboard!$C$11*(-Dashboard!$C$12*(1-F196)-O196)+2*Dashboard!$C$20*A196</f>
        <v>-7589.8388996349677</v>
      </c>
      <c r="Q196" s="8">
        <f>-P196-Dashboard!$C$13-Dashboard!$C$14</f>
        <v>-42410.161100365032</v>
      </c>
    </row>
    <row r="197" spans="1:17" x14ac:dyDescent="0.25">
      <c r="A197" s="5">
        <f>(197-2)/100</f>
        <v>1.95</v>
      </c>
      <c r="B197" s="5">
        <f>Dashboard!$C$10*EXP(-Dashboard!$C$12*A197)</f>
        <v>0.10107040634885718</v>
      </c>
      <c r="C197" s="5">
        <f>Dashboard!$C$17*A197</f>
        <v>1560</v>
      </c>
      <c r="D197" s="5">
        <f>Dashboard!$C$15*(1-EXP(-Dashboard!$C$16*A197))</f>
        <v>0.49824611714947448</v>
      </c>
      <c r="E197" s="5">
        <f>1/(1+EXP(MIN(700,MAX(-700,(C197-Dashboard!$C$18)/Dashboard!$C$19))))</f>
        <v>0.67553632298945432</v>
      </c>
      <c r="F197" s="5">
        <f t="shared" si="19"/>
        <v>0.33658334992292888</v>
      </c>
      <c r="G197" s="8">
        <f>Dashboard!$C$9*B197*Dashboard!$C$11*(1-F197)</f>
        <v>134103.58080377433</v>
      </c>
      <c r="H197" s="8">
        <f>Dashboard!$C$20*A197^2</f>
        <v>30419.999999999996</v>
      </c>
      <c r="I197" s="8">
        <f t="shared" si="20"/>
        <v>164523.58080377433</v>
      </c>
      <c r="J197" s="8">
        <f>Dashboard!$C$13*A197</f>
        <v>39000</v>
      </c>
      <c r="K197" s="8">
        <f>Dashboard!$C$14*A197</f>
        <v>58500</v>
      </c>
      <c r="L197" s="8">
        <f>Dashboard!$C$21-K197</f>
        <v>1441500</v>
      </c>
      <c r="M197" s="8">
        <f t="shared" si="21"/>
        <v>1237976.4191962257</v>
      </c>
      <c r="N197" s="8">
        <f t="shared" si="22"/>
        <v>97500</v>
      </c>
      <c r="O197" s="8">
        <f>Dashboard!$C$15*(Dashboard!$C$16*EXP(-Dashboard!$C$16*A197)*E197-(1-EXP(-Dashboard!$C$16*A197))*Dashboard!$C$17/Dashboard!$C$19*E197*(1-E197))</f>
        <v>-4.3689240881043603E-2</v>
      </c>
      <c r="P197" s="8">
        <f>Dashboard!$C$9*B197*Dashboard!$C$11*(-Dashboard!$C$12*(1-F197)-O197)+2*Dashboard!$C$20*A197</f>
        <v>-6904.8746234806458</v>
      </c>
      <c r="Q197" s="8">
        <f>-P197-Dashboard!$C$13-Dashboard!$C$14</f>
        <v>-43095.125376519354</v>
      </c>
    </row>
    <row r="198" spans="1:17" x14ac:dyDescent="0.25">
      <c r="A198" s="5">
        <f>(198-2)/100</f>
        <v>1.96</v>
      </c>
      <c r="B198" s="5">
        <f>Dashboard!$C$10*EXP(-Dashboard!$C$12*A198)</f>
        <v>0.1007172782612743</v>
      </c>
      <c r="C198" s="5">
        <f>Dashboard!$C$17*A198</f>
        <v>1568</v>
      </c>
      <c r="D198" s="5">
        <f>Dashboard!$C$15*(1-EXP(-Dashboard!$C$16*A198))</f>
        <v>0.49975112091888035</v>
      </c>
      <c r="E198" s="5">
        <f>1/(1+EXP(MIN(700,MAX(-700,(C198-Dashboard!$C$18)/Dashboard!$C$19))))</f>
        <v>0.67260701706776038</v>
      </c>
      <c r="F198" s="5">
        <f t="shared" si="19"/>
        <v>0.33613611071751776</v>
      </c>
      <c r="G198" s="8">
        <f>Dashboard!$C$9*B198*Dashboard!$C$11*(1-F198)</f>
        <v>133725.1281289511</v>
      </c>
      <c r="H198" s="8">
        <f>Dashboard!$C$20*A198^2</f>
        <v>30732.799999999996</v>
      </c>
      <c r="I198" s="8">
        <f t="shared" si="20"/>
        <v>164457.92812895108</v>
      </c>
      <c r="J198" s="8">
        <f>Dashboard!$C$13*A198</f>
        <v>39200</v>
      </c>
      <c r="K198" s="8">
        <f>Dashboard!$C$14*A198</f>
        <v>58800</v>
      </c>
      <c r="L198" s="8">
        <f>Dashboard!$C$21-K198</f>
        <v>1441200</v>
      </c>
      <c r="M198" s="8">
        <f t="shared" si="21"/>
        <v>1237542.071871049</v>
      </c>
      <c r="N198" s="8">
        <f t="shared" si="22"/>
        <v>98000</v>
      </c>
      <c r="O198" s="8">
        <f>Dashboard!$C$15*(Dashboard!$C$16*EXP(-Dashboard!$C$16*A198)*E198-(1-EXP(-Dashboard!$C$16*A198))*Dashboard!$C$17/Dashboard!$C$19*E198*(1-E198))</f>
        <v>-4.5756720477054307E-2</v>
      </c>
      <c r="P198" s="8">
        <f>Dashboard!$C$9*B198*Dashboard!$C$11*(-Dashboard!$C$12*(1-F198)-O198)+2*Dashboard!$C$20*A198</f>
        <v>-6226.8101479112302</v>
      </c>
      <c r="Q198" s="8">
        <f>-P198-Dashboard!$C$13-Dashboard!$C$14</f>
        <v>-43773.18985208877</v>
      </c>
    </row>
    <row r="199" spans="1:17" x14ac:dyDescent="0.25">
      <c r="A199" s="5">
        <f>(199-2)/100</f>
        <v>1.97</v>
      </c>
      <c r="B199" s="5">
        <f>Dashboard!$C$10*EXP(-Dashboard!$C$12*A199)</f>
        <v>0.10036538396160961</v>
      </c>
      <c r="C199" s="5">
        <f>Dashboard!$C$17*A199</f>
        <v>1576</v>
      </c>
      <c r="D199" s="5">
        <f>Dashboard!$C$15*(1-EXP(-Dashboard!$C$16*A199))</f>
        <v>0.50124861845067137</v>
      </c>
      <c r="E199" s="5">
        <f>1/(1+EXP(MIN(700,MAX(-700,(C199-Dashboard!$C$18)/Dashboard!$C$19))))</f>
        <v>0.66966419707777503</v>
      </c>
      <c r="F199" s="5">
        <f t="shared" si="19"/>
        <v>0.33566825361111285</v>
      </c>
      <c r="G199" s="8">
        <f>Dashboard!$C$9*B199*Dashboard!$C$11*(1-F199)</f>
        <v>133351.82160841464</v>
      </c>
      <c r="H199" s="8">
        <f>Dashboard!$C$20*A199^2</f>
        <v>31047.200000000001</v>
      </c>
      <c r="I199" s="8">
        <f t="shared" si="20"/>
        <v>164399.02160841465</v>
      </c>
      <c r="J199" s="8">
        <f>Dashboard!$C$13*A199</f>
        <v>39400</v>
      </c>
      <c r="K199" s="8">
        <f>Dashboard!$C$14*A199</f>
        <v>59100</v>
      </c>
      <c r="L199" s="8">
        <f>Dashboard!$C$21-K199</f>
        <v>1440900</v>
      </c>
      <c r="M199" s="8">
        <f t="shared" si="21"/>
        <v>1237100.9783915854</v>
      </c>
      <c r="N199" s="8">
        <f t="shared" si="22"/>
        <v>98500</v>
      </c>
      <c r="O199" s="8">
        <f>Dashboard!$C$15*(Dashboard!$C$16*EXP(-Dashboard!$C$16*A199)*E199-(1-EXP(-Dashboard!$C$16*A199))*Dashboard!$C$17/Dashboard!$C$19*E199*(1-E199))</f>
        <v>-4.7812770737283676E-2</v>
      </c>
      <c r="P199" s="8">
        <f>Dashboard!$C$9*B199*Dashboard!$C$11*(-Dashboard!$C$12*(1-F199)-O199)+2*Dashboard!$C$20*A199</f>
        <v>-5555.6433763133391</v>
      </c>
      <c r="Q199" s="8">
        <f>-P199-Dashboard!$C$13-Dashboard!$C$14</f>
        <v>-44444.356623686661</v>
      </c>
    </row>
    <row r="200" spans="1:17" x14ac:dyDescent="0.25">
      <c r="A200" s="5">
        <f>(200-2)/100</f>
        <v>1.98</v>
      </c>
      <c r="B200" s="5">
        <f>Dashboard!$C$10*EXP(-Dashboard!$C$12*A200)</f>
        <v>0.10001471913915355</v>
      </c>
      <c r="C200" s="5">
        <f>Dashboard!$C$17*A200</f>
        <v>1584</v>
      </c>
      <c r="D200" s="5">
        <f>Dashboard!$C$15*(1-EXP(-Dashboard!$C$16*A200))</f>
        <v>0.5027386471823635</v>
      </c>
      <c r="E200" s="5">
        <f>1/(1+EXP(MIN(700,MAX(-700,(C200-Dashboard!$C$18)/Dashboard!$C$19))))</f>
        <v>0.66670803266612311</v>
      </c>
      <c r="F200" s="5">
        <f t="shared" si="19"/>
        <v>0.33517989440818174</v>
      </c>
      <c r="G200" s="8">
        <f>Dashboard!$C$9*B200*Dashboard!$C$11*(1-F200)</f>
        <v>132983.59227765622</v>
      </c>
      <c r="H200" s="8">
        <f>Dashboard!$C$20*A200^2</f>
        <v>31363.200000000001</v>
      </c>
      <c r="I200" s="8">
        <f t="shared" si="20"/>
        <v>164346.79227765623</v>
      </c>
      <c r="J200" s="8">
        <f>Dashboard!$C$13*A200</f>
        <v>39600</v>
      </c>
      <c r="K200" s="8">
        <f>Dashboard!$C$14*A200</f>
        <v>59400</v>
      </c>
      <c r="L200" s="8">
        <f>Dashboard!$C$21-K200</f>
        <v>1440600</v>
      </c>
      <c r="M200" s="8">
        <f t="shared" si="21"/>
        <v>1236653.2077223437</v>
      </c>
      <c r="N200" s="8">
        <f t="shared" si="22"/>
        <v>99000</v>
      </c>
      <c r="O200" s="8">
        <f>Dashboard!$C$15*(Dashboard!$C$16*EXP(-Dashboard!$C$16*A200)*E200-(1-EXP(-Dashboard!$C$16*A200))*Dashboard!$C$17/Dashboard!$C$19*E200*(1-E200))</f>
        <v>-4.985708936172694E-2</v>
      </c>
      <c r="P200" s="8">
        <f>Dashboard!$C$9*B200*Dashboard!$C$11*(-Dashboard!$C$12*(1-F200)-O200)+2*Dashboard!$C$20*A200</f>
        <v>-4891.3717179620799</v>
      </c>
      <c r="Q200" s="8">
        <f>-P200-Dashboard!$C$13-Dashboard!$C$14</f>
        <v>-45108.62828203792</v>
      </c>
    </row>
    <row r="201" spans="1:17" x14ac:dyDescent="0.25">
      <c r="A201" s="5">
        <f>(201-2)/100</f>
        <v>1.99</v>
      </c>
      <c r="B201" s="5">
        <f>Dashboard!$C$10*EXP(-Dashboard!$C$12*A201)</f>
        <v>9.9665279498257625E-2</v>
      </c>
      <c r="C201" s="5">
        <f>Dashboard!$C$17*A201</f>
        <v>1592</v>
      </c>
      <c r="D201" s="5">
        <f>Dashboard!$C$15*(1-EXP(-Dashboard!$C$16*A201))</f>
        <v>0.50422124436475291</v>
      </c>
      <c r="E201" s="5">
        <f>1/(1+EXP(MIN(700,MAX(-700,(C201-Dashboard!$C$18)/Dashboard!$C$19))))</f>
        <v>0.66373869740435276</v>
      </c>
      <c r="F201" s="5">
        <f t="shared" si="19"/>
        <v>0.33467115193826297</v>
      </c>
      <c r="G201" s="8">
        <f>Dashboard!$C$9*B201*Dashboard!$C$11*(1-F201)</f>
        <v>132620.37120065361</v>
      </c>
      <c r="H201" s="8">
        <f>Dashboard!$C$20*A201^2</f>
        <v>31680.800000000003</v>
      </c>
      <c r="I201" s="8">
        <f t="shared" si="20"/>
        <v>164301.1712006536</v>
      </c>
      <c r="J201" s="8">
        <f>Dashboard!$C$13*A201</f>
        <v>39800</v>
      </c>
      <c r="K201" s="8">
        <f>Dashboard!$C$14*A201</f>
        <v>59700</v>
      </c>
      <c r="L201" s="8">
        <f>Dashboard!$C$21-K201</f>
        <v>1440300</v>
      </c>
      <c r="M201" s="8">
        <f t="shared" si="21"/>
        <v>1236198.8287993465</v>
      </c>
      <c r="N201" s="8">
        <f t="shared" si="22"/>
        <v>99500</v>
      </c>
      <c r="O201" s="8">
        <f>Dashboard!$C$15*(Dashboard!$C$16*EXP(-Dashboard!$C$16*A201)*E201-(1-EXP(-Dashboard!$C$16*A201))*Dashboard!$C$17/Dashboard!$C$19*E201*(1-E201))</f>
        <v>-5.188937366331841E-2</v>
      </c>
      <c r="P201" s="8">
        <f>Dashboard!$C$9*B201*Dashboard!$C$11*(-Dashboard!$C$12*(1-F201)-O201)+2*Dashboard!$C$20*A201</f>
        <v>-4233.9920619404365</v>
      </c>
      <c r="Q201" s="8">
        <f>-P201-Dashboard!$C$13-Dashboard!$C$14</f>
        <v>-45766.007938059563</v>
      </c>
    </row>
    <row r="202" spans="1:17" x14ac:dyDescent="0.25">
      <c r="A202" s="5">
        <f>(202-2)/100</f>
        <v>2</v>
      </c>
      <c r="B202" s="5">
        <f>Dashboard!$C$10*EXP(-Dashboard!$C$12*A202)</f>
        <v>9.9317060758281908E-2</v>
      </c>
      <c r="C202" s="5">
        <f>Dashboard!$C$17*A202</f>
        <v>1600</v>
      </c>
      <c r="D202" s="5">
        <f>Dashboard!$C$15*(1-EXP(-Dashboard!$C$16*A202))</f>
        <v>0.50569644706284611</v>
      </c>
      <c r="E202" s="5">
        <f>1/(1+EXP(MIN(700,MAX(-700,(C202-Dashboard!$C$18)/Dashboard!$C$19))))</f>
        <v>0.66075636876581723</v>
      </c>
      <c r="F202" s="5">
        <f t="shared" si="19"/>
        <v>0.33414214805902154</v>
      </c>
      <c r="G202" s="8">
        <f>Dashboard!$C$9*B202*Dashboard!$C$11*(1-F202)</f>
        <v>132262.08947520246</v>
      </c>
      <c r="H202" s="8">
        <f>Dashboard!$C$20*A202^2</f>
        <v>32000</v>
      </c>
      <c r="I202" s="8">
        <f t="shared" si="20"/>
        <v>164262.08947520246</v>
      </c>
      <c r="J202" s="8">
        <f>Dashboard!$C$13*A202</f>
        <v>40000</v>
      </c>
      <c r="K202" s="8">
        <f>Dashboard!$C$14*A202</f>
        <v>60000</v>
      </c>
      <c r="L202" s="8">
        <f>Dashboard!$C$21-K202</f>
        <v>1440000</v>
      </c>
      <c r="M202" s="8">
        <f t="shared" si="21"/>
        <v>1235737.9105247976</v>
      </c>
      <c r="N202" s="8">
        <f t="shared" si="22"/>
        <v>100000</v>
      </c>
      <c r="O202" s="8">
        <f>Dashboard!$C$15*(Dashboard!$C$16*EXP(-Dashboard!$C$16*A202)*E202-(1-EXP(-Dashboard!$C$16*A202))*Dashboard!$C$17/Dashboard!$C$19*E202*(1-E202))</f>
        <v>-5.3909320731093724E-2</v>
      </c>
      <c r="P202" s="8">
        <f>Dashboard!$C$9*B202*Dashboard!$C$11*(-Dashboard!$C$12*(1-F202)-O202)+2*Dashboard!$C$20*A202</f>
        <v>-3583.5007513453747</v>
      </c>
      <c r="Q202" s="8">
        <f>-P202-Dashboard!$C$13-Dashboard!$C$14</f>
        <v>-46416.499248654625</v>
      </c>
    </row>
    <row r="203" spans="1:17" x14ac:dyDescent="0.25">
      <c r="A203" s="5">
        <f>(203-2)/100</f>
        <v>2.0099999999999998</v>
      </c>
      <c r="B203" s="5">
        <f>Dashboard!$C$10*EXP(-Dashboard!$C$12*A203)</f>
        <v>9.897005865354247E-2</v>
      </c>
      <c r="C203" s="5">
        <f>Dashboard!$C$17*A203</f>
        <v>1607.9999999999998</v>
      </c>
      <c r="D203" s="5">
        <f>Dashboard!$C$15*(1-EXP(-Dashboard!$C$16*A203))</f>
        <v>0.50716429215678771</v>
      </c>
      <c r="E203" s="5">
        <f>1/(1+EXP(MIN(700,MAX(-700,(C203-Dashboard!$C$18)/Dashboard!$C$19))))</f>
        <v>0.65776122810029269</v>
      </c>
      <c r="F203" s="5">
        <f t="shared" si="19"/>
        <v>0.33359300765766431</v>
      </c>
      <c r="G203" s="8">
        <f>Dashboard!$C$9*B203*Dashboard!$C$11*(1-F203)</f>
        <v>131908.67823850358</v>
      </c>
      <c r="H203" s="8">
        <f>Dashboard!$C$20*A203^2</f>
        <v>32320.799999999992</v>
      </c>
      <c r="I203" s="8">
        <f t="shared" si="20"/>
        <v>164229.47823850357</v>
      </c>
      <c r="J203" s="8">
        <f>Dashboard!$C$13*A203</f>
        <v>40199.999999999993</v>
      </c>
      <c r="K203" s="8">
        <f>Dashboard!$C$14*A203</f>
        <v>60299.999999999993</v>
      </c>
      <c r="L203" s="8">
        <f>Dashboard!$C$21-K203</f>
        <v>1439700</v>
      </c>
      <c r="M203" s="8">
        <f t="shared" si="21"/>
        <v>1235270.5217614966</v>
      </c>
      <c r="N203" s="8">
        <f t="shared" si="22"/>
        <v>100499.99999999999</v>
      </c>
      <c r="O203" s="8">
        <f>Dashboard!$C$15*(Dashboard!$C$16*EXP(-Dashboard!$C$16*A203)*E203-(1-EXP(-Dashboard!$C$16*A203))*Dashboard!$C$17/Dashboard!$C$19*E203*(1-E203))</f>
        <v>-5.5916627595499979E-2</v>
      </c>
      <c r="P203" s="8">
        <f>Dashboard!$C$9*B203*Dashboard!$C$11*(-Dashboard!$C$12*(1-F203)-O203)+2*Dashboard!$C$20*A203</f>
        <v>-2939.8935578064011</v>
      </c>
      <c r="Q203" s="8">
        <f>-P203-Dashboard!$C$13-Dashboard!$C$14</f>
        <v>-47060.106442193603</v>
      </c>
    </row>
    <row r="204" spans="1:17" x14ac:dyDescent="0.25">
      <c r="A204" s="5">
        <f>(204-2)/100</f>
        <v>2.02</v>
      </c>
      <c r="B204" s="5">
        <f>Dashboard!$C$10*EXP(-Dashboard!$C$12*A204)</f>
        <v>9.8624268933259152E-2</v>
      </c>
      <c r="C204" s="5">
        <f>Dashboard!$C$17*A204</f>
        <v>1616</v>
      </c>
      <c r="D204" s="5">
        <f>Dashboard!$C$15*(1-EXP(-Dashboard!$C$16*A204))</f>
        <v>0.50862481634278134</v>
      </c>
      <c r="E204" s="5">
        <f>1/(1+EXP(MIN(700,MAX(-700,(C204-Dashboard!$C$18)/Dashboard!$C$19))))</f>
        <v>0.65475346060631923</v>
      </c>
      <c r="F204" s="5">
        <f t="shared" si="19"/>
        <v>0.33302385865068962</v>
      </c>
      <c r="G204" s="8">
        <f>Dashboard!$C$9*B204*Dashboard!$C$11*(1-F204)</f>
        <v>131560.06867300373</v>
      </c>
      <c r="H204" s="8">
        <f>Dashboard!$C$20*A204^2</f>
        <v>32643.200000000001</v>
      </c>
      <c r="I204" s="8">
        <f t="shared" si="20"/>
        <v>164203.26867300374</v>
      </c>
      <c r="J204" s="8">
        <f>Dashboard!$C$13*A204</f>
        <v>40400</v>
      </c>
      <c r="K204" s="8">
        <f>Dashboard!$C$14*A204</f>
        <v>60600</v>
      </c>
      <c r="L204" s="8">
        <f>Dashboard!$C$21-K204</f>
        <v>1439400</v>
      </c>
      <c r="M204" s="8">
        <f t="shared" si="21"/>
        <v>1234796.7313269963</v>
      </c>
      <c r="N204" s="8">
        <f t="shared" si="22"/>
        <v>101000</v>
      </c>
      <c r="O204" s="8">
        <f>Dashboard!$C$15*(Dashboard!$C$16*EXP(-Dashboard!$C$16*A204)*E204-(1-EXP(-Dashboard!$C$16*A204))*Dashboard!$C$17/Dashboard!$C$19*E204*(1-E204))</f>
        <v>-5.7910991395724976E-2</v>
      </c>
      <c r="P204" s="8">
        <f>Dashboard!$C$9*B204*Dashboard!$C$11*(-Dashboard!$C$12*(1-F204)-O204)+2*Dashboard!$C$20*A204</f>
        <v>-2303.1656563440265</v>
      </c>
      <c r="Q204" s="8">
        <f>-P204-Dashboard!$C$13-Dashboard!$C$14</f>
        <v>-47696.834343655973</v>
      </c>
    </row>
    <row r="205" spans="1:17" x14ac:dyDescent="0.25">
      <c r="A205" s="5">
        <f>(205-2)/100</f>
        <v>2.0299999999999998</v>
      </c>
      <c r="B205" s="5">
        <f>Dashboard!$C$10*EXP(-Dashboard!$C$12*A205)</f>
        <v>9.8279687361503609E-2</v>
      </c>
      <c r="C205" s="5">
        <f>Dashboard!$C$17*A205</f>
        <v>1623.9999999999998</v>
      </c>
      <c r="D205" s="5">
        <f>Dashboard!$C$15*(1-EXP(-Dashboard!$C$16*A205))</f>
        <v>0.5100780561340077</v>
      </c>
      <c r="E205" s="5">
        <f>1/(1+EXP(MIN(700,MAX(-700,(C205-Dashboard!$C$18)/Dashboard!$C$19))))</f>
        <v>0.65173325530126147</v>
      </c>
      <c r="F205" s="5">
        <f t="shared" si="19"/>
        <v>0.33243483198195639</v>
      </c>
      <c r="G205" s="8">
        <f>Dashboard!$C$9*B205*Dashboard!$C$11*(1-F205)</f>
        <v>131216.19201248593</v>
      </c>
      <c r="H205" s="8">
        <f>Dashboard!$C$20*A205^2</f>
        <v>32967.19999999999</v>
      </c>
      <c r="I205" s="8">
        <f t="shared" si="20"/>
        <v>164183.39201248591</v>
      </c>
      <c r="J205" s="8">
        <f>Dashboard!$C$13*A205</f>
        <v>40599.999999999993</v>
      </c>
      <c r="K205" s="8">
        <f>Dashboard!$C$14*A205</f>
        <v>60899.999999999993</v>
      </c>
      <c r="L205" s="8">
        <f>Dashboard!$C$21-K205</f>
        <v>1439100</v>
      </c>
      <c r="M205" s="8">
        <f t="shared" si="21"/>
        <v>1234316.607987514</v>
      </c>
      <c r="N205" s="8">
        <f t="shared" si="22"/>
        <v>101499.99999999999</v>
      </c>
      <c r="O205" s="8">
        <f>Dashboard!$C$15*(Dashboard!$C$16*EXP(-Dashboard!$C$16*A205)*E205-(1-EXP(-Dashboard!$C$16*A205))*Dashboard!$C$17/Dashboard!$C$19*E205*(1-E205))</f>
        <v>-5.9892109548911027E-2</v>
      </c>
      <c r="P205" s="8">
        <f>Dashboard!$C$9*B205*Dashboard!$C$11*(-Dashboard!$C$12*(1-F205)-O205)+2*Dashboard!$C$20*A205</f>
        <v>-1673.3116005942757</v>
      </c>
      <c r="Q205" s="8">
        <f>-P205-Dashboard!$C$13-Dashboard!$C$14</f>
        <v>-48326.688399405728</v>
      </c>
    </row>
    <row r="206" spans="1:17" x14ac:dyDescent="0.25">
      <c r="A206" s="5">
        <f>(206-2)/100</f>
        <v>2.04</v>
      </c>
      <c r="B206" s="5">
        <f>Dashboard!$C$10*EXP(-Dashboard!$C$12*A206)</f>
        <v>9.7936309717147244E-2</v>
      </c>
      <c r="C206" s="5">
        <f>Dashboard!$C$17*A206</f>
        <v>1632</v>
      </c>
      <c r="D206" s="5">
        <f>Dashboard!$C$15*(1-EXP(-Dashboard!$C$16*A206))</f>
        <v>0.51152404786153738</v>
      </c>
      <c r="E206" s="5">
        <f>1/(1+EXP(MIN(700,MAX(-700,(C206-Dashboard!$C$18)/Dashboard!$C$19))))</f>
        <v>0.6487008049890769</v>
      </c>
      <c r="F206" s="5">
        <f t="shared" si="19"/>
        <v>0.33182606161905037</v>
      </c>
      <c r="G206" s="8">
        <f>Dashboard!$C$9*B206*Dashboard!$C$11*(1-F206)</f>
        <v>130876.97954840549</v>
      </c>
      <c r="H206" s="8">
        <f>Dashboard!$C$20*A206^2</f>
        <v>33292.800000000003</v>
      </c>
      <c r="I206" s="8">
        <f t="shared" si="20"/>
        <v>164169.7795484055</v>
      </c>
      <c r="J206" s="8">
        <f>Dashboard!$C$13*A206</f>
        <v>40800</v>
      </c>
      <c r="K206" s="8">
        <f>Dashboard!$C$14*A206</f>
        <v>61200</v>
      </c>
      <c r="L206" s="8">
        <f>Dashboard!$C$21-K206</f>
        <v>1438800</v>
      </c>
      <c r="M206" s="8">
        <f t="shared" si="21"/>
        <v>1233830.2204515946</v>
      </c>
      <c r="N206" s="8">
        <f t="shared" si="22"/>
        <v>102000</v>
      </c>
      <c r="O206" s="8">
        <f>Dashboard!$C$15*(Dashboard!$C$16*EXP(-Dashboard!$C$16*A206)*E206-(1-EXP(-Dashboard!$C$16*A206))*Dashboard!$C$17/Dashboard!$C$19*E206*(1-E206))</f>
        <v>-6.1859679921117551E-2</v>
      </c>
      <c r="P206" s="8">
        <f>Dashboard!$C$9*B206*Dashboard!$C$11*(-Dashboard!$C$12*(1-F206)-O206)+2*Dashboard!$C$20*A206</f>
        <v>-1050.325298425596</v>
      </c>
      <c r="Q206" s="8">
        <f>-P206-Dashboard!$C$13-Dashboard!$C$14</f>
        <v>-48949.674701574404</v>
      </c>
    </row>
    <row r="207" spans="1:17" x14ac:dyDescent="0.25">
      <c r="A207" s="5">
        <f>(207-2)/100</f>
        <v>2.0499999999999998</v>
      </c>
      <c r="B207" s="5">
        <f>Dashboard!$C$10*EXP(-Dashboard!$C$12*A207)</f>
        <v>9.759413179380963E-2</v>
      </c>
      <c r="C207" s="5">
        <f>Dashboard!$C$17*A207</f>
        <v>1639.9999999999998</v>
      </c>
      <c r="D207" s="5">
        <f>Dashboard!$C$15*(1-EXP(-Dashboard!$C$16*A207))</f>
        <v>0.51296282767523871</v>
      </c>
      <c r="E207" s="5">
        <f>1/(1+EXP(MIN(700,MAX(-700,(C207-Dashboard!$C$18)/Dashboard!$C$19))))</f>
        <v>0.64565630622579562</v>
      </c>
      <c r="F207" s="5">
        <f t="shared" si="19"/>
        <v>0.33119768454793397</v>
      </c>
      <c r="G207" s="8">
        <f>Dashboard!$C$9*B207*Dashboard!$C$11*(1-F207)</f>
        <v>130542.36263646794</v>
      </c>
      <c r="H207" s="8">
        <f>Dashboard!$C$20*A207^2</f>
        <v>33620</v>
      </c>
      <c r="I207" s="8">
        <f t="shared" si="20"/>
        <v>164162.36263646794</v>
      </c>
      <c r="J207" s="8">
        <f>Dashboard!$C$13*A207</f>
        <v>41000</v>
      </c>
      <c r="K207" s="8">
        <f>Dashboard!$C$14*A207</f>
        <v>61499.999999999993</v>
      </c>
      <c r="L207" s="8">
        <f>Dashboard!$C$21-K207</f>
        <v>1438500</v>
      </c>
      <c r="M207" s="8">
        <f t="shared" si="21"/>
        <v>1233337.6373635321</v>
      </c>
      <c r="N207" s="8">
        <f t="shared" si="22"/>
        <v>102500</v>
      </c>
      <c r="O207" s="8">
        <f>Dashboard!$C$15*(Dashboard!$C$16*EXP(-Dashboard!$C$16*A207)*E207-(1-EXP(-Dashboard!$C$16*A207))*Dashboard!$C$17/Dashboard!$C$19*E207*(1-E207))</f>
        <v>-6.3813400999886929E-2</v>
      </c>
      <c r="P207" s="8">
        <f>Dashboard!$C$9*B207*Dashboard!$C$11*(-Dashboard!$C$12*(1-F207)-O207)+2*Dashboard!$C$20*A207</f>
        <v>-434.19998797540029</v>
      </c>
      <c r="Q207" s="8">
        <f>-P207-Dashboard!$C$13-Dashboard!$C$14</f>
        <v>-49565.8000120246</v>
      </c>
    </row>
    <row r="208" spans="1:17" x14ac:dyDescent="0.25">
      <c r="A208" s="5">
        <f>(208-2)/100</f>
        <v>2.06</v>
      </c>
      <c r="B208" s="5">
        <f>Dashboard!$C$10*EXP(-Dashboard!$C$12*A208)</f>
        <v>9.7253149399806921E-2</v>
      </c>
      <c r="C208" s="5">
        <f>Dashboard!$C$17*A208</f>
        <v>1648</v>
      </c>
      <c r="D208" s="5">
        <f>Dashboard!$C$15*(1-EXP(-Dashboard!$C$16*A208))</f>
        <v>0.51439443154468212</v>
      </c>
      <c r="E208" s="5">
        <f>1/(1+EXP(MIN(700,MAX(-700,(C208-Dashboard!$C$18)/Dashboard!$C$19))))</f>
        <v>0.64259995928270286</v>
      </c>
      <c r="F208" s="5">
        <f t="shared" si="19"/>
        <v>0.3305498407658618</v>
      </c>
      <c r="G208" s="8">
        <f>Dashboard!$C$9*B208*Dashboard!$C$11*(1-F208)</f>
        <v>130212.27270344435</v>
      </c>
      <c r="H208" s="8">
        <f>Dashboard!$C$20*A208^2</f>
        <v>33948.799999999996</v>
      </c>
      <c r="I208" s="8">
        <f t="shared" si="20"/>
        <v>164161.07270344434</v>
      </c>
      <c r="J208" s="8">
        <f>Dashboard!$C$13*A208</f>
        <v>41200</v>
      </c>
      <c r="K208" s="8">
        <f>Dashboard!$C$14*A208</f>
        <v>61800</v>
      </c>
      <c r="L208" s="8">
        <f>Dashboard!$C$21-K208</f>
        <v>1438200</v>
      </c>
      <c r="M208" s="8">
        <f t="shared" si="21"/>
        <v>1232838.9272965556</v>
      </c>
      <c r="N208" s="8">
        <f t="shared" si="22"/>
        <v>103000</v>
      </c>
      <c r="O208" s="8">
        <f>Dashboard!$C$15*(Dashboard!$C$16*EXP(-Dashboard!$C$16*A208)*E208-(1-EXP(-Dashboard!$C$16*A208))*Dashboard!$C$17/Dashboard!$C$19*E208*(1-E208))</f>
        <v>-6.5752972068269896E-2</v>
      </c>
      <c r="P208" s="8">
        <f>Dashboard!$C$9*B208*Dashboard!$C$11*(-Dashboard!$C$12*(1-F208)-O208)+2*Dashboard!$C$20*A208</f>
        <v>175.07178586804366</v>
      </c>
      <c r="Q208" s="8">
        <f>-P208-Dashboard!$C$13-Dashboard!$C$14</f>
        <v>-50175.071785868044</v>
      </c>
    </row>
    <row r="209" spans="1:17" x14ac:dyDescent="0.25">
      <c r="A209" s="5">
        <f>(209-2)/100</f>
        <v>2.0699999999999998</v>
      </c>
      <c r="B209" s="5">
        <f>Dashboard!$C$10*EXP(-Dashboard!$C$12*A209)</f>
        <v>9.691335835810054E-2</v>
      </c>
      <c r="C209" s="5">
        <f>Dashboard!$C$17*A209</f>
        <v>1655.9999999999998</v>
      </c>
      <c r="D209" s="5">
        <f>Dashboard!$C$15*(1-EXP(-Dashboard!$C$16*A209))</f>
        <v>0.51581889526003877</v>
      </c>
      <c r="E209" s="5">
        <f>1/(1+EXP(MIN(700,MAX(-700,(C209-Dashboard!$C$18)/Dashboard!$C$19))))</f>
        <v>0.63953196810723234</v>
      </c>
      <c r="F209" s="5">
        <f t="shared" si="19"/>
        <v>0.32988267327255094</v>
      </c>
      <c r="G209" s="8">
        <f>Dashboard!$C$9*B209*Dashboard!$C$11*(1-F209)</f>
        <v>129886.64125421923</v>
      </c>
      <c r="H209" s="8">
        <f>Dashboard!$C$20*A209^2</f>
        <v>34279.199999999997</v>
      </c>
      <c r="I209" s="8">
        <f t="shared" si="20"/>
        <v>164165.84125421924</v>
      </c>
      <c r="J209" s="8">
        <f>Dashboard!$C$13*A209</f>
        <v>41400</v>
      </c>
      <c r="K209" s="8">
        <f>Dashboard!$C$14*A209</f>
        <v>62099.999999999993</v>
      </c>
      <c r="L209" s="8">
        <f>Dashboard!$C$21-K209</f>
        <v>1437900</v>
      </c>
      <c r="M209" s="8">
        <f t="shared" si="21"/>
        <v>1232334.1587457808</v>
      </c>
      <c r="N209" s="8">
        <f t="shared" si="22"/>
        <v>103500</v>
      </c>
      <c r="O209" s="8">
        <f>Dashboard!$C$15*(Dashboard!$C$16*EXP(-Dashboard!$C$16*A209)*E209-(1-EXP(-Dashboard!$C$16*A209))*Dashboard!$C$17/Dashboard!$C$19*E209*(1-E209))</f>
        <v>-6.7678093380157678E-2</v>
      </c>
      <c r="P209" s="8">
        <f>Dashboard!$C$9*B209*Dashboard!$C$11*(-Dashboard!$C$12*(1-F209)-O209)+2*Dashboard!$C$20*A209</f>
        <v>777.49819451169969</v>
      </c>
      <c r="Q209" s="8">
        <f>-P209-Dashboard!$C$13-Dashboard!$C$14</f>
        <v>-50777.498194511703</v>
      </c>
    </row>
    <row r="210" spans="1:17" x14ac:dyDescent="0.25">
      <c r="A210" s="5">
        <f>(210-2)/100</f>
        <v>2.08</v>
      </c>
      <c r="B210" s="5">
        <f>Dashboard!$C$10*EXP(-Dashboard!$C$12*A210)</f>
        <v>9.6574754506245961E-2</v>
      </c>
      <c r="C210" s="5">
        <f>Dashboard!$C$17*A210</f>
        <v>1664</v>
      </c>
      <c r="D210" s="5">
        <f>Dashboard!$C$15*(1-EXP(-Dashboard!$C$16*A210))</f>
        <v>0.51723625443297594</v>
      </c>
      <c r="E210" s="5">
        <f>1/(1+EXP(MIN(700,MAX(-700,(C210-Dashboard!$C$18)/Dashboard!$C$19))))</f>
        <v>0.63645254028156639</v>
      </c>
      <c r="F210" s="5">
        <f t="shared" si="19"/>
        <v>0.32919632805959015</v>
      </c>
      <c r="G210" s="8">
        <f>Dashboard!$C$9*B210*Dashboard!$C$11*(1-F210)</f>
        <v>129565.39987906687</v>
      </c>
      <c r="H210" s="8">
        <f>Dashboard!$C$20*A210^2</f>
        <v>34611.200000000004</v>
      </c>
      <c r="I210" s="8">
        <f t="shared" si="20"/>
        <v>164176.59987906687</v>
      </c>
      <c r="J210" s="8">
        <f>Dashboard!$C$13*A210</f>
        <v>41600</v>
      </c>
      <c r="K210" s="8">
        <f>Dashboard!$C$14*A210</f>
        <v>62400</v>
      </c>
      <c r="L210" s="8">
        <f>Dashboard!$C$21-K210</f>
        <v>1437600</v>
      </c>
      <c r="M210" s="8">
        <f t="shared" si="21"/>
        <v>1231823.4001209331</v>
      </c>
      <c r="N210" s="8">
        <f t="shared" si="22"/>
        <v>104000</v>
      </c>
      <c r="O210" s="8">
        <f>Dashboard!$C$15*(Dashboard!$C$16*EXP(-Dashboard!$C$16*A210)*E210-(1-EXP(-Dashboard!$C$16*A210))*Dashboard!$C$17/Dashboard!$C$19*E210*(1-E210))</f>
        <v>-6.9588466336768615E-2</v>
      </c>
      <c r="P210" s="8">
        <f>Dashboard!$C$9*B210*Dashboard!$C$11*(-Dashboard!$C$12*(1-F210)-O210)+2*Dashboard!$C$20*A210</f>
        <v>1373.0881482057812</v>
      </c>
      <c r="Q210" s="8">
        <f>-P210-Dashboard!$C$13-Dashboard!$C$14</f>
        <v>-51373.088148205781</v>
      </c>
    </row>
    <row r="211" spans="1:17" x14ac:dyDescent="0.25">
      <c r="A211" s="5">
        <f>(211-2)/100</f>
        <v>2.09</v>
      </c>
      <c r="B211" s="5">
        <f>Dashboard!$C$10*EXP(-Dashboard!$C$12*A211)</f>
        <v>9.623733369634177E-2</v>
      </c>
      <c r="C211" s="5">
        <f>Dashboard!$C$17*A211</f>
        <v>1672</v>
      </c>
      <c r="D211" s="5">
        <f>Dashboard!$C$15*(1-EXP(-Dashboard!$C$16*A211))</f>
        <v>0.51864654449754644</v>
      </c>
      <c r="E211" s="5">
        <f>1/(1+EXP(MIN(700,MAX(-700,(C211-Dashboard!$C$18)/Dashboard!$C$19))))</f>
        <v>0.6333618869789539</v>
      </c>
      <c r="F211" s="5">
        <f t="shared" si="19"/>
        <v>0.32849095409807999</v>
      </c>
      <c r="G211" s="8">
        <f>Dashboard!$C$9*B211*Dashboard!$C$11*(1-F211)</f>
        <v>129248.48026115033</v>
      </c>
      <c r="H211" s="8">
        <f>Dashboard!$C$20*A211^2</f>
        <v>34944.799999999996</v>
      </c>
      <c r="I211" s="8">
        <f t="shared" si="20"/>
        <v>164193.28026115033</v>
      </c>
      <c r="J211" s="8">
        <f>Dashboard!$C$13*A211</f>
        <v>41800</v>
      </c>
      <c r="K211" s="8">
        <f>Dashboard!$C$14*A211</f>
        <v>62699.999999999993</v>
      </c>
      <c r="L211" s="8">
        <f>Dashboard!$C$21-K211</f>
        <v>1437300</v>
      </c>
      <c r="M211" s="8">
        <f t="shared" si="21"/>
        <v>1231306.7197388497</v>
      </c>
      <c r="N211" s="8">
        <f t="shared" si="22"/>
        <v>104500</v>
      </c>
      <c r="O211" s="8">
        <f>Dashboard!$C$15*(Dashboard!$C$16*EXP(-Dashboard!$C$16*A211)*E211-(1-EXP(-Dashboard!$C$16*A211))*Dashboard!$C$17/Dashboard!$C$19*E211*(1-E211))</f>
        <v>-7.1483793664129228E-2</v>
      </c>
      <c r="P211" s="8">
        <f>Dashboard!$C$9*B211*Dashboard!$C$11*(-Dashboard!$C$12*(1-F211)-O211)+2*Dashboard!$C$20*A211</f>
        <v>1961.8513180678856</v>
      </c>
      <c r="Q211" s="8">
        <f>-P211-Dashboard!$C$13-Dashboard!$C$14</f>
        <v>-51961.851318067886</v>
      </c>
    </row>
    <row r="212" spans="1:17" x14ac:dyDescent="0.25">
      <c r="A212" s="5">
        <f>(212-2)/100</f>
        <v>2.1</v>
      </c>
      <c r="B212" s="5">
        <f>Dashboard!$C$10*EXP(-Dashboard!$C$12*A212)</f>
        <v>9.5901091794978827E-2</v>
      </c>
      <c r="C212" s="5">
        <f>Dashboard!$C$17*A212</f>
        <v>1680</v>
      </c>
      <c r="D212" s="5">
        <f>Dashboard!$C$15*(1-EXP(-Dashboard!$C$16*A212))</f>
        <v>0.52004980071107576</v>
      </c>
      <c r="E212" s="5">
        <f>1/(1+EXP(MIN(700,MAX(-700,(C212-Dashboard!$C$18)/Dashboard!$C$19))))</f>
        <v>0.6302602229177513</v>
      </c>
      <c r="F212" s="5">
        <f t="shared" si="19"/>
        <v>0.32776670332449476</v>
      </c>
      <c r="G212" s="8">
        <f>Dashboard!$C$9*B212*Dashboard!$C$11*(1-F212)</f>
        <v>128935.81418423772</v>
      </c>
      <c r="H212" s="8">
        <f>Dashboard!$C$20*A212^2</f>
        <v>35280</v>
      </c>
      <c r="I212" s="8">
        <f t="shared" si="20"/>
        <v>164215.81418423774</v>
      </c>
      <c r="J212" s="8">
        <f>Dashboard!$C$13*A212</f>
        <v>42000</v>
      </c>
      <c r="K212" s="8">
        <f>Dashboard!$C$14*A212</f>
        <v>63000</v>
      </c>
      <c r="L212" s="8">
        <f>Dashboard!$C$21-K212</f>
        <v>1437000</v>
      </c>
      <c r="M212" s="8">
        <f t="shared" si="21"/>
        <v>1230784.1858157623</v>
      </c>
      <c r="N212" s="8">
        <f t="shared" si="22"/>
        <v>105000</v>
      </c>
      <c r="O212" s="8">
        <f>Dashboard!$C$15*(Dashboard!$C$16*EXP(-Dashboard!$C$16*A212)*E212-(1-EXP(-Dashboard!$C$16*A212))*Dashboard!$C$17/Dashboard!$C$19*E212*(1-E212))</f>
        <v>-7.3363779591389872E-2</v>
      </c>
      <c r="P212" s="8">
        <f>Dashboard!$C$9*B212*Dashboard!$C$11*(-Dashboard!$C$12*(1-F212)-O212)+2*Dashboard!$C$20*A212</f>
        <v>2543.7981575577469</v>
      </c>
      <c r="Q212" s="8">
        <f>-P212-Dashboard!$C$13-Dashboard!$C$14</f>
        <v>-52543.798157557743</v>
      </c>
    </row>
    <row r="213" spans="1:17" x14ac:dyDescent="0.25">
      <c r="A213" s="5">
        <f>(213-2)/100</f>
        <v>2.11</v>
      </c>
      <c r="B213" s="5">
        <f>Dashboard!$C$10*EXP(-Dashboard!$C$12*A213)</f>
        <v>9.5566024683189643E-2</v>
      </c>
      <c r="C213" s="5">
        <f>Dashboard!$C$17*A213</f>
        <v>1688</v>
      </c>
      <c r="D213" s="5">
        <f>Dashboard!$C$15*(1-EXP(-Dashboard!$C$16*A213))</f>
        <v>0.52144605815504197</v>
      </c>
      <c r="E213" s="5">
        <f>1/(1+EXP(MIN(700,MAX(-700,(C213-Dashboard!$C$18)/Dashboard!$C$19))))</f>
        <v>0.62714776631319558</v>
      </c>
      <c r="F213" s="5">
        <f t="shared" si="19"/>
        <v>0.32702373062475526</v>
      </c>
      <c r="G213" s="8">
        <f>Dashboard!$C$9*B213*Dashboard!$C$11*(1-F213)</f>
        <v>128627.33354063105</v>
      </c>
      <c r="H213" s="8">
        <f>Dashboard!$C$20*A213^2</f>
        <v>35616.799999999996</v>
      </c>
      <c r="I213" s="8">
        <f t="shared" si="20"/>
        <v>164244.13354063104</v>
      </c>
      <c r="J213" s="8">
        <f>Dashboard!$C$13*A213</f>
        <v>42200</v>
      </c>
      <c r="K213" s="8">
        <f>Dashboard!$C$14*A213</f>
        <v>63299.999999999993</v>
      </c>
      <c r="L213" s="8">
        <f>Dashboard!$C$21-K213</f>
        <v>1436700</v>
      </c>
      <c r="M213" s="8">
        <f t="shared" si="21"/>
        <v>1230255.866459369</v>
      </c>
      <c r="N213" s="8">
        <f t="shared" si="22"/>
        <v>105500</v>
      </c>
      <c r="O213" s="8">
        <f>Dashboard!$C$15*(Dashboard!$C$16*EXP(-Dashboard!$C$16*A213)*E213-(1-EXP(-Dashboard!$C$16*A213))*Dashboard!$C$17/Dashboard!$C$19*E213*(1-E213))</f>
        <v>-7.5228130029808479E-2</v>
      </c>
      <c r="P213" s="8">
        <f>Dashboard!$C$9*B213*Dashboard!$C$11*(-Dashboard!$C$12*(1-F213)-O213)+2*Dashboard!$C$20*A213</f>
        <v>3118.9399233768854</v>
      </c>
      <c r="Q213" s="8">
        <f>-P213-Dashboard!$C$13-Dashboard!$C$14</f>
        <v>-53118.939923376885</v>
      </c>
    </row>
    <row r="214" spans="1:17" x14ac:dyDescent="0.25">
      <c r="A214" s="5">
        <f>(214-2)/100</f>
        <v>2.12</v>
      </c>
      <c r="B214" s="5">
        <f>Dashboard!$C$10*EXP(-Dashboard!$C$12*A214)</f>
        <v>9.5232128256397888E-2</v>
      </c>
      <c r="C214" s="5">
        <f>Dashboard!$C$17*A214</f>
        <v>1696</v>
      </c>
      <c r="D214" s="5">
        <f>Dashboard!$C$15*(1-EXP(-Dashboard!$C$16*A214))</f>
        <v>0.52283535173595408</v>
      </c>
      <c r="E214" s="5">
        <f>1/(1+EXP(MIN(700,MAX(-700,(C214-Dashboard!$C$18)/Dashboard!$C$19))))</f>
        <v>0.62402473882692466</v>
      </c>
      <c r="F214" s="5">
        <f t="shared" si="19"/>
        <v>0.32626219381651206</v>
      </c>
      <c r="G214" s="8">
        <f>Dashboard!$C$9*B214*Dashboard!$C$11*(1-F214)</f>
        <v>128322.97033930014</v>
      </c>
      <c r="H214" s="8">
        <f>Dashboard!$C$20*A214^2</f>
        <v>35955.200000000004</v>
      </c>
      <c r="I214" s="8">
        <f t="shared" si="20"/>
        <v>164278.17033930015</v>
      </c>
      <c r="J214" s="8">
        <f>Dashboard!$C$13*A214</f>
        <v>42400</v>
      </c>
      <c r="K214" s="8">
        <f>Dashboard!$C$14*A214</f>
        <v>63600</v>
      </c>
      <c r="L214" s="8">
        <f>Dashboard!$C$21-K214</f>
        <v>1436400</v>
      </c>
      <c r="M214" s="8">
        <f t="shared" si="21"/>
        <v>1229721.8296606999</v>
      </c>
      <c r="N214" s="8">
        <f t="shared" si="22"/>
        <v>106000</v>
      </c>
      <c r="O214" s="8">
        <f>Dashboard!$C$15*(Dashboard!$C$16*EXP(-Dashboard!$C$16*A214)*E214-(1-EXP(-Dashboard!$C$16*A214))*Dashboard!$C$17/Dashboard!$C$19*E214*(1-E214))</f>
        <v>-7.7076552752237668E-2</v>
      </c>
      <c r="P214" s="8">
        <f>Dashboard!$C$9*B214*Dashboard!$C$11*(-Dashboard!$C$12*(1-F214)-O214)+2*Dashboard!$C$20*A214</f>
        <v>3687.2886957691808</v>
      </c>
      <c r="Q214" s="8">
        <f>-P214-Dashboard!$C$13-Dashboard!$C$14</f>
        <v>-53687.288695769181</v>
      </c>
    </row>
    <row r="215" spans="1:17" x14ac:dyDescent="0.25">
      <c r="A215" s="5">
        <f>(215-2)/100</f>
        <v>2.13</v>
      </c>
      <c r="B215" s="5">
        <f>Dashboard!$C$10*EXP(-Dashboard!$C$12*A215)</f>
        <v>9.4899398424368189E-2</v>
      </c>
      <c r="C215" s="5">
        <f>Dashboard!$C$17*A215</f>
        <v>1704</v>
      </c>
      <c r="D215" s="5">
        <f>Dashboard!$C$15*(1-EXP(-Dashboard!$C$16*A215))</f>
        <v>0.52421771618622393</v>
      </c>
      <c r="E215" s="5">
        <f>1/(1+EXP(MIN(700,MAX(-700,(C215-Dashboard!$C$18)/Dashboard!$C$19))))</f>
        <v>0.62089136551425694</v>
      </c>
      <c r="F215" s="5">
        <f t="shared" si="19"/>
        <v>0.32548225362962979</v>
      </c>
      <c r="G215" s="8">
        <f>Dashboard!$C$9*B215*Dashboard!$C$11*(1-F215)</f>
        <v>128022.65671421739</v>
      </c>
      <c r="H215" s="8">
        <f>Dashboard!$C$20*A215^2</f>
        <v>36295.199999999997</v>
      </c>
      <c r="I215" s="8">
        <f t="shared" si="20"/>
        <v>164317.8567142174</v>
      </c>
      <c r="J215" s="8">
        <f>Dashboard!$C$13*A215</f>
        <v>42600</v>
      </c>
      <c r="K215" s="8">
        <f>Dashboard!$C$14*A215</f>
        <v>63900</v>
      </c>
      <c r="L215" s="8">
        <f>Dashboard!$C$21-K215</f>
        <v>1436100</v>
      </c>
      <c r="M215" s="8">
        <f t="shared" si="21"/>
        <v>1229182.1432857825</v>
      </c>
      <c r="N215" s="8">
        <f t="shared" si="22"/>
        <v>106500</v>
      </c>
      <c r="O215" s="8">
        <f>Dashboard!$C$15*(Dashboard!$C$16*EXP(-Dashboard!$C$16*A215)*E215-(1-EXP(-Dashboard!$C$16*A215))*Dashboard!$C$17/Dashboard!$C$19*E215*(1-E215))</f>
        <v>-7.8908757572940399E-2</v>
      </c>
      <c r="P215" s="8">
        <f>Dashboard!$C$9*B215*Dashboard!$C$11*(-Dashboard!$C$12*(1-F215)-O215)+2*Dashboard!$C$20*A215</f>
        <v>4248.8573981966256</v>
      </c>
      <c r="Q215" s="8">
        <f>-P215-Dashboard!$C$13-Dashboard!$C$14</f>
        <v>-54248.857398196626</v>
      </c>
    </row>
    <row r="216" spans="1:17" x14ac:dyDescent="0.25">
      <c r="A216" s="5">
        <f>(216-2)/100</f>
        <v>2.14</v>
      </c>
      <c r="B216" s="5">
        <f>Dashboard!$C$10*EXP(-Dashboard!$C$12*A216)</f>
        <v>9.4567831111155909E-2</v>
      </c>
      <c r="C216" s="5">
        <f>Dashboard!$C$17*A216</f>
        <v>1712</v>
      </c>
      <c r="D216" s="5">
        <f>Dashboard!$C$15*(1-EXP(-Dashboard!$C$16*A216))</f>
        <v>0.52559318606503469</v>
      </c>
      <c r="E216" s="5">
        <f>1/(1+EXP(MIN(700,MAX(-700,(C216-Dashboard!$C$18)/Dashboard!$C$19))))</f>
        <v>0.61774787476924897</v>
      </c>
      <c r="F216" s="5">
        <f t="shared" si="19"/>
        <v>0.32468407368487362</v>
      </c>
      <c r="G216" s="8">
        <f>Dashboard!$C$9*B216*Dashboard!$C$11*(1-F216)</f>
        <v>127726.32493288537</v>
      </c>
      <c r="H216" s="8">
        <f>Dashboard!$C$20*A216^2</f>
        <v>36636.800000000003</v>
      </c>
      <c r="I216" s="8">
        <f t="shared" si="20"/>
        <v>164363.12493288537</v>
      </c>
      <c r="J216" s="8">
        <f>Dashboard!$C$13*A216</f>
        <v>42800</v>
      </c>
      <c r="K216" s="8">
        <f>Dashboard!$C$14*A216</f>
        <v>64200.000000000007</v>
      </c>
      <c r="L216" s="8">
        <f>Dashboard!$C$21-K216</f>
        <v>1435800</v>
      </c>
      <c r="M216" s="8">
        <f t="shared" si="21"/>
        <v>1228636.8750671146</v>
      </c>
      <c r="N216" s="8">
        <f t="shared" si="22"/>
        <v>107000</v>
      </c>
      <c r="O216" s="8">
        <f>Dashboard!$C$15*(Dashboard!$C$16*EXP(-Dashboard!$C$16*A216)*E216-(1-EXP(-Dashboard!$C$16*A216))*Dashboard!$C$17/Dashboard!$C$19*E216*(1-E216))</f>
        <v>-8.0724456527564853E-2</v>
      </c>
      <c r="P216" s="8">
        <f>Dashboard!$C$9*B216*Dashboard!$C$11*(-Dashboard!$C$12*(1-F216)-O216)+2*Dashboard!$C$20*A216</f>
        <v>4803.6598163673261</v>
      </c>
      <c r="Q216" s="8">
        <f>-P216-Dashboard!$C$13-Dashboard!$C$14</f>
        <v>-54803.659816367326</v>
      </c>
    </row>
    <row r="217" spans="1:17" x14ac:dyDescent="0.25">
      <c r="A217" s="5">
        <f>(217-2)/100</f>
        <v>2.15</v>
      </c>
      <c r="B217" s="5">
        <f>Dashboard!$C$10*EXP(-Dashboard!$C$12*A217)</f>
        <v>9.4237422255057351E-2</v>
      </c>
      <c r="C217" s="5">
        <f>Dashboard!$C$17*A217</f>
        <v>1720</v>
      </c>
      <c r="D217" s="5">
        <f>Dashboard!$C$15*(1-EXP(-Dashboard!$C$16*A217))</f>
        <v>0.5269617957592051</v>
      </c>
      <c r="E217" s="5">
        <f>1/(1+EXP(MIN(700,MAX(-700,(C217-Dashboard!$C$18)/Dashboard!$C$19))))</f>
        <v>0.61459449826754953</v>
      </c>
      <c r="F217" s="5">
        <f t="shared" si="19"/>
        <v>0.32386782047079554</v>
      </c>
      <c r="G217" s="8">
        <f>Dashboard!$C$9*B217*Dashboard!$C$11*(1-F217)</f>
        <v>127433.90740505178</v>
      </c>
      <c r="H217" s="8">
        <f>Dashboard!$C$20*A217^2</f>
        <v>36980</v>
      </c>
      <c r="I217" s="8">
        <f t="shared" si="20"/>
        <v>164413.90740505178</v>
      </c>
      <c r="J217" s="8">
        <f>Dashboard!$C$13*A217</f>
        <v>43000</v>
      </c>
      <c r="K217" s="8">
        <f>Dashboard!$C$14*A217</f>
        <v>64500</v>
      </c>
      <c r="L217" s="8">
        <f>Dashboard!$C$21-K217</f>
        <v>1435500</v>
      </c>
      <c r="M217" s="8">
        <f t="shared" si="21"/>
        <v>1228086.0925949481</v>
      </c>
      <c r="N217" s="8">
        <f t="shared" si="22"/>
        <v>107500</v>
      </c>
      <c r="O217" s="8">
        <f>Dashboard!$C$15*(Dashboard!$C$16*EXP(-Dashboard!$C$16*A217)*E217-(1-EXP(-Dashboard!$C$16*A217))*Dashboard!$C$17/Dashboard!$C$19*E217*(1-E217))</f>
        <v>-8.2523364053100817E-2</v>
      </c>
      <c r="P217" s="8">
        <f>Dashboard!$C$9*B217*Dashboard!$C$11*(-Dashboard!$C$12*(1-F217)-O217)+2*Dashboard!$C$20*A217</f>
        <v>5351.7106165916448</v>
      </c>
      <c r="Q217" s="8">
        <f>-P217-Dashboard!$C$13-Dashboard!$C$14</f>
        <v>-55351.710616591648</v>
      </c>
    </row>
    <row r="218" spans="1:17" x14ac:dyDescent="0.25">
      <c r="A218" s="5">
        <f>(218-2)/100</f>
        <v>2.16</v>
      </c>
      <c r="B218" s="5">
        <f>Dashboard!$C$10*EXP(-Dashboard!$C$12*A218)</f>
        <v>9.3908167808559859E-2</v>
      </c>
      <c r="C218" s="5">
        <f>Dashboard!$C$17*A218</f>
        <v>1728</v>
      </c>
      <c r="D218" s="5">
        <f>Dashboard!$C$15*(1-EXP(-Dashboard!$C$16*A218))</f>
        <v>0.52832357948404873</v>
      </c>
      <c r="E218" s="5">
        <f>1/(1+EXP(MIN(700,MAX(-700,(C218-Dashboard!$C$18)/Dashboard!$C$19))))</f>
        <v>0.61143147090707273</v>
      </c>
      <c r="F218" s="5">
        <f t="shared" si="19"/>
        <v>0.32303366331882166</v>
      </c>
      <c r="G218" s="8">
        <f>Dashboard!$C$9*B218*Dashboard!$C$11*(1-F218)</f>
        <v>127145.33669160427</v>
      </c>
      <c r="H218" s="8">
        <f>Dashboard!$C$20*A218^2</f>
        <v>37324.800000000003</v>
      </c>
      <c r="I218" s="8">
        <f t="shared" si="20"/>
        <v>164470.13669160428</v>
      </c>
      <c r="J218" s="8">
        <f>Dashboard!$C$13*A218</f>
        <v>43200</v>
      </c>
      <c r="K218" s="8">
        <f>Dashboard!$C$14*A218</f>
        <v>64800.000000000007</v>
      </c>
      <c r="L218" s="8">
        <f>Dashboard!$C$21-K218</f>
        <v>1435200</v>
      </c>
      <c r="M218" s="8">
        <f t="shared" si="21"/>
        <v>1227529.8633083957</v>
      </c>
      <c r="N218" s="8">
        <f t="shared" si="22"/>
        <v>108000</v>
      </c>
      <c r="O218" s="8">
        <f>Dashboard!$C$15*(Dashboard!$C$16*EXP(-Dashboard!$C$16*A218)*E218-(1-EXP(-Dashboard!$C$16*A218))*Dashboard!$C$17/Dashboard!$C$19*E218*(1-E218))</f>
        <v>-8.4305197167640997E-2</v>
      </c>
      <c r="P218" s="8">
        <f>Dashboard!$C$9*B218*Dashboard!$C$11*(-Dashboard!$C$12*(1-F218)-O218)+2*Dashboard!$C$20*A218</f>
        <v>5893.0253634436267</v>
      </c>
      <c r="Q218" s="8">
        <f>-P218-Dashboard!$C$13-Dashboard!$C$14</f>
        <v>-55893.025363443623</v>
      </c>
    </row>
    <row r="219" spans="1:17" x14ac:dyDescent="0.25">
      <c r="A219" s="5">
        <f>(219-2)/100</f>
        <v>2.17</v>
      </c>
      <c r="B219" s="5">
        <f>Dashboard!$C$10*EXP(-Dashboard!$C$12*A219)</f>
        <v>9.3580063738292377E-2</v>
      </c>
      <c r="C219" s="5">
        <f>Dashboard!$C$17*A219</f>
        <v>1736</v>
      </c>
      <c r="D219" s="5">
        <f>Dashboard!$C$15*(1-EXP(-Dashboard!$C$16*A219))</f>
        <v>0.52967857128422957</v>
      </c>
      <c r="E219" s="5">
        <f>1/(1+EXP(MIN(700,MAX(-700,(C219-Dashboard!$C$18)/Dashboard!$C$19))))</f>
        <v>0.60825903074651433</v>
      </c>
      <c r="F219" s="5">
        <f t="shared" si="19"/>
        <v>0.32218177437654399</v>
      </c>
      <c r="G219" s="8">
        <f>Dashboard!$C$9*B219*Dashboard!$C$11*(1-F219)</f>
        <v>126860.5455136385</v>
      </c>
      <c r="H219" s="8">
        <f>Dashboard!$C$20*A219^2</f>
        <v>37671.199999999997</v>
      </c>
      <c r="I219" s="8">
        <f t="shared" si="20"/>
        <v>164531.74551363848</v>
      </c>
      <c r="J219" s="8">
        <f>Dashboard!$C$13*A219</f>
        <v>43400</v>
      </c>
      <c r="K219" s="8">
        <f>Dashboard!$C$14*A219</f>
        <v>65100</v>
      </c>
      <c r="L219" s="8">
        <f>Dashboard!$C$21-K219</f>
        <v>1434900</v>
      </c>
      <c r="M219" s="8">
        <f t="shared" si="21"/>
        <v>1226968.2544863615</v>
      </c>
      <c r="N219" s="8">
        <f t="shared" si="22"/>
        <v>108500</v>
      </c>
      <c r="O219" s="8">
        <f>Dashboard!$C$15*(Dashboard!$C$16*EXP(-Dashboard!$C$16*A219)*E219-(1-EXP(-Dashboard!$C$16*A219))*Dashboard!$C$17/Dashboard!$C$19*E219*(1-E219))</f>
        <v>-8.6069675649766461E-2</v>
      </c>
      <c r="P219" s="8">
        <f>Dashboard!$C$9*B219*Dashboard!$C$11*(-Dashboard!$C$12*(1-F219)-O219)+2*Dashboard!$C$20*A219</f>
        <v>6427.6205367051189</v>
      </c>
      <c r="Q219" s="8">
        <f>-P219-Dashboard!$C$13-Dashboard!$C$14</f>
        <v>-56427.620536705115</v>
      </c>
    </row>
    <row r="220" spans="1:17" x14ac:dyDescent="0.25">
      <c r="A220" s="5">
        <f>(220-2)/100</f>
        <v>2.1800000000000002</v>
      </c>
      <c r="B220" s="5">
        <f>Dashboard!$C$10*EXP(-Dashboard!$C$12*A220)</f>
        <v>9.3253106024975913E-2</v>
      </c>
      <c r="C220" s="5">
        <f>Dashboard!$C$17*A220</f>
        <v>1744.0000000000002</v>
      </c>
      <c r="D220" s="5">
        <f>Dashboard!$C$15*(1-EXP(-Dashboard!$C$16*A220))</f>
        <v>0.5310268050346133</v>
      </c>
      <c r="E220" s="5">
        <f>1/(1+EXP(MIN(700,MAX(-700,(C220-Dashboard!$C$18)/Dashboard!$C$19))))</f>
        <v>0.60507741894173739</v>
      </c>
      <c r="F220" s="5">
        <f t="shared" si="19"/>
        <v>0.32131232857922104</v>
      </c>
      <c r="G220" s="8">
        <f>Dashboard!$C$9*B220*Dashboard!$C$11*(1-F220)</f>
        <v>126579.46676169185</v>
      </c>
      <c r="H220" s="8">
        <f>Dashboard!$C$20*A220^2</f>
        <v>38019.200000000004</v>
      </c>
      <c r="I220" s="8">
        <f t="shared" si="20"/>
        <v>164598.66676169186</v>
      </c>
      <c r="J220" s="8">
        <f>Dashboard!$C$13*A220</f>
        <v>43600</v>
      </c>
      <c r="K220" s="8">
        <f>Dashboard!$C$14*A220</f>
        <v>65400.000000000007</v>
      </c>
      <c r="L220" s="8">
        <f>Dashboard!$C$21-K220</f>
        <v>1434600</v>
      </c>
      <c r="M220" s="8">
        <f t="shared" si="21"/>
        <v>1226401.3332383081</v>
      </c>
      <c r="N220" s="8">
        <f t="shared" si="22"/>
        <v>109000</v>
      </c>
      <c r="O220" s="8">
        <f>Dashboard!$C$15*(Dashboard!$C$16*EXP(-Dashboard!$C$16*A220)*E220-(1-EXP(-Dashboard!$C$16*A220))*Dashboard!$C$17/Dashboard!$C$19*E220*(1-E220))</f>
        <v>-8.7816522217377596E-2</v>
      </c>
      <c r="P220" s="8">
        <f>Dashboard!$C$9*B220*Dashboard!$C$11*(-Dashboard!$C$12*(1-F220)-O220)+2*Dashboard!$C$20*A220</f>
        <v>6955.5135475713905</v>
      </c>
      <c r="Q220" s="8">
        <f>-P220-Dashboard!$C$13-Dashboard!$C$14</f>
        <v>-56955.513547571391</v>
      </c>
    </row>
    <row r="221" spans="1:17" x14ac:dyDescent="0.25">
      <c r="A221" s="5">
        <f>(221-2)/100</f>
        <v>2.19</v>
      </c>
      <c r="B221" s="5">
        <f>Dashboard!$C$10*EXP(-Dashboard!$C$12*A221)</f>
        <v>9.2927290663374421E-2</v>
      </c>
      <c r="C221" s="5">
        <f>Dashboard!$C$17*A221</f>
        <v>1752</v>
      </c>
      <c r="D221" s="5">
        <f>Dashboard!$C$15*(1-EXP(-Dashboard!$C$16*A221))</f>
        <v>0.53236831444111388</v>
      </c>
      <c r="E221" s="5">
        <f>1/(1+EXP(MIN(700,MAX(-700,(C221-Dashboard!$C$18)/Dashboard!$C$19))))</f>
        <v>0.60188687968005661</v>
      </c>
      <c r="F221" s="5">
        <f t="shared" si="19"/>
        <v>0.32042550361949323</v>
      </c>
      <c r="G221" s="8">
        <f>Dashboard!$C$9*B221*Dashboard!$C$11*(1-F221)</f>
        <v>126302.03350513527</v>
      </c>
      <c r="H221" s="8">
        <f>Dashboard!$C$20*A221^2</f>
        <v>38368.800000000003</v>
      </c>
      <c r="I221" s="8">
        <f t="shared" si="20"/>
        <v>164670.83350513526</v>
      </c>
      <c r="J221" s="8">
        <f>Dashboard!$C$13*A221</f>
        <v>43800</v>
      </c>
      <c r="K221" s="8">
        <f>Dashboard!$C$14*A221</f>
        <v>65700</v>
      </c>
      <c r="L221" s="8">
        <f>Dashboard!$C$21-K221</f>
        <v>1434300</v>
      </c>
      <c r="M221" s="8">
        <f t="shared" si="21"/>
        <v>1225829.1664948647</v>
      </c>
      <c r="N221" s="8">
        <f t="shared" si="22"/>
        <v>109500</v>
      </c>
      <c r="O221" s="8">
        <f>Dashboard!$C$15*(Dashboard!$C$16*EXP(-Dashboard!$C$16*A221)*E221-(1-EXP(-Dashboard!$C$16*A221))*Dashboard!$C$17/Dashboard!$C$19*E221*(1-E221))</f>
        <v>-8.9545462705785006E-2</v>
      </c>
      <c r="P221" s="8">
        <f>Dashboard!$C$9*B221*Dashboard!$C$11*(-Dashboard!$C$12*(1-F221)-O221)+2*Dashboard!$C$20*A221</f>
        <v>7476.7227540963286</v>
      </c>
      <c r="Q221" s="8">
        <f>-P221-Dashboard!$C$13-Dashboard!$C$14</f>
        <v>-57476.722754096329</v>
      </c>
    </row>
    <row r="222" spans="1:17" x14ac:dyDescent="0.25">
      <c r="A222" s="5">
        <f>(222-2)/100</f>
        <v>2.2000000000000002</v>
      </c>
      <c r="B222" s="5">
        <f>Dashboard!$C$10*EXP(-Dashboard!$C$12*A222)</f>
        <v>9.260261366224562E-2</v>
      </c>
      <c r="C222" s="5">
        <f>Dashboard!$C$17*A222</f>
        <v>1760.0000000000002</v>
      </c>
      <c r="D222" s="5">
        <f>Dashboard!$C$15*(1-EXP(-Dashboard!$C$16*A222))</f>
        <v>0.53370313304153638</v>
      </c>
      <c r="E222" s="5">
        <f>1/(1+EXP(MIN(700,MAX(-700,(C222-Dashboard!$C$18)/Dashboard!$C$19))))</f>
        <v>0.59868766011245189</v>
      </c>
      <c r="F222" s="5">
        <f t="shared" si="19"/>
        <v>0.31952147991532204</v>
      </c>
      <c r="G222" s="8">
        <f>Dashboard!$C$9*B222*Dashboard!$C$11*(1-F222)</f>
        <v>126028.17900171615</v>
      </c>
      <c r="H222" s="8">
        <f>Dashboard!$C$20*A222^2</f>
        <v>38720.000000000007</v>
      </c>
      <c r="I222" s="8">
        <f t="shared" si="20"/>
        <v>164748.17900171617</v>
      </c>
      <c r="J222" s="8">
        <f>Dashboard!$C$13*A222</f>
        <v>44000</v>
      </c>
      <c r="K222" s="8">
        <f>Dashboard!$C$14*A222</f>
        <v>66000</v>
      </c>
      <c r="L222" s="8">
        <f>Dashboard!$C$21-K222</f>
        <v>1434000</v>
      </c>
      <c r="M222" s="8">
        <f t="shared" si="21"/>
        <v>1225251.8209982838</v>
      </c>
      <c r="N222" s="8">
        <f t="shared" si="22"/>
        <v>110000</v>
      </c>
      <c r="O222" s="8">
        <f>Dashboard!$C$15*(Dashboard!$C$16*EXP(-Dashboard!$C$16*A222)*E222-(1-EXP(-Dashboard!$C$16*A222))*Dashboard!$C$17/Dashboard!$C$19*E222*(1-E222))</f>
        <v>-9.1256226244880348E-2</v>
      </c>
      <c r="P222" s="8">
        <f>Dashboard!$C$9*B222*Dashboard!$C$11*(-Dashboard!$C$12*(1-F222)-O222)+2*Dashboard!$C$20*A222</f>
        <v>7991.2674758576213</v>
      </c>
      <c r="Q222" s="8">
        <f>-P222-Dashboard!$C$13-Dashboard!$C$14</f>
        <v>-57991.267475857618</v>
      </c>
    </row>
    <row r="223" spans="1:17" x14ac:dyDescent="0.25">
      <c r="A223" s="5">
        <f>(223-2)/100</f>
        <v>2.21</v>
      </c>
      <c r="B223" s="5">
        <f>Dashboard!$C$10*EXP(-Dashboard!$C$12*A223)</f>
        <v>9.2279071044292199E-2</v>
      </c>
      <c r="C223" s="5">
        <f>Dashboard!$C$17*A223</f>
        <v>1768</v>
      </c>
      <c r="D223" s="5">
        <f>Dashboard!$C$15*(1-EXP(-Dashboard!$C$16*A223))</f>
        <v>0.53503129420641515</v>
      </c>
      <c r="E223" s="5">
        <f>1/(1+EXP(MIN(700,MAX(-700,(C223-Dashboard!$C$18)/Dashboard!$C$19))))</f>
        <v>0.59548001028374831</v>
      </c>
      <c r="F223" s="5">
        <f t="shared" si="19"/>
        <v>0.31860044057616327</v>
      </c>
      <c r="G223" s="8">
        <f>Dashboard!$C$9*B223*Dashboard!$C$11*(1-F223)</f>
        <v>125757.83670724326</v>
      </c>
      <c r="H223" s="8">
        <f>Dashboard!$C$20*A223^2</f>
        <v>39072.800000000003</v>
      </c>
      <c r="I223" s="8">
        <f t="shared" si="20"/>
        <v>164830.63670724328</v>
      </c>
      <c r="J223" s="8">
        <f>Dashboard!$C$13*A223</f>
        <v>44200</v>
      </c>
      <c r="K223" s="8">
        <f>Dashboard!$C$14*A223</f>
        <v>66300</v>
      </c>
      <c r="L223" s="8">
        <f>Dashboard!$C$21-K223</f>
        <v>1433700</v>
      </c>
      <c r="M223" s="8">
        <f t="shared" si="21"/>
        <v>1224669.3632927567</v>
      </c>
      <c r="N223" s="8">
        <f t="shared" si="22"/>
        <v>110500</v>
      </c>
      <c r="O223" s="8">
        <f>Dashboard!$C$15*(Dashboard!$C$16*EXP(-Dashboard!$C$16*A223)*E223-(1-EXP(-Dashboard!$C$16*A223))*Dashboard!$C$17/Dashboard!$C$19*E223*(1-E223))</f>
        <v>-9.2948545435199453E-2</v>
      </c>
      <c r="P223" s="8">
        <f>Dashboard!$C$9*B223*Dashboard!$C$11*(-Dashboard!$C$12*(1-F223)-O223)+2*Dashboard!$C$20*A223</f>
        <v>8499.1680078216486</v>
      </c>
      <c r="Q223" s="8">
        <f>-P223-Dashboard!$C$13-Dashboard!$C$14</f>
        <v>-58499.168007821645</v>
      </c>
    </row>
    <row r="224" spans="1:17" x14ac:dyDescent="0.25">
      <c r="A224" s="5">
        <f>(224-2)/100</f>
        <v>2.2200000000000002</v>
      </c>
      <c r="B224" s="5">
        <f>Dashboard!$C$10*EXP(-Dashboard!$C$12*A224)</f>
        <v>9.1956658846113037E-2</v>
      </c>
      <c r="C224" s="5">
        <f>Dashboard!$C$17*A224</f>
        <v>1776.0000000000002</v>
      </c>
      <c r="D224" s="5">
        <f>Dashboard!$C$15*(1-EXP(-Dashboard!$C$16*A224))</f>
        <v>0.53635283113984877</v>
      </c>
      <c r="E224" s="5">
        <f>1/(1+EXP(MIN(700,MAX(-700,(C224-Dashboard!$C$18)/Dashboard!$C$19))))</f>
        <v>0.59226418306079132</v>
      </c>
      <c r="F224" s="5">
        <f t="shared" si="19"/>
        <v>0.31766257136738507</v>
      </c>
      <c r="G224" s="8">
        <f>Dashboard!$C$9*B224*Dashboard!$C$11*(1-F224)</f>
        <v>125490.94028540673</v>
      </c>
      <c r="H224" s="8">
        <f>Dashboard!$C$20*A224^2</f>
        <v>39427.200000000004</v>
      </c>
      <c r="I224" s="8">
        <f t="shared" si="20"/>
        <v>164918.14028540673</v>
      </c>
      <c r="J224" s="8">
        <f>Dashboard!$C$13*A224</f>
        <v>44400.000000000007</v>
      </c>
      <c r="K224" s="8">
        <f>Dashboard!$C$14*A224</f>
        <v>66600</v>
      </c>
      <c r="L224" s="8">
        <f>Dashboard!$C$21-K224</f>
        <v>1433400</v>
      </c>
      <c r="M224" s="8">
        <f t="shared" si="21"/>
        <v>1224081.8597145933</v>
      </c>
      <c r="N224" s="8">
        <f t="shared" si="22"/>
        <v>111000</v>
      </c>
      <c r="O224" s="8">
        <f>Dashboard!$C$15*(Dashboard!$C$16*EXP(-Dashboard!$C$16*A224)*E224-(1-EXP(-Dashboard!$C$16*A224))*Dashboard!$C$17/Dashboard!$C$19*E224*(1-E224))</f>
        <v>-9.4622156522696635E-2</v>
      </c>
      <c r="P224" s="8">
        <f>Dashboard!$C$9*B224*Dashboard!$C$11*(-Dashboard!$C$12*(1-F224)-O224)+2*Dashboard!$C$20*A224</f>
        <v>9000.4456333898961</v>
      </c>
      <c r="Q224" s="8">
        <f>-P224-Dashboard!$C$13-Dashboard!$C$14</f>
        <v>-59000.4456333899</v>
      </c>
    </row>
    <row r="225" spans="1:17" x14ac:dyDescent="0.25">
      <c r="A225" s="5">
        <f>(225-2)/100</f>
        <v>2.23</v>
      </c>
      <c r="B225" s="5">
        <f>Dashboard!$C$10*EXP(-Dashboard!$C$12*A225)</f>
        <v>9.1635373118154687E-2</v>
      </c>
      <c r="C225" s="5">
        <f>Dashboard!$C$17*A225</f>
        <v>1784</v>
      </c>
      <c r="D225" s="5">
        <f>Dashboard!$C$15*(1-EXP(-Dashboard!$C$16*A225))</f>
        <v>0.53766777688032918</v>
      </c>
      <c r="E225" s="5">
        <f>1/(1+EXP(MIN(700,MAX(-700,(C225-Dashboard!$C$18)/Dashboard!$C$19))))</f>
        <v>0.58904043405866513</v>
      </c>
      <c r="F225" s="5">
        <f t="shared" si="19"/>
        <v>0.3167080606729466</v>
      </c>
      <c r="G225" s="8">
        <f>Dashboard!$C$9*B225*Dashboard!$C$11*(1-F225)</f>
        <v>125227.4236177241</v>
      </c>
      <c r="H225" s="8">
        <f>Dashboard!$C$20*A225^2</f>
        <v>39783.200000000004</v>
      </c>
      <c r="I225" s="8">
        <f t="shared" si="20"/>
        <v>165010.62361772411</v>
      </c>
      <c r="J225" s="8">
        <f>Dashboard!$C$13*A225</f>
        <v>44600</v>
      </c>
      <c r="K225" s="8">
        <f>Dashboard!$C$14*A225</f>
        <v>66900</v>
      </c>
      <c r="L225" s="8">
        <f>Dashboard!$C$21-K225</f>
        <v>1433100</v>
      </c>
      <c r="M225" s="8">
        <f t="shared" si="21"/>
        <v>1223489.376382276</v>
      </c>
      <c r="N225" s="8">
        <f t="shared" si="22"/>
        <v>111500</v>
      </c>
      <c r="O225" s="8">
        <f>Dashboard!$C$15*(Dashboard!$C$16*EXP(-Dashboard!$C$16*A225)*E225-(1-EXP(-Dashboard!$C$16*A225))*Dashboard!$C$17/Dashboard!$C$19*E225*(1-E225))</f>
        <v>-9.6276799572042077E-2</v>
      </c>
      <c r="P225" s="8">
        <f>Dashboard!$C$9*B225*Dashboard!$C$11*(-Dashboard!$C$12*(1-F225)-O225)+2*Dashboard!$C$20*A225</f>
        <v>9495.1226366083138</v>
      </c>
      <c r="Q225" s="8">
        <f>-P225-Dashboard!$C$13-Dashboard!$C$14</f>
        <v>-59495.122636608314</v>
      </c>
    </row>
    <row r="226" spans="1:17" x14ac:dyDescent="0.25">
      <c r="A226" s="5">
        <f>(226-2)/100</f>
        <v>2.2400000000000002</v>
      </c>
      <c r="B226" s="5">
        <f>Dashboard!$C$10*EXP(-Dashboard!$C$12*A226)</f>
        <v>9.1315209924662952E-2</v>
      </c>
      <c r="C226" s="5">
        <f>Dashboard!$C$17*A226</f>
        <v>1792.0000000000002</v>
      </c>
      <c r="D226" s="5">
        <f>Dashboard!$C$15*(1-EXP(-Dashboard!$C$16*A226))</f>
        <v>0.53897616430156847</v>
      </c>
      <c r="E226" s="5">
        <f>1/(1+EXP(MIN(700,MAX(-700,(C226-Dashboard!$C$18)/Dashboard!$C$19))))</f>
        <v>0.58580902156498482</v>
      </c>
      <c r="F226" s="5">
        <f t="shared" si="19"/>
        <v>0.31573709945635031</v>
      </c>
      <c r="G226" s="8">
        <f>Dashboard!$C$9*B226*Dashboard!$C$11*(1-F226)</f>
        <v>124967.22081360428</v>
      </c>
      <c r="H226" s="8">
        <f>Dashboard!$C$20*A226^2</f>
        <v>40140.800000000003</v>
      </c>
      <c r="I226" s="8">
        <f t="shared" si="20"/>
        <v>165108.02081360429</v>
      </c>
      <c r="J226" s="8">
        <f>Dashboard!$C$13*A226</f>
        <v>44800.000000000007</v>
      </c>
      <c r="K226" s="8">
        <f>Dashboard!$C$14*A226</f>
        <v>67200</v>
      </c>
      <c r="L226" s="8">
        <f>Dashboard!$C$21-K226</f>
        <v>1432800</v>
      </c>
      <c r="M226" s="8">
        <f t="shared" si="21"/>
        <v>1222891.9791863956</v>
      </c>
      <c r="N226" s="8">
        <f t="shared" si="22"/>
        <v>112000</v>
      </c>
      <c r="O226" s="8">
        <f>Dashboard!$C$15*(Dashboard!$C$16*EXP(-Dashboard!$C$16*A226)*E226-(1-EXP(-Dashboard!$C$16*A226))*Dashboard!$C$17/Dashboard!$C$19*E226*(1-E226))</f>
        <v>-9.7912218638260495E-2</v>
      </c>
      <c r="P226" s="8">
        <f>Dashboard!$C$9*B226*Dashboard!$C$11*(-Dashboard!$C$12*(1-F226)-O226)+2*Dashboard!$C$20*A226</f>
        <v>9983.2223135230124</v>
      </c>
      <c r="Q226" s="8">
        <f>-P226-Dashboard!$C$13-Dashboard!$C$14</f>
        <v>-59983.222313523016</v>
      </c>
    </row>
    <row r="227" spans="1:17" x14ac:dyDescent="0.25">
      <c r="A227" s="5">
        <f>(227-2)/100</f>
        <v>2.25</v>
      </c>
      <c r="B227" s="5">
        <f>Dashboard!$C$10*EXP(-Dashboard!$C$12*A227)</f>
        <v>9.0996165343634708E-2</v>
      </c>
      <c r="C227" s="5">
        <f>Dashboard!$C$17*A227</f>
        <v>1800</v>
      </c>
      <c r="D227" s="5">
        <f>Dashboard!$C$15*(1-EXP(-Dashboard!$C$16*A227))</f>
        <v>0.54027802611332021</v>
      </c>
      <c r="E227" s="5">
        <f>1/(1+EXP(MIN(700,MAX(-700,(C227-Dashboard!$C$18)/Dashboard!$C$19))))</f>
        <v>0.58257020646231472</v>
      </c>
      <c r="F227" s="5">
        <f t="shared" si="19"/>
        <v>0.31474988121988884</v>
      </c>
      <c r="G227" s="8">
        <f>Dashboard!$C$9*B227*Dashboard!$C$11*(1-F227)</f>
        <v>124710.26622052066</v>
      </c>
      <c r="H227" s="8">
        <f>Dashboard!$C$20*A227^2</f>
        <v>40500</v>
      </c>
      <c r="I227" s="8">
        <f t="shared" si="20"/>
        <v>165210.26622052066</v>
      </c>
      <c r="J227" s="8">
        <f>Dashboard!$C$13*A227</f>
        <v>45000</v>
      </c>
      <c r="K227" s="8">
        <f>Dashboard!$C$14*A227</f>
        <v>67500</v>
      </c>
      <c r="L227" s="8">
        <f>Dashboard!$C$21-K227</f>
        <v>1432500</v>
      </c>
      <c r="M227" s="8">
        <f t="shared" si="21"/>
        <v>1222289.7337794793</v>
      </c>
      <c r="N227" s="8">
        <f t="shared" si="22"/>
        <v>112500</v>
      </c>
      <c r="O227" s="8">
        <f>Dashboard!$C$15*(Dashboard!$C$16*EXP(-Dashboard!$C$16*A227)*E227-(1-EXP(-Dashboard!$C$16*A227))*Dashboard!$C$17/Dashboard!$C$19*E227*(1-E227))</f>
        <v>-9.9528161936524084E-2</v>
      </c>
      <c r="P227" s="8">
        <f>Dashboard!$C$9*B227*Dashboard!$C$11*(-Dashboard!$C$12*(1-F227)-O227)+2*Dashboard!$C$20*A227</f>
        <v>10464.768982665766</v>
      </c>
      <c r="Q227" s="8">
        <f>-P227-Dashboard!$C$13-Dashboard!$C$14</f>
        <v>-60464.768982665766</v>
      </c>
    </row>
    <row r="228" spans="1:17" x14ac:dyDescent="0.25">
      <c r="A228" s="5">
        <f>(228-2)/100</f>
        <v>2.2599999999999998</v>
      </c>
      <c r="B228" s="5">
        <f>Dashboard!$C$10*EXP(-Dashboard!$C$12*A228)</f>
        <v>9.0678235466769855E-2</v>
      </c>
      <c r="C228" s="5">
        <f>Dashboard!$C$17*A228</f>
        <v>1807.9999999999998</v>
      </c>
      <c r="D228" s="5">
        <f>Dashboard!$C$15*(1-EXP(-Dashboard!$C$16*A228))</f>
        <v>0.54157339486219769</v>
      </c>
      <c r="E228" s="5">
        <f>1/(1+EXP(MIN(700,MAX(-700,(C228-Dashboard!$C$18)/Dashboard!$C$19))))</f>
        <v>0.5793242521487495</v>
      </c>
      <c r="F228" s="5">
        <f t="shared" si="19"/>
        <v>0.31374660196220211</v>
      </c>
      <c r="G228" s="8">
        <f>Dashboard!$C$9*B228*Dashboard!$C$11*(1-F228)</f>
        <v>124456.49443428473</v>
      </c>
      <c r="H228" s="8">
        <f>Dashboard!$C$20*A228^2</f>
        <v>40860.799999999988</v>
      </c>
      <c r="I228" s="8">
        <f t="shared" si="20"/>
        <v>165317.29443428473</v>
      </c>
      <c r="J228" s="8">
        <f>Dashboard!$C$13*A228</f>
        <v>45199.999999999993</v>
      </c>
      <c r="K228" s="8">
        <f>Dashboard!$C$14*A228</f>
        <v>67800</v>
      </c>
      <c r="L228" s="8">
        <f>Dashboard!$C$21-K228</f>
        <v>1432200</v>
      </c>
      <c r="M228" s="8">
        <f t="shared" si="21"/>
        <v>1221682.7055657152</v>
      </c>
      <c r="N228" s="8">
        <f t="shared" si="22"/>
        <v>113000</v>
      </c>
      <c r="O228" s="8">
        <f>Dashboard!$C$15*(Dashboard!$C$16*EXP(-Dashboard!$C$16*A228)*E228-(1-EXP(-Dashboard!$C$16*A228))*Dashboard!$C$17/Dashboard!$C$19*E228*(1-E228))</f>
        <v>-0.10112438200991854</v>
      </c>
      <c r="P228" s="8">
        <f>Dashboard!$C$9*B228*Dashboard!$C$11*(-Dashboard!$C$12*(1-F228)-O228)+2*Dashboard!$C$20*A228</f>
        <v>10939.7879946543</v>
      </c>
      <c r="Q228" s="8">
        <f>-P228-Dashboard!$C$13-Dashboard!$C$14</f>
        <v>-60939.787994654296</v>
      </c>
    </row>
    <row r="229" spans="1:17" x14ac:dyDescent="0.25">
      <c r="A229" s="5">
        <f>(229-2)/100</f>
        <v>2.27</v>
      </c>
      <c r="B229" s="5">
        <f>Dashboard!$C$10*EXP(-Dashboard!$C$12*A229)</f>
        <v>9.0361416399423411E-2</v>
      </c>
      <c r="C229" s="5">
        <f>Dashboard!$C$17*A229</f>
        <v>1816</v>
      </c>
      <c r="D229" s="5">
        <f>Dashboard!$C$15*(1-EXP(-Dashboard!$C$16*A229))</f>
        <v>0.54286230293248694</v>
      </c>
      <c r="E229" s="5">
        <f>1/(1+EXP(MIN(700,MAX(-700,(C229-Dashboard!$C$18)/Dashboard!$C$19))))</f>
        <v>0.57607142445671211</v>
      </c>
      <c r="F229" s="5">
        <f t="shared" si="19"/>
        <v>0.31272746013416891</v>
      </c>
      <c r="G229" s="8">
        <f>Dashboard!$C$9*B229*Dashboard!$C$11*(1-F229)</f>
        <v>124205.84030941137</v>
      </c>
      <c r="H229" s="8">
        <f>Dashboard!$C$20*A229^2</f>
        <v>41223.199999999997</v>
      </c>
      <c r="I229" s="8">
        <f t="shared" si="20"/>
        <v>165429.04030941136</v>
      </c>
      <c r="J229" s="8">
        <f>Dashboard!$C$13*A229</f>
        <v>45400</v>
      </c>
      <c r="K229" s="8">
        <f>Dashboard!$C$14*A229</f>
        <v>68100</v>
      </c>
      <c r="L229" s="8">
        <f>Dashboard!$C$21-K229</f>
        <v>1431900</v>
      </c>
      <c r="M229" s="8">
        <f t="shared" si="21"/>
        <v>1221070.9596905885</v>
      </c>
      <c r="N229" s="8">
        <f t="shared" si="22"/>
        <v>113500</v>
      </c>
      <c r="O229" s="8">
        <f>Dashboard!$C$15*(Dashboard!$C$16*EXP(-Dashboard!$C$16*A229)*E229-(1-EXP(-Dashboard!$C$16*A229))*Dashboard!$C$17/Dashboard!$C$19*E229*(1-E229))</f>
        <v>-0.10270063589499774</v>
      </c>
      <c r="P229" s="8">
        <f>Dashboard!$C$9*B229*Dashboard!$C$11*(-Dashboard!$C$12*(1-F229)-O229)+2*Dashboard!$C$20*A229</f>
        <v>11408.305740892945</v>
      </c>
      <c r="Q229" s="8">
        <f>-P229-Dashboard!$C$13-Dashboard!$C$14</f>
        <v>-61408.305740892945</v>
      </c>
    </row>
    <row r="230" spans="1:17" x14ac:dyDescent="0.25">
      <c r="A230" s="5">
        <f>(230-2)/100</f>
        <v>2.2799999999999998</v>
      </c>
      <c r="B230" s="5">
        <f>Dashboard!$C$10*EXP(-Dashboard!$C$12*A230)</f>
        <v>9.0045704260557857E-2</v>
      </c>
      <c r="C230" s="5">
        <f>Dashboard!$C$17*A230</f>
        <v>1823.9999999999998</v>
      </c>
      <c r="D230" s="5">
        <f>Dashboard!$C$15*(1-EXP(-Dashboard!$C$16*A230))</f>
        <v>0.54414478254695686</v>
      </c>
      <c r="E230" s="5">
        <f>1/(1+EXP(MIN(700,MAX(-700,(C230-Dashboard!$C$18)/Dashboard!$C$19))))</f>
        <v>0.57281199157001395</v>
      </c>
      <c r="F230" s="5">
        <f t="shared" si="19"/>
        <v>0.31169265659315454</v>
      </c>
      <c r="G230" s="8">
        <f>Dashboard!$C$9*B230*Dashboard!$C$11*(1-F230)</f>
        <v>123958.23896956608</v>
      </c>
      <c r="H230" s="8">
        <f>Dashboard!$C$20*A230^2</f>
        <v>41587.199999999997</v>
      </c>
      <c r="I230" s="8">
        <f t="shared" si="20"/>
        <v>165545.43896956608</v>
      </c>
      <c r="J230" s="8">
        <f>Dashboard!$C$13*A230</f>
        <v>45599.999999999993</v>
      </c>
      <c r="K230" s="8">
        <f>Dashboard!$C$14*A230</f>
        <v>68400</v>
      </c>
      <c r="L230" s="8">
        <f>Dashboard!$C$21-K230</f>
        <v>1431600</v>
      </c>
      <c r="M230" s="8">
        <f t="shared" si="21"/>
        <v>1220454.561030434</v>
      </c>
      <c r="N230" s="8">
        <f t="shared" si="22"/>
        <v>114000</v>
      </c>
      <c r="O230" s="8">
        <f>Dashboard!$C$15*(Dashboard!$C$16*EXP(-Dashboard!$C$16*A230)*E230-(1-EXP(-Dashboard!$C$16*A230))*Dashboard!$C$17/Dashboard!$C$19*E230*(1-E230))</f>
        <v>-0.10425668528494669</v>
      </c>
      <c r="P230" s="8">
        <f>Dashboard!$C$9*B230*Dashboard!$C$11*(-Dashboard!$C$12*(1-F230)-O230)+2*Dashboard!$C$20*A230</f>
        <v>11870.349661360604</v>
      </c>
      <c r="Q230" s="8">
        <f>-P230-Dashboard!$C$13-Dashboard!$C$14</f>
        <v>-61870.349661360604</v>
      </c>
    </row>
    <row r="231" spans="1:17" x14ac:dyDescent="0.25">
      <c r="A231" s="5">
        <f>(231-2)/100</f>
        <v>2.29</v>
      </c>
      <c r="B231" s="5">
        <f>Dashboard!$C$10*EXP(-Dashboard!$C$12*A231)</f>
        <v>8.9731095182695522E-2</v>
      </c>
      <c r="C231" s="5">
        <f>Dashboard!$C$17*A231</f>
        <v>1832</v>
      </c>
      <c r="D231" s="5">
        <f>Dashboard!$C$15*(1-EXP(-Dashboard!$C$16*A231))</f>
        <v>0.54542086576766469</v>
      </c>
      <c r="E231" s="5">
        <f>1/(1+EXP(MIN(700,MAX(-700,(C231-Dashboard!$C$18)/Dashboard!$C$19))))</f>
        <v>0.56954622393922905</v>
      </c>
      <c r="F231" s="5">
        <f t="shared" ref="F231:F294" si="23">D231*E231</f>
        <v>0.31064239455563852</v>
      </c>
      <c r="G231" s="8">
        <f>Dashboard!$C$9*B231*Dashboard!$C$11*(1-F231)</f>
        <v>123713.62581808613</v>
      </c>
      <c r="H231" s="8">
        <f>Dashboard!$C$20*A231^2</f>
        <v>41952.800000000003</v>
      </c>
      <c r="I231" s="8">
        <f t="shared" ref="I231:I294" si="24">G231+H231</f>
        <v>165666.42581808614</v>
      </c>
      <c r="J231" s="8">
        <f>Dashboard!$C$13*A231</f>
        <v>45800</v>
      </c>
      <c r="K231" s="8">
        <f>Dashboard!$C$14*A231</f>
        <v>68700</v>
      </c>
      <c r="L231" s="8">
        <f>Dashboard!$C$21-K231</f>
        <v>1431300</v>
      </c>
      <c r="M231" s="8">
        <f t="shared" ref="M231:M294" si="25">L231-I231-J231</f>
        <v>1219833.5741819139</v>
      </c>
      <c r="N231" s="8">
        <f t="shared" ref="N231:N294" si="26">J231+K231</f>
        <v>114500</v>
      </c>
      <c r="O231" s="8">
        <f>Dashboard!$C$15*(Dashboard!$C$16*EXP(-Dashboard!$C$16*A231)*E231-(1-EXP(-Dashboard!$C$16*A231))*Dashboard!$C$17/Dashboard!$C$19*E231*(1-E231))</f>
        <v>-0.10579229669017365</v>
      </c>
      <c r="P231" s="8">
        <f>Dashboard!$C$9*B231*Dashboard!$C$11*(-Dashboard!$C$12*(1-F231)-O231)+2*Dashboard!$C$20*A231</f>
        <v>12325.948251473728</v>
      </c>
      <c r="Q231" s="8">
        <f>-P231-Dashboard!$C$13-Dashboard!$C$14</f>
        <v>-62325.948251473732</v>
      </c>
    </row>
    <row r="232" spans="1:17" x14ac:dyDescent="0.25">
      <c r="A232" s="5">
        <f>(232-2)/100</f>
        <v>2.2999999999999998</v>
      </c>
      <c r="B232" s="5">
        <f>Dashboard!$C$10*EXP(-Dashboard!$C$12*A232)</f>
        <v>8.94175853118713E-2</v>
      </c>
      <c r="C232" s="5">
        <f>Dashboard!$C$17*A232</f>
        <v>1839.9999999999998</v>
      </c>
      <c r="D232" s="5">
        <f>Dashboard!$C$15*(1-EXP(-Dashboard!$C$16*A232))</f>
        <v>0.54669058449675745</v>
      </c>
      <c r="E232" s="5">
        <f>1/(1+EXP(MIN(700,MAX(-700,(C232-Dashboard!$C$18)/Dashboard!$C$19))))</f>
        <v>0.56627439419543923</v>
      </c>
      <c r="F232" s="5">
        <f t="shared" si="23"/>
        <v>0.30957687954825192</v>
      </c>
      <c r="G232" s="8">
        <f>Dashboard!$C$9*B232*Dashboard!$C$11*(1-F232)</f>
        <v>123471.93654856517</v>
      </c>
      <c r="H232" s="8">
        <f>Dashboard!$C$20*A232^2</f>
        <v>42319.999999999993</v>
      </c>
      <c r="I232" s="8">
        <f t="shared" si="24"/>
        <v>165791.93654856517</v>
      </c>
      <c r="J232" s="8">
        <f>Dashboard!$C$13*A232</f>
        <v>46000</v>
      </c>
      <c r="K232" s="8">
        <f>Dashboard!$C$14*A232</f>
        <v>69000</v>
      </c>
      <c r="L232" s="8">
        <f>Dashboard!$C$21-K232</f>
        <v>1431000</v>
      </c>
      <c r="M232" s="8">
        <f t="shared" si="25"/>
        <v>1219208.063451435</v>
      </c>
      <c r="N232" s="8">
        <f t="shared" si="26"/>
        <v>115000</v>
      </c>
      <c r="O232" s="8">
        <f>Dashboard!$C$15*(Dashboard!$C$16*EXP(-Dashboard!$C$16*A232)*E232-(1-EXP(-Dashboard!$C$16*A232))*Dashboard!$C$17/Dashboard!$C$19*E232*(1-E232))</f>
        <v>-0.10730724159615168</v>
      </c>
      <c r="P232" s="8">
        <f>Dashboard!$C$9*B232*Dashboard!$C$11*(-Dashboard!$C$12*(1-F232)-O232)+2*Dashboard!$C$20*A232</f>
        <v>12775.13106801315</v>
      </c>
      <c r="Q232" s="8">
        <f>-P232-Dashboard!$C$13-Dashboard!$C$14</f>
        <v>-62775.13106801315</v>
      </c>
    </row>
    <row r="233" spans="1:17" x14ac:dyDescent="0.25">
      <c r="A233" s="5">
        <f>(233-2)/100</f>
        <v>2.31</v>
      </c>
      <c r="B233" s="5">
        <f>Dashboard!$C$10*EXP(-Dashboard!$C$12*A233)</f>
        <v>8.9105170807585315E-2</v>
      </c>
      <c r="C233" s="5">
        <f>Dashboard!$C$17*A233</f>
        <v>1848</v>
      </c>
      <c r="D233" s="5">
        <f>Dashboard!$C$15*(1-EXP(-Dashboard!$C$16*A233))</f>
        <v>0.54795397047726935</v>
      </c>
      <c r="E233" s="5">
        <f>1/(1+EXP(MIN(700,MAX(-700,(C233-Dashboard!$C$18)/Dashboard!$C$19))))</f>
        <v>0.56299677706240048</v>
      </c>
      <c r="F233" s="5">
        <f t="shared" si="23"/>
        <v>0.30849631935724836</v>
      </c>
      <c r="G233" s="8">
        <f>Dashboard!$C$9*B233*Dashboard!$C$11*(1-F233)</f>
        <v>123233.10715549263</v>
      </c>
      <c r="H233" s="8">
        <f>Dashboard!$C$20*A233^2</f>
        <v>42688.800000000003</v>
      </c>
      <c r="I233" s="8">
        <f t="shared" si="24"/>
        <v>165921.90715549263</v>
      </c>
      <c r="J233" s="8">
        <f>Dashboard!$C$13*A233</f>
        <v>46200</v>
      </c>
      <c r="K233" s="8">
        <f>Dashboard!$C$14*A233</f>
        <v>69300</v>
      </c>
      <c r="L233" s="8">
        <f>Dashboard!$C$21-K233</f>
        <v>1430700</v>
      </c>
      <c r="M233" s="8">
        <f t="shared" si="25"/>
        <v>1218578.0928445074</v>
      </c>
      <c r="N233" s="8">
        <f t="shared" si="26"/>
        <v>115500</v>
      </c>
      <c r="O233" s="8">
        <f>Dashboard!$C$15*(Dashboard!$C$16*EXP(-Dashboard!$C$16*A233)*E233-(1-EXP(-Dashboard!$C$16*A233))*Dashboard!$C$17/Dashboard!$C$19*E233*(1-E233))</f>
        <v>-0.10880129661833667</v>
      </c>
      <c r="P233" s="8">
        <f>Dashboard!$C$9*B233*Dashboard!$C$11*(-Dashboard!$C$12*(1-F233)-O233)+2*Dashboard!$C$20*A233</f>
        <v>13217.928734104866</v>
      </c>
      <c r="Q233" s="8">
        <f>-P233-Dashboard!$C$13-Dashboard!$C$14</f>
        <v>-63217.928734104862</v>
      </c>
    </row>
    <row r="234" spans="1:17" x14ac:dyDescent="0.25">
      <c r="A234" s="5">
        <f>(234-2)/100</f>
        <v>2.3199999999999998</v>
      </c>
      <c r="B234" s="5">
        <f>Dashboard!$C$10*EXP(-Dashboard!$C$12*A234)</f>
        <v>8.8793847842756013E-2</v>
      </c>
      <c r="C234" s="5">
        <f>Dashboard!$C$17*A234</f>
        <v>1855.9999999999998</v>
      </c>
      <c r="D234" s="5">
        <f>Dashboard!$C$15*(1-EXP(-Dashboard!$C$16*A234))</f>
        <v>0.54921105529391578</v>
      </c>
      <c r="E234" s="5">
        <f>1/(1+EXP(MIN(700,MAX(-700,(C234-Dashboard!$C$18)/Dashboard!$C$19))))</f>
        <v>0.55971364926719303</v>
      </c>
      <c r="F234" s="5">
        <f t="shared" si="23"/>
        <v>0.30740092397644375</v>
      </c>
      <c r="G234" s="8">
        <f>Dashboard!$C$9*B234*Dashboard!$C$11*(1-F234)</f>
        <v>122997.07394493814</v>
      </c>
      <c r="H234" s="8">
        <f>Dashboard!$C$20*A234^2</f>
        <v>43059.199999999997</v>
      </c>
      <c r="I234" s="8">
        <f t="shared" si="24"/>
        <v>166056.27394493815</v>
      </c>
      <c r="J234" s="8">
        <f>Dashboard!$C$13*A234</f>
        <v>46400</v>
      </c>
      <c r="K234" s="8">
        <f>Dashboard!$C$14*A234</f>
        <v>69600</v>
      </c>
      <c r="L234" s="8">
        <f>Dashboard!$C$21-K234</f>
        <v>1430400</v>
      </c>
      <c r="M234" s="8">
        <f t="shared" si="25"/>
        <v>1217943.7260550619</v>
      </c>
      <c r="N234" s="8">
        <f t="shared" si="26"/>
        <v>116000</v>
      </c>
      <c r="O234" s="8">
        <f>Dashboard!$C$15*(Dashboard!$C$16*EXP(-Dashboard!$C$16*A234)*E234-(1-EXP(-Dashboard!$C$16*A234))*Dashboard!$C$17/Dashboard!$C$19*E234*(1-E234))</f>
        <v>-0.11027424365398658</v>
      </c>
      <c r="P234" s="8">
        <f>Dashboard!$C$9*B234*Dashboard!$C$11*(-Dashboard!$C$12*(1-F234)-O234)+2*Dashboard!$C$20*A234</f>
        <v>13654.372943245831</v>
      </c>
      <c r="Q234" s="8">
        <f>-P234-Dashboard!$C$13-Dashboard!$C$14</f>
        <v>-63654.372943245835</v>
      </c>
    </row>
    <row r="235" spans="1:17" x14ac:dyDescent="0.25">
      <c r="A235" s="5">
        <f>(235-2)/100</f>
        <v>2.33</v>
      </c>
      <c r="B235" s="5">
        <f>Dashboard!$C$10*EXP(-Dashboard!$C$12*A235)</f>
        <v>8.848361260367317E-2</v>
      </c>
      <c r="C235" s="5">
        <f>Dashboard!$C$17*A235</f>
        <v>1864</v>
      </c>
      <c r="D235" s="5">
        <f>Dashboard!$C$15*(1-EXP(-Dashboard!$C$16*A235))</f>
        <v>0.55046187037388261</v>
      </c>
      <c r="E235" s="5">
        <f>1/(1+EXP(MIN(700,MAX(-700,(C235-Dashboard!$C$18)/Dashboard!$C$19))))</f>
        <v>0.55642528944941017</v>
      </c>
      <c r="F235" s="5">
        <f t="shared" si="23"/>
        <v>0.30629090555365135</v>
      </c>
      <c r="G235" s="8">
        <f>Dashboard!$C$9*B235*Dashboard!$C$11*(1-F235)</f>
        <v>122763.77354527128</v>
      </c>
      <c r="H235" s="8">
        <f>Dashboard!$C$20*A235^2</f>
        <v>43431.200000000004</v>
      </c>
      <c r="I235" s="8">
        <f t="shared" si="24"/>
        <v>166194.97354527129</v>
      </c>
      <c r="J235" s="8">
        <f>Dashboard!$C$13*A235</f>
        <v>46600</v>
      </c>
      <c r="K235" s="8">
        <f>Dashboard!$C$14*A235</f>
        <v>69900</v>
      </c>
      <c r="L235" s="8">
        <f>Dashboard!$C$21-K235</f>
        <v>1430100</v>
      </c>
      <c r="M235" s="8">
        <f t="shared" si="25"/>
        <v>1217305.0264547288</v>
      </c>
      <c r="N235" s="8">
        <f t="shared" si="26"/>
        <v>116500</v>
      </c>
      <c r="O235" s="8">
        <f>Dashboard!$C$15*(Dashboard!$C$16*EXP(-Dashboard!$C$16*A235)*E235-(1-EXP(-Dashboard!$C$16*A235))*Dashboard!$C$17/Dashboard!$C$19*E235*(1-E235))</f>
        <v>-0.11172587003071351</v>
      </c>
      <c r="P235" s="8">
        <f>Dashboard!$C$9*B235*Dashboard!$C$11*(-Dashboard!$C$12*(1-F235)-O235)+2*Dashboard!$C$20*A235</f>
        <v>14084.496462367046</v>
      </c>
      <c r="Q235" s="8">
        <f>-P235-Dashboard!$C$13-Dashboard!$C$14</f>
        <v>-64084.496462367046</v>
      </c>
    </row>
    <row r="236" spans="1:17" x14ac:dyDescent="0.25">
      <c r="A236" s="5">
        <f>(236-2)/100</f>
        <v>2.34</v>
      </c>
      <c r="B236" s="5">
        <f>Dashboard!$C$10*EXP(-Dashboard!$C$12*A236)</f>
        <v>8.8174461289951239E-2</v>
      </c>
      <c r="C236" s="5">
        <f>Dashboard!$C$17*A236</f>
        <v>1872</v>
      </c>
      <c r="D236" s="5">
        <f>Dashboard!$C$15*(1-EXP(-Dashboard!$C$16*A236))</f>
        <v>0.55170644698761195</v>
      </c>
      <c r="E236" s="5">
        <f>1/(1+EXP(MIN(700,MAX(-700,(C236-Dashboard!$C$18)/Dashboard!$C$19))))</f>
        <v>0.5531319780689512</v>
      </c>
      <c r="F236" s="5">
        <f t="shared" si="23"/>
        <v>0.30516647833565075</v>
      </c>
      <c r="G236" s="8">
        <f>Dashboard!$C$9*B236*Dashboard!$C$11*(1-F236)</f>
        <v>122533.14291790732</v>
      </c>
      <c r="H236" s="8">
        <f>Dashboard!$C$20*A236^2</f>
        <v>43804.799999999996</v>
      </c>
      <c r="I236" s="8">
        <f t="shared" si="24"/>
        <v>166337.94291790732</v>
      </c>
      <c r="J236" s="8">
        <f>Dashboard!$C$13*A236</f>
        <v>46800</v>
      </c>
      <c r="K236" s="8">
        <f>Dashboard!$C$14*A236</f>
        <v>70200</v>
      </c>
      <c r="L236" s="8">
        <f>Dashboard!$C$21-K236</f>
        <v>1429800</v>
      </c>
      <c r="M236" s="8">
        <f t="shared" si="25"/>
        <v>1216662.0570820926</v>
      </c>
      <c r="N236" s="8">
        <f t="shared" si="26"/>
        <v>117000</v>
      </c>
      <c r="O236" s="8">
        <f>Dashboard!$C$15*(Dashboard!$C$16*EXP(-Dashboard!$C$16*A236)*E236-(1-EXP(-Dashboard!$C$16*A236))*Dashboard!$C$17/Dashboard!$C$19*E236*(1-E236))</f>
        <v>-0.1131559686516003</v>
      </c>
      <c r="P236" s="8">
        <f>Dashboard!$C$9*B236*Dashboard!$C$11*(-Dashboard!$C$12*(1-F236)-O236)+2*Dashboard!$C$20*A236</f>
        <v>14508.333133927372</v>
      </c>
      <c r="Q236" s="8">
        <f>-P236-Dashboard!$C$13-Dashboard!$C$14</f>
        <v>-64508.333133927372</v>
      </c>
    </row>
    <row r="237" spans="1:17" x14ac:dyDescent="0.25">
      <c r="A237" s="5">
        <f>(237-2)/100</f>
        <v>2.35</v>
      </c>
      <c r="B237" s="5">
        <f>Dashboard!$C$10*EXP(-Dashboard!$C$12*A237)</f>
        <v>8.7866390114482731E-2</v>
      </c>
      <c r="C237" s="5">
        <f>Dashboard!$C$17*A237</f>
        <v>1880</v>
      </c>
      <c r="D237" s="5">
        <f>Dashboard!$C$15*(1-EXP(-Dashboard!$C$16*A237))</f>
        <v>0.55294481624958414</v>
      </c>
      <c r="E237" s="5">
        <f>1/(1+EXP(MIN(700,MAX(-700,(C237-Dashboard!$C$18)/Dashboard!$C$19))))</f>
        <v>0.54983399731247795</v>
      </c>
      <c r="F237" s="5">
        <f t="shared" si="23"/>
        <v>0.30402785861172243</v>
      </c>
      <c r="G237" s="8">
        <f>Dashboard!$C$9*B237*Dashboard!$C$11*(1-F237)</f>
        <v>122305.11936806866</v>
      </c>
      <c r="H237" s="8">
        <f>Dashboard!$C$20*A237^2</f>
        <v>44180.000000000007</v>
      </c>
      <c r="I237" s="8">
        <f t="shared" si="24"/>
        <v>166485.11936806867</v>
      </c>
      <c r="J237" s="8">
        <f>Dashboard!$C$13*A237</f>
        <v>47000</v>
      </c>
      <c r="K237" s="8">
        <f>Dashboard!$C$14*A237</f>
        <v>70500</v>
      </c>
      <c r="L237" s="8">
        <f>Dashboard!$C$21-K237</f>
        <v>1429500</v>
      </c>
      <c r="M237" s="8">
        <f t="shared" si="25"/>
        <v>1216014.8806319314</v>
      </c>
      <c r="N237" s="8">
        <f t="shared" si="26"/>
        <v>117500</v>
      </c>
      <c r="O237" s="8">
        <f>Dashboard!$C$15*(Dashboard!$C$16*EXP(-Dashboard!$C$16*A237)*E237-(1-EXP(-Dashboard!$C$16*A237))*Dashboard!$C$17/Dashboard!$C$19*E237*(1-E237))</f>
        <v>-0.11456433813671835</v>
      </c>
      <c r="P237" s="8">
        <f>Dashboard!$C$9*B237*Dashboard!$C$11*(-Dashboard!$C$12*(1-F237)-O237)+2*Dashboard!$C$20*A237</f>
        <v>14925.917877032785</v>
      </c>
      <c r="Q237" s="8">
        <f>-P237-Dashboard!$C$13-Dashboard!$C$14</f>
        <v>-64925.917877032785</v>
      </c>
    </row>
    <row r="238" spans="1:17" x14ac:dyDescent="0.25">
      <c r="A238" s="5">
        <f>(238-2)/100</f>
        <v>2.36</v>
      </c>
      <c r="B238" s="5">
        <f>Dashboard!$C$10*EXP(-Dashboard!$C$12*A238)</f>
        <v>8.7559395303391935E-2</v>
      </c>
      <c r="C238" s="5">
        <f>Dashboard!$C$17*A238</f>
        <v>1888</v>
      </c>
      <c r="D238" s="5">
        <f>Dashboard!$C$15*(1-EXP(-Dashboard!$C$16*A238))</f>
        <v>0.55417700911909495</v>
      </c>
      <c r="E238" s="5">
        <f>1/(1+EXP(MIN(700,MAX(-700,(C238-Dashboard!$C$18)/Dashboard!$C$19))))</f>
        <v>0.54653163099860003</v>
      </c>
      <c r="F238" s="5">
        <f t="shared" si="23"/>
        <v>0.30287526465578501</v>
      </c>
      <c r="G238" s="8">
        <f>Dashboard!$C$9*B238*Dashboard!$C$11*(1-F238)</f>
        <v>122079.6405555532</v>
      </c>
      <c r="H238" s="8">
        <f>Dashboard!$C$20*A238^2</f>
        <v>44556.799999999996</v>
      </c>
      <c r="I238" s="8">
        <f t="shared" si="24"/>
        <v>166636.44055555318</v>
      </c>
      <c r="J238" s="8">
        <f>Dashboard!$C$13*A238</f>
        <v>47200</v>
      </c>
      <c r="K238" s="8">
        <f>Dashboard!$C$14*A238</f>
        <v>70800</v>
      </c>
      <c r="L238" s="8">
        <f>Dashboard!$C$21-K238</f>
        <v>1429200</v>
      </c>
      <c r="M238" s="8">
        <f t="shared" si="25"/>
        <v>1215363.5594444468</v>
      </c>
      <c r="N238" s="8">
        <f t="shared" si="26"/>
        <v>118000</v>
      </c>
      <c r="O238" s="8">
        <f>Dashboard!$C$15*(Dashboard!$C$16*EXP(-Dashboard!$C$16*A238)*E238-(1-EXP(-Dashboard!$C$16*A238))*Dashboard!$C$17/Dashboard!$C$19*E238*(1-E238))</f>
        <v>-0.11595078296088741</v>
      </c>
      <c r="P238" s="8">
        <f>Dashboard!$C$9*B238*Dashboard!$C$11*(-Dashboard!$C$12*(1-F238)-O238)+2*Dashboard!$C$20*A238</f>
        <v>15337.28668757667</v>
      </c>
      <c r="Q238" s="8">
        <f>-P238-Dashboard!$C$13-Dashboard!$C$14</f>
        <v>-65337.28668757667</v>
      </c>
    </row>
    <row r="239" spans="1:17" x14ac:dyDescent="0.25">
      <c r="A239" s="5">
        <f>(239-2)/100</f>
        <v>2.37</v>
      </c>
      <c r="B239" s="5">
        <f>Dashboard!$C$10*EXP(-Dashboard!$C$12*A239)</f>
        <v>8.7253473095988535E-2</v>
      </c>
      <c r="C239" s="5">
        <f>Dashboard!$C$17*A239</f>
        <v>1896</v>
      </c>
      <c r="D239" s="5">
        <f>Dashboard!$C$15*(1-EXP(-Dashboard!$C$16*A239))</f>
        <v>0.5554030564010306</v>
      </c>
      <c r="E239" s="5">
        <f>1/(1+EXP(MIN(700,MAX(-700,(C239-Dashboard!$C$18)/Dashboard!$C$19))))</f>
        <v>0.54322516448185765</v>
      </c>
      <c r="F239" s="5">
        <f t="shared" si="23"/>
        <v>0.30170891666717631</v>
      </c>
      <c r="G239" s="8">
        <f>Dashboard!$C$9*B239*Dashboard!$C$11*(1-F239)</f>
        <v>121856.64450549845</v>
      </c>
      <c r="H239" s="8">
        <f>Dashboard!$C$20*A239^2</f>
        <v>44935.200000000004</v>
      </c>
      <c r="I239" s="8">
        <f t="shared" si="24"/>
        <v>166791.84450549845</v>
      </c>
      <c r="J239" s="8">
        <f>Dashboard!$C$13*A239</f>
        <v>47400</v>
      </c>
      <c r="K239" s="8">
        <f>Dashboard!$C$14*A239</f>
        <v>71100</v>
      </c>
      <c r="L239" s="8">
        <f>Dashboard!$C$21-K239</f>
        <v>1428900</v>
      </c>
      <c r="M239" s="8">
        <f t="shared" si="25"/>
        <v>1214708.1554945016</v>
      </c>
      <c r="N239" s="8">
        <f t="shared" si="26"/>
        <v>118500</v>
      </c>
      <c r="O239" s="8">
        <f>Dashboard!$C$15*(Dashboard!$C$16*EXP(-Dashboard!$C$16*A239)*E239-(1-EXP(-Dashboard!$C$16*A239))*Dashboard!$C$17/Dashboard!$C$19*E239*(1-E239))</f>
        <v>-0.11731511358752029</v>
      </c>
      <c r="P239" s="8">
        <f>Dashboard!$C$9*B239*Dashboard!$C$11*(-Dashboard!$C$12*(1-F239)-O239)+2*Dashboard!$C$20*A239</f>
        <v>15742.476637398631</v>
      </c>
      <c r="Q239" s="8">
        <f>-P239-Dashboard!$C$13-Dashboard!$C$14</f>
        <v>-65742.476637398635</v>
      </c>
    </row>
    <row r="240" spans="1:17" x14ac:dyDescent="0.25">
      <c r="A240" s="5">
        <f>(240-2)/100</f>
        <v>2.38</v>
      </c>
      <c r="B240" s="5">
        <f>Dashboard!$C$10*EXP(-Dashboard!$C$12*A240)</f>
        <v>8.6948619744721692E-2</v>
      </c>
      <c r="C240" s="5">
        <f>Dashboard!$C$17*A240</f>
        <v>1904</v>
      </c>
      <c r="D240" s="5">
        <f>Dashboard!$C$15*(1-EXP(-Dashboard!$C$16*A240))</f>
        <v>0.55662298874663674</v>
      </c>
      <c r="E240" s="5">
        <f>1/(1+EXP(MIN(700,MAX(-700,(C240-Dashboard!$C$18)/Dashboard!$C$19))))</f>
        <v>0.53991488455556569</v>
      </c>
      <c r="F240" s="5">
        <f t="shared" si="23"/>
        <v>0.30052903671011433</v>
      </c>
      <c r="G240" s="8">
        <f>Dashboard!$C$9*B240*Dashboard!$C$11*(1-F240)</f>
        <v>121636.0696191329</v>
      </c>
      <c r="H240" s="8">
        <f>Dashboard!$C$20*A240^2</f>
        <v>45315.199999999997</v>
      </c>
      <c r="I240" s="8">
        <f t="shared" si="24"/>
        <v>166951.26961913292</v>
      </c>
      <c r="J240" s="8">
        <f>Dashboard!$C$13*A240</f>
        <v>47600</v>
      </c>
      <c r="K240" s="8">
        <f>Dashboard!$C$14*A240</f>
        <v>71400</v>
      </c>
      <c r="L240" s="8">
        <f>Dashboard!$C$21-K240</f>
        <v>1428600</v>
      </c>
      <c r="M240" s="8">
        <f t="shared" si="25"/>
        <v>1214048.7303808671</v>
      </c>
      <c r="N240" s="8">
        <f t="shared" si="26"/>
        <v>119000</v>
      </c>
      <c r="O240" s="8">
        <f>Dashboard!$C$15*(Dashboard!$C$16*EXP(-Dashboard!$C$16*A240)*E240-(1-EXP(-Dashboard!$C$16*A240))*Dashboard!$C$17/Dashboard!$C$19*E240*(1-E240))</f>
        <v>-0.11865714659840099</v>
      </c>
      <c r="P240" s="8">
        <f>Dashboard!$C$9*B240*Dashboard!$C$11*(-Dashboard!$C$12*(1-F240)-O240)+2*Dashboard!$C$20*A240</f>
        <v>16141.525872459617</v>
      </c>
      <c r="Q240" s="8">
        <f>-P240-Dashboard!$C$13-Dashboard!$C$14</f>
        <v>-66141.525872459621</v>
      </c>
    </row>
    <row r="241" spans="1:17" x14ac:dyDescent="0.25">
      <c r="A241" s="5">
        <f>(241-2)/100</f>
        <v>2.39</v>
      </c>
      <c r="B241" s="5">
        <f>Dashboard!$C$10*EXP(-Dashboard!$C$12*A241)</f>
        <v>8.6644831515134024E-2</v>
      </c>
      <c r="C241" s="5">
        <f>Dashboard!$C$17*A241</f>
        <v>1912</v>
      </c>
      <c r="D241" s="5">
        <f>Dashboard!$C$15*(1-EXP(-Dashboard!$C$16*A241))</f>
        <v>0.55783683665428574</v>
      </c>
      <c r="E241" s="5">
        <f>1/(1+EXP(MIN(700,MAX(-700,(C241-Dashboard!$C$18)/Dashboard!$C$19))))</f>
        <v>0.53660107935359069</v>
      </c>
      <c r="F241" s="5">
        <f t="shared" si="23"/>
        <v>0.2993358486518824</v>
      </c>
      <c r="G241" s="8">
        <f>Dashboard!$C$9*B241*Dashboard!$C$11*(1-F241)</f>
        <v>121417.85468450401</v>
      </c>
      <c r="H241" s="8">
        <f>Dashboard!$C$20*A241^2</f>
        <v>45696.800000000003</v>
      </c>
      <c r="I241" s="8">
        <f t="shared" si="24"/>
        <v>167114.65468450403</v>
      </c>
      <c r="J241" s="8">
        <f>Dashboard!$C$13*A241</f>
        <v>47800</v>
      </c>
      <c r="K241" s="8">
        <f>Dashboard!$C$14*A241</f>
        <v>71700</v>
      </c>
      <c r="L241" s="8">
        <f>Dashboard!$C$21-K241</f>
        <v>1428300</v>
      </c>
      <c r="M241" s="8">
        <f t="shared" si="25"/>
        <v>1213385.345315496</v>
      </c>
      <c r="N241" s="8">
        <f t="shared" si="26"/>
        <v>119500</v>
      </c>
      <c r="O241" s="8">
        <f>Dashboard!$C$15*(Dashboard!$C$16*EXP(-Dashboard!$C$16*A241)*E241-(1-EXP(-Dashboard!$C$16*A241))*Dashboard!$C$17/Dashboard!$C$19*E241*(1-E241))</f>
        <v>-0.1199767048192506</v>
      </c>
      <c r="P241" s="8">
        <f>Dashboard!$C$9*B241*Dashboard!$C$11*(-Dashboard!$C$12*(1-F241)-O241)+2*Dashboard!$C$20*A241</f>
        <v>16534.47361003347</v>
      </c>
      <c r="Q241" s="8">
        <f>-P241-Dashboard!$C$13-Dashboard!$C$14</f>
        <v>-66534.47361003347</v>
      </c>
    </row>
    <row r="242" spans="1:17" x14ac:dyDescent="0.25">
      <c r="A242" s="5">
        <f>(242-2)/100</f>
        <v>2.4</v>
      </c>
      <c r="B242" s="5">
        <f>Dashboard!$C$10*EXP(-Dashboard!$C$12*A242)</f>
        <v>8.6342104685815949E-2</v>
      </c>
      <c r="C242" s="5">
        <f>Dashboard!$C$17*A242</f>
        <v>1920</v>
      </c>
      <c r="D242" s="5">
        <f>Dashboard!$C$15*(1-EXP(-Dashboard!$C$16*A242))</f>
        <v>0.55904463047023822</v>
      </c>
      <c r="E242" s="5">
        <f>1/(1+EXP(MIN(700,MAX(-700,(C242-Dashboard!$C$18)/Dashboard!$C$19))))</f>
        <v>0.53328403825113135</v>
      </c>
      <c r="F242" s="5">
        <f t="shared" si="23"/>
        <v>0.29812957809978013</v>
      </c>
      <c r="G242" s="8">
        <f>Dashboard!$C$9*B242*Dashboard!$C$11*(1-F242)</f>
        <v>121201.93888717316</v>
      </c>
      <c r="H242" s="8">
        <f>Dashboard!$C$20*A242^2</f>
        <v>46080</v>
      </c>
      <c r="I242" s="8">
        <f t="shared" si="24"/>
        <v>167281.93888717316</v>
      </c>
      <c r="J242" s="8">
        <f>Dashboard!$C$13*A242</f>
        <v>48000</v>
      </c>
      <c r="K242" s="8">
        <f>Dashboard!$C$14*A242</f>
        <v>72000</v>
      </c>
      <c r="L242" s="8">
        <f>Dashboard!$C$21-K242</f>
        <v>1428000</v>
      </c>
      <c r="M242" s="8">
        <f t="shared" si="25"/>
        <v>1212718.0611128269</v>
      </c>
      <c r="N242" s="8">
        <f t="shared" si="26"/>
        <v>120000</v>
      </c>
      <c r="O242" s="8">
        <f>Dashboard!$C$15*(Dashboard!$C$16*EXP(-Dashboard!$C$16*A242)*E242-(1-EXP(-Dashboard!$C$16*A242))*Dashboard!$C$17/Dashboard!$C$19*E242*(1-E242))</f>
        <v>-0.12127361744093529</v>
      </c>
      <c r="P242" s="8">
        <f>Dashboard!$C$9*B242*Dashboard!$C$11*(-Dashboard!$C$12*(1-F242)-O242)+2*Dashboard!$C$20*A242</f>
        <v>16921.360134915049</v>
      </c>
      <c r="Q242" s="8">
        <f>-P242-Dashboard!$C$13-Dashboard!$C$14</f>
        <v>-66921.360134915041</v>
      </c>
    </row>
    <row r="243" spans="1:17" x14ac:dyDescent="0.25">
      <c r="A243" s="5">
        <f>(243-2)/100</f>
        <v>2.41</v>
      </c>
      <c r="B243" s="5">
        <f>Dashboard!$C$10*EXP(-Dashboard!$C$12*A243)</f>
        <v>8.6040435548359981E-2</v>
      </c>
      <c r="C243" s="5">
        <f>Dashboard!$C$17*A243</f>
        <v>1928</v>
      </c>
      <c r="D243" s="5">
        <f>Dashboard!$C$15*(1-EXP(-Dashboard!$C$16*A243))</f>
        <v>0.56024640038940299</v>
      </c>
      <c r="E243" s="5">
        <f>1/(1+EXP(MIN(700,MAX(-700,(C243-Dashboard!$C$18)/Dashboard!$C$19))))</f>
        <v>0.52996405176457173</v>
      </c>
      <c r="F243" s="5">
        <f t="shared" si="23"/>
        <v>0.29691045233688457</v>
      </c>
      <c r="G243" s="8">
        <f>Dashboard!$C$9*B243*Dashboard!$C$11*(1-F243)</f>
        <v>120988.2618208677</v>
      </c>
      <c r="H243" s="8">
        <f>Dashboard!$C$20*A243^2</f>
        <v>46464.800000000003</v>
      </c>
      <c r="I243" s="8">
        <f t="shared" si="24"/>
        <v>167453.0618208677</v>
      </c>
      <c r="J243" s="8">
        <f>Dashboard!$C$13*A243</f>
        <v>48200</v>
      </c>
      <c r="K243" s="8">
        <f>Dashboard!$C$14*A243</f>
        <v>72300</v>
      </c>
      <c r="L243" s="8">
        <f>Dashboard!$C$21-K243</f>
        <v>1427700</v>
      </c>
      <c r="M243" s="8">
        <f t="shared" si="25"/>
        <v>1212046.9381791323</v>
      </c>
      <c r="N243" s="8">
        <f t="shared" si="26"/>
        <v>120500</v>
      </c>
      <c r="O243" s="8">
        <f>Dashboard!$C$15*(Dashboard!$C$16*EXP(-Dashboard!$C$16*A243)*E243-(1-EXP(-Dashboard!$C$16*A243))*Dashboard!$C$17/Dashboard!$C$19*E243*(1-E243))</f>
        <v>-0.12254772013618349</v>
      </c>
      <c r="P243" s="8">
        <f>Dashboard!$C$9*B243*Dashboard!$C$11*(-Dashboard!$C$12*(1-F243)-O243)+2*Dashboard!$C$20*A243</f>
        <v>17302.226794647813</v>
      </c>
      <c r="Q243" s="8">
        <f>-P243-Dashboard!$C$13-Dashboard!$C$14</f>
        <v>-67302.22679464781</v>
      </c>
    </row>
    <row r="244" spans="1:17" x14ac:dyDescent="0.25">
      <c r="A244" s="5">
        <f>(244-2)/100</f>
        <v>2.42</v>
      </c>
      <c r="B244" s="5">
        <f>Dashboard!$C$10*EXP(-Dashboard!$C$12*A244)</f>
        <v>8.5739820407315454E-2</v>
      </c>
      <c r="C244" s="5">
        <f>Dashboard!$C$17*A244</f>
        <v>1936</v>
      </c>
      <c r="D244" s="5">
        <f>Dashboard!$C$15*(1-EXP(-Dashboard!$C$16*A244))</f>
        <v>0.56144217645609007</v>
      </c>
      <c r="E244" s="5">
        <f>1/(1+EXP(MIN(700,MAX(-700,(C244-Dashboard!$C$18)/Dashboard!$C$19))))</f>
        <v>0.52664141145048393</v>
      </c>
      <c r="F244" s="5">
        <f t="shared" si="23"/>
        <v>0.29567870025666693</v>
      </c>
      <c r="G244" s="8">
        <f>Dashboard!$C$9*B244*Dashboard!$C$11*(1-F244)</f>
        <v>120776.76349808073</v>
      </c>
      <c r="H244" s="8">
        <f>Dashboard!$C$20*A244^2</f>
        <v>46851.199999999997</v>
      </c>
      <c r="I244" s="8">
        <f t="shared" si="24"/>
        <v>167627.96349808073</v>
      </c>
      <c r="J244" s="8">
        <f>Dashboard!$C$13*A244</f>
        <v>48400</v>
      </c>
      <c r="K244" s="8">
        <f>Dashboard!$C$14*A244</f>
        <v>72600</v>
      </c>
      <c r="L244" s="8">
        <f>Dashboard!$C$21-K244</f>
        <v>1427400</v>
      </c>
      <c r="M244" s="8">
        <f t="shared" si="25"/>
        <v>1211372.0365019194</v>
      </c>
      <c r="N244" s="8">
        <f t="shared" si="26"/>
        <v>121000</v>
      </c>
      <c r="O244" s="8">
        <f>Dashboard!$C$15*(Dashboard!$C$16*EXP(-Dashboard!$C$16*A244)*E244-(1-EXP(-Dashboard!$C$16*A244))*Dashboard!$C$17/Dashboard!$C$19*E244*(1-E244))</f>
        <v>-0.12379885517167499</v>
      </c>
      <c r="P244" s="8">
        <f>Dashboard!$C$9*B244*Dashboard!$C$11*(-Dashboard!$C$12*(1-F244)-O244)+2*Dashboard!$C$20*A244</f>
        <v>17677.115993773084</v>
      </c>
      <c r="Q244" s="8">
        <f>-P244-Dashboard!$C$13-Dashboard!$C$14</f>
        <v>-67677.115993773084</v>
      </c>
    </row>
    <row r="245" spans="1:17" x14ac:dyDescent="0.25">
      <c r="A245" s="5">
        <f>(245-2)/100</f>
        <v>2.4300000000000002</v>
      </c>
      <c r="B245" s="5">
        <f>Dashboard!$C$10*EXP(-Dashboard!$C$12*A245)</f>
        <v>8.5440255580143093E-2</v>
      </c>
      <c r="C245" s="5">
        <f>Dashboard!$C$17*A245</f>
        <v>1944.0000000000002</v>
      </c>
      <c r="D245" s="5">
        <f>Dashboard!$C$15*(1-EXP(-Dashboard!$C$16*A245))</f>
        <v>0.56263198856476382</v>
      </c>
      <c r="E245" s="5">
        <f>1/(1+EXP(MIN(700,MAX(-700,(C245-Dashboard!$C$18)/Dashboard!$C$19))))</f>
        <v>0.52331640980385008</v>
      </c>
      <c r="F245" s="5">
        <f t="shared" si="23"/>
        <v>0.29443455229651305</v>
      </c>
      <c r="G245" s="8">
        <f>Dashboard!$C$9*B245*Dashboard!$C$11*(1-F245)</f>
        <v>120567.38436060803</v>
      </c>
      <c r="H245" s="8">
        <f>Dashboard!$C$20*A245^2</f>
        <v>47239.200000000004</v>
      </c>
      <c r="I245" s="8">
        <f t="shared" si="24"/>
        <v>167806.58436060805</v>
      </c>
      <c r="J245" s="8">
        <f>Dashboard!$C$13*A245</f>
        <v>48600</v>
      </c>
      <c r="K245" s="8">
        <f>Dashboard!$C$14*A245</f>
        <v>72900</v>
      </c>
      <c r="L245" s="8">
        <f>Dashboard!$C$21-K245</f>
        <v>1427100</v>
      </c>
      <c r="M245" s="8">
        <f t="shared" si="25"/>
        <v>1210693.4156393919</v>
      </c>
      <c r="N245" s="8">
        <f t="shared" si="26"/>
        <v>121500</v>
      </c>
      <c r="O245" s="8">
        <f>Dashboard!$C$15*(Dashboard!$C$16*EXP(-Dashboard!$C$16*A245)*E245-(1-EXP(-Dashboard!$C$16*A245))*Dashboard!$C$17/Dashboard!$C$19*E245*(1-E245))</f>
        <v>-0.12502687151538031</v>
      </c>
      <c r="P245" s="8">
        <f>Dashboard!$C$9*B245*Dashboard!$C$11*(-Dashboard!$C$12*(1-F245)-O245)+2*Dashboard!$C$20*A245</f>
        <v>18046.071187106805</v>
      </c>
      <c r="Q245" s="8">
        <f>-P245-Dashboard!$C$13-Dashboard!$C$14</f>
        <v>-68046.071187106805</v>
      </c>
    </row>
    <row r="246" spans="1:17" x14ac:dyDescent="0.25">
      <c r="A246" s="5">
        <f>(246-2)/100</f>
        <v>2.44</v>
      </c>
      <c r="B246" s="5">
        <f>Dashboard!$C$10*EXP(-Dashboard!$C$12*A246)</f>
        <v>8.5141737397170042E-2</v>
      </c>
      <c r="C246" s="5">
        <f>Dashboard!$C$17*A246</f>
        <v>1952</v>
      </c>
      <c r="D246" s="5">
        <f>Dashboard!$C$15*(1-EXP(-Dashboard!$C$16*A246))</f>
        <v>0.56381586646078863</v>
      </c>
      <c r="E246" s="5">
        <f>1/(1+EXP(MIN(700,MAX(-700,(C246-Dashboard!$C$18)/Dashboard!$C$19))))</f>
        <v>0.51998934015558185</v>
      </c>
      <c r="F246" s="5">
        <f t="shared" si="23"/>
        <v>0.29317824037019313</v>
      </c>
      <c r="G246" s="8">
        <f>Dashboard!$C$9*B246*Dashboard!$C$11*(1-F246)</f>
        <v>120360.06529001333</v>
      </c>
      <c r="H246" s="8">
        <f>Dashboard!$C$20*A246^2</f>
        <v>47628.799999999996</v>
      </c>
      <c r="I246" s="8">
        <f t="shared" si="24"/>
        <v>167988.86529001332</v>
      </c>
      <c r="J246" s="8">
        <f>Dashboard!$C$13*A246</f>
        <v>48800</v>
      </c>
      <c r="K246" s="8">
        <f>Dashboard!$C$14*A246</f>
        <v>73200</v>
      </c>
      <c r="L246" s="8">
        <f>Dashboard!$C$21-K246</f>
        <v>1426800</v>
      </c>
      <c r="M246" s="8">
        <f t="shared" si="25"/>
        <v>1210011.1347099866</v>
      </c>
      <c r="N246" s="8">
        <f t="shared" si="26"/>
        <v>122000</v>
      </c>
      <c r="O246" s="8">
        <f>Dashboard!$C$15*(Dashboard!$C$16*EXP(-Dashboard!$C$16*A246)*E246-(1-EXP(-Dashboard!$C$16*A246))*Dashboard!$C$17/Dashboard!$C$19*E246*(1-E246))</f>
        <v>-0.12623162493902629</v>
      </c>
      <c r="P246" s="8">
        <f>Dashboard!$C$9*B246*Dashboard!$C$11*(-Dashboard!$C$12*(1-F246)-O246)+2*Dashboard!$C$20*A246</f>
        <v>18409.13687204861</v>
      </c>
      <c r="Q246" s="8">
        <f>-P246-Dashboard!$C$13-Dashboard!$C$14</f>
        <v>-68409.136872048606</v>
      </c>
    </row>
    <row r="247" spans="1:17" x14ac:dyDescent="0.25">
      <c r="A247" s="5">
        <f>(247-2)/100</f>
        <v>2.4500000000000002</v>
      </c>
      <c r="B247" s="5">
        <f>Dashboard!$C$10*EXP(-Dashboard!$C$12*A247)</f>
        <v>8.4844262201544826E-2</v>
      </c>
      <c r="C247" s="5">
        <f>Dashboard!$C$17*A247</f>
        <v>1960.0000000000002</v>
      </c>
      <c r="D247" s="5">
        <f>Dashboard!$C$15*(1-EXP(-Dashboard!$C$16*A247))</f>
        <v>0.56499383974117379</v>
      </c>
      <c r="E247" s="5">
        <f>1/(1+EXP(MIN(700,MAX(-700,(C247-Dashboard!$C$18)/Dashboard!$C$19))))</f>
        <v>0.51666049656941126</v>
      </c>
      <c r="F247" s="5">
        <f t="shared" si="23"/>
        <v>0.29190999779933324</v>
      </c>
      <c r="G247" s="8">
        <f>Dashboard!$C$9*B247*Dashboard!$C$11*(1-F247)</f>
        <v>120154.74761801165</v>
      </c>
      <c r="H247" s="8">
        <f>Dashboard!$C$20*A247^2</f>
        <v>48020.000000000007</v>
      </c>
      <c r="I247" s="8">
        <f t="shared" si="24"/>
        <v>168174.74761801166</v>
      </c>
      <c r="J247" s="8">
        <f>Dashboard!$C$13*A247</f>
        <v>49000</v>
      </c>
      <c r="K247" s="8">
        <f>Dashboard!$C$14*A247</f>
        <v>73500</v>
      </c>
      <c r="L247" s="8">
        <f>Dashboard!$C$21-K247</f>
        <v>1426500</v>
      </c>
      <c r="M247" s="8">
        <f t="shared" si="25"/>
        <v>1209325.2523819883</v>
      </c>
      <c r="N247" s="8">
        <f t="shared" si="26"/>
        <v>122500</v>
      </c>
      <c r="O247" s="8">
        <f>Dashboard!$C$15*(Dashboard!$C$16*EXP(-Dashboard!$C$16*A247)*E247-(1-EXP(-Dashboard!$C$16*A247))*Dashboard!$C$17/Dashboard!$C$19*E247*(1-E247))</f>
        <v>-0.12741297811557409</v>
      </c>
      <c r="P247" s="8">
        <f>Dashboard!$C$9*B247*Dashboard!$C$11*(-Dashboard!$C$12*(1-F247)-O247)+2*Dashboard!$C$20*A247</f>
        <v>18766.358579930846</v>
      </c>
      <c r="Q247" s="8">
        <f>-P247-Dashboard!$C$13-Dashboard!$C$14</f>
        <v>-68766.358579930849</v>
      </c>
    </row>
    <row r="248" spans="1:17" x14ac:dyDescent="0.25">
      <c r="A248" s="5">
        <f>(248-2)/100</f>
        <v>2.46</v>
      </c>
      <c r="B248" s="5">
        <f>Dashboard!$C$10*EXP(-Dashboard!$C$12*A248)</f>
        <v>8.454782634919257E-2</v>
      </c>
      <c r="C248" s="5">
        <f>Dashboard!$C$17*A248</f>
        <v>1968</v>
      </c>
      <c r="D248" s="5">
        <f>Dashboard!$C$15*(1-EXP(-Dashboard!$C$16*A248))</f>
        <v>0.56616593785531255</v>
      </c>
      <c r="E248" s="5">
        <f>1/(1+EXP(MIN(700,MAX(-700,(C248-Dashboard!$C$18)/Dashboard!$C$19))))</f>
        <v>0.51333017373823242</v>
      </c>
      <c r="F248" s="5">
        <f t="shared" si="23"/>
        <v>0.29063005924393687</v>
      </c>
      <c r="G248" s="8">
        <f>Dashboard!$C$9*B248*Dashboard!$C$11*(1-F248)</f>
        <v>119951.37313676129</v>
      </c>
      <c r="H248" s="8">
        <f>Dashboard!$C$20*A248^2</f>
        <v>48412.799999999996</v>
      </c>
      <c r="I248" s="8">
        <f t="shared" si="24"/>
        <v>168364.1731367613</v>
      </c>
      <c r="J248" s="8">
        <f>Dashboard!$C$13*A248</f>
        <v>49200</v>
      </c>
      <c r="K248" s="8">
        <f>Dashboard!$C$14*A248</f>
        <v>73800</v>
      </c>
      <c r="L248" s="8">
        <f>Dashboard!$C$21-K248</f>
        <v>1426200</v>
      </c>
      <c r="M248" s="8">
        <f t="shared" si="25"/>
        <v>1208635.8268632386</v>
      </c>
      <c r="N248" s="8">
        <f t="shared" si="26"/>
        <v>123000</v>
      </c>
      <c r="O248" s="8">
        <f>Dashboard!$C$15*(Dashboard!$C$16*EXP(-Dashboard!$C$16*A248)*E248-(1-EXP(-Dashboard!$C$16*A248))*Dashboard!$C$17/Dashboard!$C$19*E248*(1-E248))</f>
        <v>-0.12857080071160074</v>
      </c>
      <c r="P248" s="8">
        <f>Dashboard!$C$9*B248*Dashboard!$C$11*(-Dashboard!$C$12*(1-F248)-O248)+2*Dashboard!$C$20*A248</f>
        <v>19117.782866415677</v>
      </c>
      <c r="Q248" s="8">
        <f>-P248-Dashboard!$C$13-Dashboard!$C$14</f>
        <v>-69117.782866415684</v>
      </c>
    </row>
    <row r="249" spans="1:17" x14ac:dyDescent="0.25">
      <c r="A249" s="5">
        <f>(249-2)/100</f>
        <v>2.4700000000000002</v>
      </c>
      <c r="B249" s="5">
        <f>Dashboard!$C$10*EXP(-Dashboard!$C$12*A249)</f>
        <v>8.4252426208770381E-2</v>
      </c>
      <c r="C249" s="5">
        <f>Dashboard!$C$17*A249</f>
        <v>1976.0000000000002</v>
      </c>
      <c r="D249" s="5">
        <f>Dashboard!$C$15*(1-EXP(-Dashboard!$C$16*A249))</f>
        <v>0.56733219010571878</v>
      </c>
      <c r="E249" s="5">
        <f>1/(1+EXP(MIN(700,MAX(-700,(C249-Dashboard!$C$18)/Dashboard!$C$19))))</f>
        <v>0.50999866687996542</v>
      </c>
      <c r="F249" s="5">
        <f t="shared" si="23"/>
        <v>0.28933866063200769</v>
      </c>
      <c r="G249" s="8">
        <f>Dashboard!$C$9*B249*Dashboard!$C$11*(1-F249)</f>
        <v>119749.88410905541</v>
      </c>
      <c r="H249" s="8">
        <f>Dashboard!$C$20*A249^2</f>
        <v>48807.200000000012</v>
      </c>
      <c r="I249" s="8">
        <f t="shared" si="24"/>
        <v>168557.0841090554</v>
      </c>
      <c r="J249" s="8">
        <f>Dashboard!$C$13*A249</f>
        <v>49400.000000000007</v>
      </c>
      <c r="K249" s="8">
        <f>Dashboard!$C$14*A249</f>
        <v>74100</v>
      </c>
      <c r="L249" s="8">
        <f>Dashboard!$C$21-K249</f>
        <v>1425900</v>
      </c>
      <c r="M249" s="8">
        <f t="shared" si="25"/>
        <v>1207942.9158909447</v>
      </c>
      <c r="N249" s="8">
        <f t="shared" si="26"/>
        <v>123500</v>
      </c>
      <c r="O249" s="8">
        <f>Dashboard!$C$15*(Dashboard!$C$16*EXP(-Dashboard!$C$16*A249)*E249-(1-EXP(-Dashboard!$C$16*A249))*Dashboard!$C$17/Dashboard!$C$19*E249*(1-E249))</f>
        <v>-0.12970496947448304</v>
      </c>
      <c r="P249" s="8">
        <f>Dashboard!$C$9*B249*Dashboard!$C$11*(-Dashboard!$C$12*(1-F249)-O249)+2*Dashboard!$C$20*A249</f>
        <v>19463.457300950005</v>
      </c>
      <c r="Q249" s="8">
        <f>-P249-Dashboard!$C$13-Dashboard!$C$14</f>
        <v>-69463.457300950002</v>
      </c>
    </row>
    <row r="250" spans="1:17" x14ac:dyDescent="0.25">
      <c r="A250" s="5">
        <f>(250-2)/100</f>
        <v>2.48</v>
      </c>
      <c r="B250" s="5">
        <f>Dashboard!$C$10*EXP(-Dashboard!$C$12*A250)</f>
        <v>8.3958058161622856E-2</v>
      </c>
      <c r="C250" s="5">
        <f>Dashboard!$C$17*A250</f>
        <v>1984</v>
      </c>
      <c r="D250" s="5">
        <f>Dashboard!$C$15*(1-EXP(-Dashboard!$C$16*A250))</f>
        <v>0.56849262564875946</v>
      </c>
      <c r="E250" s="5">
        <f>1/(1+EXP(MIN(700,MAX(-700,(C250-Dashboard!$C$18)/Dashboard!$C$19))))</f>
        <v>0.50666627163302957</v>
      </c>
      <c r="F250" s="5">
        <f t="shared" si="23"/>
        <v>0.28803603908832853</v>
      </c>
      <c r="G250" s="8">
        <f>Dashboard!$C$9*B250*Dashboard!$C$11*(1-F250)</f>
        <v>119550.22327840298</v>
      </c>
      <c r="H250" s="8">
        <f>Dashboard!$C$20*A250^2</f>
        <v>49203.200000000004</v>
      </c>
      <c r="I250" s="8">
        <f t="shared" si="24"/>
        <v>168753.42327840297</v>
      </c>
      <c r="J250" s="8">
        <f>Dashboard!$C$13*A250</f>
        <v>49600</v>
      </c>
      <c r="K250" s="8">
        <f>Dashboard!$C$14*A250</f>
        <v>74400</v>
      </c>
      <c r="L250" s="8">
        <f>Dashboard!$C$21-K250</f>
        <v>1425600</v>
      </c>
      <c r="M250" s="8">
        <f t="shared" si="25"/>
        <v>1207246.576721597</v>
      </c>
      <c r="N250" s="8">
        <f t="shared" si="26"/>
        <v>124000</v>
      </c>
      <c r="O250" s="8">
        <f>Dashboard!$C$15*(Dashboard!$C$16*EXP(-Dashboard!$C$16*A250)*E250-(1-EXP(-Dashboard!$C$16*A250))*Dashboard!$C$17/Dashboard!$C$19*E250*(1-E250))</f>
        <v>-0.1308153683142852</v>
      </c>
      <c r="P250" s="8">
        <f>Dashboard!$C$9*B250*Dashboard!$C$11*(-Dashboard!$C$12*(1-F250)-O250)+2*Dashboard!$C$20*A250</f>
        <v>19803.430455288704</v>
      </c>
      <c r="Q250" s="8">
        <f>-P250-Dashboard!$C$13-Dashboard!$C$14</f>
        <v>-69803.430455288704</v>
      </c>
    </row>
    <row r="251" spans="1:17" x14ac:dyDescent="0.25">
      <c r="A251" s="5">
        <f>(251-2)/100</f>
        <v>2.4900000000000002</v>
      </c>
      <c r="B251" s="5">
        <f>Dashboard!$C$10*EXP(-Dashboard!$C$12*A251)</f>
        <v>8.36647186017377E-2</v>
      </c>
      <c r="C251" s="5">
        <f>Dashboard!$C$17*A251</f>
        <v>1992.0000000000002</v>
      </c>
      <c r="D251" s="5">
        <f>Dashboard!$C$15*(1-EXP(-Dashboard!$C$16*A251))</f>
        <v>0.5696472734953838</v>
      </c>
      <c r="E251" s="5">
        <f>1/(1+EXP(MIN(700,MAX(-700,(C251-Dashboard!$C$18)/Dashboard!$C$19))))</f>
        <v>0.50333328395149513</v>
      </c>
      <c r="F251" s="5">
        <f t="shared" si="23"/>
        <v>0.28672243286244703</v>
      </c>
      <c r="G251" s="8">
        <f>Dashboard!$C$9*B251*Dashboard!$C$11*(1-F251)</f>
        <v>119352.33387899087</v>
      </c>
      <c r="H251" s="8">
        <f>Dashboard!$C$20*A251^2</f>
        <v>49600.80000000001</v>
      </c>
      <c r="I251" s="8">
        <f t="shared" si="24"/>
        <v>168953.13387899089</v>
      </c>
      <c r="J251" s="8">
        <f>Dashboard!$C$13*A251</f>
        <v>49800.000000000007</v>
      </c>
      <c r="K251" s="8">
        <f>Dashboard!$C$14*A251</f>
        <v>74700</v>
      </c>
      <c r="L251" s="8">
        <f>Dashboard!$C$21-K251</f>
        <v>1425300</v>
      </c>
      <c r="M251" s="8">
        <f t="shared" si="25"/>
        <v>1206546.866121009</v>
      </c>
      <c r="N251" s="8">
        <f t="shared" si="26"/>
        <v>124500</v>
      </c>
      <c r="O251" s="8">
        <f>Dashboard!$C$15*(Dashboard!$C$16*EXP(-Dashboard!$C$16*A251)*E251-(1-EXP(-Dashboard!$C$16*A251))*Dashboard!$C$17/Dashboard!$C$19*E251*(1-E251))</f>
        <v>-0.13190188838026479</v>
      </c>
      <c r="P251" s="8">
        <f>Dashboard!$C$9*B251*Dashboard!$C$11*(-Dashboard!$C$12*(1-F251)-O251)+2*Dashboard!$C$20*A251</f>
        <v>20137.751891098538</v>
      </c>
      <c r="Q251" s="8">
        <f>-P251-Dashboard!$C$13-Dashboard!$C$14</f>
        <v>-70137.751891098538</v>
      </c>
    </row>
    <row r="252" spans="1:17" x14ac:dyDescent="0.25">
      <c r="A252" s="5">
        <f>(252-2)/100</f>
        <v>2.5</v>
      </c>
      <c r="B252" s="5">
        <f>Dashboard!$C$10*EXP(-Dashboard!$C$12*A252)</f>
        <v>8.3372403935701681E-2</v>
      </c>
      <c r="C252" s="5">
        <f>Dashboard!$C$17*A252</f>
        <v>2000</v>
      </c>
      <c r="D252" s="5">
        <f>Dashboard!$C$15*(1-EXP(-Dashboard!$C$16*A252))</f>
        <v>0.57079616251184795</v>
      </c>
      <c r="E252" s="5">
        <f>1/(1+EXP(MIN(700,MAX(-700,(C252-Dashboard!$C$18)/Dashboard!$C$19))))</f>
        <v>0.5</v>
      </c>
      <c r="F252" s="5">
        <f t="shared" si="23"/>
        <v>0.28539808125592397</v>
      </c>
      <c r="G252" s="8">
        <f>Dashboard!$C$9*B252*Dashboard!$C$11*(1-F252)</f>
        <v>119156.15964551714</v>
      </c>
      <c r="H252" s="8">
        <f>Dashboard!$C$20*A252^2</f>
        <v>50000</v>
      </c>
      <c r="I252" s="8">
        <f t="shared" si="24"/>
        <v>169156.15964551712</v>
      </c>
      <c r="J252" s="8">
        <f>Dashboard!$C$13*A252</f>
        <v>50000</v>
      </c>
      <c r="K252" s="8">
        <f>Dashboard!$C$14*A252</f>
        <v>75000</v>
      </c>
      <c r="L252" s="8">
        <f>Dashboard!$C$21-K252</f>
        <v>1425000</v>
      </c>
      <c r="M252" s="8">
        <f t="shared" si="25"/>
        <v>1205843.8403544829</v>
      </c>
      <c r="N252" s="8">
        <f t="shared" si="26"/>
        <v>125000</v>
      </c>
      <c r="O252" s="8">
        <f>Dashboard!$C$15*(Dashboard!$C$16*EXP(-Dashboard!$C$16*A252)*E252-(1-EXP(-Dashboard!$C$16*A252))*Dashboard!$C$17/Dashboard!$C$19*E252*(1-E252))</f>
        <v>-0.13296442813191131</v>
      </c>
      <c r="P252" s="8">
        <f>Dashboard!$C$9*B252*Dashboard!$C$11*(-Dashboard!$C$12*(1-F252)-O252)+2*Dashboard!$C$20*A252</f>
        <v>20466.472146655571</v>
      </c>
      <c r="Q252" s="8">
        <f>-P252-Dashboard!$C$13-Dashboard!$C$14</f>
        <v>-70466.472146655578</v>
      </c>
    </row>
    <row r="253" spans="1:17" x14ac:dyDescent="0.25">
      <c r="A253" s="5">
        <f>(253-2)/100</f>
        <v>2.5099999999999998</v>
      </c>
      <c r="B253" s="5">
        <f>Dashboard!$C$10*EXP(-Dashboard!$C$12*A253)</f>
        <v>8.3081110582656478E-2</v>
      </c>
      <c r="C253" s="5">
        <f>Dashboard!$C$17*A253</f>
        <v>2007.9999999999998</v>
      </c>
      <c r="D253" s="5">
        <f>Dashboard!$C$15*(1-EXP(-Dashboard!$C$16*A253))</f>
        <v>0.57193932142043724</v>
      </c>
      <c r="E253" s="5">
        <f>1/(1+EXP(MIN(700,MAX(-700,(C253-Dashboard!$C$18)/Dashboard!$C$19))))</f>
        <v>0.49666671604850487</v>
      </c>
      <c r="F253" s="5">
        <f t="shared" si="23"/>
        <v>0.28406322454889887</v>
      </c>
      <c r="G253" s="8">
        <f>Dashboard!$C$9*B253*Dashboard!$C$11*(1-F253)</f>
        <v>118961.64482288685</v>
      </c>
      <c r="H253" s="8">
        <f>Dashboard!$C$20*A253^2</f>
        <v>50400.799999999988</v>
      </c>
      <c r="I253" s="8">
        <f t="shared" si="24"/>
        <v>169362.44482288684</v>
      </c>
      <c r="J253" s="8">
        <f>Dashboard!$C$13*A253</f>
        <v>50199.999999999993</v>
      </c>
      <c r="K253" s="8">
        <f>Dashboard!$C$14*A253</f>
        <v>75300</v>
      </c>
      <c r="L253" s="8">
        <f>Dashboard!$C$21-K253</f>
        <v>1424700</v>
      </c>
      <c r="M253" s="8">
        <f t="shared" si="25"/>
        <v>1205137.555177113</v>
      </c>
      <c r="N253" s="8">
        <f t="shared" si="26"/>
        <v>125500</v>
      </c>
      <c r="O253" s="8">
        <f>Dashboard!$C$15*(Dashboard!$C$16*EXP(-Dashboard!$C$16*A253)*E253-(1-EXP(-Dashboard!$C$16*A253))*Dashboard!$C$17/Dashboard!$C$19*E253*(1-E253))</f>
        <v>-0.13400289340444507</v>
      </c>
      <c r="P253" s="8">
        <f>Dashboard!$C$9*B253*Dashboard!$C$11*(-Dashboard!$C$12*(1-F253)-O253)+2*Dashboard!$C$20*A253</f>
        <v>20789.642722650857</v>
      </c>
      <c r="Q253" s="8">
        <f>-P253-Dashboard!$C$13-Dashboard!$C$14</f>
        <v>-70789.642722650853</v>
      </c>
    </row>
    <row r="254" spans="1:17" x14ac:dyDescent="0.25">
      <c r="A254" s="5">
        <f>(254-2)/100</f>
        <v>2.52</v>
      </c>
      <c r="B254" s="5">
        <f>Dashboard!$C$10*EXP(-Dashboard!$C$12*A254)</f>
        <v>8.2790834974254823E-2</v>
      </c>
      <c r="C254" s="5">
        <f>Dashboard!$C$17*A254</f>
        <v>2016</v>
      </c>
      <c r="D254" s="5">
        <f>Dashboard!$C$15*(1-EXP(-Dashboard!$C$16*A254))</f>
        <v>0.57307677880018371</v>
      </c>
      <c r="E254" s="5">
        <f>1/(1+EXP(MIN(700,MAX(-700,(C254-Dashboard!$C$18)/Dashboard!$C$19))))</f>
        <v>0.49333372836697054</v>
      </c>
      <c r="F254" s="5">
        <f t="shared" si="23"/>
        <v>0.28271810392602831</v>
      </c>
      <c r="G254" s="8">
        <f>Dashboard!$C$9*B254*Dashboard!$C$11*(1-F254)</f>
        <v>118768.73417576158</v>
      </c>
      <c r="H254" s="8">
        <f>Dashboard!$C$20*A254^2</f>
        <v>50803.200000000004</v>
      </c>
      <c r="I254" s="8">
        <f t="shared" si="24"/>
        <v>169571.93417576159</v>
      </c>
      <c r="J254" s="8">
        <f>Dashboard!$C$13*A254</f>
        <v>50400</v>
      </c>
      <c r="K254" s="8">
        <f>Dashboard!$C$14*A254</f>
        <v>75600</v>
      </c>
      <c r="L254" s="8">
        <f>Dashboard!$C$21-K254</f>
        <v>1424400</v>
      </c>
      <c r="M254" s="8">
        <f t="shared" si="25"/>
        <v>1204428.0658242384</v>
      </c>
      <c r="N254" s="8">
        <f t="shared" si="26"/>
        <v>126000</v>
      </c>
      <c r="O254" s="8">
        <f>Dashboard!$C$15*(Dashboard!$C$16*EXP(-Dashboard!$C$16*A254)*E254-(1-EXP(-Dashboard!$C$16*A254))*Dashboard!$C$17/Dashboard!$C$19*E254*(1-E254))</f>
        <v>-0.13501719746870605</v>
      </c>
      <c r="P254" s="8">
        <f>Dashboard!$C$9*B254*Dashboard!$C$11*(-Dashboard!$C$12*(1-F254)-O254)+2*Dashboard!$C$20*A254</f>
        <v>21107.316067119482</v>
      </c>
      <c r="Q254" s="8">
        <f>-P254-Dashboard!$C$13-Dashboard!$C$14</f>
        <v>-71107.316067119478</v>
      </c>
    </row>
    <row r="255" spans="1:17" x14ac:dyDescent="0.25">
      <c r="A255" s="5">
        <f>(255-2)/100</f>
        <v>2.5299999999999998</v>
      </c>
      <c r="B255" s="5">
        <f>Dashboard!$C$10*EXP(-Dashboard!$C$12*A255)</f>
        <v>8.2501573554616958E-2</v>
      </c>
      <c r="C255" s="5">
        <f>Dashboard!$C$17*A255</f>
        <v>2023.9999999999998</v>
      </c>
      <c r="D255" s="5">
        <f>Dashboard!$C$15*(1-EXP(-Dashboard!$C$16*A255))</f>
        <v>0.57420856308758139</v>
      </c>
      <c r="E255" s="5">
        <f>1/(1+EXP(MIN(700,MAX(-700,(C255-Dashboard!$C$18)/Dashboard!$C$19))))</f>
        <v>0.49000133312003458</v>
      </c>
      <c r="F255" s="5">
        <f t="shared" si="23"/>
        <v>0.28136296140185435</v>
      </c>
      <c r="G255" s="8">
        <f>Dashboard!$C$9*B255*Dashboard!$C$11*(1-F255)</f>
        <v>118577.37299795404</v>
      </c>
      <c r="H255" s="8">
        <f>Dashboard!$C$20*A255^2</f>
        <v>51207.19999999999</v>
      </c>
      <c r="I255" s="8">
        <f t="shared" si="24"/>
        <v>169784.57299795403</v>
      </c>
      <c r="J255" s="8">
        <f>Dashboard!$C$13*A255</f>
        <v>50599.999999999993</v>
      </c>
      <c r="K255" s="8">
        <f>Dashboard!$C$14*A255</f>
        <v>75900</v>
      </c>
      <c r="L255" s="8">
        <f>Dashboard!$C$21-K255</f>
        <v>1424100</v>
      </c>
      <c r="M255" s="8">
        <f t="shared" si="25"/>
        <v>1203715.427002046</v>
      </c>
      <c r="N255" s="8">
        <f t="shared" si="26"/>
        <v>126500</v>
      </c>
      <c r="O255" s="8">
        <f>Dashboard!$C$15*(Dashboard!$C$16*EXP(-Dashboard!$C$16*A255)*E255-(1-EXP(-Dashboard!$C$16*A255))*Dashboard!$C$17/Dashboard!$C$19*E255*(1-E255))</f>
        <v>-0.13600726108537317</v>
      </c>
      <c r="P255" s="8">
        <f>Dashboard!$C$9*B255*Dashboard!$C$11*(-Dashboard!$C$12*(1-F255)-O255)+2*Dashboard!$C$20*A255</f>
        <v>21419.545559509908</v>
      </c>
      <c r="Q255" s="8">
        <f>-P255-Dashboard!$C$13-Dashboard!$C$14</f>
        <v>-71419.545559509905</v>
      </c>
    </row>
    <row r="256" spans="1:17" x14ac:dyDescent="0.25">
      <c r="A256" s="5">
        <f>(256-2)/100</f>
        <v>2.54</v>
      </c>
      <c r="B256" s="5">
        <f>Dashboard!$C$10*EXP(-Dashboard!$C$12*A256)</f>
        <v>8.2213322780286813E-2</v>
      </c>
      <c r="C256" s="5">
        <f>Dashboard!$C$17*A256</f>
        <v>2032</v>
      </c>
      <c r="D256" s="5">
        <f>Dashboard!$C$15*(1-EXP(-Dashboard!$C$16*A256))</f>
        <v>0.57533470257729624</v>
      </c>
      <c r="E256" s="5">
        <f>1/(1+EXP(MIN(700,MAX(-700,(C256-Dashboard!$C$18)/Dashboard!$C$19))))</f>
        <v>0.48666982626176764</v>
      </c>
      <c r="F256" s="5">
        <f t="shared" si="23"/>
        <v>0.27999803974565851</v>
      </c>
      <c r="G256" s="8">
        <f>Dashboard!$C$9*B256*Dashboard!$C$11*(1-F256)</f>
        <v>118387.50712165881</v>
      </c>
      <c r="H256" s="8">
        <f>Dashboard!$C$20*A256^2</f>
        <v>51612.800000000003</v>
      </c>
      <c r="I256" s="8">
        <f t="shared" si="24"/>
        <v>170000.30712165881</v>
      </c>
      <c r="J256" s="8">
        <f>Dashboard!$C$13*A256</f>
        <v>50800</v>
      </c>
      <c r="K256" s="8">
        <f>Dashboard!$C$14*A256</f>
        <v>76200</v>
      </c>
      <c r="L256" s="8">
        <f>Dashboard!$C$21-K256</f>
        <v>1423800</v>
      </c>
      <c r="M256" s="8">
        <f t="shared" si="25"/>
        <v>1202999.6928783413</v>
      </c>
      <c r="N256" s="8">
        <f t="shared" si="26"/>
        <v>127000</v>
      </c>
      <c r="O256" s="8">
        <f>Dashboard!$C$15*(Dashboard!$C$16*EXP(-Dashboard!$C$16*A256)*E256-(1-EXP(-Dashboard!$C$16*A256))*Dashboard!$C$17/Dashboard!$C$19*E256*(1-E256))</f>
        <v>-0.13697301255345998</v>
      </c>
      <c r="P256" s="8">
        <f>Dashboard!$C$9*B256*Dashboard!$C$11*(-Dashboard!$C$12*(1-F256)-O256)+2*Dashboard!$C$20*A256</f>
        <v>21726.385493911184</v>
      </c>
      <c r="Q256" s="8">
        <f>-P256-Dashboard!$C$13-Dashboard!$C$14</f>
        <v>-71726.385493911192</v>
      </c>
    </row>
    <row r="257" spans="1:17" x14ac:dyDescent="0.25">
      <c r="A257" s="5">
        <f>(257-2)/100</f>
        <v>2.5499999999999998</v>
      </c>
      <c r="B257" s="5">
        <f>Dashboard!$C$10*EXP(-Dashboard!$C$12*A257)</f>
        <v>8.1926079120188816E-2</v>
      </c>
      <c r="C257" s="5">
        <f>Dashboard!$C$17*A257</f>
        <v>2039.9999999999998</v>
      </c>
      <c r="D257" s="5">
        <f>Dashboard!$C$15*(1-EXP(-Dashboard!$C$16*A257))</f>
        <v>0.5764552254228742</v>
      </c>
      <c r="E257" s="5">
        <f>1/(1+EXP(MIN(700,MAX(-700,(C257-Dashboard!$C$18)/Dashboard!$C$19))))</f>
        <v>0.48333950343058868</v>
      </c>
      <c r="F257" s="5">
        <f t="shared" si="23"/>
        <v>0.27862358240586005</v>
      </c>
      <c r="G257" s="8">
        <f>Dashboard!$C$9*B257*Dashboard!$C$11*(1-F257)</f>
        <v>118199.08292651174</v>
      </c>
      <c r="H257" s="8">
        <f>Dashboard!$C$20*A257^2</f>
        <v>52019.999999999993</v>
      </c>
      <c r="I257" s="8">
        <f t="shared" si="24"/>
        <v>170219.08292651174</v>
      </c>
      <c r="J257" s="8">
        <f>Dashboard!$C$13*A257</f>
        <v>51000</v>
      </c>
      <c r="K257" s="8">
        <f>Dashboard!$C$14*A257</f>
        <v>76500</v>
      </c>
      <c r="L257" s="8">
        <f>Dashboard!$C$21-K257</f>
        <v>1423500</v>
      </c>
      <c r="M257" s="8">
        <f t="shared" si="25"/>
        <v>1202280.9170734882</v>
      </c>
      <c r="N257" s="8">
        <f t="shared" si="26"/>
        <v>127500</v>
      </c>
      <c r="O257" s="8">
        <f>Dashboard!$C$15*(Dashboard!$C$16*EXP(-Dashboard!$C$16*A257)*E257-(1-EXP(-Dashboard!$C$16*A257))*Dashboard!$C$17/Dashboard!$C$19*E257*(1-E257))</f>
        <v>-0.13791438775304113</v>
      </c>
      <c r="P257" s="8">
        <f>Dashboard!$C$9*B257*Dashboard!$C$11*(-Dashboard!$C$12*(1-F257)-O257)+2*Dashboard!$C$20*A257</f>
        <v>22027.89106145698</v>
      </c>
      <c r="Q257" s="8">
        <f>-P257-Dashboard!$C$13-Dashboard!$C$14</f>
        <v>-72027.891061456976</v>
      </c>
    </row>
    <row r="258" spans="1:17" x14ac:dyDescent="0.25">
      <c r="A258" s="5">
        <f>(258-2)/100</f>
        <v>2.56</v>
      </c>
      <c r="B258" s="5">
        <f>Dashboard!$C$10*EXP(-Dashboard!$C$12*A258)</f>
        <v>8.1639839055584543E-2</v>
      </c>
      <c r="C258" s="5">
        <f>Dashboard!$C$17*A258</f>
        <v>2048</v>
      </c>
      <c r="D258" s="5">
        <f>Dashboard!$C$15*(1-EXP(-Dashboard!$C$16*A258))</f>
        <v>0.57757015963744462</v>
      </c>
      <c r="E258" s="5">
        <f>1/(1+EXP(MIN(700,MAX(-700,(C258-Dashboard!$C$18)/Dashboard!$C$19))))</f>
        <v>0.48001065984441826</v>
      </c>
      <c r="F258" s="5">
        <f t="shared" si="23"/>
        <v>0.27723983343401581</v>
      </c>
      <c r="G258" s="8">
        <f>Dashboard!$C$9*B258*Dashboard!$C$11*(1-F258)</f>
        <v>118012.04734846884</v>
      </c>
      <c r="H258" s="8">
        <f>Dashboard!$C$20*A258^2</f>
        <v>52428.800000000003</v>
      </c>
      <c r="I258" s="8">
        <f t="shared" si="24"/>
        <v>170440.84734846884</v>
      </c>
      <c r="J258" s="8">
        <f>Dashboard!$C$13*A258</f>
        <v>51200</v>
      </c>
      <c r="K258" s="8">
        <f>Dashboard!$C$14*A258</f>
        <v>76800</v>
      </c>
      <c r="L258" s="8">
        <f>Dashboard!$C$21-K258</f>
        <v>1423200</v>
      </c>
      <c r="M258" s="8">
        <f t="shared" si="25"/>
        <v>1201559.1526515312</v>
      </c>
      <c r="N258" s="8">
        <f t="shared" si="26"/>
        <v>128000</v>
      </c>
      <c r="O258" s="8">
        <f>Dashboard!$C$15*(Dashboard!$C$16*EXP(-Dashboard!$C$16*A258)*E258-(1-EXP(-Dashboard!$C$16*A258))*Dashboard!$C$17/Dashboard!$C$19*E258*(1-E258))</f>
        <v>-0.13883133018217031</v>
      </c>
      <c r="P258" s="8">
        <f>Dashboard!$C$9*B258*Dashboard!$C$11*(-Dashboard!$C$12*(1-F258)-O258)+2*Dashboard!$C$20*A258</f>
        <v>22324.118331926111</v>
      </c>
      <c r="Q258" s="8">
        <f>-P258-Dashboard!$C$13-Dashboard!$C$14</f>
        <v>-72324.118331926118</v>
      </c>
    </row>
    <row r="259" spans="1:17" x14ac:dyDescent="0.25">
      <c r="A259" s="5">
        <f>(259-2)/100</f>
        <v>2.57</v>
      </c>
      <c r="B259" s="5">
        <f>Dashboard!$C$10*EXP(-Dashboard!$C$12*A259)</f>
        <v>8.1354599080029649E-2</v>
      </c>
      <c r="C259" s="5">
        <f>Dashboard!$C$17*A259</f>
        <v>2056</v>
      </c>
      <c r="D259" s="5">
        <f>Dashboard!$C$15*(1-EXP(-Dashboard!$C$16*A259))</f>
        <v>0.57867953309442122</v>
      </c>
      <c r="E259" s="5">
        <f>1/(1+EXP(MIN(700,MAX(-700,(C259-Dashboard!$C$18)/Dashboard!$C$19))))</f>
        <v>0.47668359019614992</v>
      </c>
      <c r="F259" s="5">
        <f t="shared" si="23"/>
        <v>0.27584703740848043</v>
      </c>
      <c r="G259" s="8">
        <f>Dashboard!$C$9*B259*Dashboard!$C$11*(1-F259)</f>
        <v>117826.34788849755</v>
      </c>
      <c r="H259" s="8">
        <f>Dashboard!$C$20*A259^2</f>
        <v>52839.19999999999</v>
      </c>
      <c r="I259" s="8">
        <f t="shared" si="24"/>
        <v>170665.54788849753</v>
      </c>
      <c r="J259" s="8">
        <f>Dashboard!$C$13*A259</f>
        <v>51400</v>
      </c>
      <c r="K259" s="8">
        <f>Dashboard!$C$14*A259</f>
        <v>77100</v>
      </c>
      <c r="L259" s="8">
        <f>Dashboard!$C$21-K259</f>
        <v>1422900</v>
      </c>
      <c r="M259" s="8">
        <f t="shared" si="25"/>
        <v>1200834.4521115024</v>
      </c>
      <c r="N259" s="8">
        <f t="shared" si="26"/>
        <v>128500</v>
      </c>
      <c r="O259" s="8">
        <f>Dashboard!$C$15*(Dashboard!$C$16*EXP(-Dashboard!$C$16*A259)*E259-(1-EXP(-Dashboard!$C$16*A259))*Dashboard!$C$17/Dashboard!$C$19*E259*(1-E259))</f>
        <v>-0.13972379098795937</v>
      </c>
      <c r="P259" s="8">
        <f>Dashboard!$C$9*B259*Dashboard!$C$11*(-Dashboard!$C$12*(1-F259)-O259)+2*Dashboard!$C$20*A259</f>
        <v>22615.124234560448</v>
      </c>
      <c r="Q259" s="8">
        <f>-P259-Dashboard!$C$13-Dashboard!$C$14</f>
        <v>-72615.124234560441</v>
      </c>
    </row>
    <row r="260" spans="1:17" x14ac:dyDescent="0.25">
      <c r="A260" s="5">
        <f>(260-2)/100</f>
        <v>2.58</v>
      </c>
      <c r="B260" s="5">
        <f>Dashboard!$C$10*EXP(-Dashboard!$C$12*A260)</f>
        <v>8.1070355699330812E-2</v>
      </c>
      <c r="C260" s="5">
        <f>Dashboard!$C$17*A260</f>
        <v>2064</v>
      </c>
      <c r="D260" s="5">
        <f>Dashboard!$C$15*(1-EXP(-Dashboard!$C$16*A260))</f>
        <v>0.5797833735281982</v>
      </c>
      <c r="E260" s="5">
        <f>1/(1+EXP(MIN(700,MAX(-700,(C260-Dashboard!$C$18)/Dashboard!$C$19))))</f>
        <v>0.47335858854951601</v>
      </c>
      <c r="F260" s="5">
        <f t="shared" si="23"/>
        <v>0.2744454393577847</v>
      </c>
      <c r="G260" s="8">
        <f>Dashboard!$C$9*B260*Dashboard!$C$11*(1-F260)</f>
        <v>117641.93262107218</v>
      </c>
      <c r="H260" s="8">
        <f>Dashboard!$C$20*A260^2</f>
        <v>53251.200000000004</v>
      </c>
      <c r="I260" s="8">
        <f t="shared" si="24"/>
        <v>170893.13262107217</v>
      </c>
      <c r="J260" s="8">
        <f>Dashboard!$C$13*A260</f>
        <v>51600</v>
      </c>
      <c r="K260" s="8">
        <f>Dashboard!$C$14*A260</f>
        <v>77400</v>
      </c>
      <c r="L260" s="8">
        <f>Dashboard!$C$21-K260</f>
        <v>1422600</v>
      </c>
      <c r="M260" s="8">
        <f t="shared" si="25"/>
        <v>1200106.8673789278</v>
      </c>
      <c r="N260" s="8">
        <f t="shared" si="26"/>
        <v>129000</v>
      </c>
      <c r="O260" s="8">
        <f>Dashboard!$C$15*(Dashboard!$C$16*EXP(-Dashboard!$C$16*A260)*E260-(1-EXP(-Dashboard!$C$16*A260))*Dashboard!$C$17/Dashboard!$C$19*E260*(1-E260))</f>
        <v>-0.14059172899179523</v>
      </c>
      <c r="P260" s="8">
        <f>Dashboard!$C$9*B260*Dashboard!$C$11*(-Dashboard!$C$12*(1-F260)-O260)+2*Dashboard!$C$20*A260</f>
        <v>22900.966538122258</v>
      </c>
      <c r="Q260" s="8">
        <f>-P260-Dashboard!$C$13-Dashboard!$C$14</f>
        <v>-72900.966538122258</v>
      </c>
    </row>
    <row r="261" spans="1:17" x14ac:dyDescent="0.25">
      <c r="A261" s="5">
        <f>(261-2)/100</f>
        <v>2.59</v>
      </c>
      <c r="B261" s="5">
        <f>Dashboard!$C$10*EXP(-Dashboard!$C$12*A261)</f>
        <v>8.0787105431503123E-2</v>
      </c>
      <c r="C261" s="5">
        <f>Dashboard!$C$17*A261</f>
        <v>2072</v>
      </c>
      <c r="D261" s="5">
        <f>Dashboard!$C$15*(1-EXP(-Dashboard!$C$16*A261))</f>
        <v>0.58088170853484355</v>
      </c>
      <c r="E261" s="5">
        <f>1/(1+EXP(MIN(700,MAX(-700,(C261-Dashboard!$C$18)/Dashboard!$C$19))))</f>
        <v>0.47003594823542821</v>
      </c>
      <c r="F261" s="5">
        <f t="shared" si="23"/>
        <v>0.27303528468379085</v>
      </c>
      <c r="G261" s="8">
        <f>Dashboard!$C$9*B261*Dashboard!$C$11*(1-F261)</f>
        <v>117458.75020246647</v>
      </c>
      <c r="H261" s="8">
        <f>Dashboard!$C$20*A261^2</f>
        <v>53664.799999999996</v>
      </c>
      <c r="I261" s="8">
        <f t="shared" si="24"/>
        <v>171123.55020246646</v>
      </c>
      <c r="J261" s="8">
        <f>Dashboard!$C$13*A261</f>
        <v>51800</v>
      </c>
      <c r="K261" s="8">
        <f>Dashboard!$C$14*A261</f>
        <v>77700</v>
      </c>
      <c r="L261" s="8">
        <f>Dashboard!$C$21-K261</f>
        <v>1422300</v>
      </c>
      <c r="M261" s="8">
        <f t="shared" si="25"/>
        <v>1199376.4497975335</v>
      </c>
      <c r="N261" s="8">
        <f t="shared" si="26"/>
        <v>129500</v>
      </c>
      <c r="O261" s="8">
        <f>Dashboard!$C$15*(Dashboard!$C$16*EXP(-Dashboard!$C$16*A261)*E261-(1-EXP(-Dashboard!$C$16*A261))*Dashboard!$C$17/Dashboard!$C$19*E261*(1-E261))</f>
        <v>-0.14143511070867762</v>
      </c>
      <c r="P261" s="8">
        <f>Dashboard!$C$9*B261*Dashboard!$C$11*(-Dashboard!$C$12*(1-F261)-O261)+2*Dashboard!$C$20*A261</f>
        <v>23181.703830213246</v>
      </c>
      <c r="Q261" s="8">
        <f>-P261-Dashboard!$C$13-Dashboard!$C$14</f>
        <v>-73181.703830213242</v>
      </c>
    </row>
    <row r="262" spans="1:17" x14ac:dyDescent="0.25">
      <c r="A262" s="5">
        <f>(262-2)/100</f>
        <v>2.6</v>
      </c>
      <c r="B262" s="5">
        <f>Dashboard!$C$10*EXP(-Dashboard!$C$12*A262)</f>
        <v>8.0504844806727205E-2</v>
      </c>
      <c r="C262" s="5">
        <f>Dashboard!$C$17*A262</f>
        <v>2080</v>
      </c>
      <c r="D262" s="5">
        <f>Dashboard!$C$15*(1-EXP(-Dashboard!$C$16*A262))</f>
        <v>0.58197456557279004</v>
      </c>
      <c r="E262" s="5">
        <f>1/(1+EXP(MIN(700,MAX(-700,(C262-Dashboard!$C$18)/Dashboard!$C$19))))</f>
        <v>0.4667159617488687</v>
      </c>
      <c r="F262" s="5">
        <f t="shared" si="23"/>
        <v>0.27161681908468477</v>
      </c>
      <c r="G262" s="8">
        <f>Dashboard!$C$9*B262*Dashboard!$C$11*(1-F262)</f>
        <v>117276.74987883552</v>
      </c>
      <c r="H262" s="8">
        <f>Dashboard!$C$20*A262^2</f>
        <v>54080.000000000007</v>
      </c>
      <c r="I262" s="8">
        <f t="shared" si="24"/>
        <v>171356.74987883552</v>
      </c>
      <c r="J262" s="8">
        <f>Dashboard!$C$13*A262</f>
        <v>52000</v>
      </c>
      <c r="K262" s="8">
        <f>Dashboard!$C$14*A262</f>
        <v>78000</v>
      </c>
      <c r="L262" s="8">
        <f>Dashboard!$C$21-K262</f>
        <v>1422000</v>
      </c>
      <c r="M262" s="8">
        <f t="shared" si="25"/>
        <v>1198643.2501211646</v>
      </c>
      <c r="N262" s="8">
        <f t="shared" si="26"/>
        <v>130000</v>
      </c>
      <c r="O262" s="8">
        <f>Dashboard!$C$15*(Dashboard!$C$16*EXP(-Dashboard!$C$16*A262)*E262-(1-EXP(-Dashboard!$C$16*A262))*Dashboard!$C$17/Dashboard!$C$19*E262*(1-E262))</f>
        <v>-0.14225391036067167</v>
      </c>
      <c r="P262" s="8">
        <f>Dashboard!$C$9*B262*Dashboard!$C$11*(-Dashboard!$C$12*(1-F262)-O262)+2*Dashboard!$C$20*A262</f>
        <v>23457.395495879482</v>
      </c>
      <c r="Q262" s="8">
        <f>-P262-Dashboard!$C$13-Dashboard!$C$14</f>
        <v>-73457.395495879478</v>
      </c>
    </row>
    <row r="263" spans="1:17" x14ac:dyDescent="0.25">
      <c r="A263" s="5">
        <f>(263-2)/100</f>
        <v>2.61</v>
      </c>
      <c r="B263" s="5">
        <f>Dashboard!$C$10*EXP(-Dashboard!$C$12*A263)</f>
        <v>8.0223570367306915E-2</v>
      </c>
      <c r="C263" s="5">
        <f>Dashboard!$C$17*A263</f>
        <v>2088</v>
      </c>
      <c r="D263" s="5">
        <f>Dashboard!$C$15*(1-EXP(-Dashboard!$C$16*A263))</f>
        <v>0.58306197196352005</v>
      </c>
      <c r="E263" s="5">
        <f>1/(1+EXP(MIN(700,MAX(-700,(C263-Dashboard!$C$18)/Dashboard!$C$19))))</f>
        <v>0.46339892064640931</v>
      </c>
      <c r="F263" s="5">
        <f t="shared" si="23"/>
        <v>0.27019028847786214</v>
      </c>
      <c r="G263" s="8">
        <f>Dashboard!$C$9*B263*Dashboard!$C$11*(1-F263)</f>
        <v>117095.88149408037</v>
      </c>
      <c r="H263" s="8">
        <f>Dashboard!$C$20*A263^2</f>
        <v>54496.799999999996</v>
      </c>
      <c r="I263" s="8">
        <f t="shared" si="24"/>
        <v>171592.68149408037</v>
      </c>
      <c r="J263" s="8">
        <f>Dashboard!$C$13*A263</f>
        <v>52200</v>
      </c>
      <c r="K263" s="8">
        <f>Dashboard!$C$14*A263</f>
        <v>78300</v>
      </c>
      <c r="L263" s="8">
        <f>Dashboard!$C$21-K263</f>
        <v>1421700</v>
      </c>
      <c r="M263" s="8">
        <f t="shared" si="25"/>
        <v>1197907.3185059195</v>
      </c>
      <c r="N263" s="8">
        <f t="shared" si="26"/>
        <v>130500</v>
      </c>
      <c r="O263" s="8">
        <f>Dashboard!$C$15*(Dashboard!$C$16*EXP(-Dashboard!$C$16*A263)*E263-(1-EXP(-Dashboard!$C$16*A263))*Dashboard!$C$17/Dashboard!$C$19*E263*(1-E263))</f>
        <v>-0.14304810988447253</v>
      </c>
      <c r="P263" s="8">
        <f>Dashboard!$C$9*B263*Dashboard!$C$11*(-Dashboard!$C$12*(1-F263)-O263)+2*Dashboard!$C$20*A263</f>
        <v>23728.101695526344</v>
      </c>
      <c r="Q263" s="8">
        <f>-P263-Dashboard!$C$13-Dashboard!$C$14</f>
        <v>-73728.101695526348</v>
      </c>
    </row>
    <row r="264" spans="1:17" x14ac:dyDescent="0.25">
      <c r="A264" s="5">
        <f>(264-2)/100</f>
        <v>2.62</v>
      </c>
      <c r="B264" s="5">
        <f>Dashboard!$C$10*EXP(-Dashboard!$C$12*A264)</f>
        <v>7.9943278667626835E-2</v>
      </c>
      <c r="C264" s="5">
        <f>Dashboard!$C$17*A264</f>
        <v>2096</v>
      </c>
      <c r="D264" s="5">
        <f>Dashboard!$C$15*(1-EXP(-Dashboard!$C$16*A264))</f>
        <v>0.58414395489225057</v>
      </c>
      <c r="E264" s="5">
        <f>1/(1+EXP(MIN(700,MAX(-700,(C264-Dashboard!$C$18)/Dashboard!$C$19))))</f>
        <v>0.46008511544443426</v>
      </c>
      <c r="F264" s="5">
        <f t="shared" si="23"/>
        <v>0.2687559389227695</v>
      </c>
      <c r="G264" s="8">
        <f>Dashboard!$C$9*B264*Dashboard!$C$11*(1-F264)</f>
        <v>116916.09549748836</v>
      </c>
      <c r="H264" s="8">
        <f>Dashboard!$C$20*A264^2</f>
        <v>54915.200000000004</v>
      </c>
      <c r="I264" s="8">
        <f t="shared" si="24"/>
        <v>171831.29549748838</v>
      </c>
      <c r="J264" s="8">
        <f>Dashboard!$C$13*A264</f>
        <v>52400</v>
      </c>
      <c r="K264" s="8">
        <f>Dashboard!$C$14*A264</f>
        <v>78600</v>
      </c>
      <c r="L264" s="8">
        <f>Dashboard!$C$21-K264</f>
        <v>1421400</v>
      </c>
      <c r="M264" s="8">
        <f t="shared" si="25"/>
        <v>1197168.7045025115</v>
      </c>
      <c r="N264" s="8">
        <f t="shared" si="26"/>
        <v>131000</v>
      </c>
      <c r="O264" s="8">
        <f>Dashboard!$C$15*(Dashboard!$C$16*EXP(-Dashboard!$C$16*A264)*E264-(1-EXP(-Dashboard!$C$16*A264))*Dashboard!$C$17/Dashboard!$C$19*E264*(1-E264))</f>
        <v>-0.14381769893309068</v>
      </c>
      <c r="P264" s="8">
        <f>Dashboard!$C$9*B264*Dashboard!$C$11*(-Dashboard!$C$12*(1-F264)-O264)+2*Dashboard!$C$20*A264</f>
        <v>23993.883342168927</v>
      </c>
      <c r="Q264" s="8">
        <f>-P264-Dashboard!$C$13-Dashboard!$C$14</f>
        <v>-73993.883342168934</v>
      </c>
    </row>
    <row r="265" spans="1:17" x14ac:dyDescent="0.25">
      <c r="A265" s="5">
        <f>(265-2)/100</f>
        <v>2.63</v>
      </c>
      <c r="B265" s="5">
        <f>Dashboard!$C$10*EXP(-Dashboard!$C$12*A265)</f>
        <v>7.966396627411014E-2</v>
      </c>
      <c r="C265" s="5">
        <f>Dashboard!$C$17*A265</f>
        <v>2104</v>
      </c>
      <c r="D265" s="5">
        <f>Dashboard!$C$15*(1-EXP(-Dashboard!$C$16*A265))</f>
        <v>0.58522054140861079</v>
      </c>
      <c r="E265" s="5">
        <f>1/(1+EXP(MIN(700,MAX(-700,(C265-Dashboard!$C$18)/Dashboard!$C$19))))</f>
        <v>0.4567748355181423</v>
      </c>
      <c r="F265" s="5">
        <f t="shared" si="23"/>
        <v>0.26731401654375636</v>
      </c>
      <c r="G265" s="8">
        <f>Dashboard!$C$9*B265*Dashboard!$C$11*(1-F265)</f>
        <v>116737.34295114283</v>
      </c>
      <c r="H265" s="8">
        <f>Dashboard!$C$20*A265^2</f>
        <v>55335.19999999999</v>
      </c>
      <c r="I265" s="8">
        <f t="shared" si="24"/>
        <v>172072.54295114282</v>
      </c>
      <c r="J265" s="8">
        <f>Dashboard!$C$13*A265</f>
        <v>52600</v>
      </c>
      <c r="K265" s="8">
        <f>Dashboard!$C$14*A265</f>
        <v>78900</v>
      </c>
      <c r="L265" s="8">
        <f>Dashboard!$C$21-K265</f>
        <v>1421100</v>
      </c>
      <c r="M265" s="8">
        <f t="shared" si="25"/>
        <v>1196427.4570488571</v>
      </c>
      <c r="N265" s="8">
        <f t="shared" si="26"/>
        <v>131500</v>
      </c>
      <c r="O265" s="8">
        <f>Dashboard!$C$15*(Dashboard!$C$16*EXP(-Dashboard!$C$16*A265)*E265-(1-EXP(-Dashboard!$C$16*A265))*Dashboard!$C$17/Dashboard!$C$19*E265*(1-E265))</f>
        <v>-0.14456267487167204</v>
      </c>
      <c r="P265" s="8">
        <f>Dashboard!$C$9*B265*Dashboard!$C$11*(-Dashboard!$C$12*(1-F265)-O265)+2*Dashboard!$C$20*A265</f>
        <v>24254.802078044078</v>
      </c>
      <c r="Q265" s="8">
        <f>-P265-Dashboard!$C$13-Dashboard!$C$14</f>
        <v>-74254.802078044071</v>
      </c>
    </row>
    <row r="266" spans="1:17" x14ac:dyDescent="0.25">
      <c r="A266" s="5">
        <f>(266-2)/100</f>
        <v>2.64</v>
      </c>
      <c r="B266" s="5">
        <f>Dashboard!$C$10*EXP(-Dashboard!$C$12*A266)</f>
        <v>7.9385629765176505E-2</v>
      </c>
      <c r="C266" s="5">
        <f>Dashboard!$C$17*A266</f>
        <v>2112</v>
      </c>
      <c r="D266" s="5">
        <f>Dashboard!$C$15*(1-EXP(-Dashboard!$C$16*A266))</f>
        <v>0.58629175842731973</v>
      </c>
      <c r="E266" s="5">
        <f>1/(1+EXP(MIN(700,MAX(-700,(C266-Dashboard!$C$18)/Dashboard!$C$19))))</f>
        <v>0.45346836900139992</v>
      </c>
      <c r="F266" s="5">
        <f t="shared" si="23"/>
        <v>0.26586476745299942</v>
      </c>
      <c r="G266" s="8">
        <f>Dashboard!$C$9*B266*Dashboard!$C$11*(1-F266)</f>
        <v>116559.57553709588</v>
      </c>
      <c r="H266" s="8">
        <f>Dashboard!$C$20*A266^2</f>
        <v>55756.800000000003</v>
      </c>
      <c r="I266" s="8">
        <f t="shared" si="24"/>
        <v>172316.37553709588</v>
      </c>
      <c r="J266" s="8">
        <f>Dashboard!$C$13*A266</f>
        <v>52800</v>
      </c>
      <c r="K266" s="8">
        <f>Dashboard!$C$14*A266</f>
        <v>79200</v>
      </c>
      <c r="L266" s="8">
        <f>Dashboard!$C$21-K266</f>
        <v>1420800</v>
      </c>
      <c r="M266" s="8">
        <f t="shared" si="25"/>
        <v>1195683.6244629042</v>
      </c>
      <c r="N266" s="8">
        <f t="shared" si="26"/>
        <v>132000</v>
      </c>
      <c r="O266" s="8">
        <f>Dashboard!$C$15*(Dashboard!$C$16*EXP(-Dashboard!$C$16*A266)*E266-(1-EXP(-Dashboard!$C$16*A266))*Dashboard!$C$17/Dashboard!$C$19*E266*(1-E266))</f>
        <v>-0.14528304276747481</v>
      </c>
      <c r="P266" s="8">
        <f>Dashboard!$C$9*B266*Dashboard!$C$11*(-Dashboard!$C$12*(1-F266)-O266)+2*Dashboard!$C$20*A266</f>
        <v>24510.920250610565</v>
      </c>
      <c r="Q266" s="8">
        <f>-P266-Dashboard!$C$13-Dashboard!$C$14</f>
        <v>-74510.920250610565</v>
      </c>
    </row>
    <row r="267" spans="1:17" x14ac:dyDescent="0.25">
      <c r="A267" s="5">
        <f>(267-2)/100</f>
        <v>2.65</v>
      </c>
      <c r="B267" s="5">
        <f>Dashboard!$C$10*EXP(-Dashboard!$C$12*A267)</f>
        <v>7.910826573120025E-2</v>
      </c>
      <c r="C267" s="5">
        <f>Dashboard!$C$17*A267</f>
        <v>2120</v>
      </c>
      <c r="D267" s="5">
        <f>Dashboard!$C$15*(1-EXP(-Dashboard!$C$16*A267))</f>
        <v>0.58735763272885877</v>
      </c>
      <c r="E267" s="5">
        <f>1/(1+EXP(MIN(700,MAX(-700,(C267-Dashboard!$C$18)/Dashboard!$C$19))))</f>
        <v>0.45016600268752216</v>
      </c>
      <c r="F267" s="5">
        <f t="shared" si="23"/>
        <v>0.2644084376735561</v>
      </c>
      <c r="G267" s="8">
        <f>Dashboard!$C$9*B267*Dashboard!$C$11*(1-F267)</f>
        <v>116382.74556429815</v>
      </c>
      <c r="H267" s="8">
        <f>Dashboard!$C$20*A267^2</f>
        <v>56180</v>
      </c>
      <c r="I267" s="8">
        <f t="shared" si="24"/>
        <v>172562.74556429815</v>
      </c>
      <c r="J267" s="8">
        <f>Dashboard!$C$13*A267</f>
        <v>53000</v>
      </c>
      <c r="K267" s="8">
        <f>Dashboard!$C$14*A267</f>
        <v>79500</v>
      </c>
      <c r="L267" s="8">
        <f>Dashboard!$C$21-K267</f>
        <v>1420500</v>
      </c>
      <c r="M267" s="8">
        <f t="shared" si="25"/>
        <v>1194937.2544357018</v>
      </c>
      <c r="N267" s="8">
        <f t="shared" si="26"/>
        <v>132500</v>
      </c>
      <c r="O267" s="8">
        <f>Dashboard!$C$15*(Dashboard!$C$16*EXP(-Dashboard!$C$16*A267)*E267-(1-EXP(-Dashboard!$C$16*A267))*Dashboard!$C$17/Dashboard!$C$19*E267*(1-E267))</f>
        <v>-0.14597881537403382</v>
      </c>
      <c r="P267" s="8">
        <f>Dashboard!$C$9*B267*Dashboard!$C$11*(-Dashboard!$C$12*(1-F267)-O267)+2*Dashboard!$C$20*A267</f>
        <v>24762.300887965426</v>
      </c>
      <c r="Q267" s="8">
        <f>-P267-Dashboard!$C$13-Dashboard!$C$14</f>
        <v>-74762.300887965423</v>
      </c>
    </row>
    <row r="268" spans="1:17" x14ac:dyDescent="0.25">
      <c r="A268" s="5">
        <f>(268-2)/100</f>
        <v>2.66</v>
      </c>
      <c r="B268" s="5">
        <f>Dashboard!$C$10*EXP(-Dashboard!$C$12*A268)</f>
        <v>7.883187077446846E-2</v>
      </c>
      <c r="C268" s="5">
        <f>Dashboard!$C$17*A268</f>
        <v>2128</v>
      </c>
      <c r="D268" s="5">
        <f>Dashboard!$C$15*(1-EXP(-Dashboard!$C$16*A268))</f>
        <v>0.58841819096014081</v>
      </c>
      <c r="E268" s="5">
        <f>1/(1+EXP(MIN(700,MAX(-700,(C268-Dashboard!$C$18)/Dashboard!$C$19))))</f>
        <v>0.44686802193104874</v>
      </c>
      <c r="F268" s="5">
        <f t="shared" si="23"/>
        <v>0.26294527306260423</v>
      </c>
      <c r="G268" s="8">
        <f>Dashboard!$C$9*B268*Dashboard!$C$11*(1-F268)</f>
        <v>116206.80597527984</v>
      </c>
      <c r="H268" s="8">
        <f>Dashboard!$C$20*A268^2</f>
        <v>56604.800000000003</v>
      </c>
      <c r="I268" s="8">
        <f t="shared" si="24"/>
        <v>172811.60597527985</v>
      </c>
      <c r="J268" s="8">
        <f>Dashboard!$C$13*A268</f>
        <v>53200</v>
      </c>
      <c r="K268" s="8">
        <f>Dashboard!$C$14*A268</f>
        <v>79800</v>
      </c>
      <c r="L268" s="8">
        <f>Dashboard!$C$21-K268</f>
        <v>1420200</v>
      </c>
      <c r="M268" s="8">
        <f t="shared" si="25"/>
        <v>1194188.3940247202</v>
      </c>
      <c r="N268" s="8">
        <f t="shared" si="26"/>
        <v>133000</v>
      </c>
      <c r="O268" s="8">
        <f>Dashboard!$C$15*(Dashboard!$C$16*EXP(-Dashboard!$C$16*A268)*E268-(1-EXP(-Dashboard!$C$16*A268))*Dashboard!$C$17/Dashboard!$C$19*E268*(1-E268))</f>
        <v>-0.1466500131095477</v>
      </c>
      <c r="P268" s="8">
        <f>Dashboard!$C$9*B268*Dashboard!$C$11*(-Dashboard!$C$12*(1-F268)-O268)+2*Dashboard!$C$20*A268</f>
        <v>25009.007673704</v>
      </c>
      <c r="Q268" s="8">
        <f>-P268-Dashboard!$C$13-Dashboard!$C$14</f>
        <v>-75009.007673704007</v>
      </c>
    </row>
    <row r="269" spans="1:17" x14ac:dyDescent="0.25">
      <c r="A269" s="5">
        <f>(269-2)/100</f>
        <v>2.67</v>
      </c>
      <c r="B269" s="5">
        <f>Dashboard!$C$10*EXP(-Dashboard!$C$12*A269)</f>
        <v>7.8556441509139457E-2</v>
      </c>
      <c r="C269" s="5">
        <f>Dashboard!$C$17*A269</f>
        <v>2136</v>
      </c>
      <c r="D269" s="5">
        <f>Dashboard!$C$15*(1-EXP(-Dashboard!$C$16*A269))</f>
        <v>0.58947345963517706</v>
      </c>
      <c r="E269" s="5">
        <f>1/(1+EXP(MIN(700,MAX(-700,(C269-Dashboard!$C$18)/Dashboard!$C$19))))</f>
        <v>0.44357471055058989</v>
      </c>
      <c r="F269" s="5">
        <f t="shared" si="23"/>
        <v>0.26147551923492851</v>
      </c>
      <c r="G269" s="8">
        <f>Dashboard!$C$9*B269*Dashboard!$C$11*(1-F269)</f>
        <v>116031.71035257784</v>
      </c>
      <c r="H269" s="8">
        <f>Dashboard!$C$20*A269^2</f>
        <v>57031.199999999997</v>
      </c>
      <c r="I269" s="8">
        <f t="shared" si="24"/>
        <v>173062.91035257783</v>
      </c>
      <c r="J269" s="8">
        <f>Dashboard!$C$13*A269</f>
        <v>53400</v>
      </c>
      <c r="K269" s="8">
        <f>Dashboard!$C$14*A269</f>
        <v>80100</v>
      </c>
      <c r="L269" s="8">
        <f>Dashboard!$C$21-K269</f>
        <v>1419900</v>
      </c>
      <c r="M269" s="8">
        <f t="shared" si="25"/>
        <v>1193437.0896474221</v>
      </c>
      <c r="N269" s="8">
        <f t="shared" si="26"/>
        <v>133500</v>
      </c>
      <c r="O269" s="8">
        <f>Dashboard!$C$15*(Dashboard!$C$16*EXP(-Dashboard!$C$16*A269)*E269-(1-EXP(-Dashboard!$C$16*A269))*Dashboard!$C$17/Dashboard!$C$19*E269*(1-E269))</f>
        <v>-0.14729666402953484</v>
      </c>
      <c r="P269" s="8">
        <f>Dashboard!$C$9*B269*Dashboard!$C$11*(-Dashboard!$C$12*(1-F269)-O269)+2*Dashboard!$C$20*A269</f>
        <v>25251.104921252794</v>
      </c>
      <c r="Q269" s="8">
        <f>-P269-Dashboard!$C$13-Dashboard!$C$14</f>
        <v>-75251.104921252787</v>
      </c>
    </row>
    <row r="270" spans="1:17" x14ac:dyDescent="0.25">
      <c r="A270" s="5">
        <f>(270-2)/100</f>
        <v>2.68</v>
      </c>
      <c r="B270" s="5">
        <f>Dashboard!$C$10*EXP(-Dashboard!$C$12*A270)</f>
        <v>7.8281974561201312E-2</v>
      </c>
      <c r="C270" s="5">
        <f>Dashboard!$C$17*A270</f>
        <v>2144</v>
      </c>
      <c r="D270" s="5">
        <f>Dashboard!$C$15*(1-EXP(-Dashboard!$C$16*A270))</f>
        <v>0.59052346513573928</v>
      </c>
      <c r="E270" s="5">
        <f>1/(1+EXP(MIN(700,MAX(-700,(C270-Dashboard!$C$18)/Dashboard!$C$19))))</f>
        <v>0.44028635073280703</v>
      </c>
      <c r="F270" s="5">
        <f t="shared" si="23"/>
        <v>0.25999942148670663</v>
      </c>
      <c r="G270" s="8">
        <f>Dashboard!$C$9*B270*Dashboard!$C$11*(1-F270)</f>
        <v>115857.41292490378</v>
      </c>
      <c r="H270" s="8">
        <f>Dashboard!$C$20*A270^2</f>
        <v>57459.200000000012</v>
      </c>
      <c r="I270" s="8">
        <f t="shared" si="24"/>
        <v>173316.61292490381</v>
      </c>
      <c r="J270" s="8">
        <f>Dashboard!$C$13*A270</f>
        <v>53600</v>
      </c>
      <c r="K270" s="8">
        <f>Dashboard!$C$14*A270</f>
        <v>80400</v>
      </c>
      <c r="L270" s="8">
        <f>Dashboard!$C$21-K270</f>
        <v>1419600</v>
      </c>
      <c r="M270" s="8">
        <f t="shared" si="25"/>
        <v>1192683.3870750961</v>
      </c>
      <c r="N270" s="8">
        <f t="shared" si="26"/>
        <v>134000</v>
      </c>
      <c r="O270" s="8">
        <f>Dashboard!$C$15*(Dashboard!$C$16*EXP(-Dashboard!$C$16*A270)*E270-(1-EXP(-Dashboard!$C$16*A270))*Dashboard!$C$17/Dashboard!$C$19*E270*(1-E270))</f>
        <v>-0.14791880379380865</v>
      </c>
      <c r="P270" s="8">
        <f>Dashboard!$C$9*B270*Dashboard!$C$11*(-Dashboard!$C$12*(1-F270)-O270)+2*Dashboard!$C$20*A270</f>
        <v>25488.657547704195</v>
      </c>
      <c r="Q270" s="8">
        <f>-P270-Dashboard!$C$13-Dashboard!$C$14</f>
        <v>-75488.657547704192</v>
      </c>
    </row>
    <row r="271" spans="1:17" x14ac:dyDescent="0.25">
      <c r="A271" s="5">
        <f>(271-2)/100</f>
        <v>2.69</v>
      </c>
      <c r="B271" s="5">
        <f>Dashboard!$C$10*EXP(-Dashboard!$C$12*A271)</f>
        <v>7.8008466568430468E-2</v>
      </c>
      <c r="C271" s="5">
        <f>Dashboard!$C$17*A271</f>
        <v>2152</v>
      </c>
      <c r="D271" s="5">
        <f>Dashboard!$C$15*(1-EXP(-Dashboard!$C$16*A271))</f>
        <v>0.5915682337120195</v>
      </c>
      <c r="E271" s="5">
        <f>1/(1+EXP(MIN(700,MAX(-700,(C271-Dashboard!$C$18)/Dashboard!$C$19))))</f>
        <v>0.43700322293759947</v>
      </c>
      <c r="F271" s="5">
        <f t="shared" si="23"/>
        <v>0.2585172247196556</v>
      </c>
      <c r="G271" s="8">
        <f>Dashboard!$C$9*B271*Dashboard!$C$11*(1-F271)</f>
        <v>115683.86857304756</v>
      </c>
      <c r="H271" s="8">
        <f>Dashboard!$C$20*A271^2</f>
        <v>57888.799999999996</v>
      </c>
      <c r="I271" s="8">
        <f t="shared" si="24"/>
        <v>173572.66857304756</v>
      </c>
      <c r="J271" s="8">
        <f>Dashboard!$C$13*A271</f>
        <v>53800</v>
      </c>
      <c r="K271" s="8">
        <f>Dashboard!$C$14*A271</f>
        <v>80700</v>
      </c>
      <c r="L271" s="8">
        <f>Dashboard!$C$21-K271</f>
        <v>1419300</v>
      </c>
      <c r="M271" s="8">
        <f t="shared" si="25"/>
        <v>1191927.3314269525</v>
      </c>
      <c r="N271" s="8">
        <f t="shared" si="26"/>
        <v>134500</v>
      </c>
      <c r="O271" s="8">
        <f>Dashboard!$C$15*(Dashboard!$C$16*EXP(-Dashboard!$C$16*A271)*E271-(1-EXP(-Dashboard!$C$16*A271))*Dashboard!$C$17/Dashboard!$C$19*E271*(1-E271))</f>
        <v>-0.14851647562783127</v>
      </c>
      <c r="P271" s="8">
        <f>Dashboard!$C$9*B271*Dashboard!$C$11*(-Dashboard!$C$12*(1-F271)-O271)+2*Dashboard!$C$20*A271</f>
        <v>25721.731047182941</v>
      </c>
      <c r="Q271" s="8">
        <f>-P271-Dashboard!$C$13-Dashboard!$C$14</f>
        <v>-75721.731047182941</v>
      </c>
    </row>
    <row r="272" spans="1:17" x14ac:dyDescent="0.25">
      <c r="A272" s="5">
        <f>(272-2)/100</f>
        <v>2.7</v>
      </c>
      <c r="B272" s="5">
        <f>Dashboard!$C$10*EXP(-Dashboard!$C$12*A272)</f>
        <v>7.7735914180350613E-2</v>
      </c>
      <c r="C272" s="5">
        <f>Dashboard!$C$17*A272</f>
        <v>2160</v>
      </c>
      <c r="D272" s="5">
        <f>Dashboard!$C$15*(1-EXP(-Dashboard!$C$16*A272))</f>
        <v>0.59260779148328691</v>
      </c>
      <c r="E272" s="5">
        <f>1/(1+EXP(MIN(700,MAX(-700,(C272-Dashboard!$C$18)/Dashboard!$C$19))))</f>
        <v>0.43372560580456077</v>
      </c>
      <c r="F272" s="5">
        <f t="shared" si="23"/>
        <v>0.25702917336559145</v>
      </c>
      <c r="G272" s="8">
        <f>Dashboard!$C$9*B272*Dashboard!$C$11*(1-F272)</f>
        <v>115511.03283551309</v>
      </c>
      <c r="H272" s="8">
        <f>Dashboard!$C$20*A272^2</f>
        <v>58320.000000000007</v>
      </c>
      <c r="I272" s="8">
        <f t="shared" si="24"/>
        <v>173831.03283551309</v>
      </c>
      <c r="J272" s="8">
        <f>Dashboard!$C$13*A272</f>
        <v>54000</v>
      </c>
      <c r="K272" s="8">
        <f>Dashboard!$C$14*A272</f>
        <v>81000</v>
      </c>
      <c r="L272" s="8">
        <f>Dashboard!$C$21-K272</f>
        <v>1419000</v>
      </c>
      <c r="M272" s="8">
        <f t="shared" si="25"/>
        <v>1191168.9671644869</v>
      </c>
      <c r="N272" s="8">
        <f t="shared" si="26"/>
        <v>135000</v>
      </c>
      <c r="O272" s="8">
        <f>Dashboard!$C$15*(Dashboard!$C$16*EXP(-Dashboard!$C$16*A272)*E272-(1-EXP(-Dashboard!$C$16*A272))*Dashboard!$C$17/Dashboard!$C$19*E272*(1-E272))</f>
        <v>-0.14908973027851113</v>
      </c>
      <c r="P272" s="8">
        <f>Dashboard!$C$9*B272*Dashboard!$C$11*(-Dashboard!$C$12*(1-F272)-O272)+2*Dashboard!$C$20*A272</f>
        <v>25950.39146377434</v>
      </c>
      <c r="Q272" s="8">
        <f>-P272-Dashboard!$C$13-Dashboard!$C$14</f>
        <v>-75950.391463774344</v>
      </c>
    </row>
    <row r="273" spans="1:17" x14ac:dyDescent="0.25">
      <c r="A273" s="5">
        <f>(273-2)/100</f>
        <v>2.71</v>
      </c>
      <c r="B273" s="5">
        <f>Dashboard!$C$10*EXP(-Dashboard!$C$12*A273)</f>
        <v>7.7464314058191569E-2</v>
      </c>
      <c r="C273" s="5">
        <f>Dashboard!$C$17*A273</f>
        <v>2168</v>
      </c>
      <c r="D273" s="5">
        <f>Dashboard!$C$15*(1-EXP(-Dashboard!$C$16*A273))</f>
        <v>0.59364216443853945</v>
      </c>
      <c r="E273" s="5">
        <f>1/(1+EXP(MIN(700,MAX(-700,(C273-Dashboard!$C$18)/Dashboard!$C$19))))</f>
        <v>0.43045377606077095</v>
      </c>
      <c r="F273" s="5">
        <f t="shared" si="23"/>
        <v>0.25553551131145841</v>
      </c>
      <c r="G273" s="8">
        <f>Dashboard!$C$9*B273*Dashboard!$C$11*(1-F273)</f>
        <v>115338.86191388038</v>
      </c>
      <c r="H273" s="8">
        <f>Dashboard!$C$20*A273^2</f>
        <v>58752.800000000003</v>
      </c>
      <c r="I273" s="8">
        <f t="shared" si="24"/>
        <v>174091.66191388038</v>
      </c>
      <c r="J273" s="8">
        <f>Dashboard!$C$13*A273</f>
        <v>54200</v>
      </c>
      <c r="K273" s="8">
        <f>Dashboard!$C$14*A273</f>
        <v>81300</v>
      </c>
      <c r="L273" s="8">
        <f>Dashboard!$C$21-K273</f>
        <v>1418700</v>
      </c>
      <c r="M273" s="8">
        <f t="shared" si="25"/>
        <v>1190408.3380861196</v>
      </c>
      <c r="N273" s="8">
        <f t="shared" si="26"/>
        <v>135500</v>
      </c>
      <c r="O273" s="8">
        <f>Dashboard!$C$15*(Dashboard!$C$16*EXP(-Dashboard!$C$16*A273)*E273-(1-EXP(-Dashboard!$C$16*A273))*Dashboard!$C$17/Dashboard!$C$19*E273*(1-E273))</f>
        <v>-0.14963862596451591</v>
      </c>
      <c r="P273" s="8">
        <f>Dashboard!$C$9*B273*Dashboard!$C$11*(-Dashboard!$C$12*(1-F273)-O273)+2*Dashboard!$C$20*A273</f>
        <v>26174.705364044905</v>
      </c>
      <c r="Q273" s="8">
        <f>-P273-Dashboard!$C$13-Dashboard!$C$14</f>
        <v>-76174.705364044901</v>
      </c>
    </row>
    <row r="274" spans="1:17" x14ac:dyDescent="0.25">
      <c r="A274" s="5">
        <f>(274-2)/100</f>
        <v>2.72</v>
      </c>
      <c r="B274" s="5">
        <f>Dashboard!$C$10*EXP(-Dashboard!$C$12*A274)</f>
        <v>7.719366287484844E-2</v>
      </c>
      <c r="C274" s="5">
        <f>Dashboard!$C$17*A274</f>
        <v>2176</v>
      </c>
      <c r="D274" s="5">
        <f>Dashboard!$C$15*(1-EXP(-Dashboard!$C$16*A274))</f>
        <v>0.59467137843715534</v>
      </c>
      <c r="E274" s="5">
        <f>1/(1+EXP(MIN(700,MAX(-700,(C274-Dashboard!$C$18)/Dashboard!$C$19))))</f>
        <v>0.42718800842998617</v>
      </c>
      <c r="F274" s="5">
        <f t="shared" si="23"/>
        <v>0.25403648182488303</v>
      </c>
      <c r="G274" s="8">
        <f>Dashboard!$C$9*B274*Dashboard!$C$11*(1-F274)</f>
        <v>115167.31267789171</v>
      </c>
      <c r="H274" s="8">
        <f>Dashboard!$C$20*A274^2</f>
        <v>59187.200000000012</v>
      </c>
      <c r="I274" s="8">
        <f t="shared" si="24"/>
        <v>174354.5126778917</v>
      </c>
      <c r="J274" s="8">
        <f>Dashboard!$C$13*A274</f>
        <v>54400.000000000007</v>
      </c>
      <c r="K274" s="8">
        <f>Dashboard!$C$14*A274</f>
        <v>81600</v>
      </c>
      <c r="L274" s="8">
        <f>Dashboard!$C$21-K274</f>
        <v>1418400</v>
      </c>
      <c r="M274" s="8">
        <f t="shared" si="25"/>
        <v>1189645.4873221084</v>
      </c>
      <c r="N274" s="8">
        <f t="shared" si="26"/>
        <v>136000</v>
      </c>
      <c r="O274" s="8">
        <f>Dashboard!$C$15*(Dashboard!$C$16*EXP(-Dashboard!$C$16*A274)*E274-(1-EXP(-Dashboard!$C$16*A274))*Dashboard!$C$17/Dashboard!$C$19*E274*(1-E274))</f>
        <v>-0.15016322832118151</v>
      </c>
      <c r="P274" s="8">
        <f>Dashboard!$C$9*B274*Dashboard!$C$11*(-Dashboard!$C$12*(1-F274)-O274)+2*Dashboard!$C$20*A274</f>
        <v>26394.739809186263</v>
      </c>
      <c r="Q274" s="8">
        <f>-P274-Dashboard!$C$13-Dashboard!$C$14</f>
        <v>-76394.739809186256</v>
      </c>
    </row>
    <row r="275" spans="1:17" x14ac:dyDescent="0.25">
      <c r="A275" s="5">
        <f>(275-2)/100</f>
        <v>2.73</v>
      </c>
      <c r="B275" s="5">
        <f>Dashboard!$C$10*EXP(-Dashboard!$C$12*A275)</f>
        <v>7.6923957314840863E-2</v>
      </c>
      <c r="C275" s="5">
        <f>Dashboard!$C$17*A275</f>
        <v>2184</v>
      </c>
      <c r="D275" s="5">
        <f>Dashboard!$C$15*(1-EXP(-Dashboard!$C$16*A275))</f>
        <v>0.59569545920953793</v>
      </c>
      <c r="E275" s="5">
        <f>1/(1+EXP(MIN(700,MAX(-700,(C275-Dashboard!$C$18)/Dashboard!$C$19))))</f>
        <v>0.42392857554328783</v>
      </c>
      <c r="F275" s="5">
        <f t="shared" si="23"/>
        <v>0.25253232748030413</v>
      </c>
      <c r="G275" s="8">
        <f>Dashboard!$C$9*B275*Dashboard!$C$11*(1-F275)</f>
        <v>114996.34267025707</v>
      </c>
      <c r="H275" s="8">
        <f>Dashboard!$C$20*A275^2</f>
        <v>59623.199999999997</v>
      </c>
      <c r="I275" s="8">
        <f t="shared" si="24"/>
        <v>174619.54267025707</v>
      </c>
      <c r="J275" s="8">
        <f>Dashboard!$C$13*A275</f>
        <v>54600</v>
      </c>
      <c r="K275" s="8">
        <f>Dashboard!$C$14*A275</f>
        <v>81900</v>
      </c>
      <c r="L275" s="8">
        <f>Dashboard!$C$21-K275</f>
        <v>1418100</v>
      </c>
      <c r="M275" s="8">
        <f t="shared" si="25"/>
        <v>1188880.4573297428</v>
      </c>
      <c r="N275" s="8">
        <f t="shared" si="26"/>
        <v>136500</v>
      </c>
      <c r="O275" s="8">
        <f>Dashboard!$C$15*(Dashboard!$C$16*EXP(-Dashboard!$C$16*A275)*E275-(1-EXP(-Dashboard!$C$16*A275))*Dashboard!$C$17/Dashboard!$C$19*E275*(1-E275))</f>
        <v>-0.15066361034010053</v>
      </c>
      <c r="P275" s="8">
        <f>Dashboard!$C$9*B275*Dashboard!$C$11*(-Dashboard!$C$12*(1-F275)-O275)+2*Dashboard!$C$20*A275</f>
        <v>26610.562326813455</v>
      </c>
      <c r="Q275" s="8">
        <f>-P275-Dashboard!$C$13-Dashboard!$C$14</f>
        <v>-76610.562326813451</v>
      </c>
    </row>
    <row r="276" spans="1:17" x14ac:dyDescent="0.25">
      <c r="A276" s="5">
        <f>(276-2)/100</f>
        <v>2.74</v>
      </c>
      <c r="B276" s="5">
        <f>Dashboard!$C$10*EXP(-Dashboard!$C$12*A276)</f>
        <v>7.665519407427232E-2</v>
      </c>
      <c r="C276" s="5">
        <f>Dashboard!$C$17*A276</f>
        <v>2192</v>
      </c>
      <c r="D276" s="5">
        <f>Dashboard!$C$15*(1-EXP(-Dashboard!$C$16*A276))</f>
        <v>0.59671443235775978</v>
      </c>
      <c r="E276" s="5">
        <f>1/(1+EXP(MIN(700,MAX(-700,(C276-Dashboard!$C$18)/Dashboard!$C$19))))</f>
        <v>0.42067574785125056</v>
      </c>
      <c r="F276" s="5">
        <f t="shared" si="23"/>
        <v>0.25102329008573504</v>
      </c>
      <c r="G276" s="8">
        <f>Dashboard!$C$9*B276*Dashboard!$C$11*(1-F276)</f>
        <v>114825.91011117589</v>
      </c>
      <c r="H276" s="8">
        <f>Dashboard!$C$20*A276^2</f>
        <v>60060.80000000001</v>
      </c>
      <c r="I276" s="8">
        <f t="shared" si="24"/>
        <v>174886.7101111759</v>
      </c>
      <c r="J276" s="8">
        <f>Dashboard!$C$13*A276</f>
        <v>54800.000000000007</v>
      </c>
      <c r="K276" s="8">
        <f>Dashboard!$C$14*A276</f>
        <v>82200</v>
      </c>
      <c r="L276" s="8">
        <f>Dashboard!$C$21-K276</f>
        <v>1417800</v>
      </c>
      <c r="M276" s="8">
        <f t="shared" si="25"/>
        <v>1188113.2898888241</v>
      </c>
      <c r="N276" s="8">
        <f t="shared" si="26"/>
        <v>137000</v>
      </c>
      <c r="O276" s="8">
        <f>Dashboard!$C$15*(Dashboard!$C$16*EXP(-Dashboard!$C$16*A276)*E276-(1-EXP(-Dashboard!$C$16*A276))*Dashboard!$C$17/Dashboard!$C$19*E276*(1-E276))</f>
        <v>-0.15113985230348334</v>
      </c>
      <c r="P276" s="8">
        <f>Dashboard!$C$9*B276*Dashboard!$C$11*(-Dashboard!$C$12*(1-F276)-O276)+2*Dashboard!$C$20*A276</f>
        <v>26822.240882449183</v>
      </c>
      <c r="Q276" s="8">
        <f>-P276-Dashboard!$C$13-Dashboard!$C$14</f>
        <v>-76822.240882449187</v>
      </c>
    </row>
    <row r="277" spans="1:17" x14ac:dyDescent="0.25">
      <c r="A277" s="5">
        <f>(277-2)/100</f>
        <v>2.75</v>
      </c>
      <c r="B277" s="5">
        <f>Dashboard!$C$10*EXP(-Dashboard!$C$12*A277)</f>
        <v>7.6387369860789797E-2</v>
      </c>
      <c r="C277" s="5">
        <f>Dashboard!$C$17*A277</f>
        <v>2200</v>
      </c>
      <c r="D277" s="5">
        <f>Dashboard!$C$15*(1-EXP(-Dashboard!$C$16*A277))</f>
        <v>0.59772832335620285</v>
      </c>
      <c r="E277" s="5">
        <f>1/(1+EXP(MIN(700,MAX(-700,(C277-Dashboard!$C$18)/Dashboard!$C$19))))</f>
        <v>0.41742979353768528</v>
      </c>
      <c r="F277" s="5">
        <f t="shared" si="23"/>
        <v>0.24950961061020654</v>
      </c>
      <c r="G277" s="8">
        <f>Dashboard!$C$9*B277*Dashboard!$C$11*(1-F277)</f>
        <v>114655.9739025726</v>
      </c>
      <c r="H277" s="8">
        <f>Dashboard!$C$20*A277^2</f>
        <v>60500</v>
      </c>
      <c r="I277" s="8">
        <f t="shared" si="24"/>
        <v>175155.97390257259</v>
      </c>
      <c r="J277" s="8">
        <f>Dashboard!$C$13*A277</f>
        <v>55000</v>
      </c>
      <c r="K277" s="8">
        <f>Dashboard!$C$14*A277</f>
        <v>82500</v>
      </c>
      <c r="L277" s="8">
        <f>Dashboard!$C$21-K277</f>
        <v>1417500</v>
      </c>
      <c r="M277" s="8">
        <f t="shared" si="25"/>
        <v>1187344.0260974274</v>
      </c>
      <c r="N277" s="8">
        <f t="shared" si="26"/>
        <v>137500</v>
      </c>
      <c r="O277" s="8">
        <f>Dashboard!$C$15*(Dashboard!$C$16*EXP(-Dashboard!$C$16*A277)*E277-(1-EXP(-Dashboard!$C$16*A277))*Dashboard!$C$17/Dashboard!$C$19*E277*(1-E277))</f>
        <v>-0.15159204171338889</v>
      </c>
      <c r="P277" s="8">
        <f>Dashboard!$C$9*B277*Dashboard!$C$11*(-Dashboard!$C$12*(1-F277)-O277)+2*Dashboard!$C$20*A277</f>
        <v>27029.843850725418</v>
      </c>
      <c r="Q277" s="8">
        <f>-P277-Dashboard!$C$13-Dashboard!$C$14</f>
        <v>-77029.843850725418</v>
      </c>
    </row>
    <row r="278" spans="1:17" x14ac:dyDescent="0.25">
      <c r="A278" s="5">
        <f>(278-2)/100</f>
        <v>2.76</v>
      </c>
      <c r="B278" s="5">
        <f>Dashboard!$C$10*EXP(-Dashboard!$C$12*A278)</f>
        <v>7.6120481393543299E-2</v>
      </c>
      <c r="C278" s="5">
        <f>Dashboard!$C$17*A278</f>
        <v>2208</v>
      </c>
      <c r="D278" s="5">
        <f>Dashboard!$C$15*(1-EXP(-Dashboard!$C$16*A278))</f>
        <v>0.59873715755219481</v>
      </c>
      <c r="E278" s="5">
        <f>1/(1+EXP(MIN(700,MAX(-700,(C278-Dashboard!$C$18)/Dashboard!$C$19))))</f>
        <v>0.41419097843501507</v>
      </c>
      <c r="F278" s="5">
        <f t="shared" si="23"/>
        <v>0.24799152911194333</v>
      </c>
      <c r="G278" s="8">
        <f>Dashboard!$C$9*B278*Dashboard!$C$11*(1-F278)</f>
        <v>114486.49363204253</v>
      </c>
      <c r="H278" s="8">
        <f>Dashboard!$C$20*A278^2</f>
        <v>60940.799999999988</v>
      </c>
      <c r="I278" s="8">
        <f t="shared" si="24"/>
        <v>175427.29363204254</v>
      </c>
      <c r="J278" s="8">
        <f>Dashboard!$C$13*A278</f>
        <v>55199.999999999993</v>
      </c>
      <c r="K278" s="8">
        <f>Dashboard!$C$14*A278</f>
        <v>82800</v>
      </c>
      <c r="L278" s="8">
        <f>Dashboard!$C$21-K278</f>
        <v>1417200</v>
      </c>
      <c r="M278" s="8">
        <f t="shared" si="25"/>
        <v>1186572.7063679574</v>
      </c>
      <c r="N278" s="8">
        <f t="shared" si="26"/>
        <v>138000</v>
      </c>
      <c r="O278" s="8">
        <f>Dashboard!$C$15*(Dashboard!$C$16*EXP(-Dashboard!$C$16*A278)*E278-(1-EXP(-Dashboard!$C$16*A278))*Dashboard!$C$17/Dashboard!$C$19*E278*(1-E278))</f>
        <v>-0.15202027321592829</v>
      </c>
      <c r="P278" s="8">
        <f>Dashboard!$C$9*B278*Dashboard!$C$11*(-Dashboard!$C$12*(1-F278)-O278)+2*Dashboard!$C$20*A278</f>
        <v>27233.43998633399</v>
      </c>
      <c r="Q278" s="8">
        <f>-P278-Dashboard!$C$13-Dashboard!$C$14</f>
        <v>-77233.439986333993</v>
      </c>
    </row>
    <row r="279" spans="1:17" x14ac:dyDescent="0.25">
      <c r="A279" s="5">
        <f>(279-2)/100</f>
        <v>2.77</v>
      </c>
      <c r="B279" s="5">
        <f>Dashboard!$C$10*EXP(-Dashboard!$C$12*A279)</f>
        <v>7.5854525403145773E-2</v>
      </c>
      <c r="C279" s="5">
        <f>Dashboard!$C$17*A279</f>
        <v>2216</v>
      </c>
      <c r="D279" s="5">
        <f>Dashboard!$C$15*(1-EXP(-Dashboard!$C$16*A279))</f>
        <v>0.59974096016664324</v>
      </c>
      <c r="E279" s="5">
        <f>1/(1+EXP(MIN(700,MAX(-700,(C279-Dashboard!$C$18)/Dashboard!$C$19))))</f>
        <v>0.41095956594133487</v>
      </c>
      <c r="F279" s="5">
        <f t="shared" si="23"/>
        <v>0.24646928466732312</v>
      </c>
      <c r="G279" s="8">
        <f>Dashboard!$C$9*B279*Dashboard!$C$11*(1-F279)</f>
        <v>114317.4295765063</v>
      </c>
      <c r="H279" s="8">
        <f>Dashboard!$C$20*A279^2</f>
        <v>61383.200000000004</v>
      </c>
      <c r="I279" s="8">
        <f t="shared" si="24"/>
        <v>175700.6295765063</v>
      </c>
      <c r="J279" s="8">
        <f>Dashboard!$C$13*A279</f>
        <v>55400</v>
      </c>
      <c r="K279" s="8">
        <f>Dashboard!$C$14*A279</f>
        <v>83100</v>
      </c>
      <c r="L279" s="8">
        <f>Dashboard!$C$21-K279</f>
        <v>1416900</v>
      </c>
      <c r="M279" s="8">
        <f t="shared" si="25"/>
        <v>1185799.3704234937</v>
      </c>
      <c r="N279" s="8">
        <f t="shared" si="26"/>
        <v>138500</v>
      </c>
      <c r="O279" s="8">
        <f>Dashboard!$C$15*(Dashboard!$C$16*EXP(-Dashboard!$C$16*A279)*E279-(1-EXP(-Dashboard!$C$16*A279))*Dashboard!$C$17/Dashboard!$C$19*E279*(1-E279))</f>
        <v>-0.15242464852055249</v>
      </c>
      <c r="P279" s="8">
        <f>Dashboard!$C$9*B279*Dashboard!$C$11*(-Dashboard!$C$12*(1-F279)-O279)+2*Dashboard!$C$20*A279</f>
        <v>27433.098394758432</v>
      </c>
      <c r="Q279" s="8">
        <f>-P279-Dashboard!$C$13-Dashboard!$C$14</f>
        <v>-77433.098394758432</v>
      </c>
    </row>
    <row r="280" spans="1:17" x14ac:dyDescent="0.25">
      <c r="A280" s="5">
        <f>(280-2)/100</f>
        <v>2.78</v>
      </c>
      <c r="B280" s="5">
        <f>Dashboard!$C$10*EXP(-Dashboard!$C$12*A280)</f>
        <v>7.5589498631633029E-2</v>
      </c>
      <c r="C280" s="5">
        <f>Dashboard!$C$17*A280</f>
        <v>2224</v>
      </c>
      <c r="D280" s="5">
        <f>Dashboard!$C$15*(1-EXP(-Dashboard!$C$16*A280))</f>
        <v>0.60073975629466547</v>
      </c>
      <c r="E280" s="5">
        <f>1/(1+EXP(MIN(700,MAX(-700,(C280-Dashboard!$C$18)/Dashboard!$C$19))))</f>
        <v>0.40773581693920857</v>
      </c>
      <c r="F280" s="5">
        <f t="shared" si="23"/>
        <v>0.24494311530066648</v>
      </c>
      <c r="G280" s="8">
        <f>Dashboard!$C$9*B280*Dashboard!$C$11*(1-F280)</f>
        <v>114148.74270557072</v>
      </c>
      <c r="H280" s="8">
        <f>Dashboard!$C$20*A280^2</f>
        <v>61827.19999999999</v>
      </c>
      <c r="I280" s="8">
        <f t="shared" si="24"/>
        <v>175975.94270557072</v>
      </c>
      <c r="J280" s="8">
        <f>Dashboard!$C$13*A280</f>
        <v>55599.999999999993</v>
      </c>
      <c r="K280" s="8">
        <f>Dashboard!$C$14*A280</f>
        <v>83400</v>
      </c>
      <c r="L280" s="8">
        <f>Dashboard!$C$21-K280</f>
        <v>1416600</v>
      </c>
      <c r="M280" s="8">
        <f t="shared" si="25"/>
        <v>1185024.0572944293</v>
      </c>
      <c r="N280" s="8">
        <f t="shared" si="26"/>
        <v>139000</v>
      </c>
      <c r="O280" s="8">
        <f>Dashboard!$C$15*(Dashboard!$C$16*EXP(-Dashboard!$C$16*A280)*E280-(1-EXP(-Dashboard!$C$16*A280))*Dashboard!$C$17/Dashboard!$C$19*E280*(1-E280))</f>
        <v>-0.1528052763145358</v>
      </c>
      <c r="P280" s="8">
        <f>Dashboard!$C$9*B280*Dashboard!$C$11*(-Dashboard!$C$12*(1-F280)-O280)+2*Dashboard!$C$20*A280</f>
        <v>27628.88850281807</v>
      </c>
      <c r="Q280" s="8">
        <f>-P280-Dashboard!$C$13-Dashboard!$C$14</f>
        <v>-77628.888502818067</v>
      </c>
    </row>
    <row r="281" spans="1:17" x14ac:dyDescent="0.25">
      <c r="A281" s="5">
        <f>(281-2)/100</f>
        <v>2.79</v>
      </c>
      <c r="B281" s="5">
        <f>Dashboard!$C$10*EXP(-Dashboard!$C$12*A281)</f>
        <v>7.5325397832423757E-2</v>
      </c>
      <c r="C281" s="5">
        <f>Dashboard!$C$17*A281</f>
        <v>2232</v>
      </c>
      <c r="D281" s="5">
        <f>Dashboard!$C$15*(1-EXP(-Dashboard!$C$16*A281))</f>
        <v>0.60173357090621704</v>
      </c>
      <c r="E281" s="5">
        <f>1/(1+EXP(MIN(700,MAX(-700,(C281-Dashboard!$C$18)/Dashboard!$C$19))))</f>
        <v>0.40451998971625175</v>
      </c>
      <c r="F281" s="5">
        <f t="shared" si="23"/>
        <v>0.24341325791490637</v>
      </c>
      <c r="G281" s="8">
        <f>Dashboard!$C$9*B281*Dashboard!$C$11*(1-F281)</f>
        <v>113980.39468459411</v>
      </c>
      <c r="H281" s="8">
        <f>Dashboard!$C$20*A281^2</f>
        <v>62272.800000000003</v>
      </c>
      <c r="I281" s="8">
        <f t="shared" si="24"/>
        <v>176253.19468459411</v>
      </c>
      <c r="J281" s="8">
        <f>Dashboard!$C$13*A281</f>
        <v>55800</v>
      </c>
      <c r="K281" s="8">
        <f>Dashboard!$C$14*A281</f>
        <v>83700</v>
      </c>
      <c r="L281" s="8">
        <f>Dashboard!$C$21-K281</f>
        <v>1416300</v>
      </c>
      <c r="M281" s="8">
        <f t="shared" si="25"/>
        <v>1184246.8053154058</v>
      </c>
      <c r="N281" s="8">
        <f t="shared" si="26"/>
        <v>139500</v>
      </c>
      <c r="O281" s="8">
        <f>Dashboard!$C$15*(Dashboard!$C$16*EXP(-Dashboard!$C$16*A281)*E281-(1-EXP(-Dashboard!$C$16*A281))*Dashboard!$C$17/Dashboard!$C$19*E281*(1-E281))</f>
        <v>-0.15316227217277797</v>
      </c>
      <c r="P281" s="8">
        <f>Dashboard!$C$9*B281*Dashboard!$C$11*(-Dashboard!$C$12*(1-F281)-O281)+2*Dashboard!$C$20*A281</f>
        <v>27820.880029056992</v>
      </c>
      <c r="Q281" s="8">
        <f>-P281-Dashboard!$C$13-Dashboard!$C$14</f>
        <v>-77820.880029056992</v>
      </c>
    </row>
    <row r="282" spans="1:17" x14ac:dyDescent="0.25">
      <c r="A282" s="5">
        <f>(282-2)/100</f>
        <v>2.8</v>
      </c>
      <c r="B282" s="5">
        <f>Dashboard!$C$10*EXP(-Dashboard!$C$12*A282)</f>
        <v>7.5062219770279923E-2</v>
      </c>
      <c r="C282" s="5">
        <f>Dashboard!$C$17*A282</f>
        <v>2240</v>
      </c>
      <c r="D282" s="5">
        <f>Dashboard!$C$15*(1-EXP(-Dashboard!$C$16*A282))</f>
        <v>0.6027224288467149</v>
      </c>
      <c r="E282" s="5">
        <f>1/(1+EXP(MIN(700,MAX(-700,(C282-Dashboard!$C$18)/Dashboard!$C$19))))</f>
        <v>0.401312339887548</v>
      </c>
      <c r="F282" s="5">
        <f t="shared" si="23"/>
        <v>0.24187994822318132</v>
      </c>
      <c r="G282" s="8">
        <f>Dashboard!$C$9*B282*Dashboard!$C$11*(1-F282)</f>
        <v>113812.34787745513</v>
      </c>
      <c r="H282" s="8">
        <f>Dashboard!$C$20*A282^2</f>
        <v>62719.999999999993</v>
      </c>
      <c r="I282" s="8">
        <f t="shared" si="24"/>
        <v>176532.34787745512</v>
      </c>
      <c r="J282" s="8">
        <f>Dashboard!$C$13*A282</f>
        <v>56000</v>
      </c>
      <c r="K282" s="8">
        <f>Dashboard!$C$14*A282</f>
        <v>84000</v>
      </c>
      <c r="L282" s="8">
        <f>Dashboard!$C$21-K282</f>
        <v>1416000</v>
      </c>
      <c r="M282" s="8">
        <f t="shared" si="25"/>
        <v>1183467.6521225448</v>
      </c>
      <c r="N282" s="8">
        <f t="shared" si="26"/>
        <v>140000</v>
      </c>
      <c r="O282" s="8">
        <f>Dashboard!$C$15*(Dashboard!$C$16*EXP(-Dashboard!$C$16*A282)*E282-(1-EXP(-Dashboard!$C$16*A282))*Dashboard!$C$17/Dashboard!$C$19*E282*(1-E282))</f>
        <v>-0.15349575846304803</v>
      </c>
      <c r="P282" s="8">
        <f>Dashboard!$C$9*B282*Dashboard!$C$11*(-Dashboard!$C$12*(1-F282)-O282)+2*Dashboard!$C$20*A282</f>
        <v>28009.142954008941</v>
      </c>
      <c r="Q282" s="8">
        <f>-P282-Dashboard!$C$13-Dashboard!$C$14</f>
        <v>-78009.142954008945</v>
      </c>
    </row>
    <row r="283" spans="1:17" x14ac:dyDescent="0.25">
      <c r="A283" s="5">
        <f>(283-2)/100</f>
        <v>2.81</v>
      </c>
      <c r="B283" s="5">
        <f>Dashboard!$C$10*EXP(-Dashboard!$C$12*A283)</f>
        <v>7.479996122126692E-2</v>
      </c>
      <c r="C283" s="5">
        <f>Dashboard!$C$17*A283</f>
        <v>2248</v>
      </c>
      <c r="D283" s="5">
        <f>Dashboard!$C$15*(1-EXP(-Dashboard!$C$16*A283))</f>
        <v>0.603706354837659</v>
      </c>
      <c r="E283" s="5">
        <f>1/(1+EXP(MIN(700,MAX(-700,(C283-Dashboard!$C$18)/Dashboard!$C$19))))</f>
        <v>0.39811312031994345</v>
      </c>
      <c r="F283" s="5">
        <f t="shared" si="23"/>
        <v>0.24034342068139941</v>
      </c>
      <c r="G283" s="8">
        <f>Dashboard!$C$9*B283*Dashboard!$C$11*(1-F283)</f>
        <v>113644.56534902319</v>
      </c>
      <c r="H283" s="8">
        <f>Dashboard!$C$20*A283^2</f>
        <v>63168.800000000003</v>
      </c>
      <c r="I283" s="8">
        <f t="shared" si="24"/>
        <v>176813.3653490232</v>
      </c>
      <c r="J283" s="8">
        <f>Dashboard!$C$13*A283</f>
        <v>56200</v>
      </c>
      <c r="K283" s="8">
        <f>Dashboard!$C$14*A283</f>
        <v>84300</v>
      </c>
      <c r="L283" s="8">
        <f>Dashboard!$C$21-K283</f>
        <v>1415700</v>
      </c>
      <c r="M283" s="8">
        <f t="shared" si="25"/>
        <v>1182686.6346509769</v>
      </c>
      <c r="N283" s="8">
        <f t="shared" si="26"/>
        <v>140500</v>
      </c>
      <c r="O283" s="8">
        <f>Dashboard!$C$15*(Dashboard!$C$16*EXP(-Dashboard!$C$16*A283)*E283-(1-EXP(-Dashboard!$C$16*A283))*Dashboard!$C$17/Dashboard!$C$19*E283*(1-E283))</f>
        <v>-0.15380586424680054</v>
      </c>
      <c r="P283" s="8">
        <f>Dashboard!$C$9*B283*Dashboard!$C$11*(-Dashboard!$C$12*(1-F283)-O283)+2*Dashboard!$C$20*A283</f>
        <v>28193.74749037013</v>
      </c>
      <c r="Q283" s="8">
        <f>-P283-Dashboard!$C$13-Dashboard!$C$14</f>
        <v>-78193.747490370122</v>
      </c>
    </row>
    <row r="284" spans="1:17" x14ac:dyDescent="0.25">
      <c r="A284" s="5">
        <f>(284-2)/100</f>
        <v>2.82</v>
      </c>
      <c r="B284" s="5">
        <f>Dashboard!$C$10*EXP(-Dashboard!$C$12*A284)</f>
        <v>7.4538618972714285E-2</v>
      </c>
      <c r="C284" s="5">
        <f>Dashboard!$C$17*A284</f>
        <v>2256</v>
      </c>
      <c r="D284" s="5">
        <f>Dashboard!$C$15*(1-EXP(-Dashboard!$C$16*A284))</f>
        <v>0.60468537347725038</v>
      </c>
      <c r="E284" s="5">
        <f>1/(1+EXP(MIN(700,MAX(-700,(C284-Dashboard!$C$18)/Dashboard!$C$19))))</f>
        <v>0.3949225810582625</v>
      </c>
      <c r="F284" s="5">
        <f t="shared" si="23"/>
        <v>0.23880390842181515</v>
      </c>
      <c r="G284" s="8">
        <f>Dashboard!$C$9*B284*Dashboard!$C$11*(1-F284)</f>
        <v>113477.01086733131</v>
      </c>
      <c r="H284" s="8">
        <f>Dashboard!$C$20*A284^2</f>
        <v>63619.19999999999</v>
      </c>
      <c r="I284" s="8">
        <f t="shared" si="24"/>
        <v>177096.21086733131</v>
      </c>
      <c r="J284" s="8">
        <f>Dashboard!$C$13*A284</f>
        <v>56400</v>
      </c>
      <c r="K284" s="8">
        <f>Dashboard!$C$14*A284</f>
        <v>84600</v>
      </c>
      <c r="L284" s="8">
        <f>Dashboard!$C$21-K284</f>
        <v>1415400</v>
      </c>
      <c r="M284" s="8">
        <f t="shared" si="25"/>
        <v>1181903.7891326686</v>
      </c>
      <c r="N284" s="8">
        <f t="shared" si="26"/>
        <v>141000</v>
      </c>
      <c r="O284" s="8">
        <f>Dashboard!$C$15*(Dashboard!$C$16*EXP(-Dashboard!$C$16*A284)*E284-(1-EXP(-Dashboard!$C$16*A284))*Dashboard!$C$17/Dashboard!$C$19*E284*(1-E284))</f>
        <v>-0.15409272517569716</v>
      </c>
      <c r="P284" s="8">
        <f>Dashboard!$C$9*B284*Dashboard!$C$11*(-Dashboard!$C$12*(1-F284)-O284)+2*Dashboard!$C$20*A284</f>
        <v>28374.764053110986</v>
      </c>
      <c r="Q284" s="8">
        <f>-P284-Dashboard!$C$13-Dashboard!$C$14</f>
        <v>-78374.764053110994</v>
      </c>
    </row>
    <row r="285" spans="1:17" x14ac:dyDescent="0.25">
      <c r="A285" s="5">
        <f>(285-2)/100</f>
        <v>2.83</v>
      </c>
      <c r="B285" s="5">
        <f>Dashboard!$C$10*EXP(-Dashboard!$C$12*A285)</f>
        <v>7.4278189823176174E-2</v>
      </c>
      <c r="C285" s="5">
        <f>Dashboard!$C$17*A285</f>
        <v>2264</v>
      </c>
      <c r="D285" s="5">
        <f>Dashboard!$C$15*(1-EXP(-Dashboard!$C$16*A285))</f>
        <v>0.60565950924100609</v>
      </c>
      <c r="E285" s="5">
        <f>1/(1+EXP(MIN(700,MAX(-700,(C285-Dashboard!$C$18)/Dashboard!$C$19))))</f>
        <v>0.39174096925348562</v>
      </c>
      <c r="F285" s="5">
        <f t="shared" si="23"/>
        <v>0.23726164318766216</v>
      </c>
      <c r="G285" s="8">
        <f>Dashboard!$C$9*B285*Dashboard!$C$11*(1-F285)</f>
        <v>113309.64890544862</v>
      </c>
      <c r="H285" s="8">
        <f>Dashboard!$C$20*A285^2</f>
        <v>64071.200000000004</v>
      </c>
      <c r="I285" s="8">
        <f t="shared" si="24"/>
        <v>177380.84890544863</v>
      </c>
      <c r="J285" s="8">
        <f>Dashboard!$C$13*A285</f>
        <v>56600</v>
      </c>
      <c r="K285" s="8">
        <f>Dashboard!$C$14*A285</f>
        <v>84900</v>
      </c>
      <c r="L285" s="8">
        <f>Dashboard!$C$21-K285</f>
        <v>1415100</v>
      </c>
      <c r="M285" s="8">
        <f t="shared" si="25"/>
        <v>1181119.1510945514</v>
      </c>
      <c r="N285" s="8">
        <f t="shared" si="26"/>
        <v>141500</v>
      </c>
      <c r="O285" s="8">
        <f>Dashboard!$C$15*(Dashboard!$C$16*EXP(-Dashboard!$C$16*A285)*E285-(1-EXP(-Dashboard!$C$16*A285))*Dashboard!$C$17/Dashboard!$C$19*E285*(1-E285))</f>
        <v>-0.15435648338397379</v>
      </c>
      <c r="P285" s="8">
        <f>Dashboard!$C$9*B285*Dashboard!$C$11*(-Dashboard!$C$12*(1-F285)-O285)+2*Dashboard!$C$20*A285</f>
        <v>28552.263229558477</v>
      </c>
      <c r="Q285" s="8">
        <f>-P285-Dashboard!$C$13-Dashboard!$C$14</f>
        <v>-78552.263229558477</v>
      </c>
    </row>
    <row r="286" spans="1:17" x14ac:dyDescent="0.25">
      <c r="A286" s="5">
        <f>(286-2)/100</f>
        <v>2.84</v>
      </c>
      <c r="B286" s="5">
        <f>Dashboard!$C$10*EXP(-Dashboard!$C$12*A286)</f>
        <v>7.4018670582392268E-2</v>
      </c>
      <c r="C286" s="5">
        <f>Dashboard!$C$17*A286</f>
        <v>2272</v>
      </c>
      <c r="D286" s="5">
        <f>Dashboard!$C$15*(1-EXP(-Dashboard!$C$16*A286))</f>
        <v>0.60662878648237095</v>
      </c>
      <c r="E286" s="5">
        <f>1/(1+EXP(MIN(700,MAX(-700,(C286-Dashboard!$C$18)/Dashboard!$C$19))))</f>
        <v>0.38856852909292722</v>
      </c>
      <c r="F286" s="5">
        <f t="shared" si="23"/>
        <v>0.23571685526888228</v>
      </c>
      <c r="G286" s="8">
        <f>Dashboard!$C$9*B286*Dashboard!$C$11*(1-F286)</f>
        <v>113142.44464305487</v>
      </c>
      <c r="H286" s="8">
        <f>Dashboard!$C$20*A286^2</f>
        <v>64524.799999999996</v>
      </c>
      <c r="I286" s="8">
        <f t="shared" si="24"/>
        <v>177667.24464305487</v>
      </c>
      <c r="J286" s="8">
        <f>Dashboard!$C$13*A286</f>
        <v>56800</v>
      </c>
      <c r="K286" s="8">
        <f>Dashboard!$C$14*A286</f>
        <v>85200</v>
      </c>
      <c r="L286" s="8">
        <f>Dashboard!$C$21-K286</f>
        <v>1414800</v>
      </c>
      <c r="M286" s="8">
        <f t="shared" si="25"/>
        <v>1180332.7553569451</v>
      </c>
      <c r="N286" s="8">
        <f t="shared" si="26"/>
        <v>142000</v>
      </c>
      <c r="O286" s="8">
        <f>Dashboard!$C$15*(Dashboard!$C$16*EXP(-Dashboard!$C$16*A286)*E286-(1-EXP(-Dashboard!$C$16*A286))*Dashboard!$C$17/Dashboard!$C$19*E286*(1-E286))</f>
        <v>-0.15459728737679324</v>
      </c>
      <c r="P286" s="8">
        <f>Dashboard!$C$9*B286*Dashboard!$C$11*(-Dashboard!$C$12*(1-F286)-O286)+2*Dashboard!$C$20*A286</f>
        <v>28726.315749479378</v>
      </c>
      <c r="Q286" s="8">
        <f>-P286-Dashboard!$C$13-Dashboard!$C$14</f>
        <v>-78726.31574947937</v>
      </c>
    </row>
    <row r="287" spans="1:17" x14ac:dyDescent="0.25">
      <c r="A287" s="5">
        <f>(287-2)/100</f>
        <v>2.85</v>
      </c>
      <c r="B287" s="5">
        <f>Dashboard!$C$10*EXP(-Dashboard!$C$12*A287)</f>
        <v>7.3760058071248621E-2</v>
      </c>
      <c r="C287" s="5">
        <f>Dashboard!$C$17*A287</f>
        <v>2280</v>
      </c>
      <c r="D287" s="5">
        <f>Dashboard!$C$15*(1-EXP(-Dashboard!$C$16*A287))</f>
        <v>0.60759322943332639</v>
      </c>
      <c r="E287" s="5">
        <f>1/(1+EXP(MIN(700,MAX(-700,(C287-Dashboard!$C$18)/Dashboard!$C$19))))</f>
        <v>0.38540550173245053</v>
      </c>
      <c r="F287" s="5">
        <f t="shared" si="23"/>
        <v>0.23416977343899109</v>
      </c>
      <c r="G287" s="8">
        <f>Dashboard!$C$9*B287*Dashboard!$C$11*(1-F287)</f>
        <v>112975.36396771501</v>
      </c>
      <c r="H287" s="8">
        <f>Dashboard!$C$20*A287^2</f>
        <v>64980.000000000007</v>
      </c>
      <c r="I287" s="8">
        <f t="shared" si="24"/>
        <v>177955.36396771501</v>
      </c>
      <c r="J287" s="8">
        <f>Dashboard!$C$13*A287</f>
        <v>57000</v>
      </c>
      <c r="K287" s="8">
        <f>Dashboard!$C$14*A287</f>
        <v>85500</v>
      </c>
      <c r="L287" s="8">
        <f>Dashboard!$C$21-K287</f>
        <v>1414500</v>
      </c>
      <c r="M287" s="8">
        <f t="shared" si="25"/>
        <v>1179544.6360322849</v>
      </c>
      <c r="N287" s="8">
        <f t="shared" si="26"/>
        <v>142500</v>
      </c>
      <c r="O287" s="8">
        <f>Dashboard!$C$15*(Dashboard!$C$16*EXP(-Dashboard!$C$16*A287)*E287-(1-EXP(-Dashboard!$C$16*A287))*Dashboard!$C$17/Dashboard!$C$19*E287*(1-E287))</f>
        <v>-0.15481529191473192</v>
      </c>
      <c r="P287" s="8">
        <f>Dashboard!$C$9*B287*Dashboard!$C$11*(-Dashboard!$C$12*(1-F287)-O287)+2*Dashboard!$C$20*A287</f>
        <v>28896.992455195621</v>
      </c>
      <c r="Q287" s="8">
        <f>-P287-Dashboard!$C$13-Dashboard!$C$14</f>
        <v>-78896.992455195621</v>
      </c>
    </row>
    <row r="288" spans="1:17" x14ac:dyDescent="0.25">
      <c r="A288" s="5">
        <f>(288-2)/100</f>
        <v>2.86</v>
      </c>
      <c r="B288" s="5">
        <f>Dashboard!$C$10*EXP(-Dashboard!$C$12*A288)</f>
        <v>7.3502349121738725E-2</v>
      </c>
      <c r="C288" s="5">
        <f>Dashboard!$C$17*A288</f>
        <v>2288</v>
      </c>
      <c r="D288" s="5">
        <f>Dashboard!$C$15*(1-EXP(-Dashboard!$C$16*A288))</f>
        <v>0.60855286220499638</v>
      </c>
      <c r="E288" s="5">
        <f>1/(1+EXP(MIN(700,MAX(-700,(C288-Dashboard!$C$18)/Dashboard!$C$19))))</f>
        <v>0.38225212523075103</v>
      </c>
      <c r="F288" s="5">
        <f t="shared" si="23"/>
        <v>0.23262062489311625</v>
      </c>
      <c r="G288" s="8">
        <f>Dashboard!$C$9*B288*Dashboard!$C$11*(1-F288)</f>
        <v>112808.37347585574</v>
      </c>
      <c r="H288" s="8">
        <f>Dashboard!$C$20*A288^2</f>
        <v>65436.799999999988</v>
      </c>
      <c r="I288" s="8">
        <f t="shared" si="24"/>
        <v>178245.17347585573</v>
      </c>
      <c r="J288" s="8">
        <f>Dashboard!$C$13*A288</f>
        <v>57200</v>
      </c>
      <c r="K288" s="8">
        <f>Dashboard!$C$14*A288</f>
        <v>85800</v>
      </c>
      <c r="L288" s="8">
        <f>Dashboard!$C$21-K288</f>
        <v>1414200</v>
      </c>
      <c r="M288" s="8">
        <f t="shared" si="25"/>
        <v>1178754.8265241443</v>
      </c>
      <c r="N288" s="8">
        <f t="shared" si="26"/>
        <v>143000</v>
      </c>
      <c r="O288" s="8">
        <f>Dashboard!$C$15*(Dashboard!$C$16*EXP(-Dashboard!$C$16*A288)*E288-(1-EXP(-Dashboard!$C$16*A288))*Dashboard!$C$17/Dashboard!$C$19*E288*(1-E288))</f>
        <v>-0.15501065789454735</v>
      </c>
      <c r="P288" s="8">
        <f>Dashboard!$C$9*B288*Dashboard!$C$11*(-Dashboard!$C$12*(1-F288)-O288)+2*Dashboard!$C$20*A288</f>
        <v>29064.364271761344</v>
      </c>
      <c r="Q288" s="8">
        <f>-P288-Dashboard!$C$13-Dashboard!$C$14</f>
        <v>-79064.36427176134</v>
      </c>
    </row>
    <row r="289" spans="1:17" x14ac:dyDescent="0.25">
      <c r="A289" s="5">
        <f>(289-2)/100</f>
        <v>2.87</v>
      </c>
      <c r="B289" s="5">
        <f>Dashboard!$C$10*EXP(-Dashboard!$C$12*A289)</f>
        <v>7.3245540576924714E-2</v>
      </c>
      <c r="C289" s="5">
        <f>Dashboard!$C$17*A289</f>
        <v>2296</v>
      </c>
      <c r="D289" s="5">
        <f>Dashboard!$C$15*(1-EXP(-Dashboard!$C$16*A289))</f>
        <v>0.60950770878825045</v>
      </c>
      <c r="E289" s="5">
        <f>1/(1+EXP(MIN(700,MAX(-700,(C289-Dashboard!$C$18)/Dashboard!$C$19))))</f>
        <v>0.37910863448574306</v>
      </c>
      <c r="F289" s="5">
        <f t="shared" si="23"/>
        <v>0.23106963518724755</v>
      </c>
      <c r="G289" s="8">
        <f>Dashboard!$C$9*B289*Dashboard!$C$11*(1-F289)</f>
        <v>112641.44047344397</v>
      </c>
      <c r="H289" s="8">
        <f>Dashboard!$C$20*A289^2</f>
        <v>65895.199999999997</v>
      </c>
      <c r="I289" s="8">
        <f t="shared" si="24"/>
        <v>178536.64047344396</v>
      </c>
      <c r="J289" s="8">
        <f>Dashboard!$C$13*A289</f>
        <v>57400</v>
      </c>
      <c r="K289" s="8">
        <f>Dashboard!$C$14*A289</f>
        <v>86100</v>
      </c>
      <c r="L289" s="8">
        <f>Dashboard!$C$21-K289</f>
        <v>1413900</v>
      </c>
      <c r="M289" s="8">
        <f t="shared" si="25"/>
        <v>1177963.359526556</v>
      </c>
      <c r="N289" s="8">
        <f t="shared" si="26"/>
        <v>143500</v>
      </c>
      <c r="O289" s="8">
        <f>Dashboard!$C$15*(Dashboard!$C$16*EXP(-Dashboard!$C$16*A289)*E289-(1-EXP(-Dashboard!$C$16*A289))*Dashboard!$C$17/Dashboard!$C$19*E289*(1-E289))</f>
        <v>-0.15518355222638167</v>
      </c>
      <c r="P289" s="8">
        <f>Dashboard!$C$9*B289*Dashboard!$C$11*(-Dashboard!$C$12*(1-F289)-O289)+2*Dashboard!$C$20*A289</f>
        <v>29228.50217723212</v>
      </c>
      <c r="Q289" s="8">
        <f>-P289-Dashboard!$C$13-Dashboard!$C$14</f>
        <v>-79228.50217723212</v>
      </c>
    </row>
    <row r="290" spans="1:17" x14ac:dyDescent="0.25">
      <c r="A290" s="5">
        <f>(290-2)/100</f>
        <v>2.88</v>
      </c>
      <c r="B290" s="5">
        <f>Dashboard!$C$10*EXP(-Dashboard!$C$12*A290)</f>
        <v>7.298962929089875E-2</v>
      </c>
      <c r="C290" s="5">
        <f>Dashboard!$C$17*A290</f>
        <v>2304</v>
      </c>
      <c r="D290" s="5">
        <f>Dashboard!$C$15*(1-EXP(-Dashboard!$C$16*A290))</f>
        <v>0.61045779305430259</v>
      </c>
      <c r="E290" s="5">
        <f>1/(1+EXP(MIN(700,MAX(-700,(C290-Dashboard!$C$18)/Dashboard!$C$19))))</f>
        <v>0.37597526117307534</v>
      </c>
      <c r="F290" s="5">
        <f t="shared" si="23"/>
        <v>0.2295170281787306</v>
      </c>
      <c r="G290" s="8">
        <f>Dashboard!$C$9*B290*Dashboard!$C$11*(1-F290)</f>
        <v>112474.53297636888</v>
      </c>
      <c r="H290" s="8">
        <f>Dashboard!$C$20*A290^2</f>
        <v>66355.199999999997</v>
      </c>
      <c r="I290" s="8">
        <f t="shared" si="24"/>
        <v>178829.73297636886</v>
      </c>
      <c r="J290" s="8">
        <f>Dashboard!$C$13*A290</f>
        <v>57600</v>
      </c>
      <c r="K290" s="8">
        <f>Dashboard!$C$14*A290</f>
        <v>86400</v>
      </c>
      <c r="L290" s="8">
        <f>Dashboard!$C$21-K290</f>
        <v>1413600</v>
      </c>
      <c r="M290" s="8">
        <f t="shared" si="25"/>
        <v>1177170.2670236311</v>
      </c>
      <c r="N290" s="8">
        <f t="shared" si="26"/>
        <v>144000</v>
      </c>
      <c r="O290" s="8">
        <f>Dashboard!$C$15*(Dashboard!$C$16*EXP(-Dashboard!$C$16*A290)*E290-(1-EXP(-Dashboard!$C$16*A290))*Dashboard!$C$17/Dashboard!$C$19*E290*(1-E290))</f>
        <v>-0.15533414770755416</v>
      </c>
      <c r="P290" s="8">
        <f>Dashboard!$C$9*B290*Dashboard!$C$11*(-Dashboard!$C$12*(1-F290)-O290)+2*Dashboard!$C$20*A290</f>
        <v>29389.477173055071</v>
      </c>
      <c r="Q290" s="8">
        <f>-P290-Dashboard!$C$13-Dashboard!$C$14</f>
        <v>-79389.477173055071</v>
      </c>
    </row>
    <row r="291" spans="1:17" x14ac:dyDescent="0.25">
      <c r="A291" s="5">
        <f>(291-2)/100</f>
        <v>2.89</v>
      </c>
      <c r="B291" s="5">
        <f>Dashboard!$C$10*EXP(-Dashboard!$C$12*A291)</f>
        <v>7.2734612128744339E-2</v>
      </c>
      <c r="C291" s="5">
        <f>Dashboard!$C$17*A291</f>
        <v>2312</v>
      </c>
      <c r="D291" s="5">
        <f>Dashboard!$C$15*(1-EXP(-Dashboard!$C$16*A291))</f>
        <v>0.61140313875530916</v>
      </c>
      <c r="E291" s="5">
        <f>1/(1+EXP(MIN(700,MAX(-700,(C291-Dashboard!$C$18)/Dashboard!$C$19))))</f>
        <v>0.37285223368680442</v>
      </c>
      <c r="F291" s="5">
        <f t="shared" si="23"/>
        <v>0.22796302596804024</v>
      </c>
      <c r="G291" s="8">
        <f>Dashboard!$C$9*B291*Dashboard!$C$11*(1-F291)</f>
        <v>112307.6197105281</v>
      </c>
      <c r="H291" s="8">
        <f>Dashboard!$C$20*A291^2</f>
        <v>66816.800000000003</v>
      </c>
      <c r="I291" s="8">
        <f t="shared" si="24"/>
        <v>179124.41971052811</v>
      </c>
      <c r="J291" s="8">
        <f>Dashboard!$C$13*A291</f>
        <v>57800</v>
      </c>
      <c r="K291" s="8">
        <f>Dashboard!$C$14*A291</f>
        <v>86700</v>
      </c>
      <c r="L291" s="8">
        <f>Dashboard!$C$21-K291</f>
        <v>1413300</v>
      </c>
      <c r="M291" s="8">
        <f t="shared" si="25"/>
        <v>1176375.5802894719</v>
      </c>
      <c r="N291" s="8">
        <f t="shared" si="26"/>
        <v>144500</v>
      </c>
      <c r="O291" s="8">
        <f>Dashboard!$C$15*(Dashboard!$C$16*EXP(-Dashboard!$C$16*A291)*E291-(1-EXP(-Dashboard!$C$16*A291))*Dashboard!$C$17/Dashboard!$C$19*E291*(1-E291))</f>
        <v>-0.15546262289310298</v>
      </c>
      <c r="P291" s="8">
        <f>Dashboard!$C$9*B291*Dashboard!$C$11*(-Dashboard!$C$12*(1-F291)-O291)+2*Dashboard!$C$20*A291</f>
        <v>29547.360254609357</v>
      </c>
      <c r="Q291" s="8">
        <f>-P291-Dashboard!$C$13-Dashboard!$C$14</f>
        <v>-79547.360254609361</v>
      </c>
    </row>
    <row r="292" spans="1:17" x14ac:dyDescent="0.25">
      <c r="A292" s="5">
        <f>(292-2)/100</f>
        <v>2.9</v>
      </c>
      <c r="B292" s="5">
        <f>Dashboard!$C$10*EXP(-Dashboard!$C$12*A292)</f>
        <v>7.2480485966498073E-2</v>
      </c>
      <c r="C292" s="5">
        <f>Dashboard!$C$17*A292</f>
        <v>2320</v>
      </c>
      <c r="D292" s="5">
        <f>Dashboard!$C$15*(1-EXP(-Dashboard!$C$16*A292))</f>
        <v>0.61234376952496195</v>
      </c>
      <c r="E292" s="5">
        <f>1/(1+EXP(MIN(700,MAX(-700,(C292-Dashboard!$C$18)/Dashboard!$C$19))))</f>
        <v>0.3697397770822487</v>
      </c>
      <c r="F292" s="5">
        <f t="shared" si="23"/>
        <v>0.2264078488418633</v>
      </c>
      <c r="G292" s="8">
        <f>Dashboard!$C$9*B292*Dashboard!$C$11*(1-F292)</f>
        <v>112140.67011162077</v>
      </c>
      <c r="H292" s="8">
        <f>Dashboard!$C$20*A292^2</f>
        <v>67280</v>
      </c>
      <c r="I292" s="8">
        <f t="shared" si="24"/>
        <v>179420.67011162077</v>
      </c>
      <c r="J292" s="8">
        <f>Dashboard!$C$13*A292</f>
        <v>58000</v>
      </c>
      <c r="K292" s="8">
        <f>Dashboard!$C$14*A292</f>
        <v>87000</v>
      </c>
      <c r="L292" s="8">
        <f>Dashboard!$C$21-K292</f>
        <v>1413000</v>
      </c>
      <c r="M292" s="8">
        <f t="shared" si="25"/>
        <v>1175579.3298883792</v>
      </c>
      <c r="N292" s="8">
        <f t="shared" si="26"/>
        <v>145000</v>
      </c>
      <c r="O292" s="8">
        <f>Dashboard!$C$15*(Dashboard!$C$16*EXP(-Dashboard!$C$16*A292)*E292-(1-EXP(-Dashboard!$C$16*A292))*Dashboard!$C$17/Dashboard!$C$19*E292*(1-E292))</f>
        <v>-0.15556916196323389</v>
      </c>
      <c r="P292" s="8">
        <f>Dashboard!$C$9*B292*Dashboard!$C$11*(-Dashboard!$C$12*(1-F292)-O292)+2*Dashboard!$C$20*A292</f>
        <v>29702.22238192481</v>
      </c>
      <c r="Q292" s="8">
        <f>-P292-Dashboard!$C$13-Dashboard!$C$14</f>
        <v>-79702.222381924803</v>
      </c>
    </row>
    <row r="293" spans="1:17" x14ac:dyDescent="0.25">
      <c r="A293" s="5">
        <f>(293-2)/100</f>
        <v>2.91</v>
      </c>
      <c r="B293" s="5">
        <f>Dashboard!$C$10*EXP(-Dashboard!$C$12*A293)</f>
        <v>7.2227247691111274E-2</v>
      </c>
      <c r="C293" s="5">
        <f>Dashboard!$C$17*A293</f>
        <v>2328</v>
      </c>
      <c r="D293" s="5">
        <f>Dashboard!$C$15*(1-EXP(-Dashboard!$C$16*A293))</f>
        <v>0.61327970887907901</v>
      </c>
      <c r="E293" s="5">
        <f>1/(1+EXP(MIN(700,MAX(-700,(C293-Dashboard!$C$18)/Dashboard!$C$19))))</f>
        <v>0.36663811302104604</v>
      </c>
      <c r="F293" s="5">
        <f t="shared" si="23"/>
        <v>0.22485171521752198</v>
      </c>
      <c r="G293" s="8">
        <f>Dashboard!$C$9*B293*Dashboard!$C$11*(1-F293)</f>
        <v>111973.6543246482</v>
      </c>
      <c r="H293" s="8">
        <f>Dashboard!$C$20*A293^2</f>
        <v>67744.800000000017</v>
      </c>
      <c r="I293" s="8">
        <f t="shared" si="24"/>
        <v>179718.45432464822</v>
      </c>
      <c r="J293" s="8">
        <f>Dashboard!$C$13*A293</f>
        <v>58200</v>
      </c>
      <c r="K293" s="8">
        <f>Dashboard!$C$14*A293</f>
        <v>87300</v>
      </c>
      <c r="L293" s="8">
        <f>Dashboard!$C$21-K293</f>
        <v>1412700</v>
      </c>
      <c r="M293" s="8">
        <f t="shared" si="25"/>
        <v>1174781.5456753518</v>
      </c>
      <c r="N293" s="8">
        <f t="shared" si="26"/>
        <v>145500</v>
      </c>
      <c r="O293" s="8">
        <f>Dashboard!$C$15*(Dashboard!$C$16*EXP(-Dashboard!$C$16*A293)*E293-(1-EXP(-Dashboard!$C$16*A293))*Dashboard!$C$17/Dashboard!$C$19*E293*(1-E293))</f>
        <v>-0.15565395458784131</v>
      </c>
      <c r="P293" s="8">
        <f>Dashboard!$C$9*B293*Dashboard!$C$11*(-Dashboard!$C$12*(1-F293)-O293)+2*Dashboard!$C$20*A293</f>
        <v>29854.13445060714</v>
      </c>
      <c r="Q293" s="8">
        <f>-P293-Dashboard!$C$13-Dashboard!$C$14</f>
        <v>-79854.134450607147</v>
      </c>
    </row>
    <row r="294" spans="1:17" x14ac:dyDescent="0.25">
      <c r="A294" s="5">
        <f>(294-2)/100</f>
        <v>2.92</v>
      </c>
      <c r="B294" s="5">
        <f>Dashboard!$C$10*EXP(-Dashboard!$C$12*A294)</f>
        <v>7.1974894200411907E-2</v>
      </c>
      <c r="C294" s="5">
        <f>Dashboard!$C$17*A294</f>
        <v>2336</v>
      </c>
      <c r="D294" s="5">
        <f>Dashboard!$C$15*(1-EXP(-Dashboard!$C$16*A294))</f>
        <v>0.61421098021619303</v>
      </c>
      <c r="E294" s="5">
        <f>1/(1+EXP(MIN(700,MAX(-700,(C294-Dashboard!$C$18)/Dashboard!$C$19))))</f>
        <v>0.36354745971843366</v>
      </c>
      <c r="F294" s="5">
        <f t="shared" si="23"/>
        <v>0.22329484158876609</v>
      </c>
      <c r="G294" s="8">
        <f>Dashboard!$C$9*B294*Dashboard!$C$11*(1-F294)</f>
        <v>111806.54320312547</v>
      </c>
      <c r="H294" s="8">
        <f>Dashboard!$C$20*A294^2</f>
        <v>68211.199999999997</v>
      </c>
      <c r="I294" s="8">
        <f t="shared" si="24"/>
        <v>180017.74320312549</v>
      </c>
      <c r="J294" s="8">
        <f>Dashboard!$C$13*A294</f>
        <v>58400</v>
      </c>
      <c r="K294" s="8">
        <f>Dashboard!$C$14*A294</f>
        <v>87600</v>
      </c>
      <c r="L294" s="8">
        <f>Dashboard!$C$21-K294</f>
        <v>1412400</v>
      </c>
      <c r="M294" s="8">
        <f t="shared" si="25"/>
        <v>1173982.2567968746</v>
      </c>
      <c r="N294" s="8">
        <f t="shared" si="26"/>
        <v>146000</v>
      </c>
      <c r="O294" s="8">
        <f>Dashboard!$C$15*(Dashboard!$C$16*EXP(-Dashboard!$C$16*A294)*E294-(1-EXP(-Dashboard!$C$16*A294))*Dashboard!$C$17/Dashboard!$C$19*E294*(1-E294))</f>
        <v>-0.15571719578826307</v>
      </c>
      <c r="P294" s="8">
        <f>Dashboard!$C$9*B294*Dashboard!$C$11*(-Dashboard!$C$12*(1-F294)-O294)+2*Dashboard!$C$20*A294</f>
        <v>30003.167262996209</v>
      </c>
      <c r="Q294" s="8">
        <f>-P294-Dashboard!$C$13-Dashboard!$C$14</f>
        <v>-80003.167262996212</v>
      </c>
    </row>
    <row r="295" spans="1:17" x14ac:dyDescent="0.25">
      <c r="A295" s="5">
        <f>(295-2)/100</f>
        <v>2.93</v>
      </c>
      <c r="B295" s="5">
        <f>Dashboard!$C$10*EXP(-Dashboard!$C$12*A295)</f>
        <v>7.1723422403066547E-2</v>
      </c>
      <c r="C295" s="5">
        <f>Dashboard!$C$17*A295</f>
        <v>2344</v>
      </c>
      <c r="D295" s="5">
        <f>Dashboard!$C$15*(1-EXP(-Dashboard!$C$16*A295))</f>
        <v>0.6151376068181359</v>
      </c>
      <c r="E295" s="5">
        <f>1/(1+EXP(MIN(700,MAX(-700,(C295-Dashboard!$C$18)/Dashboard!$C$19))))</f>
        <v>0.36046803189276766</v>
      </c>
      <c r="F295" s="5">
        <f t="shared" ref="F295:F358" si="27">D295*E295</f>
        <v>0.22173744247296059</v>
      </c>
      <c r="G295" s="8">
        <f>Dashboard!$C$9*B295*Dashboard!$C$11*(1-F295)</f>
        <v>111639.30830800546</v>
      </c>
      <c r="H295" s="8">
        <f>Dashboard!$C$20*A295^2</f>
        <v>68679.200000000012</v>
      </c>
      <c r="I295" s="8">
        <f t="shared" ref="I295:I358" si="28">G295+H295</f>
        <v>180318.50830800546</v>
      </c>
      <c r="J295" s="8">
        <f>Dashboard!$C$13*A295</f>
        <v>58600</v>
      </c>
      <c r="K295" s="8">
        <f>Dashboard!$C$14*A295</f>
        <v>87900</v>
      </c>
      <c r="L295" s="8">
        <f>Dashboard!$C$21-K295</f>
        <v>1412100</v>
      </c>
      <c r="M295" s="8">
        <f t="shared" ref="M295:M358" si="29">L295-I295-J295</f>
        <v>1173181.4916919945</v>
      </c>
      <c r="N295" s="8">
        <f t="shared" ref="N295:N358" si="30">J295+K295</f>
        <v>146500</v>
      </c>
      <c r="O295" s="8">
        <f>Dashboard!$C$15*(Dashboard!$C$16*EXP(-Dashboard!$C$16*A295)*E295-(1-EXP(-Dashboard!$C$16*A295))*Dashboard!$C$17/Dashboard!$C$19*E295*(1-E295))</f>
        <v>-0.15575908579643546</v>
      </c>
      <c r="P295" s="8">
        <f>Dashboard!$C$9*B295*Dashboard!$C$11*(-Dashboard!$C$12*(1-F295)-O295)+2*Dashboard!$C$20*A295</f>
        <v>30149.391499584541</v>
      </c>
      <c r="Q295" s="8">
        <f>-P295-Dashboard!$C$13-Dashboard!$C$14</f>
        <v>-80149.391499584541</v>
      </c>
    </row>
    <row r="296" spans="1:17" x14ac:dyDescent="0.25">
      <c r="A296" s="5">
        <f>(296-2)/100</f>
        <v>2.94</v>
      </c>
      <c r="B296" s="5">
        <f>Dashboard!$C$10*EXP(-Dashboard!$C$12*A296)</f>
        <v>7.1472829218542575E-2</v>
      </c>
      <c r="C296" s="5">
        <f>Dashboard!$C$17*A296</f>
        <v>2352</v>
      </c>
      <c r="D296" s="5">
        <f>Dashboard!$C$15*(1-EXP(-Dashboard!$C$16*A296))</f>
        <v>0.61605961185062097</v>
      </c>
      <c r="E296" s="5">
        <f>1/(1+EXP(MIN(700,MAX(-700,(C296-Dashboard!$C$18)/Dashboard!$C$19))))</f>
        <v>0.3574000407172972</v>
      </c>
      <c r="F296" s="5">
        <f t="shared" si="27"/>
        <v>0.22017973035969424</v>
      </c>
      <c r="G296" s="8">
        <f>Dashboard!$C$9*B296*Dashboard!$C$11*(1-F296)</f>
        <v>111471.92190631881</v>
      </c>
      <c r="H296" s="8">
        <f>Dashboard!$C$20*A296^2</f>
        <v>69148.799999999988</v>
      </c>
      <c r="I296" s="8">
        <f t="shared" si="28"/>
        <v>180620.72190631879</v>
      </c>
      <c r="J296" s="8">
        <f>Dashboard!$C$13*A296</f>
        <v>58800</v>
      </c>
      <c r="K296" s="8">
        <f>Dashboard!$C$14*A296</f>
        <v>88200</v>
      </c>
      <c r="L296" s="8">
        <f>Dashboard!$C$21-K296</f>
        <v>1411800</v>
      </c>
      <c r="M296" s="8">
        <f t="shared" si="29"/>
        <v>1172379.2780936812</v>
      </c>
      <c r="N296" s="8">
        <f t="shared" si="30"/>
        <v>147000</v>
      </c>
      <c r="O296" s="8">
        <f>Dashboard!$C$15*(Dashboard!$C$16*EXP(-Dashboard!$C$16*A296)*E296-(1-EXP(-Dashboard!$C$16*A296))*Dashboard!$C$17/Dashboard!$C$19*E296*(1-E296))</f>
        <v>-0.15577982991161621</v>
      </c>
      <c r="P296" s="8">
        <f>Dashboard!$C$9*B296*Dashboard!$C$11*(-Dashboard!$C$12*(1-F296)-O296)+2*Dashboard!$C$20*A296</f>
        <v>30292.877690721532</v>
      </c>
      <c r="Q296" s="8">
        <f>-P296-Dashboard!$C$13-Dashboard!$C$14</f>
        <v>-80292.877690721536</v>
      </c>
    </row>
    <row r="297" spans="1:17" x14ac:dyDescent="0.25">
      <c r="A297" s="5">
        <f>(297-2)/100</f>
        <v>2.95</v>
      </c>
      <c r="B297" s="5">
        <f>Dashboard!$C$10*EXP(-Dashboard!$C$12*A297)</f>
        <v>7.1223111577070286E-2</v>
      </c>
      <c r="C297" s="5">
        <f>Dashboard!$C$17*A297</f>
        <v>2360</v>
      </c>
      <c r="D297" s="5">
        <f>Dashboard!$C$15*(1-EXP(-Dashboard!$C$16*A297))</f>
        <v>0.61697701836382213</v>
      </c>
      <c r="E297" s="5">
        <f>1/(1+EXP(MIN(700,MAX(-700,(C297-Dashboard!$C$18)/Dashboard!$C$19))))</f>
        <v>0.35434369377420455</v>
      </c>
      <c r="F297" s="5">
        <f t="shared" si="27"/>
        <v>0.21862191566083197</v>
      </c>
      <c r="G297" s="8">
        <f>Dashboard!$C$9*B297*Dashboard!$C$11*(1-F297)</f>
        <v>111304.356969532</v>
      </c>
      <c r="H297" s="8">
        <f>Dashboard!$C$20*A297^2</f>
        <v>69620</v>
      </c>
      <c r="I297" s="8">
        <f t="shared" si="28"/>
        <v>180924.356969532</v>
      </c>
      <c r="J297" s="8">
        <f>Dashboard!$C$13*A297</f>
        <v>59000</v>
      </c>
      <c r="K297" s="8">
        <f>Dashboard!$C$14*A297</f>
        <v>88500</v>
      </c>
      <c r="L297" s="8">
        <f>Dashboard!$C$21-K297</f>
        <v>1411500</v>
      </c>
      <c r="M297" s="8">
        <f t="shared" si="29"/>
        <v>1171575.6430304679</v>
      </c>
      <c r="N297" s="8">
        <f t="shared" si="30"/>
        <v>147500</v>
      </c>
      <c r="O297" s="8">
        <f>Dashboard!$C$15*(Dashboard!$C$16*EXP(-Dashboard!$C$16*A297)*E297-(1-EXP(-Dashboard!$C$16*A297))*Dashboard!$C$17/Dashboard!$C$19*E297*(1-E297))</f>
        <v>-0.15577963835484099</v>
      </c>
      <c r="P297" s="8">
        <f>Dashboard!$C$9*B297*Dashboard!$C$11*(-Dashboard!$C$12*(1-F297)-O297)+2*Dashboard!$C$20*A297</f>
        <v>30433.696188628801</v>
      </c>
      <c r="Q297" s="8">
        <f>-P297-Dashboard!$C$13-Dashboard!$C$14</f>
        <v>-80433.696188628805</v>
      </c>
    </row>
    <row r="298" spans="1:17" x14ac:dyDescent="0.25">
      <c r="A298" s="5">
        <f>(298-2)/100</f>
        <v>2.96</v>
      </c>
      <c r="B298" s="5">
        <f>Dashboard!$C$10*EXP(-Dashboard!$C$12*A298)</f>
        <v>7.0974266419605483E-2</v>
      </c>
      <c r="C298" s="5">
        <f>Dashboard!$C$17*A298</f>
        <v>2368</v>
      </c>
      <c r="D298" s="5">
        <f>Dashboard!$C$15*(1-EXP(-Dashboard!$C$16*A298))</f>
        <v>0.61788984929294988</v>
      </c>
      <c r="E298" s="5">
        <f>1/(1+EXP(MIN(700,MAX(-700,(C298-Dashboard!$C$18)/Dashboard!$C$19))))</f>
        <v>0.35129919501092316</v>
      </c>
      <c r="F298" s="5">
        <f t="shared" si="27"/>
        <v>0.21706420666203391</v>
      </c>
      <c r="G298" s="8">
        <f>Dashboard!$C$9*B298*Dashboard!$C$11*(1-F298)</f>
        <v>111136.58717162798</v>
      </c>
      <c r="H298" s="8">
        <f>Dashboard!$C$20*A298^2</f>
        <v>70092.800000000003</v>
      </c>
      <c r="I298" s="8">
        <f t="shared" si="28"/>
        <v>181229.38717162798</v>
      </c>
      <c r="J298" s="8">
        <f>Dashboard!$C$13*A298</f>
        <v>59200</v>
      </c>
      <c r="K298" s="8">
        <f>Dashboard!$C$14*A298</f>
        <v>88800</v>
      </c>
      <c r="L298" s="8">
        <f>Dashboard!$C$21-K298</f>
        <v>1411200</v>
      </c>
      <c r="M298" s="8">
        <f t="shared" si="29"/>
        <v>1170770.612828372</v>
      </c>
      <c r="N298" s="8">
        <f t="shared" si="30"/>
        <v>148000</v>
      </c>
      <c r="O298" s="8">
        <f>Dashboard!$C$15*(Dashboard!$C$16*EXP(-Dashboard!$C$16*A298)*E298-(1-EXP(-Dashboard!$C$16*A298))*Dashboard!$C$17/Dashboard!$C$19*E298*(1-E298))</f>
        <v>-0.15575872612128333</v>
      </c>
      <c r="P298" s="8">
        <f>Dashboard!$C$9*B298*Dashboard!$C$11*(-Dashboard!$C$12*(1-F298)-O298)+2*Dashboard!$C$20*A298</f>
        <v>30571.917139750862</v>
      </c>
      <c r="Q298" s="8">
        <f>-P298-Dashboard!$C$13-Dashboard!$C$14</f>
        <v>-80571.917139750862</v>
      </c>
    </row>
    <row r="299" spans="1:17" x14ac:dyDescent="0.25">
      <c r="A299" s="5">
        <f>(299-2)/100</f>
        <v>2.97</v>
      </c>
      <c r="B299" s="5">
        <f>Dashboard!$C$10*EXP(-Dashboard!$C$12*A299)</f>
        <v>7.0726290697791863E-2</v>
      </c>
      <c r="C299" s="5">
        <f>Dashboard!$C$17*A299</f>
        <v>2376</v>
      </c>
      <c r="D299" s="5">
        <f>Dashboard!$C$15*(1-EXP(-Dashboard!$C$16*A299))</f>
        <v>0.61879812745882501</v>
      </c>
      <c r="E299" s="5">
        <f>1/(1+EXP(MIN(700,MAX(-700,(C299-Dashboard!$C$18)/Dashboard!$C$19))))</f>
        <v>0.34826674469873858</v>
      </c>
      <c r="F299" s="5">
        <f t="shared" si="27"/>
        <v>0.21550680947576012</v>
      </c>
      <c r="G299" s="8">
        <f>Dashboard!$C$9*B299*Dashboard!$C$11*(1-F299)</f>
        <v>110968.5868869112</v>
      </c>
      <c r="H299" s="8">
        <f>Dashboard!$C$20*A299^2</f>
        <v>70567.200000000012</v>
      </c>
      <c r="I299" s="8">
        <f t="shared" si="28"/>
        <v>181535.7868869112</v>
      </c>
      <c r="J299" s="8">
        <f>Dashboard!$C$13*A299</f>
        <v>59400.000000000007</v>
      </c>
      <c r="K299" s="8">
        <f>Dashboard!$C$14*A299</f>
        <v>89100</v>
      </c>
      <c r="L299" s="8">
        <f>Dashboard!$C$21-K299</f>
        <v>1410900</v>
      </c>
      <c r="M299" s="8">
        <f t="shared" si="29"/>
        <v>1169964.2131130889</v>
      </c>
      <c r="N299" s="8">
        <f t="shared" si="30"/>
        <v>148500</v>
      </c>
      <c r="O299" s="8">
        <f>Dashboard!$C$15*(Dashboard!$C$16*EXP(-Dashboard!$C$16*A299)*E299-(1-EXP(-Dashboard!$C$16*A299))*Dashboard!$C$17/Dashboard!$C$19*E299*(1-E299))</f>
        <v>-0.15571731283068579</v>
      </c>
      <c r="P299" s="8">
        <f>Dashboard!$C$9*B299*Dashboard!$C$11*(-Dashboard!$C$12*(1-F299)-O299)+2*Dashboard!$C$20*A299</f>
        <v>30707.610457465238</v>
      </c>
      <c r="Q299" s="8">
        <f>-P299-Dashboard!$C$13-Dashboard!$C$14</f>
        <v>-80707.610457465242</v>
      </c>
    </row>
    <row r="300" spans="1:17" x14ac:dyDescent="0.25">
      <c r="A300" s="5">
        <f>(300-2)/100</f>
        <v>2.98</v>
      </c>
      <c r="B300" s="5">
        <f>Dashboard!$C$10*EXP(-Dashboard!$C$12*A300)</f>
        <v>7.0479181373923755E-2</v>
      </c>
      <c r="C300" s="5">
        <f>Dashboard!$C$17*A300</f>
        <v>2384</v>
      </c>
      <c r="D300" s="5">
        <f>Dashboard!$C$15*(1-EXP(-Dashboard!$C$16*A300))</f>
        <v>0.61970187556844902</v>
      </c>
      <c r="E300" s="5">
        <f>1/(1+EXP(MIN(700,MAX(-700,(C300-Dashboard!$C$18)/Dashboard!$C$19))))</f>
        <v>0.34524653939368077</v>
      </c>
      <c r="F300" s="5">
        <f t="shared" si="27"/>
        <v>0.21394992799578039</v>
      </c>
      <c r="G300" s="8">
        <f>Dashboard!$C$9*B300*Dashboard!$C$11*(1-F300)</f>
        <v>110800.33118754244</v>
      </c>
      <c r="H300" s="8">
        <f>Dashboard!$C$20*A300^2</f>
        <v>71043.199999999997</v>
      </c>
      <c r="I300" s="8">
        <f t="shared" si="28"/>
        <v>181843.53118754242</v>
      </c>
      <c r="J300" s="8">
        <f>Dashboard!$C$13*A300</f>
        <v>59600</v>
      </c>
      <c r="K300" s="8">
        <f>Dashboard!$C$14*A300</f>
        <v>89400</v>
      </c>
      <c r="L300" s="8">
        <f>Dashboard!$C$21-K300</f>
        <v>1410600</v>
      </c>
      <c r="M300" s="8">
        <f t="shared" si="29"/>
        <v>1169156.4688124575</v>
      </c>
      <c r="N300" s="8">
        <f t="shared" si="30"/>
        <v>149000</v>
      </c>
      <c r="O300" s="8">
        <f>Dashboard!$C$15*(Dashboard!$C$16*EXP(-Dashboard!$C$16*A300)*E300-(1-EXP(-Dashboard!$C$16*A300))*Dashboard!$C$17/Dashboard!$C$19*E300*(1-E300))</f>
        <v>-0.15565562257603127</v>
      </c>
      <c r="P300" s="8">
        <f>Dashboard!$C$9*B300*Dashboard!$C$11*(-Dashboard!$C$12*(1-F300)-O300)+2*Dashboard!$C$20*A300</f>
        <v>30840.845795174402</v>
      </c>
      <c r="Q300" s="8">
        <f>-P300-Dashboard!$C$13-Dashboard!$C$14</f>
        <v>-80840.845795174406</v>
      </c>
    </row>
    <row r="301" spans="1:17" x14ac:dyDescent="0.25">
      <c r="A301" s="5">
        <f>(301-2)/100</f>
        <v>2.99</v>
      </c>
      <c r="B301" s="5">
        <f>Dashboard!$C$10*EXP(-Dashboard!$C$12*A301)</f>
        <v>7.0232935420908818E-2</v>
      </c>
      <c r="C301" s="5">
        <f>Dashboard!$C$17*A301</f>
        <v>2392</v>
      </c>
      <c r="D301" s="5">
        <f>Dashboard!$C$15*(1-EXP(-Dashboard!$C$16*A301))</f>
        <v>0.62060111621557179</v>
      </c>
      <c r="E301" s="5">
        <f>1/(1+EXP(MIN(700,MAX(-700,(C301-Dashboard!$C$18)/Dashboard!$C$19))))</f>
        <v>0.34223877189970753</v>
      </c>
      <c r="F301" s="5">
        <f t="shared" si="27"/>
        <v>0.21239376385320496</v>
      </c>
      <c r="G301" s="8">
        <f>Dashboard!$C$9*B301*Dashboard!$C$11*(1-F301)</f>
        <v>110631.79584080583</v>
      </c>
      <c r="H301" s="8">
        <f>Dashboard!$C$20*A301^2</f>
        <v>71520.800000000003</v>
      </c>
      <c r="I301" s="8">
        <f t="shared" si="28"/>
        <v>182152.59584080585</v>
      </c>
      <c r="J301" s="8">
        <f>Dashboard!$C$13*A301</f>
        <v>59800.000000000007</v>
      </c>
      <c r="K301" s="8">
        <f>Dashboard!$C$14*A301</f>
        <v>89700</v>
      </c>
      <c r="L301" s="8">
        <f>Dashboard!$C$21-K301</f>
        <v>1410300</v>
      </c>
      <c r="M301" s="8">
        <f t="shared" si="29"/>
        <v>1168347.4041591941</v>
      </c>
      <c r="N301" s="8">
        <f t="shared" si="30"/>
        <v>149500</v>
      </c>
      <c r="O301" s="8">
        <f>Dashboard!$C$15*(Dashboard!$C$16*EXP(-Dashboard!$C$16*A301)*E301-(1-EXP(-Dashboard!$C$16*A301))*Dashboard!$C$17/Dashboard!$C$19*E301*(1-E301))</f>
        <v>-0.15557388377062292</v>
      </c>
      <c r="P301" s="8">
        <f>Dashboard!$C$9*B301*Dashboard!$C$11*(-Dashboard!$C$12*(1-F301)-O301)+2*Dashboard!$C$20*A301</f>
        <v>30971.692519802225</v>
      </c>
      <c r="Q301" s="8">
        <f>-P301-Dashboard!$C$13-Dashboard!$C$14</f>
        <v>-80971.692519802222</v>
      </c>
    </row>
    <row r="302" spans="1:17" x14ac:dyDescent="0.25">
      <c r="A302" s="5">
        <f>(302-2)/100</f>
        <v>3</v>
      </c>
      <c r="B302" s="5">
        <f>Dashboard!$C$10*EXP(-Dashboard!$C$12*A302)</f>
        <v>6.9987549822231085E-2</v>
      </c>
      <c r="C302" s="5">
        <f>Dashboard!$C$17*A302</f>
        <v>2400</v>
      </c>
      <c r="D302" s="5">
        <f>Dashboard!$C$15*(1-EXP(-Dashboard!$C$16*A302))</f>
        <v>0.62149587188125621</v>
      </c>
      <c r="E302" s="5">
        <f>1/(1+EXP(MIN(700,MAX(-700,(C302-Dashboard!$C$18)/Dashboard!$C$19))))</f>
        <v>0.33924363123418283</v>
      </c>
      <c r="F302" s="5">
        <f t="shared" si="27"/>
        <v>0.21083851637405182</v>
      </c>
      <c r="G302" s="8">
        <f>Dashboard!$C$9*B302*Dashboard!$C$11*(1-F302)</f>
        <v>110462.95730611369</v>
      </c>
      <c r="H302" s="8">
        <f>Dashboard!$C$20*A302^2</f>
        <v>72000</v>
      </c>
      <c r="I302" s="8">
        <f t="shared" si="28"/>
        <v>182462.95730611368</v>
      </c>
      <c r="J302" s="8">
        <f>Dashboard!$C$13*A302</f>
        <v>60000</v>
      </c>
      <c r="K302" s="8">
        <f>Dashboard!$C$14*A302</f>
        <v>90000</v>
      </c>
      <c r="L302" s="8">
        <f>Dashboard!$C$21-K302</f>
        <v>1410000</v>
      </c>
      <c r="M302" s="8">
        <f t="shared" si="29"/>
        <v>1167537.0426938864</v>
      </c>
      <c r="N302" s="8">
        <f t="shared" si="30"/>
        <v>150000</v>
      </c>
      <c r="O302" s="8">
        <f>Dashboard!$C$15*(Dashboard!$C$16*EXP(-Dashboard!$C$16*A302)*E302-(1-EXP(-Dashboard!$C$16*A302))*Dashboard!$C$17/Dashboard!$C$19*E302*(1-E302))</f>
        <v>-0.15547232899374044</v>
      </c>
      <c r="P302" s="8">
        <f>Dashboard!$C$9*B302*Dashboard!$C$11*(-Dashboard!$C$12*(1-F302)-O302)+2*Dashboard!$C$20*A302</f>
        <v>31100.21968571563</v>
      </c>
      <c r="Q302" s="8">
        <f>-P302-Dashboard!$C$13-Dashboard!$C$14</f>
        <v>-81100.219685715623</v>
      </c>
    </row>
    <row r="303" spans="1:17" x14ac:dyDescent="0.25">
      <c r="A303" s="5">
        <f>(303-2)/100</f>
        <v>3.01</v>
      </c>
      <c r="B303" s="5">
        <f>Dashboard!$C$10*EXP(-Dashboard!$C$12*A303)</f>
        <v>6.9743021571913866E-2</v>
      </c>
      <c r="C303" s="5">
        <f>Dashboard!$C$17*A303</f>
        <v>2408</v>
      </c>
      <c r="D303" s="5">
        <f>Dashboard!$C$15*(1-EXP(-Dashboard!$C$16*A303))</f>
        <v>0.62238616493444043</v>
      </c>
      <c r="E303" s="5">
        <f>1/(1+EXP(MIN(700,MAX(-700,(C303-Dashboard!$C$18)/Dashboard!$C$19))))</f>
        <v>0.33626130259564729</v>
      </c>
      <c r="F303" s="5">
        <f t="shared" si="27"/>
        <v>0.20928438253836432</v>
      </c>
      <c r="G303" s="8">
        <f>Dashboard!$C$9*B303*Dashboard!$C$11*(1-F303)</f>
        <v>110293.7927317521</v>
      </c>
      <c r="H303" s="8">
        <f>Dashboard!$C$20*A303^2</f>
        <v>72480.799999999988</v>
      </c>
      <c r="I303" s="8">
        <f t="shared" si="28"/>
        <v>182774.59273175208</v>
      </c>
      <c r="J303" s="8">
        <f>Dashboard!$C$13*A303</f>
        <v>60199.999999999993</v>
      </c>
      <c r="K303" s="8">
        <f>Dashboard!$C$14*A303</f>
        <v>90300</v>
      </c>
      <c r="L303" s="8">
        <f>Dashboard!$C$21-K303</f>
        <v>1409700</v>
      </c>
      <c r="M303" s="8">
        <f t="shared" si="29"/>
        <v>1166725.407268248</v>
      </c>
      <c r="N303" s="8">
        <f t="shared" si="30"/>
        <v>150500</v>
      </c>
      <c r="O303" s="8">
        <f>Dashboard!$C$15*(Dashboard!$C$16*EXP(-Dashboard!$C$16*A303)*E303-(1-EXP(-Dashboard!$C$16*A303))*Dashboard!$C$17/Dashboard!$C$19*E303*(1-E303))</f>
        <v>-0.15535119483504084</v>
      </c>
      <c r="P303" s="8">
        <f>Dashboard!$C$9*B303*Dashboard!$C$11*(-Dashboard!$C$12*(1-F303)-O303)+2*Dashboard!$C$20*A303</f>
        <v>31226.496009092465</v>
      </c>
      <c r="Q303" s="8">
        <f>-P303-Dashboard!$C$13-Dashboard!$C$14</f>
        <v>-81226.496009092458</v>
      </c>
    </row>
    <row r="304" spans="1:17" x14ac:dyDescent="0.25">
      <c r="A304" s="5">
        <f>(304-2)/100</f>
        <v>3.02</v>
      </c>
      <c r="B304" s="5">
        <f>Dashboard!$C$10*EXP(-Dashboard!$C$12*A304)</f>
        <v>6.9499347674483056E-2</v>
      </c>
      <c r="C304" s="5">
        <f>Dashboard!$C$17*A304</f>
        <v>2416</v>
      </c>
      <c r="D304" s="5">
        <f>Dashboard!$C$15*(1-EXP(-Dashboard!$C$16*A304))</f>
        <v>0.62327201763249751</v>
      </c>
      <c r="E304" s="5">
        <f>1/(1+EXP(MIN(700,MAX(-700,(C304-Dashboard!$C$18)/Dashboard!$C$19))))</f>
        <v>0.33329196733387695</v>
      </c>
      <c r="F304" s="5">
        <f t="shared" si="27"/>
        <v>0.20773155694088993</v>
      </c>
      <c r="G304" s="8">
        <f>Dashboard!$C$9*B304*Dashboard!$C$11*(1-F304)</f>
        <v>110124.27995137294</v>
      </c>
      <c r="H304" s="8">
        <f>Dashboard!$C$20*A304^2</f>
        <v>72963.199999999997</v>
      </c>
      <c r="I304" s="8">
        <f t="shared" si="28"/>
        <v>183087.47995137295</v>
      </c>
      <c r="J304" s="8">
        <f>Dashboard!$C$13*A304</f>
        <v>60400</v>
      </c>
      <c r="K304" s="8">
        <f>Dashboard!$C$14*A304</f>
        <v>90600</v>
      </c>
      <c r="L304" s="8">
        <f>Dashboard!$C$21-K304</f>
        <v>1409400</v>
      </c>
      <c r="M304" s="8">
        <f t="shared" si="29"/>
        <v>1165912.5200486272</v>
      </c>
      <c r="N304" s="8">
        <f t="shared" si="30"/>
        <v>151000</v>
      </c>
      <c r="O304" s="8">
        <f>Dashboard!$C$15*(Dashboard!$C$16*EXP(-Dashboard!$C$16*A304)*E304-(1-EXP(-Dashboard!$C$16*A304))*Dashboard!$C$17/Dashboard!$C$19*E304*(1-E304))</f>
        <v>-0.1552107217378694</v>
      </c>
      <c r="P304" s="8">
        <f>Dashboard!$C$9*B304*Dashboard!$C$11*(-Dashboard!$C$12*(1-F304)-O304)+2*Dashboard!$C$20*A304</f>
        <v>31350.589842754736</v>
      </c>
      <c r="Q304" s="8">
        <f>-P304-Dashboard!$C$13-Dashboard!$C$14</f>
        <v>-81350.589842754736</v>
      </c>
    </row>
    <row r="305" spans="1:17" x14ac:dyDescent="0.25">
      <c r="A305" s="5">
        <f>(305-2)/100</f>
        <v>3.03</v>
      </c>
      <c r="B305" s="5">
        <f>Dashboard!$C$10*EXP(-Dashboard!$C$12*A305)</f>
        <v>6.9256525144930373E-2</v>
      </c>
      <c r="C305" s="5">
        <f>Dashboard!$C$17*A305</f>
        <v>2424</v>
      </c>
      <c r="D305" s="5">
        <f>Dashboard!$C$15*(1-EXP(-Dashboard!$C$16*A305))</f>
        <v>0.62415345212179063</v>
      </c>
      <c r="E305" s="5">
        <f>1/(1+EXP(MIN(700,MAX(-700,(C305-Dashboard!$C$18)/Dashboard!$C$19))))</f>
        <v>0.33033580292222497</v>
      </c>
      <c r="F305" s="5">
        <f t="shared" si="27"/>
        <v>0.20618023175333022</v>
      </c>
      <c r="G305" s="8">
        <f>Dashboard!$C$9*B305*Dashboard!$C$11*(1-F305)</f>
        <v>109954.39748023658</v>
      </c>
      <c r="H305" s="8">
        <f>Dashboard!$C$20*A305^2</f>
        <v>73447.199999999997</v>
      </c>
      <c r="I305" s="8">
        <f t="shared" si="28"/>
        <v>183401.59748023658</v>
      </c>
      <c r="J305" s="8">
        <f>Dashboard!$C$13*A305</f>
        <v>60599.999999999993</v>
      </c>
      <c r="K305" s="8">
        <f>Dashboard!$C$14*A305</f>
        <v>90900</v>
      </c>
      <c r="L305" s="8">
        <f>Dashboard!$C$21-K305</f>
        <v>1409100</v>
      </c>
      <c r="M305" s="8">
        <f t="shared" si="29"/>
        <v>1165098.4025197634</v>
      </c>
      <c r="N305" s="8">
        <f t="shared" si="30"/>
        <v>151500</v>
      </c>
      <c r="O305" s="8">
        <f>Dashboard!$C$15*(Dashboard!$C$16*EXP(-Dashboard!$C$16*A305)*E305-(1-EXP(-Dashboard!$C$16*A305))*Dashboard!$C$17/Dashboard!$C$19*E305*(1-E305))</f>
        <v>-0.15505115384164636</v>
      </c>
      <c r="P305" s="8">
        <f>Dashboard!$C$9*B305*Dashboard!$C$11*(-Dashboard!$C$12*(1-F305)-O305)+2*Dashboard!$C$20*A305</f>
        <v>31472.569151486103</v>
      </c>
      <c r="Q305" s="8">
        <f>-P305-Dashboard!$C$13-Dashboard!$C$14</f>
        <v>-81472.569151486096</v>
      </c>
    </row>
    <row r="306" spans="1:17" x14ac:dyDescent="0.25">
      <c r="A306" s="5">
        <f>(306-2)/100</f>
        <v>3.04</v>
      </c>
      <c r="B306" s="5">
        <f>Dashboard!$C$10*EXP(-Dashboard!$C$12*A306)</f>
        <v>6.9014551008676775E-2</v>
      </c>
      <c r="C306" s="5">
        <f>Dashboard!$C$17*A306</f>
        <v>2432</v>
      </c>
      <c r="D306" s="5">
        <f>Dashboard!$C$15*(1-EXP(-Dashboard!$C$16*A306))</f>
        <v>0.62503049043822823</v>
      </c>
      <c r="E306" s="5">
        <f>1/(1+EXP(MIN(700,MAX(-700,(C306-Dashboard!$C$18)/Dashboard!$C$19))))</f>
        <v>0.32739298293223956</v>
      </c>
      <c r="F306" s="5">
        <f t="shared" si="27"/>
        <v>0.20463059668817218</v>
      </c>
      <c r="G306" s="8">
        <f>Dashboard!$C$9*B306*Dashboard!$C$11*(1-F306)</f>
        <v>109784.1245112099</v>
      </c>
      <c r="H306" s="8">
        <f>Dashboard!$C$20*A306^2</f>
        <v>73932.800000000003</v>
      </c>
      <c r="I306" s="8">
        <f t="shared" si="28"/>
        <v>183716.92451120989</v>
      </c>
      <c r="J306" s="8">
        <f>Dashboard!$C$13*A306</f>
        <v>60800</v>
      </c>
      <c r="K306" s="8">
        <f>Dashboard!$C$14*A306</f>
        <v>91200</v>
      </c>
      <c r="L306" s="8">
        <f>Dashboard!$C$21-K306</f>
        <v>1408800</v>
      </c>
      <c r="M306" s="8">
        <f t="shared" si="29"/>
        <v>1164283.0754887902</v>
      </c>
      <c r="N306" s="8">
        <f t="shared" si="30"/>
        <v>152000</v>
      </c>
      <c r="O306" s="8">
        <f>Dashboard!$C$15*(Dashboard!$C$16*EXP(-Dashboard!$C$16*A306)*E306-(1-EXP(-Dashboard!$C$16*A306))*Dashboard!$C$17/Dashboard!$C$19*E306*(1-E306))</f>
        <v>-0.15487273882349351</v>
      </c>
      <c r="P306" s="8">
        <f>Dashboard!$C$9*B306*Dashboard!$C$11*(-Dashboard!$C$12*(1-F306)-O306)+2*Dashboard!$C$20*A306</f>
        <v>31592.50148785147</v>
      </c>
      <c r="Q306" s="8">
        <f>-P306-Dashboard!$C$13-Dashboard!$C$14</f>
        <v>-81592.501487851463</v>
      </c>
    </row>
    <row r="307" spans="1:17" x14ac:dyDescent="0.25">
      <c r="A307" s="5">
        <f>(307-2)/100</f>
        <v>3.05</v>
      </c>
      <c r="B307" s="5">
        <f>Dashboard!$C$10*EXP(-Dashboard!$C$12*A307)</f>
        <v>6.8773422301536061E-2</v>
      </c>
      <c r="C307" s="5">
        <f>Dashboard!$C$17*A307</f>
        <v>2440</v>
      </c>
      <c r="D307" s="5">
        <f>Dashboard!$C$15*(1-EXP(-Dashboard!$C$16*A307))</f>
        <v>0.62590315450781375</v>
      </c>
      <c r="E307" s="5">
        <f>1/(1+EXP(MIN(700,MAX(-700,(C307-Dashboard!$C$18)/Dashboard!$C$19))))</f>
        <v>0.32446367701054579</v>
      </c>
      <c r="F307" s="5">
        <f t="shared" si="27"/>
        <v>0.20308283896410503</v>
      </c>
      <c r="G307" s="8">
        <f>Dashboard!$C$9*B307*Dashboard!$C$11*(1-F307)</f>
        <v>109613.44091052565</v>
      </c>
      <c r="H307" s="8">
        <f>Dashboard!$C$20*A307^2</f>
        <v>74419.999999999985</v>
      </c>
      <c r="I307" s="8">
        <f t="shared" si="28"/>
        <v>184033.44091052562</v>
      </c>
      <c r="J307" s="8">
        <f>Dashboard!$C$13*A307</f>
        <v>61000</v>
      </c>
      <c r="K307" s="8">
        <f>Dashboard!$C$14*A307</f>
        <v>91500</v>
      </c>
      <c r="L307" s="8">
        <f>Dashboard!$C$21-K307</f>
        <v>1408500</v>
      </c>
      <c r="M307" s="8">
        <f t="shared" si="29"/>
        <v>1163466.5590894744</v>
      </c>
      <c r="N307" s="8">
        <f t="shared" si="30"/>
        <v>152500</v>
      </c>
      <c r="O307" s="8">
        <f>Dashboard!$C$15*(Dashboard!$C$16*EXP(-Dashboard!$C$16*A307)*E307-(1-EXP(-Dashboard!$C$16*A307))*Dashboard!$C$17/Dashboard!$C$19*E307*(1-E307))</f>
        <v>-0.15467572773926208</v>
      </c>
      <c r="P307" s="8">
        <f>Dashboard!$C$9*B307*Dashboard!$C$11*(-Dashboard!$C$12*(1-F307)-O307)+2*Dashboard!$C$20*A307</f>
        <v>31710.453968535399</v>
      </c>
      <c r="Q307" s="8">
        <f>-P307-Dashboard!$C$13-Dashboard!$C$14</f>
        <v>-81710.453968535396</v>
      </c>
    </row>
    <row r="308" spans="1:17" x14ac:dyDescent="0.25">
      <c r="A308" s="5">
        <f>(308-2)/100</f>
        <v>3.06</v>
      </c>
      <c r="B308" s="5">
        <f>Dashboard!$C$10*EXP(-Dashboard!$C$12*A308)</f>
        <v>6.8533136069678577E-2</v>
      </c>
      <c r="C308" s="5">
        <f>Dashboard!$C$17*A308</f>
        <v>2448</v>
      </c>
      <c r="D308" s="5">
        <f>Dashboard!$C$15*(1-EXP(-Dashboard!$C$16*A308))</f>
        <v>0.62677146614719437</v>
      </c>
      <c r="E308" s="5">
        <f>1/(1+EXP(MIN(700,MAX(-700,(C308-Dashboard!$C$18)/Dashboard!$C$19))))</f>
        <v>0.32154805085798183</v>
      </c>
      <c r="F308" s="5">
        <f t="shared" si="27"/>
        <v>0.20153714327302988</v>
      </c>
      <c r="G308" s="8">
        <f>Dashboard!$C$9*B308*Dashboard!$C$11*(1-F308)</f>
        <v>109442.32721330745</v>
      </c>
      <c r="H308" s="8">
        <f>Dashboard!$C$20*A308^2</f>
        <v>74908.800000000003</v>
      </c>
      <c r="I308" s="8">
        <f t="shared" si="28"/>
        <v>184351.12721330745</v>
      </c>
      <c r="J308" s="8">
        <f>Dashboard!$C$13*A308</f>
        <v>61200</v>
      </c>
      <c r="K308" s="8">
        <f>Dashboard!$C$14*A308</f>
        <v>91800</v>
      </c>
      <c r="L308" s="8">
        <f>Dashboard!$C$21-K308</f>
        <v>1408200</v>
      </c>
      <c r="M308" s="8">
        <f t="shared" si="29"/>
        <v>1162648.8727866926</v>
      </c>
      <c r="N308" s="8">
        <f t="shared" si="30"/>
        <v>153000</v>
      </c>
      <c r="O308" s="8">
        <f>Dashboard!$C$15*(Dashboard!$C$16*EXP(-Dashboard!$C$16*A308)*E308-(1-EXP(-Dashboard!$C$16*A308))*Dashboard!$C$17/Dashboard!$C$19*E308*(1-E308))</f>
        <v>-0.15446037486412395</v>
      </c>
      <c r="P308" s="8">
        <f>Dashboard!$C$9*B308*Dashboard!$C$11*(-Dashboard!$C$12*(1-F308)-O308)+2*Dashboard!$C$20*A308</f>
        <v>31826.493251215536</v>
      </c>
      <c r="Q308" s="8">
        <f>-P308-Dashboard!$C$13-Dashboard!$C$14</f>
        <v>-81826.493251215536</v>
      </c>
    </row>
    <row r="309" spans="1:17" x14ac:dyDescent="0.25">
      <c r="A309" s="5">
        <f>(309-2)/100</f>
        <v>3.07</v>
      </c>
      <c r="B309" s="5">
        <f>Dashboard!$C$10*EXP(-Dashboard!$C$12*A309)</f>
        <v>6.8293689369594984E-2</v>
      </c>
      <c r="C309" s="5">
        <f>Dashboard!$C$17*A309</f>
        <v>2456</v>
      </c>
      <c r="D309" s="5">
        <f>Dashboard!$C$15*(1-EXP(-Dashboard!$C$16*A309))</f>
        <v>0.62763544706420638</v>
      </c>
      <c r="E309" s="5">
        <f>1/(1+EXP(MIN(700,MAX(-700,(C309-Dashboard!$C$18)/Dashboard!$C$19))))</f>
        <v>0.31864626621097447</v>
      </c>
      <c r="F309" s="5">
        <f t="shared" si="27"/>
        <v>0.19999369174866508</v>
      </c>
      <c r="G309" s="8">
        <f>Dashboard!$C$9*B309*Dashboard!$C$11*(1-F309)</f>
        <v>109270.76461886623</v>
      </c>
      <c r="H309" s="8">
        <f>Dashboard!$C$20*A309^2</f>
        <v>75399.199999999997</v>
      </c>
      <c r="I309" s="8">
        <f t="shared" si="28"/>
        <v>184669.96461886622</v>
      </c>
      <c r="J309" s="8">
        <f>Dashboard!$C$13*A309</f>
        <v>61400</v>
      </c>
      <c r="K309" s="8">
        <f>Dashboard!$C$14*A309</f>
        <v>92100</v>
      </c>
      <c r="L309" s="8">
        <f>Dashboard!$C$21-K309</f>
        <v>1407900</v>
      </c>
      <c r="M309" s="8">
        <f t="shared" si="29"/>
        <v>1161830.0353811337</v>
      </c>
      <c r="N309" s="8">
        <f t="shared" si="30"/>
        <v>153500</v>
      </c>
      <c r="O309" s="8">
        <f>Dashboard!$C$15*(Dashboard!$C$16*EXP(-Dashboard!$C$16*A309)*E309-(1-EXP(-Dashboard!$C$16*A309))*Dashboard!$C$17/Dashboard!$C$19*E309*(1-E309))</f>
        <v>-0.15422693753288191</v>
      </c>
      <c r="P309" s="8">
        <f>Dashboard!$C$9*B309*Dashboard!$C$11*(-Dashboard!$C$12*(1-F309)-O309)+2*Dashboard!$C$20*A309</f>
        <v>31940.685511985954</v>
      </c>
      <c r="Q309" s="8">
        <f>-P309-Dashboard!$C$13-Dashboard!$C$14</f>
        <v>-81940.685511985954</v>
      </c>
    </row>
    <row r="310" spans="1:17" x14ac:dyDescent="0.25">
      <c r="A310" s="5">
        <f>(310-2)/100</f>
        <v>3.08</v>
      </c>
      <c r="B310" s="5">
        <f>Dashboard!$C$10*EXP(-Dashboard!$C$12*A310)</f>
        <v>6.805507926806019E-2</v>
      </c>
      <c r="C310" s="5">
        <f>Dashboard!$C$17*A310</f>
        <v>2464</v>
      </c>
      <c r="D310" s="5">
        <f>Dashboard!$C$15*(1-EXP(-Dashboard!$C$16*A310))</f>
        <v>0.62849511885841769</v>
      </c>
      <c r="E310" s="5">
        <f>1/(1+EXP(MIN(700,MAX(-700,(C310-Dashboard!$C$18)/Dashboard!$C$19))))</f>
        <v>0.31575848082513769</v>
      </c>
      <c r="F310" s="5">
        <f t="shared" si="27"/>
        <v>0.19845266393674832</v>
      </c>
      <c r="G310" s="8">
        <f>Dashboard!$C$9*B310*Dashboard!$C$11*(1-F310)</f>
        <v>109098.73498577415</v>
      </c>
      <c r="H310" s="8">
        <f>Dashboard!$C$20*A310^2</f>
        <v>75891.199999999997</v>
      </c>
      <c r="I310" s="8">
        <f t="shared" si="28"/>
        <v>184989.93498577416</v>
      </c>
      <c r="J310" s="8">
        <f>Dashboard!$C$13*A310</f>
        <v>61600</v>
      </c>
      <c r="K310" s="8">
        <f>Dashboard!$C$14*A310</f>
        <v>92400</v>
      </c>
      <c r="L310" s="8">
        <f>Dashboard!$C$21-K310</f>
        <v>1407600</v>
      </c>
      <c r="M310" s="8">
        <f t="shared" si="29"/>
        <v>1161010.0650142259</v>
      </c>
      <c r="N310" s="8">
        <f t="shared" si="30"/>
        <v>154000</v>
      </c>
      <c r="O310" s="8">
        <f>Dashboard!$C$15*(Dashboard!$C$16*EXP(-Dashboard!$C$16*A310)*E310-(1-EXP(-Dashboard!$C$16*A310))*Dashboard!$C$17/Dashboard!$C$19*E310*(1-E310))</f>
        <v>-0.15397567598015788</v>
      </c>
      <c r="P310" s="8">
        <f>Dashboard!$C$9*B310*Dashboard!$C$11*(-Dashboard!$C$12*(1-F310)-O310)+2*Dashboard!$C$20*A310</f>
        <v>32053.096423344647</v>
      </c>
      <c r="Q310" s="8">
        <f>-P310-Dashboard!$C$13-Dashboard!$C$14</f>
        <v>-82053.096423344643</v>
      </c>
    </row>
    <row r="311" spans="1:17" x14ac:dyDescent="0.25">
      <c r="A311" s="5">
        <f>(311-2)/100</f>
        <v>3.09</v>
      </c>
      <c r="B311" s="5">
        <f>Dashboard!$C$10*EXP(-Dashboard!$C$12*A311)</f>
        <v>6.7817302842097457E-2</v>
      </c>
      <c r="C311" s="5">
        <f>Dashboard!$C$17*A311</f>
        <v>2472</v>
      </c>
      <c r="D311" s="5">
        <f>Dashboard!$C$15*(1-EXP(-Dashboard!$C$16*A311))</f>
        <v>0.62935050302166795</v>
      </c>
      <c r="E311" s="5">
        <f>1/(1+EXP(MIN(700,MAX(-700,(C311-Dashboard!$C$18)/Dashboard!$C$19))))</f>
        <v>0.31288484846107845</v>
      </c>
      <c r="F311" s="5">
        <f t="shared" si="27"/>
        <v>0.19691423676683806</v>
      </c>
      <c r="G311" s="8">
        <f>Dashboard!$C$9*B311*Dashboard!$C$11*(1-F311)</f>
        <v>108926.22082672064</v>
      </c>
      <c r="H311" s="8">
        <f>Dashboard!$C$20*A311^2</f>
        <v>76384.800000000003</v>
      </c>
      <c r="I311" s="8">
        <f t="shared" si="28"/>
        <v>185311.02082672063</v>
      </c>
      <c r="J311" s="8">
        <f>Dashboard!$C$13*A311</f>
        <v>61800</v>
      </c>
      <c r="K311" s="8">
        <f>Dashboard!$C$14*A311</f>
        <v>92700</v>
      </c>
      <c r="L311" s="8">
        <f>Dashboard!$C$21-K311</f>
        <v>1407300</v>
      </c>
      <c r="M311" s="8">
        <f t="shared" si="29"/>
        <v>1160188.9791732794</v>
      </c>
      <c r="N311" s="8">
        <f t="shared" si="30"/>
        <v>154500</v>
      </c>
      <c r="O311" s="8">
        <f>Dashboard!$C$15*(Dashboard!$C$16*EXP(-Dashboard!$C$16*A311)*E311-(1-EXP(-Dashboard!$C$16*A311))*Dashboard!$C$17/Dashboard!$C$19*E311*(1-E311))</f>
        <v>-0.15370685318061034</v>
      </c>
      <c r="P311" s="8">
        <f>Dashboard!$C$9*B311*Dashboard!$C$11*(-Dashboard!$C$12*(1-F311)-O311)+2*Dashboard!$C$20*A311</f>
        <v>32163.791132758299</v>
      </c>
      <c r="Q311" s="8">
        <f>-P311-Dashboard!$C$13-Dashboard!$C$14</f>
        <v>-82163.791132758299</v>
      </c>
    </row>
    <row r="312" spans="1:17" x14ac:dyDescent="0.25">
      <c r="A312" s="5">
        <f>(312-2)/100</f>
        <v>3.1</v>
      </c>
      <c r="B312" s="5">
        <f>Dashboard!$C$10*EXP(-Dashboard!$C$12*A312)</f>
        <v>6.7580357178942604E-2</v>
      </c>
      <c r="C312" s="5">
        <f>Dashboard!$C$17*A312</f>
        <v>2480</v>
      </c>
      <c r="D312" s="5">
        <f>Dashboard!$C$15*(1-EXP(-Dashboard!$C$16*A312))</f>
        <v>0.63020162093860554</v>
      </c>
      <c r="E312" s="5">
        <f>1/(1+EXP(MIN(700,MAX(-700,(C312-Dashboard!$C$18)/Dashboard!$C$19))))</f>
        <v>0.31002551887238755</v>
      </c>
      <c r="F312" s="5">
        <f t="shared" si="27"/>
        <v>0.19537858452571089</v>
      </c>
      <c r="G312" s="8">
        <f>Dashboard!$C$9*B312*Dashboard!$C$11*(1-F312)</f>
        <v>108753.20530315767</v>
      </c>
      <c r="H312" s="8">
        <f>Dashboard!$C$20*A312^2</f>
        <v>76880.000000000015</v>
      </c>
      <c r="I312" s="8">
        <f t="shared" si="28"/>
        <v>185633.20530315768</v>
      </c>
      <c r="J312" s="8">
        <f>Dashboard!$C$13*A312</f>
        <v>62000</v>
      </c>
      <c r="K312" s="8">
        <f>Dashboard!$C$14*A312</f>
        <v>93000</v>
      </c>
      <c r="L312" s="8">
        <f>Dashboard!$C$21-K312</f>
        <v>1407000</v>
      </c>
      <c r="M312" s="8">
        <f t="shared" si="29"/>
        <v>1159366.7946968423</v>
      </c>
      <c r="N312" s="8">
        <f t="shared" si="30"/>
        <v>155000</v>
      </c>
      <c r="O312" s="8">
        <f>Dashboard!$C$15*(Dashboard!$C$16*EXP(-Dashboard!$C$16*A312)*E312-(1-EXP(-Dashboard!$C$16*A312))*Dashboard!$C$17/Dashboard!$C$19*E312*(1-E312))</f>
        <v>-0.1534207346893334</v>
      </c>
      <c r="P312" s="8">
        <f>Dashboard!$C$9*B312*Dashboard!$C$11*(-Dashboard!$C$12*(1-F312)-O312)+2*Dashboard!$C$20*A312</f>
        <v>32272.834241816701</v>
      </c>
      <c r="Q312" s="8">
        <f>-P312-Dashboard!$C$13-Dashboard!$C$14</f>
        <v>-82272.834241816701</v>
      </c>
    </row>
    <row r="313" spans="1:17" x14ac:dyDescent="0.25">
      <c r="A313" s="5">
        <f>(313-2)/100</f>
        <v>3.11</v>
      </c>
      <c r="B313" s="5">
        <f>Dashboard!$C$10*EXP(-Dashboard!$C$12*A313)</f>
        <v>6.7344239376008336E-2</v>
      </c>
      <c r="C313" s="5">
        <f>Dashboard!$C$17*A313</f>
        <v>2488</v>
      </c>
      <c r="D313" s="5">
        <f>Dashboard!$C$15*(1-EXP(-Dashboard!$C$16*A313))</f>
        <v>0.63104849388722306</v>
      </c>
      <c r="E313" s="5">
        <f>1/(1+EXP(MIN(700,MAX(-700,(C313-Dashboard!$C$18)/Dashboard!$C$19))))</f>
        <v>0.30718063779579702</v>
      </c>
      <c r="F313" s="5">
        <f t="shared" si="27"/>
        <v>0.1938458788323543</v>
      </c>
      <c r="G313" s="8">
        <f>Dashboard!$C$9*B313*Dashboard!$C$11*(1-F313)</f>
        <v>108579.67221973912</v>
      </c>
      <c r="H313" s="8">
        <f>Dashboard!$C$20*A313^2</f>
        <v>77376.799999999988</v>
      </c>
      <c r="I313" s="8">
        <f t="shared" si="28"/>
        <v>185956.47221973911</v>
      </c>
      <c r="J313" s="8">
        <f>Dashboard!$C$13*A313</f>
        <v>62200</v>
      </c>
      <c r="K313" s="8">
        <f>Dashboard!$C$14*A313</f>
        <v>93300</v>
      </c>
      <c r="L313" s="8">
        <f>Dashboard!$C$21-K313</f>
        <v>1406700</v>
      </c>
      <c r="M313" s="8">
        <f t="shared" si="29"/>
        <v>1158543.5277802609</v>
      </c>
      <c r="N313" s="8">
        <f t="shared" si="30"/>
        <v>155500</v>
      </c>
      <c r="O313" s="8">
        <f>Dashboard!$C$15*(Dashboard!$C$16*EXP(-Dashboard!$C$16*A313)*E313-(1-EXP(-Dashboard!$C$16*A313))*Dashboard!$C$17/Dashboard!$C$19*E313*(1-E313))</f>
        <v>-0.15311758848258483</v>
      </c>
      <c r="P313" s="8">
        <f>Dashboard!$C$9*B313*Dashboard!$C$11*(-Dashboard!$C$12*(1-F313)-O313)+2*Dashboard!$C$20*A313</f>
        <v>32380.28978598797</v>
      </c>
      <c r="Q313" s="8">
        <f>-P313-Dashboard!$C$13-Dashboard!$C$14</f>
        <v>-82380.289785987974</v>
      </c>
    </row>
    <row r="314" spans="1:17" x14ac:dyDescent="0.25">
      <c r="A314" s="5">
        <f>(314-2)/100</f>
        <v>3.12</v>
      </c>
      <c r="B314" s="5">
        <f>Dashboard!$C$10*EXP(-Dashboard!$C$12*A314)</f>
        <v>6.7108946540848549E-2</v>
      </c>
      <c r="C314" s="5">
        <f>Dashboard!$C$17*A314</f>
        <v>2496</v>
      </c>
      <c r="D314" s="5">
        <f>Dashboard!$C$15*(1-EXP(-Dashboard!$C$16*A314))</f>
        <v>0.63189114303938831</v>
      </c>
      <c r="E314" s="5">
        <f>1/(1+EXP(MIN(700,MAX(-700,(C314-Dashboard!$C$18)/Dashboard!$C$19))))</f>
        <v>0.30435034694347873</v>
      </c>
      <c r="F314" s="5">
        <f t="shared" si="27"/>
        <v>0.19231628861454919</v>
      </c>
      <c r="G314" s="8">
        <f>Dashboard!$C$9*B314*Dashboard!$C$11*(1-F314)</f>
        <v>108405.60601856072</v>
      </c>
      <c r="H314" s="8">
        <f>Dashboard!$C$20*A314^2</f>
        <v>77875.200000000012</v>
      </c>
      <c r="I314" s="8">
        <f t="shared" si="28"/>
        <v>186280.80601856072</v>
      </c>
      <c r="J314" s="8">
        <f>Dashboard!$C$13*A314</f>
        <v>62400</v>
      </c>
      <c r="K314" s="8">
        <f>Dashboard!$C$14*A314</f>
        <v>93600</v>
      </c>
      <c r="L314" s="8">
        <f>Dashboard!$C$21-K314</f>
        <v>1406400</v>
      </c>
      <c r="M314" s="8">
        <f t="shared" si="29"/>
        <v>1157719.1939814393</v>
      </c>
      <c r="N314" s="8">
        <f t="shared" si="30"/>
        <v>156000</v>
      </c>
      <c r="O314" s="8">
        <f>Dashboard!$C$15*(Dashboard!$C$16*EXP(-Dashboard!$C$16*A314)*E314-(1-EXP(-Dashboard!$C$16*A314))*Dashboard!$C$17/Dashboard!$C$19*E314*(1-E314))</f>
        <v>-0.15279768479898836</v>
      </c>
      <c r="P314" s="8">
        <f>Dashboard!$C$9*B314*Dashboard!$C$11*(-Dashboard!$C$12*(1-F314)-O314)+2*Dashboard!$C$20*A314</f>
        <v>32486.221214985224</v>
      </c>
      <c r="Q314" s="8">
        <f>-P314-Dashboard!$C$13-Dashboard!$C$14</f>
        <v>-82486.221214985228</v>
      </c>
    </row>
    <row r="315" spans="1:17" x14ac:dyDescent="0.25">
      <c r="A315" s="5">
        <f>(315-2)/100</f>
        <v>3.13</v>
      </c>
      <c r="B315" s="5">
        <f>Dashboard!$C$10*EXP(-Dashboard!$C$12*A315)</f>
        <v>6.68744757911231E-2</v>
      </c>
      <c r="C315" s="5">
        <f>Dashboard!$C$17*A315</f>
        <v>2504</v>
      </c>
      <c r="D315" s="5">
        <f>Dashboard!$C$15*(1-EXP(-Dashboard!$C$16*A315))</f>
        <v>0.6327295894613737</v>
      </c>
      <c r="E315" s="5">
        <f>1/(1+EXP(MIN(700,MAX(-700,(C315-Dashboard!$C$18)/Dashboard!$C$19))))</f>
        <v>0.30153478399746125</v>
      </c>
      <c r="F315" s="5">
        <f t="shared" si="27"/>
        <v>0.19078998008703765</v>
      </c>
      <c r="G315" s="8">
        <f>Dashboard!$C$9*B315*Dashboard!$C$11*(1-F315)</f>
        <v>108230.99177320729</v>
      </c>
      <c r="H315" s="8">
        <f>Dashboard!$C$20*A315^2</f>
        <v>78375.199999999997</v>
      </c>
      <c r="I315" s="8">
        <f t="shared" si="28"/>
        <v>186606.19177320728</v>
      </c>
      <c r="J315" s="8">
        <f>Dashboard!$C$13*A315</f>
        <v>62600</v>
      </c>
      <c r="K315" s="8">
        <f>Dashboard!$C$14*A315</f>
        <v>93900</v>
      </c>
      <c r="L315" s="8">
        <f>Dashboard!$C$21-K315</f>
        <v>1406100</v>
      </c>
      <c r="M315" s="8">
        <f t="shared" si="29"/>
        <v>1156893.8082267926</v>
      </c>
      <c r="N315" s="8">
        <f t="shared" si="30"/>
        <v>156500</v>
      </c>
      <c r="O315" s="8">
        <f>Dashboard!$C$15*(Dashboard!$C$16*EXP(-Dashboard!$C$16*A315)*E315-(1-EXP(-Dashboard!$C$16*A315))*Dashboard!$C$17/Dashboard!$C$19*E315*(1-E315))</f>
        <v>-0.15246129598135139</v>
      </c>
      <c r="P315" s="8">
        <f>Dashboard!$C$9*B315*Dashboard!$C$11*(-Dashboard!$C$12*(1-F315)-O315)+2*Dashboard!$C$20*A315</f>
        <v>32590.691373753729</v>
      </c>
      <c r="Q315" s="8">
        <f>-P315-Dashboard!$C$13-Dashboard!$C$14</f>
        <v>-82590.691373753725</v>
      </c>
    </row>
    <row r="316" spans="1:17" x14ac:dyDescent="0.25">
      <c r="A316" s="5">
        <f>(316-2)/100</f>
        <v>3.14</v>
      </c>
      <c r="B316" s="5">
        <f>Dashboard!$C$10*EXP(-Dashboard!$C$12*A316)</f>
        <v>6.6640824254562372E-2</v>
      </c>
      <c r="C316" s="5">
        <f>Dashboard!$C$17*A316</f>
        <v>2512</v>
      </c>
      <c r="D316" s="5">
        <f>Dashboard!$C$15*(1-EXP(-Dashboard!$C$16*A316))</f>
        <v>0.63356385411438376</v>
      </c>
      <c r="E316" s="5">
        <f>1/(1+EXP(MIN(700,MAX(-700,(C316-Dashboard!$C$18)/Dashboard!$C$19))))</f>
        <v>0.29873408260613771</v>
      </c>
      <c r="F316" s="5">
        <f t="shared" si="27"/>
        <v>0.18926711673126931</v>
      </c>
      <c r="G316" s="8">
        <f>Dashboard!$C$9*B316*Dashboard!$C$11*(1-F316)</f>
        <v>108055.81518261222</v>
      </c>
      <c r="H316" s="8">
        <f>Dashboard!$C$20*A316^2</f>
        <v>78876.800000000003</v>
      </c>
      <c r="I316" s="8">
        <f t="shared" si="28"/>
        <v>186932.61518261221</v>
      </c>
      <c r="J316" s="8">
        <f>Dashboard!$C$13*A316</f>
        <v>62800</v>
      </c>
      <c r="K316" s="8">
        <f>Dashboard!$C$14*A316</f>
        <v>94200</v>
      </c>
      <c r="L316" s="8">
        <f>Dashboard!$C$21-K316</f>
        <v>1405800</v>
      </c>
      <c r="M316" s="8">
        <f t="shared" si="29"/>
        <v>1156067.3848173879</v>
      </c>
      <c r="N316" s="8">
        <f t="shared" si="30"/>
        <v>157000</v>
      </c>
      <c r="O316" s="8">
        <f>Dashboard!$C$15*(Dashboard!$C$16*EXP(-Dashboard!$C$16*A316)*E316-(1-EXP(-Dashboard!$C$16*A316))*Dashboard!$C$17/Dashboard!$C$19*E316*(1-E316))</f>
        <v>-0.15210869631923923</v>
      </c>
      <c r="P316" s="8">
        <f>Dashboard!$C$9*B316*Dashboard!$C$11*(-Dashboard!$C$12*(1-F316)-O316)+2*Dashboard!$C$20*A316</f>
        <v>32693.762484087762</v>
      </c>
      <c r="Q316" s="8">
        <f>-P316-Dashboard!$C$13-Dashboard!$C$14</f>
        <v>-82693.762484087754</v>
      </c>
    </row>
    <row r="317" spans="1:17" x14ac:dyDescent="0.25">
      <c r="A317" s="5">
        <f>(317-2)/100</f>
        <v>3.15</v>
      </c>
      <c r="B317" s="5">
        <f>Dashboard!$C$10*EXP(-Dashboard!$C$12*A317)</f>
        <v>6.6407989068932138E-2</v>
      </c>
      <c r="C317" s="5">
        <f>Dashboard!$C$17*A317</f>
        <v>2520</v>
      </c>
      <c r="D317" s="5">
        <f>Dashboard!$C$15*(1-EXP(-Dashboard!$C$16*A317))</f>
        <v>0.63439395785507791</v>
      </c>
      <c r="E317" s="5">
        <f>1/(1+EXP(MIN(700,MAX(-700,(C317-Dashboard!$C$18)/Dashboard!$C$19))))</f>
        <v>0.29594837238283755</v>
      </c>
      <c r="F317" s="5">
        <f t="shared" si="27"/>
        <v>0.18774785927671675</v>
      </c>
      <c r="G317" s="8">
        <f>Dashboard!$C$9*B317*Dashboard!$C$11*(1-F317)</f>
        <v>107880.06256473703</v>
      </c>
      <c r="H317" s="8">
        <f>Dashboard!$C$20*A317^2</f>
        <v>79380</v>
      </c>
      <c r="I317" s="8">
        <f t="shared" si="28"/>
        <v>187260.06256473705</v>
      </c>
      <c r="J317" s="8">
        <f>Dashboard!$C$13*A317</f>
        <v>63000</v>
      </c>
      <c r="K317" s="8">
        <f>Dashboard!$C$14*A317</f>
        <v>94500</v>
      </c>
      <c r="L317" s="8">
        <f>Dashboard!$C$21-K317</f>
        <v>1405500</v>
      </c>
      <c r="M317" s="8">
        <f t="shared" si="29"/>
        <v>1155239.9374352628</v>
      </c>
      <c r="N317" s="8">
        <f t="shared" si="30"/>
        <v>157500</v>
      </c>
      <c r="O317" s="8">
        <f>Dashboard!$C$15*(Dashboard!$C$16*EXP(-Dashboard!$C$16*A317)*E317-(1-EXP(-Dashboard!$C$16*A317))*Dashboard!$C$17/Dashboard!$C$19*E317*(1-E317))</f>
        <v>-0.15174016189243722</v>
      </c>
      <c r="P317" s="8">
        <f>Dashboard!$C$9*B317*Dashboard!$C$11*(-Dashboard!$C$12*(1-F317)-O317)+2*Dashboard!$C$20*A317</f>
        <v>32795.496126883969</v>
      </c>
      <c r="Q317" s="8">
        <f>-P317-Dashboard!$C$13-Dashboard!$C$14</f>
        <v>-82795.496126883969</v>
      </c>
    </row>
    <row r="318" spans="1:17" x14ac:dyDescent="0.25">
      <c r="A318" s="5">
        <f>(318-2)/100</f>
        <v>3.16</v>
      </c>
      <c r="B318" s="5">
        <f>Dashboard!$C$10*EXP(-Dashboard!$C$12*A318)</f>
        <v>6.6175967381998435E-2</v>
      </c>
      <c r="C318" s="5">
        <f>Dashboard!$C$17*A318</f>
        <v>2528</v>
      </c>
      <c r="D318" s="5">
        <f>Dashboard!$C$15*(1-EXP(-Dashboard!$C$16*A318))</f>
        <v>0.63521992143609329</v>
      </c>
      <c r="E318" s="5">
        <f>1/(1+EXP(MIN(700,MAX(-700,(C318-Dashboard!$C$18)/Dashboard!$C$19))))</f>
        <v>0.29317777890643243</v>
      </c>
      <c r="F318" s="5">
        <f t="shared" si="27"/>
        <v>0.18623236568375234</v>
      </c>
      <c r="G318" s="8">
        <f>Dashboard!$C$9*B318*Dashboard!$C$11*(1-F318)</f>
        <v>107703.72085007606</v>
      </c>
      <c r="H318" s="8">
        <f>Dashboard!$C$20*A318^2</f>
        <v>79884.800000000017</v>
      </c>
      <c r="I318" s="8">
        <f t="shared" si="28"/>
        <v>187588.52085007608</v>
      </c>
      <c r="J318" s="8">
        <f>Dashboard!$C$13*A318</f>
        <v>63200</v>
      </c>
      <c r="K318" s="8">
        <f>Dashboard!$C$14*A318</f>
        <v>94800</v>
      </c>
      <c r="L318" s="8">
        <f>Dashboard!$C$21-K318</f>
        <v>1405200</v>
      </c>
      <c r="M318" s="8">
        <f t="shared" si="29"/>
        <v>1154411.4791499239</v>
      </c>
      <c r="N318" s="8">
        <f t="shared" si="30"/>
        <v>158000</v>
      </c>
      <c r="O318" s="8">
        <f>Dashboard!$C$15*(Dashboard!$C$16*EXP(-Dashboard!$C$16*A318)*E318-(1-EXP(-Dashboard!$C$16*A318))*Dashboard!$C$17/Dashboard!$C$19*E318*(1-E318))</f>
        <v>-0.15135597041543561</v>
      </c>
      <c r="P318" s="8">
        <f>Dashboard!$C$9*B318*Dashboard!$C$11*(-Dashboard!$C$12*(1-F318)-O318)+2*Dashboard!$C$20*A318</f>
        <v>32895.953225038553</v>
      </c>
      <c r="Q318" s="8">
        <f>-P318-Dashboard!$C$13-Dashboard!$C$14</f>
        <v>-82895.953225038553</v>
      </c>
    </row>
    <row r="319" spans="1:17" x14ac:dyDescent="0.25">
      <c r="A319" s="5">
        <f>(319-2)/100</f>
        <v>3.17</v>
      </c>
      <c r="B319" s="5">
        <f>Dashboard!$C$10*EXP(-Dashboard!$C$12*A319)</f>
        <v>6.5944756351492703E-2</v>
      </c>
      <c r="C319" s="5">
        <f>Dashboard!$C$17*A319</f>
        <v>2536</v>
      </c>
      <c r="D319" s="5">
        <f>Dashboard!$C$15*(1-EXP(-Dashboard!$C$16*A319))</f>
        <v>0.63604176550656222</v>
      </c>
      <c r="E319" s="5">
        <f>1/(1+EXP(MIN(700,MAX(-700,(C319-Dashboard!$C$18)/Dashboard!$C$19))))</f>
        <v>0.29042242372394583</v>
      </c>
      <c r="F319" s="5">
        <f t="shared" si="27"/>
        <v>0.18472079112807341</v>
      </c>
      <c r="G319" s="8">
        <f>Dashboard!$C$9*B319*Dashboard!$C$11*(1-F319)</f>
        <v>107526.77757499386</v>
      </c>
      <c r="H319" s="8">
        <f>Dashboard!$C$20*A319^2</f>
        <v>80391.199999999997</v>
      </c>
      <c r="I319" s="8">
        <f t="shared" si="28"/>
        <v>187917.97757499386</v>
      </c>
      <c r="J319" s="8">
        <f>Dashboard!$C$13*A319</f>
        <v>63400</v>
      </c>
      <c r="K319" s="8">
        <f>Dashboard!$C$14*A319</f>
        <v>95100</v>
      </c>
      <c r="L319" s="8">
        <f>Dashboard!$C$21-K319</f>
        <v>1404900</v>
      </c>
      <c r="M319" s="8">
        <f t="shared" si="29"/>
        <v>1153582.0224250061</v>
      </c>
      <c r="N319" s="8">
        <f t="shared" si="30"/>
        <v>158500</v>
      </c>
      <c r="O319" s="8">
        <f>Dashboard!$C$15*(Dashboard!$C$16*EXP(-Dashboard!$C$16*A319)*E319-(1-EXP(-Dashboard!$C$16*A319))*Dashboard!$C$17/Dashboard!$C$19*E319*(1-E319))</f>
        <v>-0.15095640108306313</v>
      </c>
      <c r="P319" s="8">
        <f>Dashboard!$C$9*B319*Dashboard!$C$11*(-Dashboard!$C$12*(1-F319)-O319)+2*Dashboard!$C$20*A319</f>
        <v>32995.194026993762</v>
      </c>
      <c r="Q319" s="8">
        <f>-P319-Dashboard!$C$13-Dashboard!$C$14</f>
        <v>-82995.194026993762</v>
      </c>
    </row>
    <row r="320" spans="1:17" x14ac:dyDescent="0.25">
      <c r="A320" s="5">
        <f>(320-2)/100</f>
        <v>3.18</v>
      </c>
      <c r="B320" s="5">
        <f>Dashboard!$C$10*EXP(-Dashboard!$C$12*A320)</f>
        <v>6.5714353145076926E-2</v>
      </c>
      <c r="C320" s="5">
        <f>Dashboard!$C$17*A320</f>
        <v>2544</v>
      </c>
      <c r="D320" s="5">
        <f>Dashboard!$C$15*(1-EXP(-Dashboard!$C$16*A320))</f>
        <v>0.63685951061262935</v>
      </c>
      <c r="E320" s="5">
        <f>1/(1+EXP(MIN(700,MAX(-700,(C320-Dashboard!$C$18)/Dashboard!$C$19))))</f>
        <v>0.28768242435513497</v>
      </c>
      <c r="F320" s="5">
        <f t="shared" si="27"/>
        <v>0.18321328798666603</v>
      </c>
      <c r="G320" s="8">
        <f>Dashboard!$C$9*B320*Dashboard!$C$11*(1-F320)</f>
        <v>107349.22087490094</v>
      </c>
      <c r="H320" s="8">
        <f>Dashboard!$C$20*A320^2</f>
        <v>80899.200000000012</v>
      </c>
      <c r="I320" s="8">
        <f t="shared" si="28"/>
        <v>188248.42087490094</v>
      </c>
      <c r="J320" s="8">
        <f>Dashboard!$C$13*A320</f>
        <v>63600</v>
      </c>
      <c r="K320" s="8">
        <f>Dashboard!$C$14*A320</f>
        <v>95400</v>
      </c>
      <c r="L320" s="8">
        <f>Dashboard!$C$21-K320</f>
        <v>1404600</v>
      </c>
      <c r="M320" s="8">
        <f t="shared" si="29"/>
        <v>1152751.5791250991</v>
      </c>
      <c r="N320" s="8">
        <f t="shared" si="30"/>
        <v>159000</v>
      </c>
      <c r="O320" s="8">
        <f>Dashboard!$C$15*(Dashboard!$C$16*EXP(-Dashboard!$C$16*A320)*E320-(1-EXP(-Dashboard!$C$16*A320))*Dashboard!$C$17/Dashboard!$C$19*E320*(1-E320))</f>
        <v>-0.15054173441739421</v>
      </c>
      <c r="P320" s="8">
        <f>Dashboard!$C$9*B320*Dashboard!$C$11*(-Dashboard!$C$12*(1-F320)-O320)+2*Dashboard!$C$20*A320</f>
        <v>33093.278090938722</v>
      </c>
      <c r="Q320" s="8">
        <f>-P320-Dashboard!$C$13-Dashboard!$C$14</f>
        <v>-83093.278090938722</v>
      </c>
    </row>
    <row r="321" spans="1:17" x14ac:dyDescent="0.25">
      <c r="A321" s="5">
        <f>(321-2)/100</f>
        <v>3.19</v>
      </c>
      <c r="B321" s="5">
        <f>Dashboard!$C$10*EXP(-Dashboard!$C$12*A321)</f>
        <v>6.5484754940308962E-2</v>
      </c>
      <c r="C321" s="5">
        <f>Dashboard!$C$17*A321</f>
        <v>2552</v>
      </c>
      <c r="D321" s="5">
        <f>Dashboard!$C$15*(1-EXP(-Dashboard!$C$16*A321))</f>
        <v>0.63767317719796479</v>
      </c>
      <c r="E321" s="5">
        <f>1/(1+EXP(MIN(700,MAX(-700,(C321-Dashboard!$C$18)/Dashboard!$C$19))))</f>
        <v>0.28495789429901025</v>
      </c>
      <c r="F321" s="5">
        <f t="shared" si="27"/>
        <v>0.18171000582529168</v>
      </c>
      <c r="G321" s="8">
        <f>Dashboard!$C$9*B321*Dashboard!$C$11*(1-F321)</f>
        <v>107171.03947727526</v>
      </c>
      <c r="H321" s="8">
        <f>Dashboard!$C$20*A321^2</f>
        <v>81408.800000000003</v>
      </c>
      <c r="I321" s="8">
        <f t="shared" si="28"/>
        <v>188579.83947727527</v>
      </c>
      <c r="J321" s="8">
        <f>Dashboard!$C$13*A321</f>
        <v>63800</v>
      </c>
      <c r="K321" s="8">
        <f>Dashboard!$C$14*A321</f>
        <v>95700</v>
      </c>
      <c r="L321" s="8">
        <f>Dashboard!$C$21-K321</f>
        <v>1404300</v>
      </c>
      <c r="M321" s="8">
        <f t="shared" si="29"/>
        <v>1151920.1605227247</v>
      </c>
      <c r="N321" s="8">
        <f t="shared" si="30"/>
        <v>159500</v>
      </c>
      <c r="O321" s="8">
        <f>Dashboard!$C$15*(Dashboard!$C$16*EXP(-Dashboard!$C$16*A321)*E321-(1-EXP(-Dashboard!$C$16*A321))*Dashboard!$C$17/Dashboard!$C$19*E321*(1-E321))</f>
        <v>-0.15011225211604931</v>
      </c>
      <c r="P321" s="8">
        <f>Dashboard!$C$9*B321*Dashboard!$C$11*(-Dashboard!$C$12*(1-F321)-O321)+2*Dashboard!$C$20*A321</f>
        <v>33190.264269668391</v>
      </c>
      <c r="Q321" s="8">
        <f>-P321-Dashboard!$C$13-Dashboard!$C$14</f>
        <v>-83190.264269668391</v>
      </c>
    </row>
    <row r="322" spans="1:17" x14ac:dyDescent="0.25">
      <c r="A322" s="5">
        <f>(322-2)/100</f>
        <v>3.2</v>
      </c>
      <c r="B322" s="5">
        <f>Dashboard!$C$10*EXP(-Dashboard!$C$12*A322)</f>
        <v>6.5255958924607907E-2</v>
      </c>
      <c r="C322" s="5">
        <f>Dashboard!$C$17*A322</f>
        <v>2560</v>
      </c>
      <c r="D322" s="5">
        <f>Dashboard!$C$15*(1-EXP(-Dashboard!$C$16*A322))</f>
        <v>0.63848278560427574</v>
      </c>
      <c r="E322" s="5">
        <f>1/(1+EXP(MIN(700,MAX(-700,(C322-Dashboard!$C$18)/Dashboard!$C$19))))</f>
        <v>0.28224894304226</v>
      </c>
      <c r="F322" s="5">
        <f t="shared" si="27"/>
        <v>0.18021109138748473</v>
      </c>
      <c r="G322" s="8">
        <f>Dashboard!$C$9*B322*Dashboard!$C$11*(1-F322)</f>
        <v>106992.22269453488</v>
      </c>
      <c r="H322" s="8">
        <f>Dashboard!$C$20*A322^2</f>
        <v>81920.000000000015</v>
      </c>
      <c r="I322" s="8">
        <f t="shared" si="28"/>
        <v>188912.2226945349</v>
      </c>
      <c r="J322" s="8">
        <f>Dashboard!$C$13*A322</f>
        <v>64000</v>
      </c>
      <c r="K322" s="8">
        <f>Dashboard!$C$14*A322</f>
        <v>96000</v>
      </c>
      <c r="L322" s="8">
        <f>Dashboard!$C$21-K322</f>
        <v>1404000</v>
      </c>
      <c r="M322" s="8">
        <f t="shared" si="29"/>
        <v>1151087.7773054652</v>
      </c>
      <c r="N322" s="8">
        <f t="shared" si="30"/>
        <v>160000</v>
      </c>
      <c r="O322" s="8">
        <f>Dashboard!$C$15*(Dashboard!$C$16*EXP(-Dashboard!$C$16*A322)*E322-(1-EXP(-Dashboard!$C$16*A322))*Dashboard!$C$17/Dashboard!$C$19*E322*(1-E322))</f>
        <v>-0.14966823690200509</v>
      </c>
      <c r="P322" s="8">
        <f>Dashboard!$C$9*B322*Dashboard!$C$11*(-Dashboard!$C$12*(1-F322)-O322)+2*Dashboard!$C$20*A322</f>
        <v>33286.210696104252</v>
      </c>
      <c r="Q322" s="8">
        <f>-P322-Dashboard!$C$13-Dashboard!$C$14</f>
        <v>-83286.210696104245</v>
      </c>
    </row>
    <row r="323" spans="1:17" x14ac:dyDescent="0.25">
      <c r="A323" s="5">
        <f>(323-2)/100</f>
        <v>3.21</v>
      </c>
      <c r="B323" s="5">
        <f>Dashboard!$C$10*EXP(-Dashboard!$C$12*A323)</f>
        <v>6.5027962295219718E-2</v>
      </c>
      <c r="C323" s="5">
        <f>Dashboard!$C$17*A323</f>
        <v>2568</v>
      </c>
      <c r="D323" s="5">
        <f>Dashboard!$C$15*(1-EXP(-Dashboard!$C$16*A323))</f>
        <v>0.63928835607181433</v>
      </c>
      <c r="E323" s="5">
        <f>1/(1+EXP(MIN(700,MAX(-700,(C323-Dashboard!$C$18)/Dashboard!$C$19))))</f>
        <v>0.27955567606954246</v>
      </c>
      <c r="F323" s="5">
        <f t="shared" si="27"/>
        <v>0.17871668858504244</v>
      </c>
      <c r="G323" s="8">
        <f>Dashboard!$C$9*B323*Dashboard!$C$11*(1-F323)</f>
        <v>106812.76041677012</v>
      </c>
      <c r="H323" s="8">
        <f>Dashboard!$C$20*A323^2</f>
        <v>82432.800000000003</v>
      </c>
      <c r="I323" s="8">
        <f t="shared" si="28"/>
        <v>189245.56041677011</v>
      </c>
      <c r="J323" s="8">
        <f>Dashboard!$C$13*A323</f>
        <v>64200</v>
      </c>
      <c r="K323" s="8">
        <f>Dashboard!$C$14*A323</f>
        <v>96300</v>
      </c>
      <c r="L323" s="8">
        <f>Dashboard!$C$21-K323</f>
        <v>1403700</v>
      </c>
      <c r="M323" s="8">
        <f t="shared" si="29"/>
        <v>1150254.4395832298</v>
      </c>
      <c r="N323" s="8">
        <f t="shared" si="30"/>
        <v>160500</v>
      </c>
      <c r="O323" s="8">
        <f>Dashboard!$C$15*(Dashboard!$C$16*EXP(-Dashboard!$C$16*A323)*E323-(1-EXP(-Dashboard!$C$16*A323))*Dashboard!$C$17/Dashboard!$C$19*E323*(1-E323))</f>
        <v>-0.14920997237502562</v>
      </c>
      <c r="P323" s="8">
        <f>Dashboard!$C$9*B323*Dashboard!$C$11*(-Dashboard!$C$12*(1-F323)-O323)+2*Dashboard!$C$20*A323</f>
        <v>33381.174769478341</v>
      </c>
      <c r="Q323" s="8">
        <f>-P323-Dashboard!$C$13-Dashboard!$C$14</f>
        <v>-83381.174769478341</v>
      </c>
    </row>
    <row r="324" spans="1:17" x14ac:dyDescent="0.25">
      <c r="A324" s="5">
        <f>(324-2)/100</f>
        <v>3.22</v>
      </c>
      <c r="B324" s="5">
        <f>Dashboard!$C$10*EXP(-Dashboard!$C$12*A324)</f>
        <v>6.480076225918284E-2</v>
      </c>
      <c r="C324" s="5">
        <f>Dashboard!$C$17*A324</f>
        <v>2576</v>
      </c>
      <c r="D324" s="5">
        <f>Dashboard!$C$15*(1-EXP(-Dashboard!$C$16*A324))</f>
        <v>0.64008990873988447</v>
      </c>
      <c r="E324" s="5">
        <f>1/(1+EXP(MIN(700,MAX(-700,(C324-Dashboard!$C$18)/Dashboard!$C$19))))</f>
        <v>0.27687819487561016</v>
      </c>
      <c r="F324" s="5">
        <f t="shared" si="27"/>
        <v>0.17722693848999327</v>
      </c>
      <c r="G324" s="8">
        <f>Dashboard!$C$9*B324*Dashboard!$C$11*(1-F324)</f>
        <v>106632.64310433994</v>
      </c>
      <c r="H324" s="8">
        <f>Dashboard!$C$20*A324^2</f>
        <v>82947.200000000012</v>
      </c>
      <c r="I324" s="8">
        <f t="shared" si="28"/>
        <v>189579.84310433996</v>
      </c>
      <c r="J324" s="8">
        <f>Dashboard!$C$13*A324</f>
        <v>64400.000000000007</v>
      </c>
      <c r="K324" s="8">
        <f>Dashboard!$C$14*A324</f>
        <v>96600</v>
      </c>
      <c r="L324" s="8">
        <f>Dashboard!$C$21-K324</f>
        <v>1403400</v>
      </c>
      <c r="M324" s="8">
        <f t="shared" si="29"/>
        <v>1149420.1568956601</v>
      </c>
      <c r="N324" s="8">
        <f t="shared" si="30"/>
        <v>161000</v>
      </c>
      <c r="O324" s="8">
        <f>Dashboard!$C$15*(Dashboard!$C$16*EXP(-Dashboard!$C$16*A324)*E324-(1-EXP(-Dashboard!$C$16*A324))*Dashboard!$C$17/Dashboard!$C$19*E324*(1-E324))</f>
        <v>-0.14873774286482341</v>
      </c>
      <c r="P324" s="8">
        <f>Dashboard!$C$9*B324*Dashboard!$C$11*(-Dashboard!$C$12*(1-F324)-O324)+2*Dashboard!$C$20*A324</f>
        <v>33475.213142182809</v>
      </c>
      <c r="Q324" s="8">
        <f>-P324-Dashboard!$C$13-Dashboard!$C$14</f>
        <v>-83475.213142182809</v>
      </c>
    </row>
    <row r="325" spans="1:17" x14ac:dyDescent="0.25">
      <c r="A325" s="5">
        <f>(325-2)/100</f>
        <v>3.23</v>
      </c>
      <c r="B325" s="5">
        <f>Dashboard!$C$10*EXP(-Dashboard!$C$12*A325)</f>
        <v>6.4574356033293978E-2</v>
      </c>
      <c r="C325" s="5">
        <f>Dashboard!$C$17*A325</f>
        <v>2584</v>
      </c>
      <c r="D325" s="5">
        <f>Dashboard!$C$15*(1-EXP(-Dashboard!$C$16*A325))</f>
        <v>0.64088746364734428</v>
      </c>
      <c r="E325" s="5">
        <f>1/(1+EXP(MIN(700,MAX(-700,(C325-Dashboard!$C$18)/Dashboard!$C$19))))</f>
        <v>0.27421659697922823</v>
      </c>
      <c r="F325" s="5">
        <f t="shared" si="27"/>
        <v>0.1757419793280236</v>
      </c>
      <c r="G325" s="8">
        <f>Dashboard!$C$9*B325*Dashboard!$C$11*(1-F325)</f>
        <v>106451.86178034078</v>
      </c>
      <c r="H325" s="8">
        <f>Dashboard!$C$20*A325^2</f>
        <v>83463.199999999997</v>
      </c>
      <c r="I325" s="8">
        <f t="shared" si="28"/>
        <v>189915.06178034079</v>
      </c>
      <c r="J325" s="8">
        <f>Dashboard!$C$13*A325</f>
        <v>64600</v>
      </c>
      <c r="K325" s="8">
        <f>Dashboard!$C$14*A325</f>
        <v>96900</v>
      </c>
      <c r="L325" s="8">
        <f>Dashboard!$C$21-K325</f>
        <v>1403100</v>
      </c>
      <c r="M325" s="8">
        <f t="shared" si="29"/>
        <v>1148584.9382196593</v>
      </c>
      <c r="N325" s="8">
        <f t="shared" si="30"/>
        <v>161500</v>
      </c>
      <c r="O325" s="8">
        <f>Dashboard!$C$15*(Dashboard!$C$16*EXP(-Dashboard!$C$16*A325)*E325-(1-EXP(-Dashboard!$C$16*A325))*Dashboard!$C$17/Dashboard!$C$19*E325*(1-E325))</f>
        <v>-0.1482518332860526</v>
      </c>
      <c r="P325" s="8">
        <f>Dashboard!$C$9*B325*Dashboard!$C$11*(-Dashboard!$C$12*(1-F325)-O325)+2*Dashboard!$C$20*A325</f>
        <v>33568.381707284934</v>
      </c>
      <c r="Q325" s="8">
        <f>-P325-Dashboard!$C$13-Dashboard!$C$14</f>
        <v>-83568.381707284934</v>
      </c>
    </row>
    <row r="326" spans="1:17" x14ac:dyDescent="0.25">
      <c r="A326" s="5">
        <f>(326-2)/100</f>
        <v>3.24</v>
      </c>
      <c r="B326" s="5">
        <f>Dashboard!$C$10*EXP(-Dashboard!$C$12*A326)</f>
        <v>6.4348740844074034E-2</v>
      </c>
      <c r="C326" s="5">
        <f>Dashboard!$C$17*A326</f>
        <v>2592</v>
      </c>
      <c r="D326" s="5">
        <f>Dashboard!$C$15*(1-EXP(-Dashboard!$C$16*A326))</f>
        <v>0.64168104073310828</v>
      </c>
      <c r="E326" s="5">
        <f>1/(1+EXP(MIN(700,MAX(-700,(C326-Dashboard!$C$18)/Dashboard!$C$19))))</f>
        <v>0.27157097593884777</v>
      </c>
      <c r="F326" s="5">
        <f t="shared" si="27"/>
        <v>0.17426194647334575</v>
      </c>
      <c r="G326" s="8">
        <f>Dashboard!$C$9*B326*Dashboard!$C$11*(1-F326)</f>
        <v>106270.40802295363</v>
      </c>
      <c r="H326" s="8">
        <f>Dashboard!$C$20*A326^2</f>
        <v>83980.800000000017</v>
      </c>
      <c r="I326" s="8">
        <f t="shared" si="28"/>
        <v>190251.20802295365</v>
      </c>
      <c r="J326" s="8">
        <f>Dashboard!$C$13*A326</f>
        <v>64800.000000000007</v>
      </c>
      <c r="K326" s="8">
        <f>Dashboard!$C$14*A326</f>
        <v>97200</v>
      </c>
      <c r="L326" s="8">
        <f>Dashboard!$C$21-K326</f>
        <v>1402800</v>
      </c>
      <c r="M326" s="8">
        <f t="shared" si="29"/>
        <v>1147748.7919770463</v>
      </c>
      <c r="N326" s="8">
        <f t="shared" si="30"/>
        <v>162000</v>
      </c>
      <c r="O326" s="8">
        <f>Dashboard!$C$15*(Dashboard!$C$16*EXP(-Dashboard!$C$16*A326)*E326-(1-EXP(-Dashboard!$C$16*A326))*Dashboard!$C$17/Dashboard!$C$19*E326*(1-E326))</f>
        <v>-0.14775252899523508</v>
      </c>
      <c r="P326" s="8">
        <f>Dashboard!$C$9*B326*Dashboard!$C$11*(-Dashboard!$C$12*(1-F326)-O326)+2*Dashboard!$C$20*A326</f>
        <v>33660.73558670807</v>
      </c>
      <c r="Q326" s="8">
        <f>-P326-Dashboard!$C$13-Dashboard!$C$14</f>
        <v>-83660.735586708062</v>
      </c>
    </row>
    <row r="327" spans="1:17" x14ac:dyDescent="0.25">
      <c r="A327" s="5">
        <f>(327-2)/100</f>
        <v>3.25</v>
      </c>
      <c r="B327" s="5">
        <f>Dashboard!$C$10*EXP(-Dashboard!$C$12*A327)</f>
        <v>6.412391392773413E-2</v>
      </c>
      <c r="C327" s="5">
        <f>Dashboard!$C$17*A327</f>
        <v>2600</v>
      </c>
      <c r="D327" s="5">
        <f>Dashboard!$C$15*(1-EXP(-Dashboard!$C$16*A327))</f>
        <v>0.64247065983664475</v>
      </c>
      <c r="E327" s="5">
        <f>1/(1+EXP(MIN(700,MAX(-700,(C327-Dashboard!$C$18)/Dashboard!$C$19))))</f>
        <v>0.2689414213699951</v>
      </c>
      <c r="F327" s="5">
        <f t="shared" si="27"/>
        <v>0.17278697244498586</v>
      </c>
      <c r="G327" s="8">
        <f>Dashboard!$C$9*B327*Dashboard!$C$11*(1-F327)</f>
        <v>106088.27395767618</v>
      </c>
      <c r="H327" s="8">
        <f>Dashboard!$C$20*A327^2</f>
        <v>84500</v>
      </c>
      <c r="I327" s="8">
        <f t="shared" si="28"/>
        <v>190588.2739576762</v>
      </c>
      <c r="J327" s="8">
        <f>Dashboard!$C$13*A327</f>
        <v>65000</v>
      </c>
      <c r="K327" s="8">
        <f>Dashboard!$C$14*A327</f>
        <v>97500</v>
      </c>
      <c r="L327" s="8">
        <f>Dashboard!$C$21-K327</f>
        <v>1402500</v>
      </c>
      <c r="M327" s="8">
        <f t="shared" si="29"/>
        <v>1146911.7260423237</v>
      </c>
      <c r="N327" s="8">
        <f t="shared" si="30"/>
        <v>162500</v>
      </c>
      <c r="O327" s="8">
        <f>Dashboard!$C$15*(Dashboard!$C$16*EXP(-Dashboard!$C$16*A327)*E327-(1-EXP(-Dashboard!$C$16*A327))*Dashboard!$C$17/Dashboard!$C$19*E327*(1-E327))</f>
        <v>-0.14724011564971248</v>
      </c>
      <c r="P327" s="8">
        <f>Dashboard!$C$9*B327*Dashboard!$C$11*(-Dashboard!$C$12*(1-F327)-O327)+2*Dashboard!$C$20*A327</f>
        <v>33752.329120076902</v>
      </c>
      <c r="Q327" s="8">
        <f>-P327-Dashboard!$C$13-Dashboard!$C$14</f>
        <v>-83752.329120076902</v>
      </c>
    </row>
    <row r="328" spans="1:17" x14ac:dyDescent="0.25">
      <c r="A328" s="5">
        <f>(328-2)/100</f>
        <v>3.26</v>
      </c>
      <c r="B328" s="5">
        <f>Dashboard!$C$10*EXP(-Dashboard!$C$12*A328)</f>
        <v>6.3899872530141746E-2</v>
      </c>
      <c r="C328" s="5">
        <f>Dashboard!$C$17*A328</f>
        <v>2608</v>
      </c>
      <c r="D328" s="5">
        <f>Dashboard!$C$15*(1-EXP(-Dashboard!$C$16*A328))</f>
        <v>0.6432563406984726</v>
      </c>
      <c r="E328" s="5">
        <f>1/(1+EXP(MIN(700,MAX(-700,(C328-Dashboard!$C$18)/Dashboard!$C$19))))</f>
        <v>0.2663280189643365</v>
      </c>
      <c r="F328" s="5">
        <f t="shared" si="27"/>
        <v>0.17131718690447251</v>
      </c>
      <c r="G328" s="8">
        <f>Dashboard!$C$9*B328*Dashboard!$C$11*(1-F328)</f>
        <v>105905.45224944696</v>
      </c>
      <c r="H328" s="8">
        <f>Dashboard!$C$20*A328^2</f>
        <v>85020.799999999988</v>
      </c>
      <c r="I328" s="8">
        <f t="shared" si="28"/>
        <v>190926.25224944693</v>
      </c>
      <c r="J328" s="8">
        <f>Dashboard!$C$13*A328</f>
        <v>65199.999999999993</v>
      </c>
      <c r="K328" s="8">
        <f>Dashboard!$C$14*A328</f>
        <v>97800</v>
      </c>
      <c r="L328" s="8">
        <f>Dashboard!$C$21-K328</f>
        <v>1402200</v>
      </c>
      <c r="M328" s="8">
        <f t="shared" si="29"/>
        <v>1146073.7477505531</v>
      </c>
      <c r="N328" s="8">
        <f t="shared" si="30"/>
        <v>163000</v>
      </c>
      <c r="O328" s="8">
        <f>Dashboard!$C$15*(Dashboard!$C$16*EXP(-Dashboard!$C$16*A328)*E328-(1-EXP(-Dashboard!$C$16*A328))*Dashboard!$C$17/Dashboard!$C$19*E328*(1-E328))</f>
        <v>-0.1467148790687168</v>
      </c>
      <c r="P328" s="8">
        <f>Dashboard!$C$9*B328*Dashboard!$C$11*(-Dashboard!$C$12*(1-F328)-O328)+2*Dashboard!$C$20*A328</f>
        <v>33843.215854225899</v>
      </c>
      <c r="Q328" s="8">
        <f>-P328-Dashboard!$C$13-Dashboard!$C$14</f>
        <v>-83843.215854225899</v>
      </c>
    </row>
    <row r="329" spans="1:17" x14ac:dyDescent="0.25">
      <c r="A329" s="5">
        <f>(329-2)/100</f>
        <v>3.27</v>
      </c>
      <c r="B329" s="5">
        <f>Dashboard!$C$10*EXP(-Dashboard!$C$12*A329)</f>
        <v>6.3676613906786916E-2</v>
      </c>
      <c r="C329" s="5">
        <f>Dashboard!$C$17*A329</f>
        <v>2616</v>
      </c>
      <c r="D329" s="5">
        <f>Dashboard!$C$15*(1-EXP(-Dashboard!$C$16*A329))</f>
        <v>0.644038102960654</v>
      </c>
      <c r="E329" s="5">
        <f>1/(1+EXP(MIN(700,MAX(-700,(C329-Dashboard!$C$18)/Dashboard!$C$19))))</f>
        <v>0.26373085051037692</v>
      </c>
      <c r="F329" s="5">
        <f t="shared" si="27"/>
        <v>0.16985271665490298</v>
      </c>
      <c r="G329" s="8">
        <f>Dashboard!$C$9*B329*Dashboard!$C$11*(1-F329)</f>
        <v>105721.93609466756</v>
      </c>
      <c r="H329" s="8">
        <f>Dashboard!$C$20*A329^2</f>
        <v>85543.2</v>
      </c>
      <c r="I329" s="8">
        <f t="shared" si="28"/>
        <v>191265.13609466754</v>
      </c>
      <c r="J329" s="8">
        <f>Dashboard!$C$13*A329</f>
        <v>65400</v>
      </c>
      <c r="K329" s="8">
        <f>Dashboard!$C$14*A329</f>
        <v>98100</v>
      </c>
      <c r="L329" s="8">
        <f>Dashboard!$C$21-K329</f>
        <v>1401900</v>
      </c>
      <c r="M329" s="8">
        <f t="shared" si="29"/>
        <v>1145234.8639053325</v>
      </c>
      <c r="N329" s="8">
        <f t="shared" si="30"/>
        <v>163500</v>
      </c>
      <c r="O329" s="8">
        <f>Dashboard!$C$15*(Dashboard!$C$16*EXP(-Dashboard!$C$16*A329)*E329-(1-EXP(-Dashboard!$C$16*A329))*Dashboard!$C$17/Dashboard!$C$19*E329*(1-E329))</f>
        <v>-0.14617710509664389</v>
      </c>
      <c r="P329" s="8">
        <f>Dashboard!$C$9*B329*Dashboard!$C$11*(-Dashboard!$C$12*(1-F329)-O329)+2*Dashboard!$C$20*A329</f>
        <v>33933.448533367962</v>
      </c>
      <c r="Q329" s="8">
        <f>-P329-Dashboard!$C$13-Dashboard!$C$14</f>
        <v>-83933.448533367962</v>
      </c>
    </row>
    <row r="330" spans="1:17" x14ac:dyDescent="0.25">
      <c r="A330" s="5">
        <f>(330-2)/100</f>
        <v>3.28</v>
      </c>
      <c r="B330" s="5">
        <f>Dashboard!$C$10*EXP(-Dashboard!$C$12*A330)</f>
        <v>6.3454135322748725E-2</v>
      </c>
      <c r="C330" s="5">
        <f>Dashboard!$C$17*A330</f>
        <v>2624</v>
      </c>
      <c r="D330" s="5">
        <f>Dashboard!$C$15*(1-EXP(-Dashboard!$C$16*A330))</f>
        <v>0.64481596616728654</v>
      </c>
      <c r="E330" s="5">
        <f>1/(1+EXP(MIN(700,MAX(-700,(C330-Dashboard!$C$18)/Dashboard!$C$19))))</f>
        <v>0.261149993915751</v>
      </c>
      <c r="F330" s="5">
        <f t="shared" si="27"/>
        <v>0.16839368564136598</v>
      </c>
      <c r="G330" s="8">
        <f>Dashboard!$C$9*B330*Dashboard!$C$11*(1-F330)</f>
        <v>105537.71921313017</v>
      </c>
      <c r="H330" s="8">
        <f>Dashboard!$C$20*A330^2</f>
        <v>86067.199999999983</v>
      </c>
      <c r="I330" s="8">
        <f t="shared" si="28"/>
        <v>191604.91921313014</v>
      </c>
      <c r="J330" s="8">
        <f>Dashboard!$C$13*A330</f>
        <v>65600</v>
      </c>
      <c r="K330" s="8">
        <f>Dashboard!$C$14*A330</f>
        <v>98400</v>
      </c>
      <c r="L330" s="8">
        <f>Dashboard!$C$21-K330</f>
        <v>1401600</v>
      </c>
      <c r="M330" s="8">
        <f t="shared" si="29"/>
        <v>1144395.0807868699</v>
      </c>
      <c r="N330" s="8">
        <f t="shared" si="30"/>
        <v>164000</v>
      </c>
      <c r="O330" s="8">
        <f>Dashboard!$C$15*(Dashboard!$C$16*EXP(-Dashboard!$C$16*A330)*E330-(1-EXP(-Dashboard!$C$16*A330))*Dashboard!$C$17/Dashboard!$C$19*E330*(1-E330))</f>
        <v>-0.14562707946861239</v>
      </c>
      <c r="P330" s="8">
        <f>Dashboard!$C$9*B330*Dashboard!$C$11*(-Dashboard!$C$12*(1-F330)-O330)+2*Dashboard!$C$20*A330</f>
        <v>34023.079089920473</v>
      </c>
      <c r="Q330" s="8">
        <f>-P330-Dashboard!$C$13-Dashboard!$C$14</f>
        <v>-84023.079089920473</v>
      </c>
    </row>
    <row r="331" spans="1:17" x14ac:dyDescent="0.25">
      <c r="A331" s="5">
        <f>(331-2)/100</f>
        <v>3.29</v>
      </c>
      <c r="B331" s="5">
        <f>Dashboard!$C$10*EXP(-Dashboard!$C$12*A331)</f>
        <v>6.3232434052661754E-2</v>
      </c>
      <c r="C331" s="5">
        <f>Dashboard!$C$17*A331</f>
        <v>2632</v>
      </c>
      <c r="D331" s="5">
        <f>Dashboard!$C$15*(1-EXP(-Dashboard!$C$16*A331))</f>
        <v>0.64558994976499062</v>
      </c>
      <c r="E331" s="5">
        <f>1/(1+EXP(MIN(700,MAX(-700,(C331-Dashboard!$C$18)/Dashboard!$C$19))))</f>
        <v>0.25858552323106454</v>
      </c>
      <c r="F331" s="5">
        <f t="shared" si="27"/>
        <v>0.16694021495269679</v>
      </c>
      <c r="G331" s="8">
        <f>Dashboard!$C$9*B331*Dashboard!$C$11*(1-F331)</f>
        <v>105352.79583985635</v>
      </c>
      <c r="H331" s="8">
        <f>Dashboard!$C$20*A331^2</f>
        <v>86592.8</v>
      </c>
      <c r="I331" s="8">
        <f t="shared" si="28"/>
        <v>191945.59583985637</v>
      </c>
      <c r="J331" s="8">
        <f>Dashboard!$C$13*A331</f>
        <v>65800</v>
      </c>
      <c r="K331" s="8">
        <f>Dashboard!$C$14*A331</f>
        <v>98700</v>
      </c>
      <c r="L331" s="8">
        <f>Dashboard!$C$21-K331</f>
        <v>1401300</v>
      </c>
      <c r="M331" s="8">
        <f t="shared" si="29"/>
        <v>1143554.4041601436</v>
      </c>
      <c r="N331" s="8">
        <f t="shared" si="30"/>
        <v>164500</v>
      </c>
      <c r="O331" s="8">
        <f>Dashboard!$C$15*(Dashboard!$C$16*EXP(-Dashboard!$C$16*A331)*E331-(1-EXP(-Dashboard!$C$16*A331))*Dashboard!$C$17/Dashboard!$C$19*E331*(1-E331))</f>
        <v>-0.14506508767838563</v>
      </c>
      <c r="P331" s="8">
        <f>Dashboard!$C$9*B331*Dashboard!$C$11*(-Dashboard!$C$12*(1-F331)-O331)+2*Dashboard!$C$20*A331</f>
        <v>34112.15863598451</v>
      </c>
      <c r="Q331" s="8">
        <f>-P331-Dashboard!$C$13-Dashboard!$C$14</f>
        <v>-84112.15863598451</v>
      </c>
    </row>
    <row r="332" spans="1:17" x14ac:dyDescent="0.25">
      <c r="A332" s="5">
        <f>(332-2)/100</f>
        <v>3.3</v>
      </c>
      <c r="B332" s="5">
        <f>Dashboard!$C$10*EXP(-Dashboard!$C$12*A332)</f>
        <v>6.3011507380682688E-2</v>
      </c>
      <c r="C332" s="5">
        <f>Dashboard!$C$17*A332</f>
        <v>2640</v>
      </c>
      <c r="D332" s="5">
        <f>Dashboard!$C$15*(1-EXP(-Dashboard!$C$16*A332))</f>
        <v>0.64636007310339672</v>
      </c>
      <c r="E332" s="5">
        <f>1/(1+EXP(MIN(700,MAX(-700,(C332-Dashboard!$C$18)/Dashboard!$C$19))))</f>
        <v>0.256037508675242</v>
      </c>
      <c r="F332" s="5">
        <f t="shared" si="27"/>
        <v>0.16549242282454099</v>
      </c>
      <c r="G332" s="8">
        <f>Dashboard!$C$9*B332*Dashboard!$C$11*(1-F332)</f>
        <v>105167.16071685412</v>
      </c>
      <c r="H332" s="8">
        <f>Dashboard!$C$20*A332^2</f>
        <v>87119.999999999985</v>
      </c>
      <c r="I332" s="8">
        <f t="shared" si="28"/>
        <v>192287.16071685409</v>
      </c>
      <c r="J332" s="8">
        <f>Dashboard!$C$13*A332</f>
        <v>66000</v>
      </c>
      <c r="K332" s="8">
        <f>Dashboard!$C$14*A332</f>
        <v>99000</v>
      </c>
      <c r="L332" s="8">
        <f>Dashboard!$C$21-K332</f>
        <v>1401000</v>
      </c>
      <c r="M332" s="8">
        <f t="shared" si="29"/>
        <v>1142712.839283146</v>
      </c>
      <c r="N332" s="8">
        <f t="shared" si="30"/>
        <v>165000</v>
      </c>
      <c r="O332" s="8">
        <f>Dashboard!$C$15*(Dashboard!$C$16*EXP(-Dashboard!$C$16*A332)*E332-(1-EXP(-Dashboard!$C$16*A332))*Dashboard!$C$17/Dashboard!$C$19*E332*(1-E332))</f>
        <v>-0.14449141484872804</v>
      </c>
      <c r="P332" s="8">
        <f>Dashboard!$C$9*B332*Dashboard!$C$11*(-Dashboard!$C$12*(1-F332)-O332)+2*Dashboard!$C$20*A332</f>
        <v>34200.737455472889</v>
      </c>
      <c r="Q332" s="8">
        <f>-P332-Dashboard!$C$13-Dashboard!$C$14</f>
        <v>-84200.737455472889</v>
      </c>
    </row>
    <row r="333" spans="1:17" x14ac:dyDescent="0.25">
      <c r="A333" s="5">
        <f>(333-2)/100</f>
        <v>3.31</v>
      </c>
      <c r="B333" s="5">
        <f>Dashboard!$C$10*EXP(-Dashboard!$C$12*A333)</f>
        <v>6.2791352600456971E-2</v>
      </c>
      <c r="C333" s="5">
        <f>Dashboard!$C$17*A333</f>
        <v>2648</v>
      </c>
      <c r="D333" s="5">
        <f>Dashboard!$C$15*(1-EXP(-Dashboard!$C$16*A333))</f>
        <v>0.64712635543562835</v>
      </c>
      <c r="E333" s="5">
        <f>1/(1+EXP(MIN(700,MAX(-700,(C333-Dashboard!$C$18)/Dashboard!$C$19))))</f>
        <v>0.2535060166623378</v>
      </c>
      <c r="F333" s="5">
        <f t="shared" si="27"/>
        <v>0.16405042464370234</v>
      </c>
      <c r="G333" s="8">
        <f>Dashboard!$C$9*B333*Dashboard!$C$11*(1-F333)</f>
        <v>104980.80908479913</v>
      </c>
      <c r="H333" s="8">
        <f>Dashboard!$C$20*A333^2</f>
        <v>87648.8</v>
      </c>
      <c r="I333" s="8">
        <f t="shared" si="28"/>
        <v>192629.60908479913</v>
      </c>
      <c r="J333" s="8">
        <f>Dashboard!$C$13*A333</f>
        <v>66200</v>
      </c>
      <c r="K333" s="8">
        <f>Dashboard!$C$14*A333</f>
        <v>99300</v>
      </c>
      <c r="L333" s="8">
        <f>Dashboard!$C$21-K333</f>
        <v>1400700</v>
      </c>
      <c r="M333" s="8">
        <f t="shared" si="29"/>
        <v>1141870.3909152008</v>
      </c>
      <c r="N333" s="8">
        <f t="shared" si="30"/>
        <v>165500</v>
      </c>
      <c r="O333" s="8">
        <f>Dashboard!$C$15*(Dashboard!$C$16*EXP(-Dashboard!$C$16*A333)*E333-(1-EXP(-Dashboard!$C$16*A333))*Dashboard!$C$17/Dashboard!$C$19*E333*(1-E333))</f>
        <v>-0.14390634560426582</v>
      </c>
      <c r="P333" s="8">
        <f>Dashboard!$C$9*B333*Dashboard!$C$11*(-Dashboard!$C$12*(1-F333)-O333)+2*Dashboard!$C$20*A333</f>
        <v>34288.864996881661</v>
      </c>
      <c r="Q333" s="8">
        <f>-P333-Dashboard!$C$13-Dashboard!$C$14</f>
        <v>-84288.864996881661</v>
      </c>
    </row>
    <row r="334" spans="1:17" x14ac:dyDescent="0.25">
      <c r="A334" s="5">
        <f>(334-2)/100</f>
        <v>3.32</v>
      </c>
      <c r="B334" s="5">
        <f>Dashboard!$C$10*EXP(-Dashboard!$C$12*A334)</f>
        <v>6.2571967015085841E-2</v>
      </c>
      <c r="C334" s="5">
        <f>Dashboard!$C$17*A334</f>
        <v>2656</v>
      </c>
      <c r="D334" s="5">
        <f>Dashboard!$C$15*(1-EXP(-Dashboard!$C$16*A334))</f>
        <v>0.64788881591878367</v>
      </c>
      <c r="E334" s="5">
        <f>1/(1+EXP(MIN(700,MAX(-700,(C334-Dashboard!$C$18)/Dashboard!$C$19))))</f>
        <v>0.25099110982976713</v>
      </c>
      <c r="F334" s="5">
        <f t="shared" si="27"/>
        <v>0.16261433295374922</v>
      </c>
      <c r="G334" s="8">
        <f>Dashboard!$C$9*B334*Dashboard!$C$11*(1-F334)</f>
        <v>104793.7366746473</v>
      </c>
      <c r="H334" s="8">
        <f>Dashboard!$C$20*A334^2</f>
        <v>88179.199999999997</v>
      </c>
      <c r="I334" s="8">
        <f t="shared" si="28"/>
        <v>192972.9366746473</v>
      </c>
      <c r="J334" s="8">
        <f>Dashboard!$C$13*A334</f>
        <v>66400</v>
      </c>
      <c r="K334" s="8">
        <f>Dashboard!$C$14*A334</f>
        <v>99600</v>
      </c>
      <c r="L334" s="8">
        <f>Dashboard!$C$21-K334</f>
        <v>1400400</v>
      </c>
      <c r="M334" s="8">
        <f t="shared" si="29"/>
        <v>1141027.0633253527</v>
      </c>
      <c r="N334" s="8">
        <f t="shared" si="30"/>
        <v>166000</v>
      </c>
      <c r="O334" s="8">
        <f>Dashboard!$C$15*(Dashboard!$C$16*EXP(-Dashboard!$C$16*A334)*E334-(1-EXP(-Dashboard!$C$16*A334))*Dashboard!$C$17/Dashboard!$C$19*E334*(1-E334))</f>
        <v>-0.14331016394691495</v>
      </c>
      <c r="P334" s="8">
        <f>Dashboard!$C$9*B334*Dashboard!$C$11*(-Dashboard!$C$12*(1-F334)-O334)+2*Dashboard!$C$20*A334</f>
        <v>34376.589866699258</v>
      </c>
      <c r="Q334" s="8">
        <f>-P334-Dashboard!$C$13-Dashboard!$C$14</f>
        <v>-84376.589866699258</v>
      </c>
    </row>
    <row r="335" spans="1:17" x14ac:dyDescent="0.25">
      <c r="A335" s="5">
        <f>(335-2)/100</f>
        <v>3.33</v>
      </c>
      <c r="B335" s="5">
        <f>Dashboard!$C$10*EXP(-Dashboard!$C$12*A335)</f>
        <v>6.2353347937093122E-2</v>
      </c>
      <c r="C335" s="5">
        <f>Dashboard!$C$17*A335</f>
        <v>2664</v>
      </c>
      <c r="D335" s="5">
        <f>Dashboard!$C$15*(1-EXP(-Dashboard!$C$16*A335))</f>
        <v>0.64864747361441444</v>
      </c>
      <c r="E335" s="5">
        <f>1/(1+EXP(MIN(700,MAX(-700,(C335-Dashboard!$C$18)/Dashboard!$C$19))))</f>
        <v>0.24849284706791089</v>
      </c>
      <c r="F335" s="5">
        <f t="shared" si="27"/>
        <v>0.16118425746185344</v>
      </c>
      <c r="G335" s="8">
        <f>Dashboard!$C$9*B335*Dashboard!$C$11*(1-F335)</f>
        <v>104605.93969918435</v>
      </c>
      <c r="H335" s="8">
        <f>Dashboard!$C$20*A335^2</f>
        <v>88711.200000000012</v>
      </c>
      <c r="I335" s="8">
        <f t="shared" si="28"/>
        <v>193317.13969918436</v>
      </c>
      <c r="J335" s="8">
        <f>Dashboard!$C$13*A335</f>
        <v>66600</v>
      </c>
      <c r="K335" s="8">
        <f>Dashboard!$C$14*A335</f>
        <v>99900</v>
      </c>
      <c r="L335" s="8">
        <f>Dashboard!$C$21-K335</f>
        <v>1400100</v>
      </c>
      <c r="M335" s="8">
        <f t="shared" si="29"/>
        <v>1140182.8603008157</v>
      </c>
      <c r="N335" s="8">
        <f t="shared" si="30"/>
        <v>166500</v>
      </c>
      <c r="O335" s="8">
        <f>Dashboard!$C$15*(Dashboard!$C$16*EXP(-Dashboard!$C$16*A335)*E335-(1-EXP(-Dashboard!$C$16*A335))*Dashboard!$C$17/Dashboard!$C$19*E335*(1-E335))</f>
        <v>-0.14270315313393614</v>
      </c>
      <c r="P335" s="8">
        <f>Dashboard!$C$9*B335*Dashboard!$C$11*(-Dashboard!$C$12*(1-F335)-O335)+2*Dashboard!$C$20*A335</f>
        <v>34463.959823446683</v>
      </c>
      <c r="Q335" s="8">
        <f>-P335-Dashboard!$C$13-Dashboard!$C$14</f>
        <v>-84463.959823446683</v>
      </c>
    </row>
    <row r="336" spans="1:17" x14ac:dyDescent="0.25">
      <c r="A336" s="5">
        <f>(336-2)/100</f>
        <v>3.34</v>
      </c>
      <c r="B336" s="5">
        <f>Dashboard!$C$10*EXP(-Dashboard!$C$12*A336)</f>
        <v>6.2135492688392392E-2</v>
      </c>
      <c r="C336" s="5">
        <f>Dashboard!$C$17*A336</f>
        <v>2672</v>
      </c>
      <c r="D336" s="5">
        <f>Dashboard!$C$15*(1-EXP(-Dashboard!$C$16*A336))</f>
        <v>0.64940234748900261</v>
      </c>
      <c r="E336" s="5">
        <f>1/(1+EXP(MIN(700,MAX(-700,(C336-Dashboard!$C$18)/Dashboard!$C$19))))</f>
        <v>0.2460112835510519</v>
      </c>
      <c r="F336" s="5">
        <f t="shared" si="27"/>
        <v>0.15976030504683575</v>
      </c>
      <c r="G336" s="8">
        <f>Dashboard!$C$9*B336*Dashboard!$C$11*(1-F336)</f>
        <v>104417.41484451879</v>
      </c>
      <c r="H336" s="8">
        <f>Dashboard!$C$20*A336^2</f>
        <v>89244.800000000003</v>
      </c>
      <c r="I336" s="8">
        <f t="shared" si="28"/>
        <v>193662.21484451881</v>
      </c>
      <c r="J336" s="8">
        <f>Dashboard!$C$13*A336</f>
        <v>66800</v>
      </c>
      <c r="K336" s="8">
        <f>Dashboard!$C$14*A336</f>
        <v>100200</v>
      </c>
      <c r="L336" s="8">
        <f>Dashboard!$C$21-K336</f>
        <v>1399800</v>
      </c>
      <c r="M336" s="8">
        <f t="shared" si="29"/>
        <v>1139337.7851554812</v>
      </c>
      <c r="N336" s="8">
        <f t="shared" si="30"/>
        <v>167000</v>
      </c>
      <c r="O336" s="8">
        <f>Dashboard!$C$15*(Dashboard!$C$16*EXP(-Dashboard!$C$16*A336)*E336-(1-EXP(-Dashboard!$C$16*A336))*Dashboard!$C$17/Dashboard!$C$19*E336*(1-E336))</f>
        <v>-0.1420855955586719</v>
      </c>
      <c r="P336" s="8">
        <f>Dashboard!$C$9*B336*Dashboard!$C$11*(-Dashboard!$C$12*(1-F336)-O336)+2*Dashboard!$C$20*A336</f>
        <v>34551.021772341897</v>
      </c>
      <c r="Q336" s="8">
        <f>-P336-Dashboard!$C$13-Dashboard!$C$14</f>
        <v>-84551.02177234189</v>
      </c>
    </row>
    <row r="337" spans="1:17" x14ac:dyDescent="0.25">
      <c r="A337" s="5">
        <f>(337-2)/100</f>
        <v>3.35</v>
      </c>
      <c r="B337" s="5">
        <f>Dashboard!$C$10*EXP(-Dashboard!$C$12*A337)</f>
        <v>6.1918398600254089E-2</v>
      </c>
      <c r="C337" s="5">
        <f>Dashboard!$C$17*A337</f>
        <v>2680</v>
      </c>
      <c r="D337" s="5">
        <f>Dashboard!$C$15*(1-EXP(-Dashboard!$C$16*A337))</f>
        <v>0.65015345641443445</v>
      </c>
      <c r="E337" s="5">
        <f>1/(1+EXP(MIN(700,MAX(-700,(C337-Dashboard!$C$18)/Dashboard!$C$19))))</f>
        <v>0.24354647076959579</v>
      </c>
      <c r="F337" s="5">
        <f t="shared" si="27"/>
        <v>0.15834257976838972</v>
      </c>
      <c r="G337" s="8">
        <f>Dashboard!$C$9*B337*Dashboard!$C$11*(1-F337)</f>
        <v>104228.15926152481</v>
      </c>
      <c r="H337" s="8">
        <f>Dashboard!$C$20*A337^2</f>
        <v>89780</v>
      </c>
      <c r="I337" s="8">
        <f t="shared" si="28"/>
        <v>194008.15926152479</v>
      </c>
      <c r="J337" s="8">
        <f>Dashboard!$C$13*A337</f>
        <v>67000</v>
      </c>
      <c r="K337" s="8">
        <f>Dashboard!$C$14*A337</f>
        <v>100500</v>
      </c>
      <c r="L337" s="8">
        <f>Dashboard!$C$21-K337</f>
        <v>1399500</v>
      </c>
      <c r="M337" s="8">
        <f t="shared" si="29"/>
        <v>1138491.8407384753</v>
      </c>
      <c r="N337" s="8">
        <f t="shared" si="30"/>
        <v>167500</v>
      </c>
      <c r="O337" s="8">
        <f>Dashboard!$C$15*(Dashboard!$C$16*EXP(-Dashboard!$C$16*A337)*E337-(1-EXP(-Dashboard!$C$16*A337))*Dashboard!$C$17/Dashboard!$C$19*E337*(1-E337))</f>
        <v>-0.14145777263401682</v>
      </c>
      <c r="P337" s="8">
        <f>Dashboard!$C$9*B337*Dashboard!$C$11*(-Dashboard!$C$12*(1-F337)-O337)+2*Dashboard!$C$20*A337</f>
        <v>34637.821760580657</v>
      </c>
      <c r="Q337" s="8">
        <f>-P337-Dashboard!$C$13-Dashboard!$C$14</f>
        <v>-84637.821760580657</v>
      </c>
    </row>
    <row r="338" spans="1:17" x14ac:dyDescent="0.25">
      <c r="A338" s="5">
        <f>(338-2)/100</f>
        <v>3.36</v>
      </c>
      <c r="B338" s="5">
        <f>Dashboard!$C$10*EXP(-Dashboard!$C$12*A338)</f>
        <v>6.1702063013272947E-2</v>
      </c>
      <c r="C338" s="5">
        <f>Dashboard!$C$17*A338</f>
        <v>2688</v>
      </c>
      <c r="D338" s="5">
        <f>Dashboard!$C$15*(1-EXP(-Dashboard!$C$16*A338))</f>
        <v>0.65090081916847209</v>
      </c>
      <c r="E338" s="5">
        <f>1/(1+EXP(MIN(700,MAX(-700,(C338-Dashboard!$C$18)/Dashboard!$C$19))))</f>
        <v>0.24109845656353182</v>
      </c>
      <c r="F338" s="5">
        <f t="shared" si="27"/>
        <v>0.15693118287745714</v>
      </c>
      <c r="G338" s="8">
        <f>Dashboard!$C$9*B338*Dashboard!$C$11*(1-F338)</f>
        <v>104038.17055724125</v>
      </c>
      <c r="H338" s="8">
        <f>Dashboard!$C$20*A338^2</f>
        <v>90316.799999999988</v>
      </c>
      <c r="I338" s="8">
        <f t="shared" si="28"/>
        <v>194354.97055724123</v>
      </c>
      <c r="J338" s="8">
        <f>Dashboard!$C$13*A338</f>
        <v>67200</v>
      </c>
      <c r="K338" s="8">
        <f>Dashboard!$C$14*A338</f>
        <v>100800</v>
      </c>
      <c r="L338" s="8">
        <f>Dashboard!$C$21-K338</f>
        <v>1399200</v>
      </c>
      <c r="M338" s="8">
        <f t="shared" si="29"/>
        <v>1137645.0294427588</v>
      </c>
      <c r="N338" s="8">
        <f t="shared" si="30"/>
        <v>168000</v>
      </c>
      <c r="O338" s="8">
        <f>Dashboard!$C$15*(Dashboard!$C$16*EXP(-Dashboard!$C$16*A338)*E338-(1-EXP(-Dashboard!$C$16*A338))*Dashboard!$C$17/Dashboard!$C$19*E338*(1-E338))</f>
        <v>-0.14081996467866631</v>
      </c>
      <c r="P338" s="8">
        <f>Dashboard!$C$9*B338*Dashboard!$C$11*(-Dashboard!$C$12*(1-F338)-O338)+2*Dashboard!$C$20*A338</f>
        <v>34724.40497322545</v>
      </c>
      <c r="Q338" s="8">
        <f>-P338-Dashboard!$C$13-Dashboard!$C$14</f>
        <v>-84724.40497322545</v>
      </c>
    </row>
    <row r="339" spans="1:17" x14ac:dyDescent="0.25">
      <c r="A339" s="5">
        <f>(339-2)/100</f>
        <v>3.37</v>
      </c>
      <c r="B339" s="5">
        <f>Dashboard!$C$10*EXP(-Dashboard!$C$12*A339)</f>
        <v>6.1486483277335316E-2</v>
      </c>
      <c r="C339" s="5">
        <f>Dashboard!$C$17*A339</f>
        <v>2696</v>
      </c>
      <c r="D339" s="5">
        <f>Dashboard!$C$15*(1-EXP(-Dashboard!$C$16*A339))</f>
        <v>0.65164445443522334</v>
      </c>
      <c r="E339" s="5">
        <f>1/(1+EXP(MIN(700,MAX(-700,(C339-Dashboard!$C$18)/Dashboard!$C$19))))</f>
        <v>0.23866728515708963</v>
      </c>
      <c r="F339" s="5">
        <f t="shared" si="27"/>
        <v>0.15552621282772755</v>
      </c>
      <c r="G339" s="8">
        <f>Dashboard!$C$9*B339*Dashboard!$C$11*(1-F339)</f>
        <v>103847.4467862319</v>
      </c>
      <c r="H339" s="8">
        <f>Dashboard!$C$20*A339^2</f>
        <v>90855.200000000012</v>
      </c>
      <c r="I339" s="8">
        <f t="shared" si="28"/>
        <v>194702.6467862319</v>
      </c>
      <c r="J339" s="8">
        <f>Dashboard!$C$13*A339</f>
        <v>67400</v>
      </c>
      <c r="K339" s="8">
        <f>Dashboard!$C$14*A339</f>
        <v>101100</v>
      </c>
      <c r="L339" s="8">
        <f>Dashboard!$C$21-K339</f>
        <v>1398900</v>
      </c>
      <c r="M339" s="8">
        <f t="shared" si="29"/>
        <v>1136797.353213768</v>
      </c>
      <c r="N339" s="8">
        <f t="shared" si="30"/>
        <v>168500</v>
      </c>
      <c r="O339" s="8">
        <f>Dashboard!$C$15*(Dashboard!$C$16*EXP(-Dashboard!$C$16*A339)*E339-(1-EXP(-Dashboard!$C$16*A339))*Dashboard!$C$17/Dashboard!$C$19*E339*(1-E339))</f>
        <v>-0.14017245080618801</v>
      </c>
      <c r="P339" s="8">
        <f>Dashboard!$C$9*B339*Dashboard!$C$11*(-Dashboard!$C$12*(1-F339)-O339)+2*Dashboard!$C$20*A339</f>
        <v>34810.815729694405</v>
      </c>
      <c r="Q339" s="8">
        <f>-P339-Dashboard!$C$13-Dashboard!$C$14</f>
        <v>-84810.815729694412</v>
      </c>
    </row>
    <row r="340" spans="1:17" x14ac:dyDescent="0.25">
      <c r="A340" s="5">
        <f>(340-2)/100</f>
        <v>3.38</v>
      </c>
      <c r="B340" s="5">
        <f>Dashboard!$C$10*EXP(-Dashboard!$C$12*A340)</f>
        <v>6.1271656751586745E-2</v>
      </c>
      <c r="C340" s="5">
        <f>Dashboard!$C$17*A340</f>
        <v>2704</v>
      </c>
      <c r="D340" s="5">
        <f>Dashboard!$C$15*(1-EXP(-Dashboard!$C$16*A340))</f>
        <v>0.65238438080560857</v>
      </c>
      <c r="E340" s="5">
        <f>1/(1+EXP(MIN(700,MAX(-700,(C340-Dashboard!$C$18)/Dashboard!$C$19))))</f>
        <v>0.23625299719454379</v>
      </c>
      <c r="F340" s="5">
        <f t="shared" si="27"/>
        <v>0.15412776528823163</v>
      </c>
      <c r="G340" s="8">
        <f>Dashboard!$C$9*B340*Dashboard!$C$11*(1-F340)</f>
        <v>103655.98644191418</v>
      </c>
      <c r="H340" s="8">
        <f>Dashboard!$C$20*A340^2</f>
        <v>91395.199999999983</v>
      </c>
      <c r="I340" s="8">
        <f t="shared" si="28"/>
        <v>195051.18644191418</v>
      </c>
      <c r="J340" s="8">
        <f>Dashboard!$C$13*A340</f>
        <v>67600</v>
      </c>
      <c r="K340" s="8">
        <f>Dashboard!$C$14*A340</f>
        <v>101400</v>
      </c>
      <c r="L340" s="8">
        <f>Dashboard!$C$21-K340</f>
        <v>1398600</v>
      </c>
      <c r="M340" s="8">
        <f t="shared" si="29"/>
        <v>1135948.8135580858</v>
      </c>
      <c r="N340" s="8">
        <f t="shared" si="30"/>
        <v>169000</v>
      </c>
      <c r="O340" s="8">
        <f>Dashboard!$C$15*(Dashboard!$C$16*EXP(-Dashboard!$C$16*A340)*E340-(1-EXP(-Dashboard!$C$16*A340))*Dashboard!$C$17/Dashboard!$C$19*E340*(1-E340))</f>
        <v>-0.13951550881695127</v>
      </c>
      <c r="P340" s="8">
        <f>Dashboard!$C$9*B340*Dashboard!$C$11*(-Dashboard!$C$12*(1-F340)-O340)+2*Dashboard!$C$20*A340</f>
        <v>34897.097480840464</v>
      </c>
      <c r="Q340" s="8">
        <f>-P340-Dashboard!$C$13-Dashboard!$C$14</f>
        <v>-84897.097480840457</v>
      </c>
    </row>
    <row r="341" spans="1:17" x14ac:dyDescent="0.25">
      <c r="A341" s="5">
        <f>(341-2)/100</f>
        <v>3.39</v>
      </c>
      <c r="B341" s="5">
        <f>Dashboard!$C$10*EXP(-Dashboard!$C$12*A341)</f>
        <v>6.1057580804399582E-2</v>
      </c>
      <c r="C341" s="5">
        <f>Dashboard!$C$17*A341</f>
        <v>2712</v>
      </c>
      <c r="D341" s="5">
        <f>Dashboard!$C$15*(1-EXP(-Dashboard!$C$16*A341))</f>
        <v>0.65312061677782574</v>
      </c>
      <c r="E341" s="5">
        <f>1/(1+EXP(MIN(700,MAX(-700,(C341-Dashboard!$C$18)/Dashboard!$C$19))))</f>
        <v>0.23385562977712387</v>
      </c>
      <c r="F341" s="5">
        <f t="shared" si="27"/>
        <v>0.15273593315700201</v>
      </c>
      <c r="G341" s="8">
        <f>Dashboard!$C$9*B341*Dashboard!$C$11*(1-F341)</f>
        <v>103463.78844786112</v>
      </c>
      <c r="H341" s="8">
        <f>Dashboard!$C$20*A341^2</f>
        <v>91936.8</v>
      </c>
      <c r="I341" s="8">
        <f t="shared" si="28"/>
        <v>195400.58844786114</v>
      </c>
      <c r="J341" s="8">
        <f>Dashboard!$C$13*A341</f>
        <v>67800</v>
      </c>
      <c r="K341" s="8">
        <f>Dashboard!$C$14*A341</f>
        <v>101700</v>
      </c>
      <c r="L341" s="8">
        <f>Dashboard!$C$21-K341</f>
        <v>1398300</v>
      </c>
      <c r="M341" s="8">
        <f t="shared" si="29"/>
        <v>1135099.4115521389</v>
      </c>
      <c r="N341" s="8">
        <f t="shared" si="30"/>
        <v>169500</v>
      </c>
      <c r="O341" s="8">
        <f>Dashboard!$C$15*(Dashboard!$C$16*EXP(-Dashboard!$C$16*A341)*E341-(1-EXP(-Dashboard!$C$16*A341))*Dashboard!$C$17/Dashboard!$C$19*E341*(1-E341))</f>
        <v>-0.13884941509295096</v>
      </c>
      <c r="P341" s="8">
        <f>Dashboard!$C$9*B341*Dashboard!$C$11*(-Dashboard!$C$12*(1-F341)-O341)+2*Dashboard!$C$20*A341</f>
        <v>34983.292806611556</v>
      </c>
      <c r="Q341" s="8">
        <f>-P341-Dashboard!$C$13-Dashboard!$C$14</f>
        <v>-84983.292806611556</v>
      </c>
    </row>
    <row r="342" spans="1:17" x14ac:dyDescent="0.25">
      <c r="A342" s="5">
        <f>(342-2)/100</f>
        <v>3.4</v>
      </c>
      <c r="B342" s="5">
        <f>Dashboard!$C$10*EXP(-Dashboard!$C$12*A342)</f>
        <v>6.084425281334082E-2</v>
      </c>
      <c r="C342" s="5">
        <f>Dashboard!$C$17*A342</f>
        <v>2720</v>
      </c>
      <c r="D342" s="5">
        <f>Dashboard!$C$15*(1-EXP(-Dashboard!$C$16*A342))</f>
        <v>0.65385318075781229</v>
      </c>
      <c r="E342" s="5">
        <f>1/(1+EXP(MIN(700,MAX(-700,(C342-Dashboard!$C$18)/Dashboard!$C$19))))</f>
        <v>0.23147521650098238</v>
      </c>
      <c r="F342" s="5">
        <f t="shared" si="27"/>
        <v>0.15135080657577057</v>
      </c>
      <c r="G342" s="8">
        <f>Dashboard!$C$9*B342*Dashboard!$C$11*(1-F342)</f>
        <v>103270.85214908316</v>
      </c>
      <c r="H342" s="8">
        <f>Dashboard!$C$20*A342^2</f>
        <v>92479.999999999985</v>
      </c>
      <c r="I342" s="8">
        <f t="shared" si="28"/>
        <v>195750.85214908316</v>
      </c>
      <c r="J342" s="8">
        <f>Dashboard!$C$13*A342</f>
        <v>68000</v>
      </c>
      <c r="K342" s="8">
        <f>Dashboard!$C$14*A342</f>
        <v>102000</v>
      </c>
      <c r="L342" s="8">
        <f>Dashboard!$C$21-K342</f>
        <v>1398000</v>
      </c>
      <c r="M342" s="8">
        <f t="shared" si="29"/>
        <v>1134249.1478509167</v>
      </c>
      <c r="N342" s="8">
        <f t="shared" si="30"/>
        <v>170000</v>
      </c>
      <c r="O342" s="8">
        <f>Dashboard!$C$15*(Dashboard!$C$16*EXP(-Dashboard!$C$16*A342)*E342-(1-EXP(-Dashboard!$C$16*A342))*Dashboard!$C$17/Dashboard!$C$19*E342*(1-E342))</f>
        <v>-0.13817444449555336</v>
      </c>
      <c r="P342" s="8">
        <f>Dashboard!$C$9*B342*Dashboard!$C$11*(-Dashboard!$C$12*(1-F342)-O342)+2*Dashboard!$C$20*A342</f>
        <v>35069.443414281646</v>
      </c>
      <c r="Q342" s="8">
        <f>-P342-Dashboard!$C$13-Dashboard!$C$14</f>
        <v>-85069.443414281646</v>
      </c>
    </row>
    <row r="343" spans="1:17" x14ac:dyDescent="0.25">
      <c r="A343" s="5">
        <f>(343-2)/100</f>
        <v>3.41</v>
      </c>
      <c r="B343" s="5">
        <f>Dashboard!$C$10*EXP(-Dashboard!$C$12*A343)</f>
        <v>6.0631670165139873E-2</v>
      </c>
      <c r="C343" s="5">
        <f>Dashboard!$C$17*A343</f>
        <v>2728</v>
      </c>
      <c r="D343" s="5">
        <f>Dashboard!$C$15*(1-EXP(-Dashboard!$C$16*A343))</f>
        <v>0.65458209105970599</v>
      </c>
      <c r="E343" s="5">
        <f>1/(1+EXP(MIN(700,MAX(-700,(C343-Dashboard!$C$18)/Dashboard!$C$19))))</f>
        <v>0.22911178749617531</v>
      </c>
      <c r="F343" s="5">
        <f t="shared" si="27"/>
        <v>0.14997247294567342</v>
      </c>
      <c r="G343" s="8">
        <f>Dashboard!$C$9*B343*Dashboard!$C$11*(1-F343)</f>
        <v>103077.17730329488</v>
      </c>
      <c r="H343" s="8">
        <f>Dashboard!$C$20*A343^2</f>
        <v>93024.800000000017</v>
      </c>
      <c r="I343" s="8">
        <f t="shared" si="28"/>
        <v>196101.9773032949</v>
      </c>
      <c r="J343" s="8">
        <f>Dashboard!$C$13*A343</f>
        <v>68200</v>
      </c>
      <c r="K343" s="8">
        <f>Dashboard!$C$14*A343</f>
        <v>102300</v>
      </c>
      <c r="L343" s="8">
        <f>Dashboard!$C$21-K343</f>
        <v>1397700</v>
      </c>
      <c r="M343" s="8">
        <f t="shared" si="29"/>
        <v>1133398.0226967051</v>
      </c>
      <c r="N343" s="8">
        <f t="shared" si="30"/>
        <v>170500</v>
      </c>
      <c r="O343" s="8">
        <f>Dashboard!$C$15*(Dashboard!$C$16*EXP(-Dashboard!$C$16*A343)*E343-(1-EXP(-Dashboard!$C$16*A343))*Dashboard!$C$17/Dashboard!$C$19*E343*(1-E343))</f>
        <v>-0.13749087026619114</v>
      </c>
      <c r="P343" s="8">
        <f>Dashboard!$C$9*B343*Dashboard!$C$11*(-Dashboard!$C$12*(1-F343)-O343)+2*Dashboard!$C$20*A343</f>
        <v>35155.590137242267</v>
      </c>
      <c r="Q343" s="8">
        <f>-P343-Dashboard!$C$13-Dashboard!$C$14</f>
        <v>-85155.590137242267</v>
      </c>
    </row>
    <row r="344" spans="1:17" x14ac:dyDescent="0.25">
      <c r="A344" s="5">
        <f>(344-2)/100</f>
        <v>3.42</v>
      </c>
      <c r="B344" s="5">
        <f>Dashboard!$C$10*EXP(-Dashboard!$C$12*A344)</f>
        <v>6.0419830255656698E-2</v>
      </c>
      <c r="C344" s="5">
        <f>Dashboard!$C$17*A344</f>
        <v>2736</v>
      </c>
      <c r="D344" s="5">
        <f>Dashboard!$C$15*(1-EXP(-Dashboard!$C$16*A344))</f>
        <v>0.65530736590630234</v>
      </c>
      <c r="E344" s="5">
        <f>1/(1+EXP(MIN(700,MAX(-700,(C344-Dashboard!$C$18)/Dashboard!$C$19))))</f>
        <v>0.22676536946661205</v>
      </c>
      <c r="F344" s="5">
        <f t="shared" si="27"/>
        <v>0.14860101694393499</v>
      </c>
      <c r="G344" s="8">
        <f>Dashboard!$C$9*B344*Dashboard!$C$11*(1-F344)</f>
        <v>102882.76407217234</v>
      </c>
      <c r="H344" s="8">
        <f>Dashboard!$C$20*A344^2</f>
        <v>93571.199999999997</v>
      </c>
      <c r="I344" s="8">
        <f t="shared" si="28"/>
        <v>196453.96407217236</v>
      </c>
      <c r="J344" s="8">
        <f>Dashboard!$C$13*A344</f>
        <v>68400</v>
      </c>
      <c r="K344" s="8">
        <f>Dashboard!$C$14*A344</f>
        <v>102600</v>
      </c>
      <c r="L344" s="8">
        <f>Dashboard!$C$21-K344</f>
        <v>1397400</v>
      </c>
      <c r="M344" s="8">
        <f t="shared" si="29"/>
        <v>1132546.0359278277</v>
      </c>
      <c r="N344" s="8">
        <f t="shared" si="30"/>
        <v>171000</v>
      </c>
      <c r="O344" s="8">
        <f>Dashboard!$C$15*(Dashboard!$C$16*EXP(-Dashboard!$C$16*A344)*E344-(1-EXP(-Dashboard!$C$16*A344))*Dashboard!$C$17/Dashboard!$C$19*E344*(1-E344))</f>
        <v>-0.13679896393002838</v>
      </c>
      <c r="P344" s="8">
        <f>Dashboard!$C$9*B344*Dashboard!$C$11*(-Dashboard!$C$12*(1-F344)-O344)+2*Dashboard!$C$20*A344</f>
        <v>35241.772934343709</v>
      </c>
      <c r="Q344" s="8">
        <f>-P344-Dashboard!$C$13-Dashboard!$C$14</f>
        <v>-85241.772934343709</v>
      </c>
    </row>
    <row r="345" spans="1:17" x14ac:dyDescent="0.25">
      <c r="A345" s="5">
        <f>(345-2)/100</f>
        <v>3.43</v>
      </c>
      <c r="B345" s="5">
        <f>Dashboard!$C$10*EXP(-Dashboard!$C$12*A345)</f>
        <v>6.0208730489849684E-2</v>
      </c>
      <c r="C345" s="5">
        <f>Dashboard!$C$17*A345</f>
        <v>2744</v>
      </c>
      <c r="D345" s="5">
        <f>Dashboard!$C$15*(1-EXP(-Dashboard!$C$16*A345))</f>
        <v>0.65602902342951031</v>
      </c>
      <c r="E345" s="5">
        <f>1/(1+EXP(MIN(700,MAX(-700,(C345-Dashboard!$C$18)/Dashboard!$C$19))))</f>
        <v>0.22443598573092652</v>
      </c>
      <c r="F345" s="5">
        <f t="shared" si="27"/>
        <v>0.14723652054149924</v>
      </c>
      <c r="G345" s="8">
        <f>Dashboard!$C$9*B345*Dashboard!$C$11*(1-F345)</f>
        <v>102687.61301260667</v>
      </c>
      <c r="H345" s="8">
        <f>Dashboard!$C$20*A345^2</f>
        <v>94119.200000000012</v>
      </c>
      <c r="I345" s="8">
        <f t="shared" si="28"/>
        <v>196806.8130126067</v>
      </c>
      <c r="J345" s="8">
        <f>Dashboard!$C$13*A345</f>
        <v>68600</v>
      </c>
      <c r="K345" s="8">
        <f>Dashboard!$C$14*A345</f>
        <v>102900</v>
      </c>
      <c r="L345" s="8">
        <f>Dashboard!$C$21-K345</f>
        <v>1397100</v>
      </c>
      <c r="M345" s="8">
        <f t="shared" si="29"/>
        <v>1131693.1869873933</v>
      </c>
      <c r="N345" s="8">
        <f t="shared" si="30"/>
        <v>171500</v>
      </c>
      <c r="O345" s="8">
        <f>Dashboard!$C$15*(Dashboard!$C$16*EXP(-Dashboard!$C$16*A345)*E345-(1-EXP(-Dashboard!$C$16*A345))*Dashboard!$C$17/Dashboard!$C$19*E345*(1-E345))</f>
        <v>-0.13609899520261376</v>
      </c>
      <c r="P345" s="8">
        <f>Dashboard!$C$9*B345*Dashboard!$C$11*(-Dashboard!$C$12*(1-F345)-O345)+2*Dashboard!$C$20*A345</f>
        <v>35328.030889774702</v>
      </c>
      <c r="Q345" s="8">
        <f>-P345-Dashboard!$C$13-Dashboard!$C$14</f>
        <v>-85328.030889774702</v>
      </c>
    </row>
    <row r="346" spans="1:17" x14ac:dyDescent="0.25">
      <c r="A346" s="5">
        <f>(346-2)/100</f>
        <v>3.44</v>
      </c>
      <c r="B346" s="5">
        <f>Dashboard!$C$10*EXP(-Dashboard!$C$12*A346)</f>
        <v>5.9998368281744097E-2</v>
      </c>
      <c r="C346" s="5">
        <f>Dashboard!$C$17*A346</f>
        <v>2752</v>
      </c>
      <c r="D346" s="5">
        <f>Dashboard!$C$15*(1-EXP(-Dashboard!$C$16*A346))</f>
        <v>0.65674708167080542</v>
      </c>
      <c r="E346" s="5">
        <f>1/(1+EXP(MIN(700,MAX(-700,(C346-Dashboard!$C$18)/Dashboard!$C$19))))</f>
        <v>0.22212365626422775</v>
      </c>
      <c r="F346" s="5">
        <f t="shared" si="27"/>
        <v>0.14587906302158068</v>
      </c>
      <c r="G346" s="8">
        <f>Dashboard!$C$9*B346*Dashboard!$C$11*(1-F346)</f>
        <v>102491.72506795908</v>
      </c>
      <c r="H346" s="8">
        <f>Dashboard!$C$20*A346^2</f>
        <v>94668.799999999988</v>
      </c>
      <c r="I346" s="8">
        <f t="shared" si="28"/>
        <v>197160.52506795907</v>
      </c>
      <c r="J346" s="8">
        <f>Dashboard!$C$13*A346</f>
        <v>68800</v>
      </c>
      <c r="K346" s="8">
        <f>Dashboard!$C$14*A346</f>
        <v>103200</v>
      </c>
      <c r="L346" s="8">
        <f>Dashboard!$C$21-K346</f>
        <v>1396800</v>
      </c>
      <c r="M346" s="8">
        <f t="shared" si="29"/>
        <v>1130839.474932041</v>
      </c>
      <c r="N346" s="8">
        <f t="shared" si="30"/>
        <v>172000</v>
      </c>
      <c r="O346" s="8">
        <f>Dashboard!$C$15*(Dashboard!$C$16*EXP(-Dashboard!$C$16*A346)*E346-(1-EXP(-Dashboard!$C$16*A346))*Dashboard!$C$17/Dashboard!$C$19*E346*(1-E346))</f>
        <v>-0.13539123189953592</v>
      </c>
      <c r="P346" s="8">
        <f>Dashboard!$C$9*B346*Dashboard!$C$11*(-Dashboard!$C$12*(1-F346)-O346)+2*Dashboard!$C$20*A346</f>
        <v>35414.402213469075</v>
      </c>
      <c r="Q346" s="8">
        <f>-P346-Dashboard!$C$13-Dashboard!$C$14</f>
        <v>-85414.402213469075</v>
      </c>
    </row>
    <row r="347" spans="1:17" x14ac:dyDescent="0.25">
      <c r="A347" s="5">
        <f>(347-2)/100</f>
        <v>3.45</v>
      </c>
      <c r="B347" s="5">
        <f>Dashboard!$C$10*EXP(-Dashboard!$C$12*A347)</f>
        <v>5.9788741054400268E-2</v>
      </c>
      <c r="C347" s="5">
        <f>Dashboard!$C$17*A347</f>
        <v>2760</v>
      </c>
      <c r="D347" s="5">
        <f>Dashboard!$C$15*(1-EXP(-Dashboard!$C$16*A347))</f>
        <v>0.65746155858168132</v>
      </c>
      <c r="E347" s="5">
        <f>1/(1+EXP(MIN(700,MAX(-700,(C347-Dashboard!$C$18)/Dashboard!$C$19))))</f>
        <v>0.21982839774068252</v>
      </c>
      <c r="F347" s="5">
        <f t="shared" si="27"/>
        <v>0.14452872099910288</v>
      </c>
      <c r="G347" s="8">
        <f>Dashboard!$C$9*B347*Dashboard!$C$11*(1-F347)</f>
        <v>102295.10155932249</v>
      </c>
      <c r="H347" s="8">
        <f>Dashboard!$C$20*A347^2</f>
        <v>95220.000000000015</v>
      </c>
      <c r="I347" s="8">
        <f t="shared" si="28"/>
        <v>197515.1015593225</v>
      </c>
      <c r="J347" s="8">
        <f>Dashboard!$C$13*A347</f>
        <v>69000</v>
      </c>
      <c r="K347" s="8">
        <f>Dashboard!$C$14*A347</f>
        <v>103500</v>
      </c>
      <c r="L347" s="8">
        <f>Dashboard!$C$21-K347</f>
        <v>1396500</v>
      </c>
      <c r="M347" s="8">
        <f t="shared" si="29"/>
        <v>1129984.8984406774</v>
      </c>
      <c r="N347" s="8">
        <f t="shared" si="30"/>
        <v>172500</v>
      </c>
      <c r="O347" s="8">
        <f>Dashboard!$C$15*(Dashboard!$C$16*EXP(-Dashboard!$C$16*A347)*E347-(1-EXP(-Dashboard!$C$16*A347))*Dashboard!$C$17/Dashboard!$C$19*E347*(1-E347))</f>
        <v>-0.13467593984909168</v>
      </c>
      <c r="P347" s="8">
        <f>Dashboard!$C$9*B347*Dashboard!$C$11*(-Dashboard!$C$12*(1-F347)-O347)+2*Dashboard!$C$20*A347</f>
        <v>35500.924242027788</v>
      </c>
      <c r="Q347" s="8">
        <f>-P347-Dashboard!$C$13-Dashboard!$C$14</f>
        <v>-85500.924242027788</v>
      </c>
    </row>
    <row r="348" spans="1:17" x14ac:dyDescent="0.25">
      <c r="A348" s="5">
        <f>(348-2)/100</f>
        <v>3.46</v>
      </c>
      <c r="B348" s="5">
        <f>Dashboard!$C$10*EXP(-Dashboard!$C$12*A348)</f>
        <v>5.957984623988203E-2</v>
      </c>
      <c r="C348" s="5">
        <f>Dashboard!$C$17*A348</f>
        <v>2768</v>
      </c>
      <c r="D348" s="5">
        <f>Dashboard!$C$15*(1-EXP(-Dashboard!$C$16*A348))</f>
        <v>0.65817247202409779</v>
      </c>
      <c r="E348" s="5">
        <f>1/(1+EXP(MIN(700,MAX(-700,(C348-Dashboard!$C$18)/Dashboard!$C$19))))</f>
        <v>0.2175502235768875</v>
      </c>
      <c r="F348" s="5">
        <f t="shared" si="27"/>
        <v>0.1431855684409952</v>
      </c>
      <c r="G348" s="8">
        <f>Dashboard!$C$9*B348*Dashboard!$C$11*(1-F348)</f>
        <v>102097.74417679486</v>
      </c>
      <c r="H348" s="8">
        <f>Dashboard!$C$20*A348^2</f>
        <v>95772.800000000003</v>
      </c>
      <c r="I348" s="8">
        <f t="shared" si="28"/>
        <v>197870.54417679488</v>
      </c>
      <c r="J348" s="8">
        <f>Dashboard!$C$13*A348</f>
        <v>69200</v>
      </c>
      <c r="K348" s="8">
        <f>Dashboard!$C$14*A348</f>
        <v>103800</v>
      </c>
      <c r="L348" s="8">
        <f>Dashboard!$C$21-K348</f>
        <v>1396200</v>
      </c>
      <c r="M348" s="8">
        <f t="shared" si="29"/>
        <v>1129129.4558232052</v>
      </c>
      <c r="N348" s="8">
        <f t="shared" si="30"/>
        <v>173000</v>
      </c>
      <c r="O348" s="8">
        <f>Dashboard!$C$15*(Dashboard!$C$16*EXP(-Dashboard!$C$16*A348)*E348-(1-EXP(-Dashboard!$C$16*A348))*Dashboard!$C$17/Dashboard!$C$19*E348*(1-E348))</f>
        <v>-0.13395338280797323</v>
      </c>
      <c r="P348" s="8">
        <f>Dashboard!$C$9*B348*Dashboard!$C$11*(-Dashboard!$C$12*(1-F348)-O348)+2*Dashboard!$C$20*A348</f>
        <v>35587.633440144004</v>
      </c>
      <c r="Q348" s="8">
        <f>-P348-Dashboard!$C$13-Dashboard!$C$14</f>
        <v>-85587.633440144011</v>
      </c>
    </row>
    <row r="349" spans="1:17" x14ac:dyDescent="0.25">
      <c r="A349" s="5">
        <f>(349-2)/100</f>
        <v>3.47</v>
      </c>
      <c r="B349" s="5">
        <f>Dashboard!$C$10*EXP(-Dashboard!$C$12*A349)</f>
        <v>5.9371681279225277E-2</v>
      </c>
      <c r="C349" s="5">
        <f>Dashboard!$C$17*A349</f>
        <v>2776</v>
      </c>
      <c r="D349" s="5">
        <f>Dashboard!$C$15*(1-EXP(-Dashboard!$C$16*A349))</f>
        <v>0.65887983977092812</v>
      </c>
      <c r="E349" s="5">
        <f>1/(1+EXP(MIN(700,MAX(-700,(C349-Dashboard!$C$18)/Dashboard!$C$19))))</f>
        <v>0.2152891439759867</v>
      </c>
      <c r="F349" s="5">
        <f t="shared" si="27"/>
        <v>0.14184967668731838</v>
      </c>
      <c r="G349" s="8">
        <f>Dashboard!$C$9*B349*Dashboard!$C$11*(1-F349)</f>
        <v>101899.6549707693</v>
      </c>
      <c r="H349" s="8">
        <f>Dashboard!$C$20*A349^2</f>
        <v>96327.200000000012</v>
      </c>
      <c r="I349" s="8">
        <f t="shared" si="28"/>
        <v>198226.85497076932</v>
      </c>
      <c r="J349" s="8">
        <f>Dashboard!$C$13*A349</f>
        <v>69400</v>
      </c>
      <c r="K349" s="8">
        <f>Dashboard!$C$14*A349</f>
        <v>104100</v>
      </c>
      <c r="L349" s="8">
        <f>Dashboard!$C$21-K349</f>
        <v>1395900</v>
      </c>
      <c r="M349" s="8">
        <f t="shared" si="29"/>
        <v>1128273.1450292307</v>
      </c>
      <c r="N349" s="8">
        <f t="shared" si="30"/>
        <v>173500</v>
      </c>
      <c r="O349" s="8">
        <f>Dashboard!$C$15*(Dashboard!$C$16*EXP(-Dashboard!$C$16*A349)*E349-(1-EXP(-Dashboard!$C$16*A349))*Dashboard!$C$17/Dashboard!$C$19*E349*(1-E349))</f>
        <v>-0.13322382237997801</v>
      </c>
      <c r="P349" s="8">
        <f>Dashboard!$C$9*B349*Dashboard!$C$11*(-Dashboard!$C$12*(1-F349)-O349)+2*Dashboard!$C$20*A349</f>
        <v>35674.565402519089</v>
      </c>
      <c r="Q349" s="8">
        <f>-P349-Dashboard!$C$13-Dashboard!$C$14</f>
        <v>-85674.565402519089</v>
      </c>
    </row>
    <row r="350" spans="1:17" x14ac:dyDescent="0.25">
      <c r="A350" s="5">
        <f>(350-2)/100</f>
        <v>3.48</v>
      </c>
      <c r="B350" s="5">
        <f>Dashboard!$C$10*EXP(-Dashboard!$C$12*A350)</f>
        <v>5.9164243622406645E-2</v>
      </c>
      <c r="C350" s="5">
        <f>Dashboard!$C$17*A350</f>
        <v>2784</v>
      </c>
      <c r="D350" s="5">
        <f>Dashboard!$C$15*(1-EXP(-Dashboard!$C$16*A350))</f>
        <v>0.65958367950640262</v>
      </c>
      <c r="E350" s="5">
        <f>1/(1+EXP(MIN(700,MAX(-700,(C350-Dashboard!$C$18)/Dashboard!$C$19))))</f>
        <v>0.21304516597248946</v>
      </c>
      <c r="F350" s="5">
        <f t="shared" si="27"/>
        <v>0.14052111447318685</v>
      </c>
      <c r="G350" s="8">
        <f>Dashboard!$C$9*B350*Dashboard!$C$11*(1-F350)</f>
        <v>101700.83634324584</v>
      </c>
      <c r="H350" s="8">
        <f>Dashboard!$C$20*A350^2</f>
        <v>96883.199999999997</v>
      </c>
      <c r="I350" s="8">
        <f t="shared" si="28"/>
        <v>198584.03634324583</v>
      </c>
      <c r="J350" s="8">
        <f>Dashboard!$C$13*A350</f>
        <v>69600</v>
      </c>
      <c r="K350" s="8">
        <f>Dashboard!$C$14*A350</f>
        <v>104400</v>
      </c>
      <c r="L350" s="8">
        <f>Dashboard!$C$21-K350</f>
        <v>1395600</v>
      </c>
      <c r="M350" s="8">
        <f t="shared" si="29"/>
        <v>1127415.9636567542</v>
      </c>
      <c r="N350" s="8">
        <f t="shared" si="30"/>
        <v>174000</v>
      </c>
      <c r="O350" s="8">
        <f>Dashboard!$C$15*(Dashboard!$C$16*EXP(-Dashboard!$C$16*A350)*E350-(1-EXP(-Dashboard!$C$16*A350))*Dashboard!$C$17/Dashboard!$C$19*E350*(1-E350))</f>
        <v>-0.13248751793774102</v>
      </c>
      <c r="P350" s="8">
        <f>Dashboard!$C$9*B350*Dashboard!$C$11*(-Dashboard!$C$12*(1-F350)-O350)+2*Dashboard!$C$20*A350</f>
        <v>35761.754856256914</v>
      </c>
      <c r="Q350" s="8">
        <f>-P350-Dashboard!$C$13-Dashboard!$C$14</f>
        <v>-85761.754856256914</v>
      </c>
    </row>
    <row r="351" spans="1:17" x14ac:dyDescent="0.25">
      <c r="A351" s="5">
        <f>(351-2)/100</f>
        <v>3.49</v>
      </c>
      <c r="B351" s="5">
        <f>Dashboard!$C$10*EXP(-Dashboard!$C$12*A351)</f>
        <v>5.8957530728312252E-2</v>
      </c>
      <c r="C351" s="5">
        <f>Dashboard!$C$17*A351</f>
        <v>2792</v>
      </c>
      <c r="D351" s="5">
        <f>Dashboard!$C$15*(1-EXP(-Dashboard!$C$16*A351))</f>
        <v>0.66028400882655136</v>
      </c>
      <c r="E351" s="5">
        <f>1/(1+EXP(MIN(700,MAX(-700,(C351-Dashboard!$C$18)/Dashboard!$C$19))))</f>
        <v>0.21081829347774714</v>
      </c>
      <c r="F351" s="5">
        <f t="shared" si="27"/>
        <v>0.13919994795145929</v>
      </c>
      <c r="G351" s="8">
        <f>Dashboard!$C$9*B351*Dashboard!$C$11*(1-F351)</f>
        <v>101501.29103916924</v>
      </c>
      <c r="H351" s="8">
        <f>Dashboard!$C$20*A351^2</f>
        <v>97440.8</v>
      </c>
      <c r="I351" s="8">
        <f t="shared" si="28"/>
        <v>198942.09103916923</v>
      </c>
      <c r="J351" s="8">
        <f>Dashboard!$C$13*A351</f>
        <v>69800</v>
      </c>
      <c r="K351" s="8">
        <f>Dashboard!$C$14*A351</f>
        <v>104700</v>
      </c>
      <c r="L351" s="8">
        <f>Dashboard!$C$21-K351</f>
        <v>1395300</v>
      </c>
      <c r="M351" s="8">
        <f t="shared" si="29"/>
        <v>1126557.9089608309</v>
      </c>
      <c r="N351" s="8">
        <f t="shared" si="30"/>
        <v>174500</v>
      </c>
      <c r="O351" s="8">
        <f>Dashboard!$C$15*(Dashboard!$C$16*EXP(-Dashboard!$C$16*A351)*E351-(1-EXP(-Dashboard!$C$16*A351))*Dashboard!$C$17/Dashboard!$C$19*E351*(1-E351))</f>
        <v>-0.13174472654748601</v>
      </c>
      <c r="P351" s="8">
        <f>Dashboard!$C$9*B351*Dashboard!$C$11*(-Dashboard!$C$12*(1-F351)-O351)+2*Dashboard!$C$20*A351</f>
        <v>35849.235663723768</v>
      </c>
      <c r="Q351" s="8">
        <f>-P351-Dashboard!$C$13-Dashboard!$C$14</f>
        <v>-85849.235663723768</v>
      </c>
    </row>
    <row r="352" spans="1:17" x14ac:dyDescent="0.25">
      <c r="A352" s="5">
        <f>(352-2)/100</f>
        <v>3.5</v>
      </c>
      <c r="B352" s="5">
        <f>Dashboard!$C$10*EXP(-Dashboard!$C$12*A352)</f>
        <v>5.8751540064706578E-2</v>
      </c>
      <c r="C352" s="5">
        <f>Dashboard!$C$17*A352</f>
        <v>2800</v>
      </c>
      <c r="D352" s="5">
        <f>Dashboard!$C$15*(1-EXP(-Dashboard!$C$16*A352))</f>
        <v>0.66098084523964395</v>
      </c>
      <c r="E352" s="5">
        <f>1/(1+EXP(MIN(700,MAX(-700,(C352-Dashboard!$C$18)/Dashboard!$C$19))))</f>
        <v>0.20860852732604496</v>
      </c>
      <c r="F352" s="5">
        <f t="shared" si="27"/>
        <v>0.13788624071616656</v>
      </c>
      <c r="G352" s="8">
        <f>Dashboard!$C$9*B352*Dashboard!$C$11*(1-F352)</f>
        <v>101301.02213779789</v>
      </c>
      <c r="H352" s="8">
        <f>Dashboard!$C$20*A352^2</f>
        <v>98000</v>
      </c>
      <c r="I352" s="8">
        <f t="shared" si="28"/>
        <v>199301.0221377979</v>
      </c>
      <c r="J352" s="8">
        <f>Dashboard!$C$13*A352</f>
        <v>70000</v>
      </c>
      <c r="K352" s="8">
        <f>Dashboard!$C$14*A352</f>
        <v>105000</v>
      </c>
      <c r="L352" s="8">
        <f>Dashboard!$C$21-K352</f>
        <v>1395000</v>
      </c>
      <c r="M352" s="8">
        <f t="shared" si="29"/>
        <v>1125698.9778622021</v>
      </c>
      <c r="N352" s="8">
        <f t="shared" si="30"/>
        <v>175000</v>
      </c>
      <c r="O352" s="8">
        <f>Dashboard!$C$15*(Dashboard!$C$16*EXP(-Dashboard!$C$16*A352)*E352-(1-EXP(-Dashboard!$C$16*A352))*Dashboard!$C$17/Dashboard!$C$19*E352*(1-E352))</f>
        <v>-0.13099570289678861</v>
      </c>
      <c r="P352" s="8">
        <f>Dashboard!$C$9*B352*Dashboard!$C$11*(-Dashboard!$C$12*(1-F352)-O352)+2*Dashboard!$C$20*A352</f>
        <v>35937.040825860888</v>
      </c>
      <c r="Q352" s="8">
        <f>-P352-Dashboard!$C$13-Dashboard!$C$14</f>
        <v>-85937.040825860895</v>
      </c>
    </row>
    <row r="353" spans="1:17" x14ac:dyDescent="0.25">
      <c r="A353" s="5">
        <f>(353-2)/100</f>
        <v>3.51</v>
      </c>
      <c r="B353" s="5">
        <f>Dashboard!$C$10*EXP(-Dashboard!$C$12*A353)</f>
        <v>5.8546269108201369E-2</v>
      </c>
      <c r="C353" s="5">
        <f>Dashboard!$C$17*A353</f>
        <v>2808</v>
      </c>
      <c r="D353" s="5">
        <f>Dashboard!$C$15*(1-EXP(-Dashboard!$C$16*A353))</f>
        <v>0.66167420616662698</v>
      </c>
      <c r="E353" s="5">
        <f>1/(1+EXP(MIN(700,MAX(-700,(C353-Dashboard!$C$18)/Dashboard!$C$19))))</f>
        <v>0.20641586532126682</v>
      </c>
      <c r="F353" s="5">
        <f t="shared" si="27"/>
        <v>0.13658005382664662</v>
      </c>
      <c r="G353" s="8">
        <f>Dashboard!$C$9*B353*Dashboard!$C$11*(1-F353)</f>
        <v>101100.03304410777</v>
      </c>
      <c r="H353" s="8">
        <f>Dashboard!$C$20*A353^2</f>
        <v>98560.799999999988</v>
      </c>
      <c r="I353" s="8">
        <f t="shared" si="28"/>
        <v>199660.83304410777</v>
      </c>
      <c r="J353" s="8">
        <f>Dashboard!$C$13*A353</f>
        <v>70200</v>
      </c>
      <c r="K353" s="8">
        <f>Dashboard!$C$14*A353</f>
        <v>105300</v>
      </c>
      <c r="L353" s="8">
        <f>Dashboard!$C$21-K353</f>
        <v>1394700</v>
      </c>
      <c r="M353" s="8">
        <f t="shared" si="29"/>
        <v>1124839.1669558922</v>
      </c>
      <c r="N353" s="8">
        <f t="shared" si="30"/>
        <v>175500</v>
      </c>
      <c r="O353" s="8">
        <f>Dashboard!$C$15*(Dashboard!$C$16*EXP(-Dashboard!$C$16*A353)*E353-(1-EXP(-Dashboard!$C$16*A353))*Dashboard!$C$17/Dashboard!$C$19*E353*(1-E353))</f>
        <v>-0.13024069922534207</v>
      </c>
      <c r="P353" s="8">
        <f>Dashboard!$C$9*B353*Dashboard!$C$11*(-Dashboard!$C$12*(1-F353)-O353)+2*Dashboard!$C$20*A353</f>
        <v>36025.202485936665</v>
      </c>
      <c r="Q353" s="8">
        <f>-P353-Dashboard!$C$13-Dashboard!$C$14</f>
        <v>-86025.202485936665</v>
      </c>
    </row>
    <row r="354" spans="1:17" x14ac:dyDescent="0.25">
      <c r="A354" s="5">
        <f>(354-2)/100</f>
        <v>3.52</v>
      </c>
      <c r="B354" s="5">
        <f>Dashboard!$C$10*EXP(-Dashboard!$C$12*A354)</f>
        <v>5.834171534422488E-2</v>
      </c>
      <c r="C354" s="5">
        <f>Dashboard!$C$17*A354</f>
        <v>2816</v>
      </c>
      <c r="D354" s="5">
        <f>Dashboard!$C$15*(1-EXP(-Dashboard!$C$16*A354))</f>
        <v>0.66236410894155962</v>
      </c>
      <c r="E354" s="5">
        <f>1/(1+EXP(MIN(700,MAX(-700,(C354-Dashboard!$C$18)/Dashboard!$C$19))))</f>
        <v>0.20424030228409176</v>
      </c>
      <c r="F354" s="5">
        <f t="shared" si="27"/>
        <v>0.13528144583235721</v>
      </c>
      <c r="G354" s="8">
        <f>Dashboard!$C$9*B354*Dashboard!$C$11*(1-F354)</f>
        <v>100898.32748023662</v>
      </c>
      <c r="H354" s="8">
        <f>Dashboard!$C$20*A354^2</f>
        <v>99123.199999999997</v>
      </c>
      <c r="I354" s="8">
        <f t="shared" si="28"/>
        <v>200021.5274802366</v>
      </c>
      <c r="J354" s="8">
        <f>Dashboard!$C$13*A354</f>
        <v>70400</v>
      </c>
      <c r="K354" s="8">
        <f>Dashboard!$C$14*A354</f>
        <v>105600</v>
      </c>
      <c r="L354" s="8">
        <f>Dashboard!$C$21-K354</f>
        <v>1394400</v>
      </c>
      <c r="M354" s="8">
        <f t="shared" si="29"/>
        <v>1123978.4725197633</v>
      </c>
      <c r="N354" s="8">
        <f t="shared" si="30"/>
        <v>176000</v>
      </c>
      <c r="O354" s="8">
        <f>Dashboard!$C$15*(Dashboard!$C$16*EXP(-Dashboard!$C$16*A354)*E354-(1-EXP(-Dashboard!$C$16*A354))*Dashboard!$C$17/Dashboard!$C$19*E354*(1-E354))</f>
        <v>-0.12947996525871203</v>
      </c>
      <c r="P354" s="8">
        <f>Dashboard!$C$9*B354*Dashboard!$C$11*(-Dashboard!$C$12*(1-F354)-O354)+2*Dashboard!$C$20*A354</f>
        <v>36113.751933724983</v>
      </c>
      <c r="Q354" s="8">
        <f>-P354-Dashboard!$C$13-Dashboard!$C$14</f>
        <v>-86113.751933724983</v>
      </c>
    </row>
    <row r="355" spans="1:17" x14ac:dyDescent="0.25">
      <c r="A355" s="5">
        <f>(355-2)/100</f>
        <v>3.53</v>
      </c>
      <c r="B355" s="5">
        <f>Dashboard!$C$10*EXP(-Dashboard!$C$12*A355)</f>
        <v>5.8137876266990941E-2</v>
      </c>
      <c r="C355" s="5">
        <f>Dashboard!$C$17*A355</f>
        <v>2824</v>
      </c>
      <c r="D355" s="5">
        <f>Dashboard!$C$15*(1-EXP(-Dashboard!$C$16*A355))</f>
        <v>0.66305057081204721</v>
      </c>
      <c r="E355" s="5">
        <f>1/(1+EXP(MIN(700,MAX(-700,(C355-Dashboard!$C$18)/Dashboard!$C$19))))</f>
        <v>0.20208183009968</v>
      </c>
      <c r="F355" s="5">
        <f t="shared" si="27"/>
        <v>0.13399047279833598</v>
      </c>
      <c r="G355" s="8">
        <f>Dashboard!$C$9*B355*Dashboard!$C$11*(1-F355)</f>
        <v>100695.90947697134</v>
      </c>
      <c r="H355" s="8">
        <f>Dashboard!$C$20*A355^2</f>
        <v>99687.2</v>
      </c>
      <c r="I355" s="8">
        <f t="shared" si="28"/>
        <v>200383.10947697132</v>
      </c>
      <c r="J355" s="8">
        <f>Dashboard!$C$13*A355</f>
        <v>70600</v>
      </c>
      <c r="K355" s="8">
        <f>Dashboard!$C$14*A355</f>
        <v>105900</v>
      </c>
      <c r="L355" s="8">
        <f>Dashboard!$C$21-K355</f>
        <v>1394100</v>
      </c>
      <c r="M355" s="8">
        <f t="shared" si="29"/>
        <v>1123116.8905230286</v>
      </c>
      <c r="N355" s="8">
        <f t="shared" si="30"/>
        <v>176500</v>
      </c>
      <c r="O355" s="8">
        <f>Dashboard!$C$15*(Dashboard!$C$16*EXP(-Dashboard!$C$16*A355)*E355-(1-EXP(-Dashboard!$C$16*A355))*Dashboard!$C$17/Dashboard!$C$19*E355*(1-E355))</f>
        <v>-0.12871374814506512</v>
      </c>
      <c r="P355" s="8">
        <f>Dashboard!$C$9*B355*Dashboard!$C$11*(-Dashboard!$C$12*(1-F355)-O355)+2*Dashboard!$C$20*A355</f>
        <v>36202.719610096894</v>
      </c>
      <c r="Q355" s="8">
        <f>-P355-Dashboard!$C$13-Dashboard!$C$14</f>
        <v>-86202.719610096887</v>
      </c>
    </row>
    <row r="356" spans="1:17" x14ac:dyDescent="0.25">
      <c r="A356" s="5">
        <f>(356-2)/100</f>
        <v>3.54</v>
      </c>
      <c r="B356" s="5">
        <f>Dashboard!$C$10*EXP(-Dashboard!$C$12*A356)</f>
        <v>5.7934749379468291E-2</v>
      </c>
      <c r="C356" s="5">
        <f>Dashboard!$C$17*A356</f>
        <v>2832</v>
      </c>
      <c r="D356" s="5">
        <f>Dashboard!$C$15*(1-EXP(-Dashboard!$C$16*A356))</f>
        <v>0.66373360893967248</v>
      </c>
      <c r="E356" s="5">
        <f>1/(1+EXP(MIN(700,MAX(-700,(C356-Dashboard!$C$18)/Dashboard!$C$19))))</f>
        <v>0.19994043776580886</v>
      </c>
      <c r="F356" s="5">
        <f t="shared" si="27"/>
        <v>0.13270718833127831</v>
      </c>
      <c r="G356" s="8">
        <f>Dashboard!$C$9*B356*Dashboard!$C$11*(1-F356)</f>
        <v>100492.78336528357</v>
      </c>
      <c r="H356" s="8">
        <f>Dashboard!$C$20*A356^2</f>
        <v>100252.8</v>
      </c>
      <c r="I356" s="8">
        <f t="shared" si="28"/>
        <v>200745.58336528356</v>
      </c>
      <c r="J356" s="8">
        <f>Dashboard!$C$13*A356</f>
        <v>70800</v>
      </c>
      <c r="K356" s="8">
        <f>Dashboard!$C$14*A356</f>
        <v>106200</v>
      </c>
      <c r="L356" s="8">
        <f>Dashboard!$C$21-K356</f>
        <v>1393800</v>
      </c>
      <c r="M356" s="8">
        <f t="shared" si="29"/>
        <v>1122254.4166347166</v>
      </c>
      <c r="N356" s="8">
        <f t="shared" si="30"/>
        <v>177000</v>
      </c>
      <c r="O356" s="8">
        <f>Dashboard!$C$15*(Dashboard!$C$16*EXP(-Dashboard!$C$16*A356)*E356-(1-EXP(-Dashboard!$C$16*A356))*Dashboard!$C$17/Dashboard!$C$19*E356*(1-E356))</f>
        <v>-0.12794229239485275</v>
      </c>
      <c r="P356" s="8">
        <f>Dashboard!$C$9*B356*Dashboard!$C$11*(-Dashboard!$C$12*(1-F356)-O356)+2*Dashboard!$C$20*A356</f>
        <v>36292.135112011645</v>
      </c>
      <c r="Q356" s="8">
        <f>-P356-Dashboard!$C$13-Dashboard!$C$14</f>
        <v>-86292.135112011645</v>
      </c>
    </row>
    <row r="357" spans="1:17" x14ac:dyDescent="0.25">
      <c r="A357" s="5">
        <f>(357-2)/100</f>
        <v>3.55</v>
      </c>
      <c r="B357" s="5">
        <f>Dashboard!$C$10*EXP(-Dashboard!$C$12*A357)</f>
        <v>5.7732332193350028E-2</v>
      </c>
      <c r="C357" s="5">
        <f>Dashboard!$C$17*A357</f>
        <v>2840</v>
      </c>
      <c r="D357" s="5">
        <f>Dashboard!$C$15*(1-EXP(-Dashboard!$C$16*A357))</f>
        <v>0.66441324040042393</v>
      </c>
      <c r="E357" s="5">
        <f>1/(1+EXP(MIN(700,MAX(-700,(C357-Dashboard!$C$18)/Dashboard!$C$19))))</f>
        <v>0.19781611144141825</v>
      </c>
      <c r="F357" s="5">
        <f t="shared" si="27"/>
        <v>0.13143164360620407</v>
      </c>
      <c r="G357" s="8">
        <f>Dashboard!$C$9*B357*Dashboard!$C$11*(1-F357)</f>
        <v>100288.95376791734</v>
      </c>
      <c r="H357" s="8">
        <f>Dashboard!$C$20*A357^2</f>
        <v>100820</v>
      </c>
      <c r="I357" s="8">
        <f t="shared" si="28"/>
        <v>201108.95376791735</v>
      </c>
      <c r="J357" s="8">
        <f>Dashboard!$C$13*A357</f>
        <v>71000</v>
      </c>
      <c r="K357" s="8">
        <f>Dashboard!$C$14*A357</f>
        <v>106500</v>
      </c>
      <c r="L357" s="8">
        <f>Dashboard!$C$21-K357</f>
        <v>1393500</v>
      </c>
      <c r="M357" s="8">
        <f t="shared" si="29"/>
        <v>1121391.0462320826</v>
      </c>
      <c r="N357" s="8">
        <f t="shared" si="30"/>
        <v>177500</v>
      </c>
      <c r="O357" s="8">
        <f>Dashboard!$C$15*(Dashboard!$C$16*EXP(-Dashboard!$C$16*A357)*E357-(1-EXP(-Dashboard!$C$16*A357))*Dashboard!$C$17/Dashboard!$C$19*E357*(1-E357))</f>
        <v>-0.12716583982342863</v>
      </c>
      <c r="P357" s="8">
        <f>Dashboard!$C$9*B357*Dashboard!$C$11*(-Dashboard!$C$12*(1-F357)-O357)+2*Dashboard!$C$20*A357</f>
        <v>36382.027197893971</v>
      </c>
      <c r="Q357" s="8">
        <f>-P357-Dashboard!$C$13-Dashboard!$C$14</f>
        <v>-86382.027197893971</v>
      </c>
    </row>
    <row r="358" spans="1:17" x14ac:dyDescent="0.25">
      <c r="A358" s="5">
        <f>(358-2)/100</f>
        <v>3.56</v>
      </c>
      <c r="B358" s="5">
        <f>Dashboard!$C$10*EXP(-Dashboard!$C$12*A358)</f>
        <v>5.7530622229023082E-2</v>
      </c>
      <c r="C358" s="5">
        <f>Dashboard!$C$17*A358</f>
        <v>2848</v>
      </c>
      <c r="D358" s="5">
        <f>Dashboard!$C$15*(1-EXP(-Dashboard!$C$16*A358))</f>
        <v>0.66508948218512365</v>
      </c>
      <c r="E358" s="5">
        <f>1/(1+EXP(MIN(700,MAX(-700,(C358-Dashboard!$C$18)/Dashboard!$C$19))))</f>
        <v>0.19570883449552565</v>
      </c>
      <c r="F358" s="5">
        <f t="shared" si="27"/>
        <v>0.13016388739368323</v>
      </c>
      <c r="G358" s="8">
        <f>Dashboard!$C$9*B358*Dashboard!$C$11*(1-F358)</f>
        <v>100084.42559103196</v>
      </c>
      <c r="H358" s="8">
        <f>Dashboard!$C$20*A358^2</f>
        <v>101388.8</v>
      </c>
      <c r="I358" s="8">
        <f t="shared" si="28"/>
        <v>201473.22559103195</v>
      </c>
      <c r="J358" s="8">
        <f>Dashboard!$C$13*A358</f>
        <v>71200</v>
      </c>
      <c r="K358" s="8">
        <f>Dashboard!$C$14*A358</f>
        <v>106800</v>
      </c>
      <c r="L358" s="8">
        <f>Dashboard!$C$21-K358</f>
        <v>1393200</v>
      </c>
      <c r="M358" s="8">
        <f t="shared" si="29"/>
        <v>1120526.7744089682</v>
      </c>
      <c r="N358" s="8">
        <f t="shared" si="30"/>
        <v>178000</v>
      </c>
      <c r="O358" s="8">
        <f>Dashboard!$C$15*(Dashboard!$C$16*EXP(-Dashboard!$C$16*A358)*E358-(1-EXP(-Dashboard!$C$16*A358))*Dashboard!$C$17/Dashboard!$C$19*E358*(1-E358))</f>
        <v>-0.1263846294965762</v>
      </c>
      <c r="P358" s="8">
        <f>Dashboard!$C$9*B358*Dashboard!$C$11*(-Dashboard!$C$12*(1-F358)-O358)+2*Dashboard!$C$20*A358</f>
        <v>36472.423793383961</v>
      </c>
      <c r="Q358" s="8">
        <f>-P358-Dashboard!$C$13-Dashboard!$C$14</f>
        <v>-86472.423793383961</v>
      </c>
    </row>
    <row r="359" spans="1:17" x14ac:dyDescent="0.25">
      <c r="A359" s="5">
        <f>(359-2)/100</f>
        <v>3.57</v>
      </c>
      <c r="B359" s="5">
        <f>Dashboard!$C$10*EXP(-Dashboard!$C$12*A359)</f>
        <v>5.7329617015537897E-2</v>
      </c>
      <c r="C359" s="5">
        <f>Dashboard!$C$17*A359</f>
        <v>2856</v>
      </c>
      <c r="D359" s="5">
        <f>Dashboard!$C$15*(1-EXP(-Dashboard!$C$16*A359))</f>
        <v>0.66576235119985139</v>
      </c>
      <c r="E359" s="5">
        <f>1/(1+EXP(MIN(700,MAX(-700,(C359-Dashboard!$C$18)/Dashboard!$C$19))))</f>
        <v>0.19361858755647318</v>
      </c>
      <c r="F359" s="5">
        <f t="shared" ref="F359:F422" si="31">D359*E359</f>
        <v>0.12890396608759189</v>
      </c>
      <c r="G359" s="8">
        <f>Dashboard!$C$9*B359*Dashboard!$C$11*(1-F359)</f>
        <v>99879.204015904732</v>
      </c>
      <c r="H359" s="8">
        <f>Dashboard!$C$20*A359^2</f>
        <v>101959.2</v>
      </c>
      <c r="I359" s="8">
        <f t="shared" ref="I359:I422" si="32">G359+H359</f>
        <v>201838.40401590473</v>
      </c>
      <c r="J359" s="8">
        <f>Dashboard!$C$13*A359</f>
        <v>71400</v>
      </c>
      <c r="K359" s="8">
        <f>Dashboard!$C$14*A359</f>
        <v>107100</v>
      </c>
      <c r="L359" s="8">
        <f>Dashboard!$C$21-K359</f>
        <v>1392900</v>
      </c>
      <c r="M359" s="8">
        <f t="shared" ref="M359:M422" si="33">L359-I359-J359</f>
        <v>1119661.5959840952</v>
      </c>
      <c r="N359" s="8">
        <f t="shared" ref="N359:N422" si="34">J359+K359</f>
        <v>178500</v>
      </c>
      <c r="O359" s="8">
        <f>Dashboard!$C$15*(Dashboard!$C$16*EXP(-Dashboard!$C$16*A359)*E359-(1-EXP(-Dashboard!$C$16*A359))*Dashboard!$C$17/Dashboard!$C$19*E359*(1-E359))</f>
        <v>-0.12559889767891971</v>
      </c>
      <c r="P359" s="8">
        <f>Dashboard!$C$9*B359*Dashboard!$C$11*(-Dashboard!$C$12*(1-F359)-O359)+2*Dashboard!$C$20*A359</f>
        <v>36563.351997445745</v>
      </c>
      <c r="Q359" s="8">
        <f>-P359-Dashboard!$C$13-Dashboard!$C$14</f>
        <v>-86563.351997445745</v>
      </c>
    </row>
    <row r="360" spans="1:17" x14ac:dyDescent="0.25">
      <c r="A360" s="5">
        <f>(360-2)/100</f>
        <v>3.58</v>
      </c>
      <c r="B360" s="5">
        <f>Dashboard!$C$10*EXP(-Dashboard!$C$12*A360)</f>
        <v>5.7129314090578046E-2</v>
      </c>
      <c r="C360" s="5">
        <f>Dashboard!$C$17*A360</f>
        <v>2864</v>
      </c>
      <c r="D360" s="5">
        <f>Dashboard!$C$15*(1-EXP(-Dashboard!$C$16*A360))</f>
        <v>0.66643186426636758</v>
      </c>
      <c r="E360" s="5">
        <f>1/(1+EXP(MIN(700,MAX(-700,(C360-Dashboard!$C$18)/Dashboard!$C$19))))</f>
        <v>0.19154534856146752</v>
      </c>
      <c r="F360" s="5">
        <f t="shared" si="31"/>
        <v>0.12765192373336998</v>
      </c>
      <c r="G360" s="8">
        <f>Dashboard!$C$9*B360*Dashboard!$C$11*(1-F360)</f>
        <v>99673.294490695669</v>
      </c>
      <c r="H360" s="8">
        <f>Dashboard!$C$20*A360^2</f>
        <v>102531.2</v>
      </c>
      <c r="I360" s="8">
        <f t="shared" si="32"/>
        <v>202204.49449069565</v>
      </c>
      <c r="J360" s="8">
        <f>Dashboard!$C$13*A360</f>
        <v>71600</v>
      </c>
      <c r="K360" s="8">
        <f>Dashboard!$C$14*A360</f>
        <v>107400</v>
      </c>
      <c r="L360" s="8">
        <f>Dashboard!$C$21-K360</f>
        <v>1392600</v>
      </c>
      <c r="M360" s="8">
        <f t="shared" si="33"/>
        <v>1118795.5055093043</v>
      </c>
      <c r="N360" s="8">
        <f t="shared" si="34"/>
        <v>179000</v>
      </c>
      <c r="O360" s="8">
        <f>Dashboard!$C$15*(Dashboard!$C$16*EXP(-Dashboard!$C$16*A360)*E360-(1-EXP(-Dashboard!$C$16*A360))*Dashboard!$C$17/Dashboard!$C$19*E360*(1-E360))</f>
        <v>-0.12480887778519097</v>
      </c>
      <c r="P360" s="8">
        <f>Dashboard!$C$9*B360*Dashboard!$C$11*(-Dashboard!$C$12*(1-F360)-O360)+2*Dashboard!$C$20*A360</f>
        <v>36654.838088821998</v>
      </c>
      <c r="Q360" s="8">
        <f>-P360-Dashboard!$C$13-Dashboard!$C$14</f>
        <v>-86654.838088821998</v>
      </c>
    </row>
    <row r="361" spans="1:17" x14ac:dyDescent="0.25">
      <c r="A361" s="5">
        <f>(361-2)/100</f>
        <v>3.59</v>
      </c>
      <c r="B361" s="5">
        <f>Dashboard!$C$10*EXP(-Dashboard!$C$12*A361)</f>
        <v>5.6929711000430233E-2</v>
      </c>
      <c r="C361" s="5">
        <f>Dashboard!$C$17*A361</f>
        <v>2872</v>
      </c>
      <c r="D361" s="5">
        <f>Dashboard!$C$15*(1-EXP(-Dashboard!$C$16*A361))</f>
        <v>0.66709803812253365</v>
      </c>
      <c r="E361" s="5">
        <f>1/(1+EXP(MIN(700,MAX(-700,(C361-Dashboard!$C$18)/Dashboard!$C$19))))</f>
        <v>0.18948909280637574</v>
      </c>
      <c r="F361" s="5">
        <f t="shared" si="31"/>
        <v>0.12640780205675195</v>
      </c>
      <c r="G361" s="8">
        <f>Dashboard!$C$9*B361*Dashboard!$C$11*(1-F361)</f>
        <v>99466.7027222795</v>
      </c>
      <c r="H361" s="8">
        <f>Dashboard!$C$20*A361^2</f>
        <v>103104.8</v>
      </c>
      <c r="I361" s="8">
        <f t="shared" si="32"/>
        <v>202571.50272227952</v>
      </c>
      <c r="J361" s="8">
        <f>Dashboard!$C$13*A361</f>
        <v>71800</v>
      </c>
      <c r="K361" s="8">
        <f>Dashboard!$C$14*A361</f>
        <v>107700</v>
      </c>
      <c r="L361" s="8">
        <f>Dashboard!$C$21-K361</f>
        <v>1392300</v>
      </c>
      <c r="M361" s="8">
        <f t="shared" si="33"/>
        <v>1117928.4972777204</v>
      </c>
      <c r="N361" s="8">
        <f t="shared" si="34"/>
        <v>179500</v>
      </c>
      <c r="O361" s="8">
        <f>Dashboard!$C$15*(Dashboard!$C$16*EXP(-Dashboard!$C$16*A361)*E361-(1-EXP(-Dashboard!$C$16*A361))*Dashboard!$C$17/Dashboard!$C$19*E361*(1-E361))</f>
        <v>-0.12401480033431916</v>
      </c>
      <c r="P361" s="8">
        <f>Dashboard!$C$9*B361*Dashboard!$C$11*(-Dashboard!$C$12*(1-F361)-O361)+2*Dashboard!$C$20*A361</f>
        <v>36746.907532819867</v>
      </c>
      <c r="Q361" s="8">
        <f>-P361-Dashboard!$C$13-Dashboard!$C$14</f>
        <v>-86746.907532819867</v>
      </c>
    </row>
    <row r="362" spans="1:17" x14ac:dyDescent="0.25">
      <c r="A362" s="5">
        <f>(362-2)/100</f>
        <v>3.6</v>
      </c>
      <c r="B362" s="5">
        <f>Dashboard!$C$10*EXP(-Dashboard!$C$12*A362)</f>
        <v>5.6730805299954085E-2</v>
      </c>
      <c r="C362" s="5">
        <f>Dashboard!$C$17*A362</f>
        <v>2880</v>
      </c>
      <c r="D362" s="5">
        <f>Dashboard!$C$15*(1-EXP(-Dashboard!$C$16*A362))</f>
        <v>0.66776088942273082</v>
      </c>
      <c r="E362" s="5">
        <f>1/(1+EXP(MIN(700,MAX(-700,(C362-Dashboard!$C$18)/Dashboard!$C$19))))</f>
        <v>0.18744979299574127</v>
      </c>
      <c r="F362" s="5">
        <f t="shared" si="31"/>
        <v>0.12517164049294296</v>
      </c>
      <c r="G362" s="8">
        <f>Dashboard!$C$9*B362*Dashboard!$C$11*(1-F362)</f>
        <v>99259.43466814619</v>
      </c>
      <c r="H362" s="8">
        <f>Dashboard!$C$20*A362^2</f>
        <v>103680</v>
      </c>
      <c r="I362" s="8">
        <f t="shared" si="32"/>
        <v>202939.43466814619</v>
      </c>
      <c r="J362" s="8">
        <f>Dashboard!$C$13*A362</f>
        <v>72000</v>
      </c>
      <c r="K362" s="8">
        <f>Dashboard!$C$14*A362</f>
        <v>108000</v>
      </c>
      <c r="L362" s="8">
        <f>Dashboard!$C$21-K362</f>
        <v>1392000</v>
      </c>
      <c r="M362" s="8">
        <f t="shared" si="33"/>
        <v>1117060.5653318539</v>
      </c>
      <c r="N362" s="8">
        <f t="shared" si="34"/>
        <v>180000</v>
      </c>
      <c r="O362" s="8">
        <f>Dashboard!$C$15*(Dashboard!$C$16*EXP(-Dashboard!$C$16*A362)*E362-(1-EXP(-Dashboard!$C$16*A362))*Dashboard!$C$17/Dashboard!$C$19*E362*(1-E362))</f>
        <v>-0.12321689290631291</v>
      </c>
      <c r="P362" s="8">
        <f>Dashboard!$C$9*B362*Dashboard!$C$11*(-Dashboard!$C$12*(1-F362)-O362)+2*Dashboard!$C$20*A362</f>
        <v>36839.584988415503</v>
      </c>
      <c r="Q362" s="8">
        <f>-P362-Dashboard!$C$13-Dashboard!$C$14</f>
        <v>-86839.584988415503</v>
      </c>
    </row>
    <row r="363" spans="1:17" x14ac:dyDescent="0.25">
      <c r="A363" s="5">
        <f>(363-2)/100</f>
        <v>3.61</v>
      </c>
      <c r="B363" s="5">
        <f>Dashboard!$C$10*EXP(-Dashboard!$C$12*A363)</f>
        <v>5.6532594552552301E-2</v>
      </c>
      <c r="C363" s="5">
        <f>Dashboard!$C$17*A363</f>
        <v>2888</v>
      </c>
      <c r="D363" s="5">
        <f>Dashboard!$C$15*(1-EXP(-Dashboard!$C$16*A363))</f>
        <v>0.66842043473827617</v>
      </c>
      <c r="E363" s="5">
        <f>1/(1+EXP(MIN(700,MAX(-700,(C363-Dashboard!$C$18)/Dashboard!$C$19))))</f>
        <v>0.18542741929298223</v>
      </c>
      <c r="F363" s="5">
        <f t="shared" si="31"/>
        <v>0.1239434762162118</v>
      </c>
      <c r="G363" s="8">
        <f>Dashboard!$C$9*B363*Dashboard!$C$11*(1-F363)</f>
        <v>99051.496528374584</v>
      </c>
      <c r="H363" s="8">
        <f>Dashboard!$C$20*A363^2</f>
        <v>104256.8</v>
      </c>
      <c r="I363" s="8">
        <f t="shared" si="32"/>
        <v>203308.2965283746</v>
      </c>
      <c r="J363" s="8">
        <f>Dashboard!$C$13*A363</f>
        <v>72200</v>
      </c>
      <c r="K363" s="8">
        <f>Dashboard!$C$14*A363</f>
        <v>108300</v>
      </c>
      <c r="L363" s="8">
        <f>Dashboard!$C$21-K363</f>
        <v>1391700</v>
      </c>
      <c r="M363" s="8">
        <f t="shared" si="33"/>
        <v>1116191.7034716255</v>
      </c>
      <c r="N363" s="8">
        <f t="shared" si="34"/>
        <v>180500</v>
      </c>
      <c r="O363" s="8">
        <f>Dashboard!$C$15*(Dashboard!$C$16*EXP(-Dashboard!$C$16*A363)*E363-(1-EXP(-Dashboard!$C$16*A363))*Dashboard!$C$17/Dashboard!$C$19*E363*(1-E363))</f>
        <v>-0.1224153801018977</v>
      </c>
      <c r="P363" s="8">
        <f>Dashboard!$C$9*B363*Dashboard!$C$11*(-Dashboard!$C$12*(1-F363)-O363)+2*Dashboard!$C$20*A363</f>
        <v>36932.894315663223</v>
      </c>
      <c r="Q363" s="8">
        <f>-P363-Dashboard!$C$13-Dashboard!$C$14</f>
        <v>-86932.89431566323</v>
      </c>
    </row>
    <row r="364" spans="1:17" x14ac:dyDescent="0.25">
      <c r="A364" s="5">
        <f>(364-2)/100</f>
        <v>3.62</v>
      </c>
      <c r="B364" s="5">
        <f>Dashboard!$C$10*EXP(-Dashboard!$C$12*A364)</f>
        <v>5.6335076330140725E-2</v>
      </c>
      <c r="C364" s="5">
        <f>Dashboard!$C$17*A364</f>
        <v>2896</v>
      </c>
      <c r="D364" s="5">
        <f>Dashboard!$C$15*(1-EXP(-Dashboard!$C$16*A364))</f>
        <v>0.66907669055783681</v>
      </c>
      <c r="E364" s="5">
        <f>1/(1+EXP(MIN(700,MAX(-700,(C364-Dashboard!$C$18)/Dashboard!$C$19))))</f>
        <v>0.18342193937073947</v>
      </c>
      <c r="F364" s="5">
        <f t="shared" si="31"/>
        <v>0.12272334416987456</v>
      </c>
      <c r="G364" s="8">
        <f>Dashboard!$C$9*B364*Dashboard!$C$11*(1-F364)</f>
        <v>98842.894737681418</v>
      </c>
      <c r="H364" s="8">
        <f>Dashboard!$C$20*A364^2</f>
        <v>104835.2</v>
      </c>
      <c r="I364" s="8">
        <f t="shared" si="32"/>
        <v>203678.09473768141</v>
      </c>
      <c r="J364" s="8">
        <f>Dashboard!$C$13*A364</f>
        <v>72400</v>
      </c>
      <c r="K364" s="8">
        <f>Dashboard!$C$14*A364</f>
        <v>108600</v>
      </c>
      <c r="L364" s="8">
        <f>Dashboard!$C$21-K364</f>
        <v>1391400</v>
      </c>
      <c r="M364" s="8">
        <f t="shared" si="33"/>
        <v>1115321.9052623187</v>
      </c>
      <c r="N364" s="8">
        <f t="shared" si="34"/>
        <v>181000</v>
      </c>
      <c r="O364" s="8">
        <f>Dashboard!$C$15*(Dashboard!$C$16*EXP(-Dashboard!$C$16*A364)*E364-(1-EXP(-Dashboard!$C$16*A364))*Dashboard!$C$17/Dashboard!$C$19*E364*(1-E364))</f>
        <v>-0.12161048350487272</v>
      </c>
      <c r="P364" s="8">
        <f>Dashboard!$C$9*B364*Dashboard!$C$11*(-Dashboard!$C$12*(1-F364)-O364)+2*Dashboard!$C$20*A364</f>
        <v>37026.858583396155</v>
      </c>
      <c r="Q364" s="8">
        <f>-P364-Dashboard!$C$13-Dashboard!$C$14</f>
        <v>-87026.858583396155</v>
      </c>
    </row>
    <row r="365" spans="1:17" x14ac:dyDescent="0.25">
      <c r="A365" s="5">
        <f>(365-2)/100</f>
        <v>3.63</v>
      </c>
      <c r="B365" s="5">
        <f>Dashboard!$C$10*EXP(-Dashboard!$C$12*A365)</f>
        <v>5.6138248213118684E-2</v>
      </c>
      <c r="C365" s="5">
        <f>Dashboard!$C$17*A365</f>
        <v>2904</v>
      </c>
      <c r="D365" s="5">
        <f>Dashboard!$C$15*(1-EXP(-Dashboard!$C$16*A365))</f>
        <v>0.6697296732878425</v>
      </c>
      <c r="E365" s="5">
        <f>1/(1+EXP(MIN(700,MAX(-700,(C365-Dashboard!$C$18)/Dashboard!$C$19))))</f>
        <v>0.18143331846133751</v>
      </c>
      <c r="F365" s="5">
        <f t="shared" si="31"/>
        <v>0.12151127709664065</v>
      </c>
      <c r="G365" s="8">
        <f>Dashboard!$C$9*B365*Dashboard!$C$11*(1-F365)</f>
        <v>98633.635957548846</v>
      </c>
      <c r="H365" s="8">
        <f>Dashboard!$C$20*A365^2</f>
        <v>105415.2</v>
      </c>
      <c r="I365" s="8">
        <f t="shared" si="32"/>
        <v>204048.83595754884</v>
      </c>
      <c r="J365" s="8">
        <f>Dashboard!$C$13*A365</f>
        <v>72600</v>
      </c>
      <c r="K365" s="8">
        <f>Dashboard!$C$14*A365</f>
        <v>108900</v>
      </c>
      <c r="L365" s="8">
        <f>Dashboard!$C$21-K365</f>
        <v>1391100</v>
      </c>
      <c r="M365" s="8">
        <f t="shared" si="33"/>
        <v>1114451.1640424512</v>
      </c>
      <c r="N365" s="8">
        <f t="shared" si="34"/>
        <v>181500</v>
      </c>
      <c r="O365" s="8">
        <f>Dashboard!$C$15*(Dashboard!$C$16*EXP(-Dashboard!$C$16*A365)*E365-(1-EXP(-Dashboard!$C$16*A365))*Dashboard!$C$17/Dashboard!$C$19*E365*(1-E365))</f>
        <v>-0.12080242164714801</v>
      </c>
      <c r="P365" s="8">
        <f>Dashboard!$C$9*B365*Dashboard!$C$11*(-Dashboard!$C$12*(1-F365)-O365)+2*Dashboard!$C$20*A365</f>
        <v>37121.500077204735</v>
      </c>
      <c r="Q365" s="8">
        <f>-P365-Dashboard!$C$13-Dashboard!$C$14</f>
        <v>-87121.500077204735</v>
      </c>
    </row>
    <row r="366" spans="1:17" x14ac:dyDescent="0.25">
      <c r="A366" s="5">
        <f>(366-2)/100</f>
        <v>3.64</v>
      </c>
      <c r="B366" s="5">
        <f>Dashboard!$C$10*EXP(-Dashboard!$C$12*A366)</f>
        <v>5.5942107790339271E-2</v>
      </c>
      <c r="C366" s="5">
        <f>Dashboard!$C$17*A366</f>
        <v>2912</v>
      </c>
      <c r="D366" s="5">
        <f>Dashboard!$C$15*(1-EXP(-Dashboard!$C$16*A366))</f>
        <v>0.67037939925289547</v>
      </c>
      <c r="E366" s="5">
        <f>1/(1+EXP(MIN(700,MAX(-700,(C366-Dashboard!$C$18)/Dashboard!$C$19))))</f>
        <v>0.17946151940732682</v>
      </c>
      <c r="F366" s="5">
        <f t="shared" si="31"/>
        <v>0.1203073055692956</v>
      </c>
      <c r="G366" s="8">
        <f>Dashboard!$C$9*B366*Dashboard!$C$11*(1-F366)</f>
        <v>98423.727068432898</v>
      </c>
      <c r="H366" s="8">
        <f>Dashboard!$C$20*A366^2</f>
        <v>105996.8</v>
      </c>
      <c r="I366" s="8">
        <f t="shared" si="32"/>
        <v>204420.52706843289</v>
      </c>
      <c r="J366" s="8">
        <f>Dashboard!$C$13*A366</f>
        <v>72800</v>
      </c>
      <c r="K366" s="8">
        <f>Dashboard!$C$14*A366</f>
        <v>109200</v>
      </c>
      <c r="L366" s="8">
        <f>Dashboard!$C$21-K366</f>
        <v>1390800</v>
      </c>
      <c r="M366" s="8">
        <f t="shared" si="33"/>
        <v>1113579.4729315671</v>
      </c>
      <c r="N366" s="8">
        <f t="shared" si="34"/>
        <v>182000</v>
      </c>
      <c r="O366" s="8">
        <f>Dashboard!$C$15*(Dashboard!$C$16*EXP(-Dashboard!$C$16*A366)*E366-(1-EXP(-Dashboard!$C$16*A366))*Dashboard!$C$17/Dashboard!$C$19*E366*(1-E366))</f>
        <v>-0.1199914099764214</v>
      </c>
      <c r="P366" s="8">
        <f>Dashboard!$C$9*B366*Dashboard!$C$11*(-Dashboard!$C$12*(1-F366)-O366)+2*Dashboard!$C$20*A366</f>
        <v>37216.840307680002</v>
      </c>
      <c r="Q366" s="8">
        <f>-P366-Dashboard!$C$13-Dashboard!$C$14</f>
        <v>-87216.840307680002</v>
      </c>
    </row>
    <row r="367" spans="1:17" x14ac:dyDescent="0.25">
      <c r="A367" s="5">
        <f>(367-2)/100</f>
        <v>3.65</v>
      </c>
      <c r="B367" s="5">
        <f>Dashboard!$C$10*EXP(-Dashboard!$C$12*A367)</f>
        <v>5.5746652659079868E-2</v>
      </c>
      <c r="C367" s="5">
        <f>Dashboard!$C$17*A367</f>
        <v>2920</v>
      </c>
      <c r="D367" s="5">
        <f>Dashboard!$C$15*(1-EXP(-Dashboard!$C$16*A367))</f>
        <v>0.67102588469617863</v>
      </c>
      <c r="E367" s="5">
        <f>1/(1+EXP(MIN(700,MAX(-700,(C367-Dashboard!$C$18)/Dashboard!$C$19))))</f>
        <v>0.1775065027120738</v>
      </c>
      <c r="F367" s="5">
        <f t="shared" si="31"/>
        <v>0.11911145802169396</v>
      </c>
      <c r="G367" s="8">
        <f>Dashboard!$C$9*B367*Dashboard!$C$11*(1-F367)</f>
        <v>98213.175162055835</v>
      </c>
      <c r="H367" s="8">
        <f>Dashboard!$C$20*A367^2</f>
        <v>106580</v>
      </c>
      <c r="I367" s="8">
        <f t="shared" si="32"/>
        <v>204793.17516205582</v>
      </c>
      <c r="J367" s="8">
        <f>Dashboard!$C$13*A367</f>
        <v>73000</v>
      </c>
      <c r="K367" s="8">
        <f>Dashboard!$C$14*A367</f>
        <v>109500</v>
      </c>
      <c r="L367" s="8">
        <f>Dashboard!$C$21-K367</f>
        <v>1390500</v>
      </c>
      <c r="M367" s="8">
        <f t="shared" si="33"/>
        <v>1112706.8248379442</v>
      </c>
      <c r="N367" s="8">
        <f t="shared" si="34"/>
        <v>182500</v>
      </c>
      <c r="O367" s="8">
        <f>Dashboard!$C$15*(Dashboard!$C$16*EXP(-Dashboard!$C$16*A367)*E367-(1-EXP(-Dashboard!$C$16*A367))*Dashboard!$C$17/Dashboard!$C$19*E367*(1-E367))</f>
        <v>-0.11917766082645354</v>
      </c>
      <c r="P367" s="8">
        <f>Dashboard!$C$9*B367*Dashboard!$C$11*(-Dashboard!$C$12*(1-F367)-O367)+2*Dashboard!$C$20*A367</f>
        <v>37312.900018908324</v>
      </c>
      <c r="Q367" s="8">
        <f>-P367-Dashboard!$C$13-Dashboard!$C$14</f>
        <v>-87312.900018908316</v>
      </c>
    </row>
    <row r="368" spans="1:17" x14ac:dyDescent="0.25">
      <c r="A368" s="5">
        <f>(368-2)/100</f>
        <v>3.66</v>
      </c>
      <c r="B368" s="5">
        <f>Dashboard!$C$10*EXP(-Dashboard!$C$12*A368)</f>
        <v>5.5551880425012648E-2</v>
      </c>
      <c r="C368" s="5">
        <f>Dashboard!$C$17*A368</f>
        <v>2928</v>
      </c>
      <c r="D368" s="5">
        <f>Dashboard!$C$15*(1-EXP(-Dashboard!$C$16*A368))</f>
        <v>0.67166914577986181</v>
      </c>
      <c r="E368" s="5">
        <f>1/(1+EXP(MIN(700,MAX(-700,(C368-Dashboard!$C$18)/Dashboard!$C$19))))</f>
        <v>0.1755682265903665</v>
      </c>
      <c r="F368" s="5">
        <f t="shared" si="31"/>
        <v>0.11792376078003669</v>
      </c>
      <c r="G368" s="8">
        <f>Dashboard!$C$9*B368*Dashboard!$C$11*(1-F368)</f>
        <v>98001.987533784501</v>
      </c>
      <c r="H368" s="8">
        <f>Dashboard!$C$20*A368^2</f>
        <v>107164.80000000002</v>
      </c>
      <c r="I368" s="8">
        <f t="shared" si="32"/>
        <v>205166.78753378452</v>
      </c>
      <c r="J368" s="8">
        <f>Dashboard!$C$13*A368</f>
        <v>73200</v>
      </c>
      <c r="K368" s="8">
        <f>Dashboard!$C$14*A368</f>
        <v>109800</v>
      </c>
      <c r="L368" s="8">
        <f>Dashboard!$C$21-K368</f>
        <v>1390200</v>
      </c>
      <c r="M368" s="8">
        <f t="shared" si="33"/>
        <v>1111833.2124662155</v>
      </c>
      <c r="N368" s="8">
        <f t="shared" si="34"/>
        <v>183000</v>
      </c>
      <c r="O368" s="8">
        <f>Dashboard!$C$15*(Dashboard!$C$16*EXP(-Dashboard!$C$16*A368)*E368-(1-EXP(-Dashboard!$C$16*A368))*Dashboard!$C$17/Dashboard!$C$19*E368*(1-E368))</f>
        <v>-0.11836138338989713</v>
      </c>
      <c r="P368" s="8">
        <f>Dashboard!$C$9*B368*Dashboard!$C$11*(-Dashboard!$C$12*(1-F368)-O368)+2*Dashboard!$C$20*A368</f>
        <v>37409.699197204711</v>
      </c>
      <c r="Q368" s="8">
        <f>-P368-Dashboard!$C$13-Dashboard!$C$14</f>
        <v>-87409.699197204711</v>
      </c>
    </row>
    <row r="369" spans="1:17" x14ac:dyDescent="0.25">
      <c r="A369" s="5">
        <f>(369-2)/100</f>
        <v>3.67</v>
      </c>
      <c r="B369" s="5">
        <f>Dashboard!$C$10*EXP(-Dashboard!$C$12*A369)</f>
        <v>5.535778870217533E-2</v>
      </c>
      <c r="C369" s="5">
        <f>Dashboard!$C$17*A369</f>
        <v>2936</v>
      </c>
      <c r="D369" s="5">
        <f>Dashboard!$C$15*(1-EXP(-Dashboard!$C$16*A369))</f>
        <v>0.67230919858550564</v>
      </c>
      <c r="E369" s="5">
        <f>1/(1+EXP(MIN(700,MAX(-700,(C369-Dashboard!$C$18)/Dashboard!$C$19))))</f>
        <v>0.17364664701900503</v>
      </c>
      <c r="F369" s="5">
        <f t="shared" si="31"/>
        <v>0.11674423809440745</v>
      </c>
      <c r="G369" s="8">
        <f>Dashboard!$C$9*B369*Dashboard!$C$11*(1-F369)</f>
        <v>97790.171675097343</v>
      </c>
      <c r="H369" s="8">
        <f>Dashboard!$C$20*A369^2</f>
        <v>107751.2</v>
      </c>
      <c r="I369" s="8">
        <f t="shared" si="32"/>
        <v>205541.37167509733</v>
      </c>
      <c r="J369" s="8">
        <f>Dashboard!$C$13*A369</f>
        <v>73400</v>
      </c>
      <c r="K369" s="8">
        <f>Dashboard!$C$14*A369</f>
        <v>110100</v>
      </c>
      <c r="L369" s="8">
        <f>Dashboard!$C$21-K369</f>
        <v>1389900</v>
      </c>
      <c r="M369" s="8">
        <f t="shared" si="33"/>
        <v>1110958.6283249026</v>
      </c>
      <c r="N369" s="8">
        <f t="shared" si="34"/>
        <v>183500</v>
      </c>
      <c r="O369" s="8">
        <f>Dashboard!$C$15*(Dashboard!$C$16*EXP(-Dashboard!$C$16*A369)*E369-(1-EXP(-Dashboard!$C$16*A369))*Dashboard!$C$17/Dashboard!$C$19*E369*(1-E369))</f>
        <v>-0.11754278369363531</v>
      </c>
      <c r="P369" s="8">
        <f>Dashboard!$C$9*B369*Dashboard!$C$11*(-Dashboard!$C$12*(1-F369)-O369)+2*Dashboard!$C$20*A369</f>
        <v>37507.25708007146</v>
      </c>
      <c r="Q369" s="8">
        <f>-P369-Dashboard!$C$13-Dashboard!$C$14</f>
        <v>-87507.25708007146</v>
      </c>
    </row>
    <row r="370" spans="1:17" x14ac:dyDescent="0.25">
      <c r="A370" s="5">
        <f>(370-2)/100</f>
        <v>3.68</v>
      </c>
      <c r="B370" s="5">
        <f>Dashboard!$C$10*EXP(-Dashboard!$C$12*A370)</f>
        <v>5.5164375112941866E-2</v>
      </c>
      <c r="C370" s="5">
        <f>Dashboard!$C$17*A370</f>
        <v>2944</v>
      </c>
      <c r="D370" s="5">
        <f>Dashboard!$C$15*(1-EXP(-Dashboard!$C$16*A370))</f>
        <v>0.67294605911446359</v>
      </c>
      <c r="E370" s="5">
        <f>1/(1+EXP(MIN(700,MAX(-700,(C370-Dashboard!$C$18)/Dashboard!$C$19))))</f>
        <v>0.17174171778734698</v>
      </c>
      <c r="F370" s="5">
        <f t="shared" si="31"/>
        <v>0.11557291217054352</v>
      </c>
      <c r="G370" s="8">
        <f>Dashboard!$C$9*B370*Dashboard!$C$11*(1-F370)</f>
        <v>97577.735266141841</v>
      </c>
      <c r="H370" s="8">
        <f>Dashboard!$C$20*A370^2</f>
        <v>108339.20000000001</v>
      </c>
      <c r="I370" s="8">
        <f t="shared" si="32"/>
        <v>205916.93526614184</v>
      </c>
      <c r="J370" s="8">
        <f>Dashboard!$C$13*A370</f>
        <v>73600</v>
      </c>
      <c r="K370" s="8">
        <f>Dashboard!$C$14*A370</f>
        <v>110400</v>
      </c>
      <c r="L370" s="8">
        <f>Dashboard!$C$21-K370</f>
        <v>1389600</v>
      </c>
      <c r="M370" s="8">
        <f t="shared" si="33"/>
        <v>1110083.0647338582</v>
      </c>
      <c r="N370" s="8">
        <f t="shared" si="34"/>
        <v>184000</v>
      </c>
      <c r="O370" s="8">
        <f>Dashboard!$C$15*(Dashboard!$C$16*EXP(-Dashboard!$C$16*A370)*E370-(1-EXP(-Dashboard!$C$16*A370))*Dashboard!$C$17/Dashboard!$C$19*E370*(1-E370))</f>
        <v>-0.11672206457658388</v>
      </c>
      <c r="P370" s="8">
        <f>Dashboard!$C$9*B370*Dashboard!$C$11*(-Dashboard!$C$12*(1-F370)-O370)+2*Dashboard!$C$20*A370</f>
        <v>37605.592165369751</v>
      </c>
      <c r="Q370" s="8">
        <f>-P370-Dashboard!$C$13-Dashboard!$C$14</f>
        <v>-87605.592165369744</v>
      </c>
    </row>
    <row r="371" spans="1:17" x14ac:dyDescent="0.25">
      <c r="A371" s="5">
        <f>(371-2)/100</f>
        <v>3.69</v>
      </c>
      <c r="B371" s="5">
        <f>Dashboard!$C$10*EXP(-Dashboard!$C$12*A371)</f>
        <v>5.4971637287993397E-2</v>
      </c>
      <c r="C371" s="5">
        <f>Dashboard!$C$17*A371</f>
        <v>2952</v>
      </c>
      <c r="D371" s="5">
        <f>Dashboard!$C$15*(1-EXP(-Dashboard!$C$16*A371))</f>
        <v>0.67357974328828174</v>
      </c>
      <c r="E371" s="5">
        <f>1/(1+EXP(MIN(700,MAX(-700,(C371-Dashboard!$C$18)/Dashboard!$C$19))))</f>
        <v>0.16985339054777734</v>
      </c>
      <c r="F371" s="5">
        <f t="shared" si="31"/>
        <v>0.11440980320181612</v>
      </c>
      <c r="G371" s="8">
        <f>Dashboard!$C$9*B371*Dashboard!$C$11*(1-F371)</f>
        <v>97364.686168384898</v>
      </c>
      <c r="H371" s="8">
        <f>Dashboard!$C$20*A371^2</f>
        <v>108928.79999999999</v>
      </c>
      <c r="I371" s="8">
        <f t="shared" si="32"/>
        <v>206293.4861683849</v>
      </c>
      <c r="J371" s="8">
        <f>Dashboard!$C$13*A371</f>
        <v>73800</v>
      </c>
      <c r="K371" s="8">
        <f>Dashboard!$C$14*A371</f>
        <v>110700</v>
      </c>
      <c r="L371" s="8">
        <f>Dashboard!$C$21-K371</f>
        <v>1389300</v>
      </c>
      <c r="M371" s="8">
        <f t="shared" si="33"/>
        <v>1109206.513831615</v>
      </c>
      <c r="N371" s="8">
        <f t="shared" si="34"/>
        <v>184500</v>
      </c>
      <c r="O371" s="8">
        <f>Dashboard!$C$15*(Dashboard!$C$16*EXP(-Dashboard!$C$16*A371)*E371-(1-EXP(-Dashboard!$C$16*A371))*Dashboard!$C$17/Dashboard!$C$19*E371*(1-E371))</f>
        <v>-0.11589942566990873</v>
      </c>
      <c r="P371" s="8">
        <f>Dashboard!$C$9*B371*Dashboard!$C$11*(-Dashboard!$C$12*(1-F371)-O371)+2*Dashboard!$C$20*A371</f>
        <v>37704.722220691234</v>
      </c>
      <c r="Q371" s="8">
        <f>-P371-Dashboard!$C$13-Dashboard!$C$14</f>
        <v>-87704.722220691241</v>
      </c>
    </row>
    <row r="372" spans="1:17" x14ac:dyDescent="0.25">
      <c r="A372" s="5">
        <f>(372-2)/100</f>
        <v>3.7</v>
      </c>
      <c r="B372" s="5">
        <f>Dashboard!$C$10*EXP(-Dashboard!$C$12*A372)</f>
        <v>5.4779572866289122E-2</v>
      </c>
      <c r="C372" s="5">
        <f>Dashboard!$C$17*A372</f>
        <v>2960</v>
      </c>
      <c r="D372" s="5">
        <f>Dashboard!$C$15*(1-EXP(-Dashboard!$C$16*A372))</f>
        <v>0.67421026694909791</v>
      </c>
      <c r="E372" s="5">
        <f>1/(1+EXP(MIN(700,MAX(-700,(C372-Dashboard!$C$18)/Dashboard!$C$19))))</f>
        <v>0.16798161486607552</v>
      </c>
      <c r="F372" s="5">
        <f t="shared" si="31"/>
        <v>0.11325492940139734</v>
      </c>
      <c r="G372" s="8">
        <f>Dashboard!$C$9*B372*Dashboard!$C$11*(1-F372)</f>
        <v>97151.032417357681</v>
      </c>
      <c r="H372" s="8">
        <f>Dashboard!$C$20*A372^2</f>
        <v>109520.00000000001</v>
      </c>
      <c r="I372" s="8">
        <f t="shared" si="32"/>
        <v>206671.0324173577</v>
      </c>
      <c r="J372" s="8">
        <f>Dashboard!$C$13*A372</f>
        <v>74000</v>
      </c>
      <c r="K372" s="8">
        <f>Dashboard!$C$14*A372</f>
        <v>111000</v>
      </c>
      <c r="L372" s="8">
        <f>Dashboard!$C$21-K372</f>
        <v>1389000</v>
      </c>
      <c r="M372" s="8">
        <f t="shared" si="33"/>
        <v>1108328.9675826423</v>
      </c>
      <c r="N372" s="8">
        <f t="shared" si="34"/>
        <v>185000</v>
      </c>
      <c r="O372" s="8">
        <f>Dashboard!$C$15*(Dashboard!$C$16*EXP(-Dashboard!$C$16*A372)*E372-(1-EXP(-Dashboard!$C$16*A372))*Dashboard!$C$17/Dashboard!$C$19*E372*(1-E372))</f>
        <v>-0.11507506337961144</v>
      </c>
      <c r="P372" s="8">
        <f>Dashboard!$C$9*B372*Dashboard!$C$11*(-Dashboard!$C$12*(1-F372)-O372)+2*Dashboard!$C$20*A372</f>
        <v>37804.664292917339</v>
      </c>
      <c r="Q372" s="8">
        <f>-P372-Dashboard!$C$13-Dashboard!$C$14</f>
        <v>-87804.664292917339</v>
      </c>
    </row>
    <row r="373" spans="1:17" x14ac:dyDescent="0.25">
      <c r="A373" s="5">
        <f>(373-2)/100</f>
        <v>3.71</v>
      </c>
      <c r="B373" s="5">
        <f>Dashboard!$C$10*EXP(-Dashboard!$C$12*A373)</f>
        <v>5.4588179495037484E-2</v>
      </c>
      <c r="C373" s="5">
        <f>Dashboard!$C$17*A373</f>
        <v>2968</v>
      </c>
      <c r="D373" s="5">
        <f>Dashboard!$C$15*(1-EXP(-Dashboard!$C$16*A373))</f>
        <v>0.67483764586003625</v>
      </c>
      <c r="E373" s="5">
        <f>1/(1+EXP(MIN(700,MAX(-700,(C373-Dashboard!$C$18)/Dashboard!$C$19))))</f>
        <v>0.16612633827165055</v>
      </c>
      <c r="F373" s="5">
        <f t="shared" si="31"/>
        <v>0.1121083070345887</v>
      </c>
      <c r="G373" s="8">
        <f>Dashboard!$C$9*B373*Dashboard!$C$11*(1-F373)</f>
        <v>96936.782215497151</v>
      </c>
      <c r="H373" s="8">
        <f>Dashboard!$C$20*A373^2</f>
        <v>110112.79999999999</v>
      </c>
      <c r="I373" s="8">
        <f t="shared" si="32"/>
        <v>207049.58221549715</v>
      </c>
      <c r="J373" s="8">
        <f>Dashboard!$C$13*A373</f>
        <v>74200</v>
      </c>
      <c r="K373" s="8">
        <f>Dashboard!$C$14*A373</f>
        <v>111300</v>
      </c>
      <c r="L373" s="8">
        <f>Dashboard!$C$21-K373</f>
        <v>1388700</v>
      </c>
      <c r="M373" s="8">
        <f t="shared" si="33"/>
        <v>1107450.4177845027</v>
      </c>
      <c r="N373" s="8">
        <f t="shared" si="34"/>
        <v>185500</v>
      </c>
      <c r="O373" s="8">
        <f>Dashboard!$C$15*(Dashboard!$C$16*EXP(-Dashboard!$C$16*A373)*E373-(1-EXP(-Dashboard!$C$16*A373))*Dashboard!$C$17/Dashboard!$C$19*E373*(1-E373))</f>
        <v>-0.11424917087143219</v>
      </c>
      <c r="P373" s="8">
        <f>Dashboard!$C$9*B373*Dashboard!$C$11*(-Dashboard!$C$12*(1-F373)-O373)+2*Dashboard!$C$20*A373</f>
        <v>37905.434717953889</v>
      </c>
      <c r="Q373" s="8">
        <f>-P373-Dashboard!$C$13-Dashboard!$C$14</f>
        <v>-87905.434717953889</v>
      </c>
    </row>
    <row r="374" spans="1:17" x14ac:dyDescent="0.25">
      <c r="A374" s="5">
        <f>(374-2)/100</f>
        <v>3.72</v>
      </c>
      <c r="B374" s="5">
        <f>Dashboard!$C$10*EXP(-Dashboard!$C$12*A374)</f>
        <v>5.4397454829667305E-2</v>
      </c>
      <c r="C374" s="5">
        <f>Dashboard!$C$17*A374</f>
        <v>2976</v>
      </c>
      <c r="D374" s="5">
        <f>Dashboard!$C$15*(1-EXP(-Dashboard!$C$16*A374))</f>
        <v>0.67546189570560222</v>
      </c>
      <c r="E374" s="5">
        <f>1/(1+EXP(MIN(700,MAX(-700,(C374-Dashboard!$C$18)/Dashboard!$C$19))))</f>
        <v>0.16428750630761857</v>
      </c>
      <c r="F374" s="5">
        <f t="shared" si="31"/>
        <v>0.11096995045129013</v>
      </c>
      <c r="G374" s="8">
        <f>Dashboard!$C$9*B374*Dashboard!$C$11*(1-F374)</f>
        <v>96721.943925085667</v>
      </c>
      <c r="H374" s="8">
        <f>Dashboard!$C$20*A374^2</f>
        <v>110707.20000000001</v>
      </c>
      <c r="I374" s="8">
        <f t="shared" si="32"/>
        <v>207429.14392508566</v>
      </c>
      <c r="J374" s="8">
        <f>Dashboard!$C$13*A374</f>
        <v>74400</v>
      </c>
      <c r="K374" s="8">
        <f>Dashboard!$C$14*A374</f>
        <v>111600</v>
      </c>
      <c r="L374" s="8">
        <f>Dashboard!$C$21-K374</f>
        <v>1388400</v>
      </c>
      <c r="M374" s="8">
        <f t="shared" si="33"/>
        <v>1106570.8560749143</v>
      </c>
      <c r="N374" s="8">
        <f t="shared" si="34"/>
        <v>186000</v>
      </c>
      <c r="O374" s="8">
        <f>Dashboard!$C$15*(Dashboard!$C$16*EXP(-Dashboard!$C$16*A374)*E374-(1-EXP(-Dashboard!$C$16*A374))*Dashboard!$C$17/Dashboard!$C$19*E374*(1-E374))</f>
        <v>-0.1134219380580212</v>
      </c>
      <c r="P374" s="8">
        <f>Dashboard!$C$9*B374*Dashboard!$C$11*(-Dashboard!$C$12*(1-F374)-O374)+2*Dashboard!$C$20*A374</f>
        <v>38007.049130629079</v>
      </c>
      <c r="Q374" s="8">
        <f>-P374-Dashboard!$C$13-Dashboard!$C$14</f>
        <v>-88007.049130629079</v>
      </c>
    </row>
    <row r="375" spans="1:17" x14ac:dyDescent="0.25">
      <c r="A375" s="5">
        <f>(375-2)/100</f>
        <v>3.73</v>
      </c>
      <c r="B375" s="5">
        <f>Dashboard!$C$10*EXP(-Dashboard!$C$12*A375)</f>
        <v>5.4207396533799058E-2</v>
      </c>
      <c r="C375" s="5">
        <f>Dashboard!$C$17*A375</f>
        <v>2984</v>
      </c>
      <c r="D375" s="5">
        <f>Dashboard!$C$15*(1-EXP(-Dashboard!$C$16*A375))</f>
        <v>0.67608303209207443</v>
      </c>
      <c r="E375" s="5">
        <f>1/(1+EXP(MIN(700,MAX(-700,(C375-Dashboard!$C$18)/Dashboard!$C$19))))</f>
        <v>0.1624650625806961</v>
      </c>
      <c r="F375" s="5">
        <f t="shared" si="31"/>
        <v>0.10983987211858563</v>
      </c>
      <c r="G375" s="8">
        <f>Dashboard!$C$9*B375*Dashboard!$C$11*(1-F375)</f>
        <v>96506.52606129022</v>
      </c>
      <c r="H375" s="8">
        <f>Dashboard!$C$20*A375^2</f>
        <v>111303.2</v>
      </c>
      <c r="I375" s="8">
        <f t="shared" si="32"/>
        <v>207809.72606129022</v>
      </c>
      <c r="J375" s="8">
        <f>Dashboard!$C$13*A375</f>
        <v>74600</v>
      </c>
      <c r="K375" s="8">
        <f>Dashboard!$C$14*A375</f>
        <v>111900</v>
      </c>
      <c r="L375" s="8">
        <f>Dashboard!$C$21-K375</f>
        <v>1388100</v>
      </c>
      <c r="M375" s="8">
        <f t="shared" si="33"/>
        <v>1105690.2739387099</v>
      </c>
      <c r="N375" s="8">
        <f t="shared" si="34"/>
        <v>186500</v>
      </c>
      <c r="O375" s="8">
        <f>Dashboard!$C$15*(Dashboard!$C$16*EXP(-Dashboard!$C$16*A375)*E375-(1-EXP(-Dashboard!$C$16*A375))*Dashboard!$C$17/Dashboard!$C$19*E375*(1-E375))</f>
        <v>-0.11259355158832635</v>
      </c>
      <c r="P375" s="8">
        <f>Dashboard!$C$9*B375*Dashboard!$C$11*(-Dashboard!$C$12*(1-F375)-O375)+2*Dashboard!$C$20*A375</f>
        <v>38109.522474742756</v>
      </c>
      <c r="Q375" s="8">
        <f>-P375-Dashboard!$C$13-Dashboard!$C$14</f>
        <v>-88109.522474742756</v>
      </c>
    </row>
    <row r="376" spans="1:17" x14ac:dyDescent="0.25">
      <c r="A376" s="5">
        <f>(376-2)/100</f>
        <v>3.74</v>
      </c>
      <c r="B376" s="5">
        <f>Dashboard!$C$10*EXP(-Dashboard!$C$12*A376)</f>
        <v>5.4018002279216208E-2</v>
      </c>
      <c r="C376" s="5">
        <f>Dashboard!$C$17*A376</f>
        <v>2992</v>
      </c>
      <c r="D376" s="5">
        <f>Dashboard!$C$15*(1-EXP(-Dashboard!$C$16*A376))</f>
        <v>0.67670107054789497</v>
      </c>
      <c r="E376" s="5">
        <f>1/(1+EXP(MIN(700,MAX(-700,(C376-Dashboard!$C$18)/Dashboard!$C$19))))</f>
        <v>0.16065894881088341</v>
      </c>
      <c r="F376" s="5">
        <f t="shared" si="31"/>
        <v>0.10871808265342427</v>
      </c>
      <c r="G376" s="8">
        <f>Dashboard!$C$9*B376*Dashboard!$C$11*(1-F376)</f>
        <v>96290.537285303028</v>
      </c>
      <c r="H376" s="8">
        <f>Dashboard!$C$20*A376^2</f>
        <v>111900.80000000002</v>
      </c>
      <c r="I376" s="8">
        <f t="shared" si="32"/>
        <v>208191.33728530305</v>
      </c>
      <c r="J376" s="8">
        <f>Dashboard!$C$13*A376</f>
        <v>74800</v>
      </c>
      <c r="K376" s="8">
        <f>Dashboard!$C$14*A376</f>
        <v>112200</v>
      </c>
      <c r="L376" s="8">
        <f>Dashboard!$C$21-K376</f>
        <v>1387800</v>
      </c>
      <c r="M376" s="8">
        <f t="shared" si="33"/>
        <v>1104808.662714697</v>
      </c>
      <c r="N376" s="8">
        <f t="shared" si="34"/>
        <v>187000</v>
      </c>
      <c r="O376" s="8">
        <f>Dashboard!$C$15*(Dashboard!$C$16*EXP(-Dashboard!$C$16*A376)*E376-(1-EXP(-Dashboard!$C$16*A376))*Dashboard!$C$17/Dashboard!$C$19*E376*(1-E376))</f>
        <v>-0.11176419483914596</v>
      </c>
      <c r="P376" s="8">
        <f>Dashboard!$C$9*B376*Dashboard!$C$11*(-Dashboard!$C$12*(1-F376)-O376)+2*Dashboard!$C$20*A376</f>
        <v>38212.86901325544</v>
      </c>
      <c r="Q376" s="8">
        <f>-P376-Dashboard!$C$13-Dashboard!$C$14</f>
        <v>-88212.869013255433</v>
      </c>
    </row>
    <row r="377" spans="1:17" x14ac:dyDescent="0.25">
      <c r="A377" s="5">
        <f>(377-2)/100</f>
        <v>3.75</v>
      </c>
      <c r="B377" s="5">
        <f>Dashboard!$C$10*EXP(-Dashboard!$C$12*A377)</f>
        <v>5.3829269745836773E-2</v>
      </c>
      <c r="C377" s="5">
        <f>Dashboard!$C$17*A377</f>
        <v>3000</v>
      </c>
      <c r="D377" s="5">
        <f>Dashboard!$C$15*(1-EXP(-Dashboard!$C$16*A377))</f>
        <v>0.67731602652405731</v>
      </c>
      <c r="E377" s="5">
        <f>1/(1+EXP(MIN(700,MAX(-700,(C377-Dashboard!$C$18)/Dashboard!$C$19))))</f>
        <v>0.15886910488091516</v>
      </c>
      <c r="F377" s="5">
        <f t="shared" si="31"/>
        <v>0.10760459085537517</v>
      </c>
      <c r="G377" s="8">
        <f>Dashboard!$C$9*B377*Dashboard!$C$11*(1-F377)</f>
        <v>96073.986397584755</v>
      </c>
      <c r="H377" s="8">
        <f>Dashboard!$C$20*A377^2</f>
        <v>112500</v>
      </c>
      <c r="I377" s="8">
        <f t="shared" si="32"/>
        <v>208573.98639758475</v>
      </c>
      <c r="J377" s="8">
        <f>Dashboard!$C$13*A377</f>
        <v>75000</v>
      </c>
      <c r="K377" s="8">
        <f>Dashboard!$C$14*A377</f>
        <v>112500</v>
      </c>
      <c r="L377" s="8">
        <f>Dashboard!$C$21-K377</f>
        <v>1387500</v>
      </c>
      <c r="M377" s="8">
        <f t="shared" si="33"/>
        <v>1103926.0136024153</v>
      </c>
      <c r="N377" s="8">
        <f t="shared" si="34"/>
        <v>187500</v>
      </c>
      <c r="O377" s="8">
        <f>Dashboard!$C$15*(Dashboard!$C$16*EXP(-Dashboard!$C$16*A377)*E377-(1-EXP(-Dashboard!$C$16*A377))*Dashboard!$C$17/Dashboard!$C$19*E377*(1-E377))</f>
        <v>-0.11093404790879434</v>
      </c>
      <c r="P377" s="8">
        <f>Dashboard!$C$9*B377*Dashboard!$C$11*(-Dashboard!$C$12*(1-F377)-O377)+2*Dashboard!$C$20*A377</f>
        <v>38317.102338605473</v>
      </c>
      <c r="Q377" s="8">
        <f>-P377-Dashboard!$C$13-Dashboard!$C$14</f>
        <v>-88317.102338605473</v>
      </c>
    </row>
    <row r="378" spans="1:17" x14ac:dyDescent="0.25">
      <c r="A378" s="5">
        <f>(378-2)/100</f>
        <v>3.76</v>
      </c>
      <c r="B378" s="5">
        <f>Dashboard!$C$10*EXP(-Dashboard!$C$12*A378)</f>
        <v>5.36411966216849E-2</v>
      </c>
      <c r="C378" s="5">
        <f>Dashboard!$C$17*A378</f>
        <v>3008</v>
      </c>
      <c r="D378" s="5">
        <f>Dashboard!$C$15*(1-EXP(-Dashboard!$C$16*A378))</f>
        <v>0.67792791539449293</v>
      </c>
      <c r="E378" s="5">
        <f>1/(1+EXP(MIN(700,MAX(-700,(C378-Dashboard!$C$18)/Dashboard!$C$19))))</f>
        <v>0.15709546888545273</v>
      </c>
      <c r="F378" s="5">
        <f t="shared" si="31"/>
        <v>0.10649940373943539</v>
      </c>
      <c r="G378" s="8">
        <f>Dashboard!$C$9*B378*Dashboard!$C$11*(1-F378)</f>
        <v>95856.88233121128</v>
      </c>
      <c r="H378" s="8">
        <f>Dashboard!$C$20*A378^2</f>
        <v>113100.79999999999</v>
      </c>
      <c r="I378" s="8">
        <f t="shared" si="32"/>
        <v>208957.68233121128</v>
      </c>
      <c r="J378" s="8">
        <f>Dashboard!$C$13*A378</f>
        <v>75200</v>
      </c>
      <c r="K378" s="8">
        <f>Dashboard!$C$14*A378</f>
        <v>112800</v>
      </c>
      <c r="L378" s="8">
        <f>Dashboard!$C$21-K378</f>
        <v>1387200</v>
      </c>
      <c r="M378" s="8">
        <f t="shared" si="33"/>
        <v>1103042.3176687886</v>
      </c>
      <c r="N378" s="8">
        <f t="shared" si="34"/>
        <v>188000</v>
      </c>
      <c r="O378" s="8">
        <f>Dashboard!$C$15*(Dashboard!$C$16*EXP(-Dashboard!$C$16*A378)*E378-(1-EXP(-Dashboard!$C$16*A378))*Dashboard!$C$17/Dashboard!$C$19*E378*(1-E378))</f>
        <v>-0.11010328761282683</v>
      </c>
      <c r="P378" s="8">
        <f>Dashboard!$C$9*B378*Dashboard!$C$11*(-Dashboard!$C$12*(1-F378)-O378)+2*Dashboard!$C$20*A378</f>
        <v>38422.235383143183</v>
      </c>
      <c r="Q378" s="8">
        <f>-P378-Dashboard!$C$13-Dashboard!$C$14</f>
        <v>-88422.235383143183</v>
      </c>
    </row>
    <row r="379" spans="1:17" x14ac:dyDescent="0.25">
      <c r="A379" s="5">
        <f>(379-2)/100</f>
        <v>3.77</v>
      </c>
      <c r="B379" s="5">
        <f>Dashboard!$C$10*EXP(-Dashboard!$C$12*A379)</f>
        <v>5.3453780602862426E-2</v>
      </c>
      <c r="C379" s="5">
        <f>Dashboard!$C$17*A379</f>
        <v>3016</v>
      </c>
      <c r="D379" s="5">
        <f>Dashboard!$C$15*(1-EXP(-Dashboard!$C$16*A379))</f>
        <v>0.67853675245645562</v>
      </c>
      <c r="E379" s="5">
        <f>1/(1+EXP(MIN(700,MAX(-700,(C379-Dashboard!$C$18)/Dashboard!$C$19))))</f>
        <v>0.15533797717999753</v>
      </c>
      <c r="F379" s="5">
        <f t="shared" si="31"/>
        <v>0.10540252656887054</v>
      </c>
      <c r="G379" s="8">
        <f>Dashboard!$C$9*B379*Dashboard!$C$11*(1-F379)</f>
        <v>95639.234145325288</v>
      </c>
      <c r="H379" s="8">
        <f>Dashboard!$C$20*A379^2</f>
        <v>113703.2</v>
      </c>
      <c r="I379" s="8">
        <f t="shared" si="32"/>
        <v>209342.43414532527</v>
      </c>
      <c r="J379" s="8">
        <f>Dashboard!$C$13*A379</f>
        <v>75400</v>
      </c>
      <c r="K379" s="8">
        <f>Dashboard!$C$14*A379</f>
        <v>113100</v>
      </c>
      <c r="L379" s="8">
        <f>Dashboard!$C$21-K379</f>
        <v>1386900</v>
      </c>
      <c r="M379" s="8">
        <f t="shared" si="33"/>
        <v>1102157.5658546747</v>
      </c>
      <c r="N379" s="8">
        <f t="shared" si="34"/>
        <v>188500</v>
      </c>
      <c r="O379" s="8">
        <f>Dashboard!$C$15*(Dashboard!$C$16*EXP(-Dashboard!$C$16*A379)*E379-(1-EXP(-Dashboard!$C$16*A379))*Dashboard!$C$17/Dashboard!$C$19*E379*(1-E379))</f>
        <v>-0.10927208748177125</v>
      </c>
      <c r="P379" s="8">
        <f>Dashboard!$C$9*B379*Dashboard!$C$11*(-Dashboard!$C$12*(1-F379)-O379)+2*Dashboard!$C$20*A379</f>
        <v>38528.280429670936</v>
      </c>
      <c r="Q379" s="8">
        <f>-P379-Dashboard!$C$13-Dashboard!$C$14</f>
        <v>-88528.280429670936</v>
      </c>
    </row>
    <row r="380" spans="1:17" x14ac:dyDescent="0.25">
      <c r="A380" s="5">
        <f>(380-2)/100</f>
        <v>3.78</v>
      </c>
      <c r="B380" s="5">
        <f>Dashboard!$C$10*EXP(-Dashboard!$C$12*A380)</f>
        <v>5.3267019393520777E-2</v>
      </c>
      <c r="C380" s="5">
        <f>Dashboard!$C$17*A380</f>
        <v>3024</v>
      </c>
      <c r="D380" s="5">
        <f>Dashboard!$C$15*(1-EXP(-Dashboard!$C$16*A380))</f>
        <v>0.67914255293090342</v>
      </c>
      <c r="E380" s="5">
        <f>1/(1+EXP(MIN(700,MAX(-700,(C380-Dashboard!$C$18)/Dashboard!$C$19))))</f>
        <v>0.15359656442950217</v>
      </c>
      <c r="F380" s="5">
        <f t="shared" si="31"/>
        <v>0.1043139628880681</v>
      </c>
      <c r="G380" s="8">
        <f>Dashboard!$C$9*B380*Dashboard!$C$11*(1-F380)</f>
        <v>95421.05101869411</v>
      </c>
      <c r="H380" s="8">
        <f>Dashboard!$C$20*A380^2</f>
        <v>114307.2</v>
      </c>
      <c r="I380" s="8">
        <f t="shared" si="32"/>
        <v>209728.25101869411</v>
      </c>
      <c r="J380" s="8">
        <f>Dashboard!$C$13*A380</f>
        <v>75600</v>
      </c>
      <c r="K380" s="8">
        <f>Dashboard!$C$14*A380</f>
        <v>113400</v>
      </c>
      <c r="L380" s="8">
        <f>Dashboard!$C$21-K380</f>
        <v>1386600</v>
      </c>
      <c r="M380" s="8">
        <f t="shared" si="33"/>
        <v>1101271.7489813059</v>
      </c>
      <c r="N380" s="8">
        <f t="shared" si="34"/>
        <v>189000</v>
      </c>
      <c r="O380" s="8">
        <f>Dashboard!$C$15*(Dashboard!$C$16*EXP(-Dashboard!$C$16*A380)*E380-(1-EXP(-Dashboard!$C$16*A380))*Dashboard!$C$17/Dashboard!$C$19*E380*(1-E380))</f>
        <v>-0.10844061776081215</v>
      </c>
      <c r="P380" s="8">
        <f>Dashboard!$C$9*B380*Dashboard!$C$11*(-Dashboard!$C$12*(1-F380)-O380)+2*Dashboard!$C$20*A380</f>
        <v>38635.249122078174</v>
      </c>
      <c r="Q380" s="8">
        <f>-P380-Dashboard!$C$13-Dashboard!$C$14</f>
        <v>-88635.249122078181</v>
      </c>
    </row>
    <row r="381" spans="1:17" x14ac:dyDescent="0.25">
      <c r="A381" s="5">
        <f>(381-2)/100</f>
        <v>3.79</v>
      </c>
      <c r="B381" s="5">
        <f>Dashboard!$C$10*EXP(-Dashboard!$C$12*A381)</f>
        <v>5.3080910705832818E-2</v>
      </c>
      <c r="C381" s="5">
        <f>Dashboard!$C$17*A381</f>
        <v>3032</v>
      </c>
      <c r="D381" s="5">
        <f>Dashboard!$C$15*(1-EXP(-Dashboard!$C$16*A381))</f>
        <v>0.67974533196287978</v>
      </c>
      <c r="E381" s="5">
        <f>1/(1+EXP(MIN(700,MAX(-700,(C381-Dashboard!$C$18)/Dashboard!$C$19))))</f>
        <v>0.15187116365665929</v>
      </c>
      <c r="F381" s="5">
        <f t="shared" si="31"/>
        <v>0.10323371455538471</v>
      </c>
      <c r="G381" s="8">
        <f>Dashboard!$C$9*B381*Dashboard!$C$11*(1-F381)</f>
        <v>95202.342243374005</v>
      </c>
      <c r="H381" s="8">
        <f>Dashboard!$C$20*A381^2</f>
        <v>114912.8</v>
      </c>
      <c r="I381" s="8">
        <f t="shared" si="32"/>
        <v>210115.14224337402</v>
      </c>
      <c r="J381" s="8">
        <f>Dashboard!$C$13*A381</f>
        <v>75800</v>
      </c>
      <c r="K381" s="8">
        <f>Dashboard!$C$14*A381</f>
        <v>113700</v>
      </c>
      <c r="L381" s="8">
        <f>Dashboard!$C$21-K381</f>
        <v>1386300</v>
      </c>
      <c r="M381" s="8">
        <f t="shared" si="33"/>
        <v>1100384.8577566259</v>
      </c>
      <c r="N381" s="8">
        <f t="shared" si="34"/>
        <v>189500</v>
      </c>
      <c r="O381" s="8">
        <f>Dashboard!$C$15*(Dashboard!$C$16*EXP(-Dashboard!$C$16*A381)*E381-(1-EXP(-Dashboard!$C$16*A381))*Dashboard!$C$17/Dashboard!$C$19*E381*(1-E381))</f>
        <v>-0.107609045411374</v>
      </c>
      <c r="P381" s="8">
        <f>Dashboard!$C$9*B381*Dashboard!$C$11*(-Dashboard!$C$12*(1-F381)-O381)+2*Dashboard!$C$20*A381</f>
        <v>38743.152476061208</v>
      </c>
      <c r="Q381" s="8">
        <f>-P381-Dashboard!$C$13-Dashboard!$C$14</f>
        <v>-88743.152476061208</v>
      </c>
    </row>
    <row r="382" spans="1:17" x14ac:dyDescent="0.25">
      <c r="A382" s="5">
        <f>(382-2)/100</f>
        <v>3.8</v>
      </c>
      <c r="B382" s="5">
        <f>Dashboard!$C$10*EXP(-Dashboard!$C$12*A382)</f>
        <v>5.2895452259964809E-2</v>
      </c>
      <c r="C382" s="5">
        <f>Dashboard!$C$17*A382</f>
        <v>3040</v>
      </c>
      <c r="D382" s="5">
        <f>Dashboard!$C$15*(1-EXP(-Dashboard!$C$16*A382))</f>
        <v>0.68034510462189202</v>
      </c>
      <c r="E382" s="5">
        <f>1/(1+EXP(MIN(700,MAX(-700,(C382-Dashboard!$C$18)/Dashboard!$C$19))))</f>
        <v>0.15016170628984732</v>
      </c>
      <c r="F382" s="5">
        <f t="shared" si="31"/>
        <v>0.10216178177596799</v>
      </c>
      <c r="G382" s="8">
        <f>Dashboard!$C$9*B382*Dashboard!$C$11*(1-F382)</f>
        <v>94983.117218482308</v>
      </c>
      <c r="H382" s="8">
        <f>Dashboard!$C$20*A382^2</f>
        <v>115520</v>
      </c>
      <c r="I382" s="8">
        <f t="shared" si="32"/>
        <v>210503.11721848231</v>
      </c>
      <c r="J382" s="8">
        <f>Dashboard!$C$13*A382</f>
        <v>76000</v>
      </c>
      <c r="K382" s="8">
        <f>Dashboard!$C$14*A382</f>
        <v>114000</v>
      </c>
      <c r="L382" s="8">
        <f>Dashboard!$C$21-K382</f>
        <v>1386000</v>
      </c>
      <c r="M382" s="8">
        <f t="shared" si="33"/>
        <v>1099496.8827815177</v>
      </c>
      <c r="N382" s="8">
        <f t="shared" si="34"/>
        <v>190000</v>
      </c>
      <c r="O382" s="8">
        <f>Dashboard!$C$15*(Dashboard!$C$16*EXP(-Dashboard!$C$16*A382)*E382-(1-EXP(-Dashboard!$C$16*A382))*Dashboard!$C$17/Dashboard!$C$19*E382*(1-E382))</f>
        <v>-0.10677753411454854</v>
      </c>
      <c r="P382" s="8">
        <f>Dashboard!$C$9*B382*Dashboard!$C$11*(-Dashboard!$C$12*(1-F382)-O382)+2*Dashboard!$C$20*A382</f>
        <v>38852.000889916933</v>
      </c>
      <c r="Q382" s="8">
        <f>-P382-Dashboard!$C$13-Dashboard!$C$14</f>
        <v>-88852.000889916933</v>
      </c>
    </row>
    <row r="383" spans="1:17" x14ac:dyDescent="0.25">
      <c r="A383" s="5">
        <f>(383-2)/100</f>
        <v>3.81</v>
      </c>
      <c r="B383" s="5">
        <f>Dashboard!$C$10*EXP(-Dashboard!$C$12*A383)</f>
        <v>5.2710641784048433E-2</v>
      </c>
      <c r="C383" s="5">
        <f>Dashboard!$C$17*A383</f>
        <v>3048</v>
      </c>
      <c r="D383" s="5">
        <f>Dashboard!$C$15*(1-EXP(-Dashboard!$C$16*A383))</f>
        <v>0.68094188590228777</v>
      </c>
      <c r="E383" s="5">
        <f>1/(1+EXP(MIN(700,MAX(-700,(C383-Dashboard!$C$18)/Dashboard!$C$19))))</f>
        <v>0.14846812221071454</v>
      </c>
      <c r="F383" s="5">
        <f t="shared" si="31"/>
        <v>0.10109816313453529</v>
      </c>
      <c r="G383" s="8">
        <f>Dashboard!$C$9*B383*Dashboard!$C$11*(1-F383)</f>
        <v>94763.385444077285</v>
      </c>
      <c r="H383" s="8">
        <f>Dashboard!$C$20*A383^2</f>
        <v>116128.8</v>
      </c>
      <c r="I383" s="8">
        <f t="shared" si="32"/>
        <v>210892.1854440773</v>
      </c>
      <c r="J383" s="8">
        <f>Dashboard!$C$13*A383</f>
        <v>76200</v>
      </c>
      <c r="K383" s="8">
        <f>Dashboard!$C$14*A383</f>
        <v>114300</v>
      </c>
      <c r="L383" s="8">
        <f>Dashboard!$C$21-K383</f>
        <v>1385700</v>
      </c>
      <c r="M383" s="8">
        <f t="shared" si="33"/>
        <v>1098607.8145559228</v>
      </c>
      <c r="N383" s="8">
        <f t="shared" si="34"/>
        <v>190500</v>
      </c>
      <c r="O383" s="8">
        <f>Dashboard!$C$15*(Dashboard!$C$16*EXP(-Dashboard!$C$16*A383)*E383-(1-EXP(-Dashboard!$C$16*A383))*Dashboard!$C$17/Dashboard!$C$19*E383*(1-E383))</f>
        <v>-0.10594624427631297</v>
      </c>
      <c r="P383" s="8">
        <f>Dashboard!$C$9*B383*Dashboard!$C$11*(-Dashboard!$C$12*(1-F383)-O383)+2*Dashboard!$C$20*A383</f>
        <v>38961.804155400998</v>
      </c>
      <c r="Q383" s="8">
        <f>-P383-Dashboard!$C$13-Dashboard!$C$14</f>
        <v>-88961.804155400998</v>
      </c>
    </row>
    <row r="384" spans="1:17" x14ac:dyDescent="0.25">
      <c r="A384" s="5">
        <f>(384-2)/100</f>
        <v>3.82</v>
      </c>
      <c r="B384" s="5">
        <f>Dashboard!$C$10*EXP(-Dashboard!$C$12*A384)</f>
        <v>5.2526477014153077E-2</v>
      </c>
      <c r="C384" s="5">
        <f>Dashboard!$C$17*A384</f>
        <v>3056</v>
      </c>
      <c r="D384" s="5">
        <f>Dashboard!$C$15*(1-EXP(-Dashboard!$C$16*A384))</f>
        <v>0.68153569072363007</v>
      </c>
      <c r="E384" s="5">
        <f>1/(1+EXP(MIN(700,MAX(-700,(C384-Dashboard!$C$18)/Dashboard!$C$19))))</f>
        <v>0.14679033980138237</v>
      </c>
      <c r="F384" s="5">
        <f t="shared" si="31"/>
        <v>0.1000428556280915</v>
      </c>
      <c r="G384" s="8">
        <f>Dashboard!$C$9*B384*Dashboard!$C$11*(1-F384)</f>
        <v>94543.156515147784</v>
      </c>
      <c r="H384" s="8">
        <f>Dashboard!$C$20*A384^2</f>
        <v>116739.2</v>
      </c>
      <c r="I384" s="8">
        <f t="shared" si="32"/>
        <v>211282.35651514778</v>
      </c>
      <c r="J384" s="8">
        <f>Dashboard!$C$13*A384</f>
        <v>76400</v>
      </c>
      <c r="K384" s="8">
        <f>Dashboard!$C$14*A384</f>
        <v>114600</v>
      </c>
      <c r="L384" s="8">
        <f>Dashboard!$C$21-K384</f>
        <v>1385400</v>
      </c>
      <c r="M384" s="8">
        <f t="shared" si="33"/>
        <v>1097717.6434848523</v>
      </c>
      <c r="N384" s="8">
        <f t="shared" si="34"/>
        <v>191000</v>
      </c>
      <c r="O384" s="8">
        <f>Dashboard!$C$15*(Dashboard!$C$16*EXP(-Dashboard!$C$16*A384)*E384-(1-EXP(-Dashboard!$C$16*A384))*Dashboard!$C$17/Dashboard!$C$19*E384*(1-E384))</f>
        <v>-0.10511533303448387</v>
      </c>
      <c r="P384" s="8">
        <f>Dashboard!$C$9*B384*Dashboard!$C$11*(-Dashboard!$C$12*(1-F384)-O384)+2*Dashboard!$C$20*A384</f>
        <v>39072.571468640002</v>
      </c>
      <c r="Q384" s="8">
        <f>-P384-Dashboard!$C$13-Dashboard!$C$14</f>
        <v>-89072.571468640002</v>
      </c>
    </row>
    <row r="385" spans="1:17" x14ac:dyDescent="0.25">
      <c r="A385" s="5">
        <f>(385-2)/100</f>
        <v>3.83</v>
      </c>
      <c r="B385" s="5">
        <f>Dashboard!$C$10*EXP(-Dashboard!$C$12*A385)</f>
        <v>5.2342955694258002E-2</v>
      </c>
      <c r="C385" s="5">
        <f>Dashboard!$C$17*A385</f>
        <v>3064</v>
      </c>
      <c r="D385" s="5">
        <f>Dashboard!$C$15*(1-EXP(-Dashboard!$C$16*A385))</f>
        <v>0.68212653393107048</v>
      </c>
      <c r="E385" s="5">
        <f>1/(1+EXP(MIN(700,MAX(-700,(C385-Dashboard!$C$18)/Dashboard!$C$19))))</f>
        <v>0.14512828599125058</v>
      </c>
      <c r="F385" s="5">
        <f t="shared" si="31"/>
        <v>9.8995854698568891E-2</v>
      </c>
      <c r="G385" s="8">
        <f>Dashboard!$C$9*B385*Dashboard!$C$11*(1-F385)</f>
        <v>94322.440115711201</v>
      </c>
      <c r="H385" s="8">
        <f>Dashboard!$C$20*A385^2</f>
        <v>117351.20000000001</v>
      </c>
      <c r="I385" s="8">
        <f t="shared" si="32"/>
        <v>211673.6401157112</v>
      </c>
      <c r="J385" s="8">
        <f>Dashboard!$C$13*A385</f>
        <v>76600</v>
      </c>
      <c r="K385" s="8">
        <f>Dashboard!$C$14*A385</f>
        <v>114900</v>
      </c>
      <c r="L385" s="8">
        <f>Dashboard!$C$21-K385</f>
        <v>1385100</v>
      </c>
      <c r="M385" s="8">
        <f t="shared" si="33"/>
        <v>1096826.3598842889</v>
      </c>
      <c r="N385" s="8">
        <f t="shared" si="34"/>
        <v>191500</v>
      </c>
      <c r="O385" s="8">
        <f>Dashboard!$C$15*(Dashboard!$C$16*EXP(-Dashboard!$C$16*A385)*E385-(1-EXP(-Dashboard!$C$16*A385))*Dashboard!$C$17/Dashboard!$C$19*E385*(1-E385))</f>
        <v>-0.10428495426735314</v>
      </c>
      <c r="P385" s="8">
        <f>Dashboard!$C$9*B385*Dashboard!$C$11*(-Dashboard!$C$12*(1-F385)-O385)+2*Dashboard!$C$20*A385</f>
        <v>39184.311441088648</v>
      </c>
      <c r="Q385" s="8">
        <f>-P385-Dashboard!$C$13-Dashboard!$C$14</f>
        <v>-89184.311441088648</v>
      </c>
    </row>
    <row r="386" spans="1:17" x14ac:dyDescent="0.25">
      <c r="A386" s="5">
        <f>(386-2)/100</f>
        <v>3.84</v>
      </c>
      <c r="B386" s="5">
        <f>Dashboard!$C$10*EXP(-Dashboard!$C$12*A386)</f>
        <v>5.2160075576224742E-2</v>
      </c>
      <c r="C386" s="5">
        <f>Dashboard!$C$17*A386</f>
        <v>3072</v>
      </c>
      <c r="D386" s="5">
        <f>Dashboard!$C$15*(1-EXP(-Dashboard!$C$16*A386))</f>
        <v>0.68271443029571988</v>
      </c>
      <c r="E386" s="5">
        <f>1/(1+EXP(MIN(700,MAX(-700,(C386-Dashboard!$C$18)/Dashboard!$C$19))))</f>
        <v>0.14348188630338726</v>
      </c>
      <c r="F386" s="5">
        <f t="shared" si="31"/>
        <v>9.7957154265372284E-2</v>
      </c>
      <c r="G386" s="8">
        <f>Dashboard!$C$9*B386*Dashboard!$C$11*(1-F386)</f>
        <v>94101.246013022028</v>
      </c>
      <c r="H386" s="8">
        <f>Dashboard!$C$20*A386^2</f>
        <v>117964.8</v>
      </c>
      <c r="I386" s="8">
        <f t="shared" si="32"/>
        <v>212066.04601302202</v>
      </c>
      <c r="J386" s="8">
        <f>Dashboard!$C$13*A386</f>
        <v>76800</v>
      </c>
      <c r="K386" s="8">
        <f>Dashboard!$C$14*A386</f>
        <v>115200</v>
      </c>
      <c r="L386" s="8">
        <f>Dashboard!$C$21-K386</f>
        <v>1384800</v>
      </c>
      <c r="M386" s="8">
        <f t="shared" si="33"/>
        <v>1095933.9539869779</v>
      </c>
      <c r="N386" s="8">
        <f t="shared" si="34"/>
        <v>192000</v>
      </c>
      <c r="O386" s="8">
        <f>Dashboard!$C$15*(Dashboard!$C$16*EXP(-Dashboard!$C$16*A386)*E386-(1-EXP(-Dashboard!$C$16*A386))*Dashboard!$C$17/Dashboard!$C$19*E386*(1-E386))</f>
        <v>-0.10345525860395091</v>
      </c>
      <c r="P386" s="8">
        <f>Dashboard!$C$9*B386*Dashboard!$C$11*(-Dashboard!$C$12*(1-F386)-O386)+2*Dashboard!$C$20*A386</f>
        <v>39297.032110522196</v>
      </c>
      <c r="Q386" s="8">
        <f>-P386-Dashboard!$C$13-Dashboard!$C$14</f>
        <v>-89297.032110522196</v>
      </c>
    </row>
    <row r="387" spans="1:17" x14ac:dyDescent="0.25">
      <c r="A387" s="5">
        <f>(387-2)/100</f>
        <v>3.85</v>
      </c>
      <c r="B387" s="5">
        <f>Dashboard!$C$10*EXP(-Dashboard!$C$12*A387)</f>
        <v>5.1977834419769553E-2</v>
      </c>
      <c r="C387" s="5">
        <f>Dashboard!$C$17*A387</f>
        <v>3080</v>
      </c>
      <c r="D387" s="5">
        <f>Dashboard!$C$15*(1-EXP(-Dashboard!$C$16*A387))</f>
        <v>0.6832993945150182</v>
      </c>
      <c r="E387" s="5">
        <f>1/(1+EXP(MIN(700,MAX(-700,(C387-Dashboard!$C$18)/Dashboard!$C$19))))</f>
        <v>0.14185106490048777</v>
      </c>
      <c r="F387" s="5">
        <f t="shared" si="31"/>
        <v>9.6926746757813848E-2</v>
      </c>
      <c r="G387" s="8">
        <f>Dashboard!$C$9*B387*Dashboard!$C$11*(1-F387)</f>
        <v>93879.584051889935</v>
      </c>
      <c r="H387" s="8">
        <f>Dashboard!$C$20*A387^2</f>
        <v>118580.00000000001</v>
      </c>
      <c r="I387" s="8">
        <f t="shared" si="32"/>
        <v>212459.58405188995</v>
      </c>
      <c r="J387" s="8">
        <f>Dashboard!$C$13*A387</f>
        <v>77000</v>
      </c>
      <c r="K387" s="8">
        <f>Dashboard!$C$14*A387</f>
        <v>115500</v>
      </c>
      <c r="L387" s="8">
        <f>Dashboard!$C$21-K387</f>
        <v>1384500</v>
      </c>
      <c r="M387" s="8">
        <f t="shared" si="33"/>
        <v>1095040.4159481102</v>
      </c>
      <c r="N387" s="8">
        <f t="shared" si="34"/>
        <v>192500</v>
      </c>
      <c r="O387" s="8">
        <f>Dashboard!$C$15*(Dashboard!$C$16*EXP(-Dashboard!$C$16*A387)*E387-(1-EXP(-Dashboard!$C$16*A387))*Dashboard!$C$17/Dashboard!$C$19*E387*(1-E387))</f>
        <v>-0.10262639343588252</v>
      </c>
      <c r="P387" s="8">
        <f>Dashboard!$C$9*B387*Dashboard!$C$11*(-Dashboard!$C$12*(1-F387)-O387)+2*Dashboard!$C$20*A387</f>
        <v>39410.740952055377</v>
      </c>
      <c r="Q387" s="8">
        <f>-P387-Dashboard!$C$13-Dashboard!$C$14</f>
        <v>-89410.740952055377</v>
      </c>
    </row>
    <row r="388" spans="1:17" x14ac:dyDescent="0.25">
      <c r="A388" s="5">
        <f>(388-2)/100</f>
        <v>3.86</v>
      </c>
      <c r="B388" s="5">
        <f>Dashboard!$C$10*EXP(-Dashboard!$C$12*A388)</f>
        <v>5.1796229992436008E-2</v>
      </c>
      <c r="C388" s="5">
        <f>Dashboard!$C$17*A388</f>
        <v>3088</v>
      </c>
      <c r="D388" s="5">
        <f>Dashboard!$C$15*(1-EXP(-Dashboard!$C$16*A388))</f>
        <v>0.68388144121310113</v>
      </c>
      <c r="E388" s="5">
        <f>1/(1+EXP(MIN(700,MAX(-700,(C388-Dashboard!$C$18)/Dashboard!$C$19))))</f>
        <v>0.14023574463038752</v>
      </c>
      <c r="F388" s="5">
        <f t="shared" si="31"/>
        <v>9.5904623147421819E-2</v>
      </c>
      <c r="G388" s="8">
        <f>Dashboard!$C$9*B388*Dashboard!$C$11*(1-F388)</f>
        <v>93657.464149108477</v>
      </c>
      <c r="H388" s="8">
        <f>Dashboard!$C$20*A388^2</f>
        <v>119196.8</v>
      </c>
      <c r="I388" s="8">
        <f t="shared" si="32"/>
        <v>212854.26414910849</v>
      </c>
      <c r="J388" s="8">
        <f>Dashboard!$C$13*A388</f>
        <v>77200</v>
      </c>
      <c r="K388" s="8">
        <f>Dashboard!$C$14*A388</f>
        <v>115800</v>
      </c>
      <c r="L388" s="8">
        <f>Dashboard!$C$21-K388</f>
        <v>1384200</v>
      </c>
      <c r="M388" s="8">
        <f t="shared" si="33"/>
        <v>1094145.7358508916</v>
      </c>
      <c r="N388" s="8">
        <f t="shared" si="34"/>
        <v>193000</v>
      </c>
      <c r="O388" s="8">
        <f>Dashboard!$C$15*(Dashboard!$C$16*EXP(-Dashboard!$C$16*A388)*E388-(1-EXP(-Dashboard!$C$16*A388))*Dashboard!$C$17/Dashboard!$C$19*E388*(1-E388))</f>
        <v>-0.10179850293068447</v>
      </c>
      <c r="P388" s="8">
        <f>Dashboard!$C$9*B388*Dashboard!$C$11*(-Dashboard!$C$12*(1-F388)-O388)+2*Dashboard!$C$20*A388</f>
        <v>39525.444889178849</v>
      </c>
      <c r="Q388" s="8">
        <f>-P388-Dashboard!$C$13-Dashboard!$C$14</f>
        <v>-89525.444889178849</v>
      </c>
    </row>
    <row r="389" spans="1:17" x14ac:dyDescent="0.25">
      <c r="A389" s="5">
        <f>(389-2)/100</f>
        <v>3.87</v>
      </c>
      <c r="B389" s="5">
        <f>Dashboard!$C$10*EXP(-Dashboard!$C$12*A389)</f>
        <v>5.1615260069567598E-2</v>
      </c>
      <c r="C389" s="5">
        <f>Dashboard!$C$17*A389</f>
        <v>3096</v>
      </c>
      <c r="D389" s="5">
        <f>Dashboard!$C$15*(1-EXP(-Dashboard!$C$16*A389))</f>
        <v>0.68446058494116646</v>
      </c>
      <c r="E389" s="5">
        <f>1/(1+EXP(MIN(700,MAX(-700,(C389-Dashboard!$C$18)/Dashboard!$C$19))))</f>
        <v>0.13863584707111309</v>
      </c>
      <c r="F389" s="5">
        <f t="shared" si="31"/>
        <v>9.4890772980108173E-2</v>
      </c>
      <c r="G389" s="8">
        <f>Dashboard!$C$9*B389*Dashboard!$C$11*(1-F389)</f>
        <v>93434.896287994037</v>
      </c>
      <c r="H389" s="8">
        <f>Dashboard!$C$20*A389^2</f>
        <v>119815.20000000001</v>
      </c>
      <c r="I389" s="8">
        <f t="shared" si="32"/>
        <v>213250.09628799406</v>
      </c>
      <c r="J389" s="8">
        <f>Dashboard!$C$13*A389</f>
        <v>77400</v>
      </c>
      <c r="K389" s="8">
        <f>Dashboard!$C$14*A389</f>
        <v>116100</v>
      </c>
      <c r="L389" s="8">
        <f>Dashboard!$C$21-K389</f>
        <v>1383900</v>
      </c>
      <c r="M389" s="8">
        <f t="shared" si="33"/>
        <v>1093249.9037120058</v>
      </c>
      <c r="N389" s="8">
        <f t="shared" si="34"/>
        <v>193500</v>
      </c>
      <c r="O389" s="8">
        <f>Dashboard!$C$15*(Dashboard!$C$16*EXP(-Dashboard!$C$16*A389)*E389-(1-EXP(-Dashboard!$C$16*A389))*Dashboard!$C$17/Dashboard!$C$19*E389*(1-E389))</f>
        <v>-0.10097172804664641</v>
      </c>
      <c r="P389" s="8">
        <f>Dashboard!$C$9*B389*Dashboard!$C$11*(-Dashboard!$C$12*(1-F389)-O389)+2*Dashboard!$C$20*A389</f>
        <v>39641.150304804702</v>
      </c>
      <c r="Q389" s="8">
        <f>-P389-Dashboard!$C$13-Dashboard!$C$14</f>
        <v>-89641.150304804702</v>
      </c>
    </row>
    <row r="390" spans="1:17" x14ac:dyDescent="0.25">
      <c r="A390" s="5">
        <f>(390-2)/100</f>
        <v>3.88</v>
      </c>
      <c r="B390" s="5">
        <f>Dashboard!$C$10*EXP(-Dashboard!$C$12*A390)</f>
        <v>5.1434922434280494E-2</v>
      </c>
      <c r="C390" s="5">
        <f>Dashboard!$C$17*A390</f>
        <v>3104</v>
      </c>
      <c r="D390" s="5">
        <f>Dashboard!$C$15*(1-EXP(-Dashboard!$C$16*A390))</f>
        <v>0.68503684017783772</v>
      </c>
      <c r="E390" s="5">
        <f>1/(1+EXP(MIN(700,MAX(-700,(C390-Dashboard!$C$18)/Dashboard!$C$19))))</f>
        <v>0.13705129257545964</v>
      </c>
      <c r="F390" s="5">
        <f t="shared" si="31"/>
        <v>9.3885184408181221E-2</v>
      </c>
      <c r="G390" s="8">
        <f>Dashboard!$C$9*B390*Dashboard!$C$11*(1-F390)</f>
        <v>93211.890513035149</v>
      </c>
      <c r="H390" s="8">
        <f>Dashboard!$C$20*A390^2</f>
        <v>120435.2</v>
      </c>
      <c r="I390" s="8">
        <f t="shared" si="32"/>
        <v>213647.09051303513</v>
      </c>
      <c r="J390" s="8">
        <f>Dashboard!$C$13*A390</f>
        <v>77600</v>
      </c>
      <c r="K390" s="8">
        <f>Dashboard!$C$14*A390</f>
        <v>116400</v>
      </c>
      <c r="L390" s="8">
        <f>Dashboard!$C$21-K390</f>
        <v>1383600</v>
      </c>
      <c r="M390" s="8">
        <f t="shared" si="33"/>
        <v>1092352.9094869648</v>
      </c>
      <c r="N390" s="8">
        <f t="shared" si="34"/>
        <v>194000</v>
      </c>
      <c r="O390" s="8">
        <f>Dashboard!$C$15*(Dashboard!$C$16*EXP(-Dashboard!$C$16*A390)*E390-(1-EXP(-Dashboard!$C$16*A390))*Dashboard!$C$17/Dashboard!$C$19*E390*(1-E390))</f>
        <v>-0.10014620654904621</v>
      </c>
      <c r="P390" s="8">
        <f>Dashboard!$C$9*B390*Dashboard!$C$11*(-Dashboard!$C$12*(1-F390)-O390)+2*Dashboard!$C$20*A390</f>
        <v>39757.863052312954</v>
      </c>
      <c r="Q390" s="8">
        <f>-P390-Dashboard!$C$13-Dashboard!$C$14</f>
        <v>-89757.863052312954</v>
      </c>
    </row>
    <row r="391" spans="1:17" x14ac:dyDescent="0.25">
      <c r="A391" s="5">
        <f>(391-2)/100</f>
        <v>3.89</v>
      </c>
      <c r="B391" s="5">
        <f>Dashboard!$C$10*EXP(-Dashboard!$C$12*A391)</f>
        <v>5.1255214877436422E-2</v>
      </c>
      <c r="C391" s="5">
        <f>Dashboard!$C$17*A391</f>
        <v>3112</v>
      </c>
      <c r="D391" s="5">
        <f>Dashboard!$C$15*(1-EXP(-Dashboard!$C$16*A391))</f>
        <v>0.68561022132952576</v>
      </c>
      <c r="E391" s="5">
        <f>1/(1+EXP(MIN(700,MAX(-700,(C391-Dashboard!$C$18)/Dashboard!$C$19))))</f>
        <v>0.13548200031507995</v>
      </c>
      <c r="F391" s="5">
        <f t="shared" si="31"/>
        <v>9.2887844222188848E-2</v>
      </c>
      <c r="G391" s="8">
        <f>Dashboard!$C$9*B391*Dashboard!$C$11*(1-F391)</f>
        <v>92988.456924652579</v>
      </c>
      <c r="H391" s="8">
        <f>Dashboard!$C$20*A391^2</f>
        <v>121056.8</v>
      </c>
      <c r="I391" s="8">
        <f t="shared" si="32"/>
        <v>214045.25692465258</v>
      </c>
      <c r="J391" s="8">
        <f>Dashboard!$C$13*A391</f>
        <v>77800</v>
      </c>
      <c r="K391" s="8">
        <f>Dashboard!$C$14*A391</f>
        <v>116700</v>
      </c>
      <c r="L391" s="8">
        <f>Dashboard!$C$21-K391</f>
        <v>1383300</v>
      </c>
      <c r="M391" s="8">
        <f t="shared" si="33"/>
        <v>1091454.7430753475</v>
      </c>
      <c r="N391" s="8">
        <f t="shared" si="34"/>
        <v>194500</v>
      </c>
      <c r="O391" s="8">
        <f>Dashboard!$C$15*(Dashboard!$C$16*EXP(-Dashboard!$C$16*A391)*E391-(1-EXP(-Dashboard!$C$16*A391))*Dashboard!$C$17/Dashboard!$C$19*E391*(1-E391))</f>
        <v>-9.9322073027743984E-2</v>
      </c>
      <c r="P391" s="8">
        <f>Dashboard!$C$9*B391*Dashboard!$C$11*(-Dashboard!$C$12*(1-F391)-O391)+2*Dashboard!$C$20*A391</f>
        <v>39875.588466590503</v>
      </c>
      <c r="Q391" s="8">
        <f>-P391-Dashboard!$C$13-Dashboard!$C$14</f>
        <v>-89875.588466590503</v>
      </c>
    </row>
    <row r="392" spans="1:17" x14ac:dyDescent="0.25">
      <c r="A392" s="5">
        <f>(392-2)/100</f>
        <v>3.9</v>
      </c>
      <c r="B392" s="5">
        <f>Dashboard!$C$10*EXP(-Dashboard!$C$12*A392)</f>
        <v>5.1076135197615537E-2</v>
      </c>
      <c r="C392" s="5">
        <f>Dashboard!$C$17*A392</f>
        <v>3120</v>
      </c>
      <c r="D392" s="5">
        <f>Dashboard!$C$15*(1-EXP(-Dashboard!$C$16*A392))</f>
        <v>0.68618074273078911</v>
      </c>
      <c r="E392" s="5">
        <f>1/(1+EXP(MIN(700,MAX(-700,(C392-Dashboard!$C$18)/Dashboard!$C$19))))</f>
        <v>0.13392788832407365</v>
      </c>
      <c r="F392" s="5">
        <f t="shared" si="31"/>
        <v>9.1898737882579032E-2</v>
      </c>
      <c r="G392" s="8">
        <f>Dashboard!$C$9*B392*Dashboard!$C$11*(1-F392)</f>
        <v>92764.605674069389</v>
      </c>
      <c r="H392" s="8">
        <f>Dashboard!$C$20*A392^2</f>
        <v>121679.99999999999</v>
      </c>
      <c r="I392" s="8">
        <f t="shared" si="32"/>
        <v>214444.60567406937</v>
      </c>
      <c r="J392" s="8">
        <f>Dashboard!$C$13*A392</f>
        <v>78000</v>
      </c>
      <c r="K392" s="8">
        <f>Dashboard!$C$14*A392</f>
        <v>117000</v>
      </c>
      <c r="L392" s="8">
        <f>Dashboard!$C$21-K392</f>
        <v>1383000</v>
      </c>
      <c r="M392" s="8">
        <f t="shared" si="33"/>
        <v>1090555.3943259306</v>
      </c>
      <c r="N392" s="8">
        <f t="shared" si="34"/>
        <v>195000</v>
      </c>
      <c r="O392" s="8">
        <f>Dashboard!$C$15*(Dashboard!$C$16*EXP(-Dashboard!$C$16*A392)*E392-(1-EXP(-Dashboard!$C$16*A392))*Dashboard!$C$17/Dashboard!$C$19*E392*(1-E392))</f>
        <v>-9.849945891608361E-2</v>
      </c>
      <c r="P392" s="8">
        <f>Dashboard!$C$9*B392*Dashboard!$C$11*(-Dashboard!$C$12*(1-F392)-O392)+2*Dashboard!$C$20*A392</f>
        <v>39994.331375055444</v>
      </c>
      <c r="Q392" s="8">
        <f>-P392-Dashboard!$C$13-Dashboard!$C$14</f>
        <v>-89994.331375055452</v>
      </c>
    </row>
    <row r="393" spans="1:17" x14ac:dyDescent="0.25">
      <c r="A393" s="5">
        <f>(393-2)/100</f>
        <v>3.91</v>
      </c>
      <c r="B393" s="5">
        <f>Dashboard!$C$10*EXP(-Dashboard!$C$12*A393)</f>
        <v>5.0897681201089555E-2</v>
      </c>
      <c r="C393" s="5">
        <f>Dashboard!$C$17*A393</f>
        <v>3128</v>
      </c>
      <c r="D393" s="5">
        <f>Dashboard!$C$15*(1-EXP(-Dashboard!$C$16*A393))</f>
        <v>0.68674841864469283</v>
      </c>
      <c r="E393" s="5">
        <f>1/(1+EXP(MIN(700,MAX(-700,(C393-Dashboard!$C$18)/Dashboard!$C$19))))</f>
        <v>0.13238887354206538</v>
      </c>
      <c r="F393" s="5">
        <f t="shared" si="31"/>
        <v>9.0917849551165622E-2</v>
      </c>
      <c r="G393" s="8">
        <f>Dashboard!$C$9*B393*Dashboard!$C$11*(1-F393)</f>
        <v>92540.346958291397</v>
      </c>
      <c r="H393" s="8">
        <f>Dashboard!$C$20*A393^2</f>
        <v>122304.80000000002</v>
      </c>
      <c r="I393" s="8">
        <f t="shared" si="32"/>
        <v>214845.14695829141</v>
      </c>
      <c r="J393" s="8">
        <f>Dashboard!$C$13*A393</f>
        <v>78200</v>
      </c>
      <c r="K393" s="8">
        <f>Dashboard!$C$14*A393</f>
        <v>117300</v>
      </c>
      <c r="L393" s="8">
        <f>Dashboard!$C$21-K393</f>
        <v>1382700</v>
      </c>
      <c r="M393" s="8">
        <f t="shared" si="33"/>
        <v>1089654.8530417085</v>
      </c>
      <c r="N393" s="8">
        <f t="shared" si="34"/>
        <v>195500</v>
      </c>
      <c r="O393" s="8">
        <f>Dashboard!$C$15*(Dashboard!$C$16*EXP(-Dashboard!$C$16*A393)*E393-(1-EXP(-Dashboard!$C$16*A393))*Dashboard!$C$17/Dashboard!$C$19*E393*(1-E393))</f>
        <v>-9.7678492511049764E-2</v>
      </c>
      <c r="P393" s="8">
        <f>Dashboard!$C$9*B393*Dashboard!$C$11*(-Dashboard!$C$12*(1-F393)-O393)+2*Dashboard!$C$20*A393</f>
        <v>40114.096108658865</v>
      </c>
      <c r="Q393" s="8">
        <f>-P393-Dashboard!$C$13-Dashboard!$C$14</f>
        <v>-90114.096108658865</v>
      </c>
    </row>
    <row r="394" spans="1:17" x14ac:dyDescent="0.25">
      <c r="A394" s="5">
        <f>(394-2)/100</f>
        <v>3.92</v>
      </c>
      <c r="B394" s="5">
        <f>Dashboard!$C$10*EXP(-Dashboard!$C$12*A394)</f>
        <v>5.0719850701794779E-2</v>
      </c>
      <c r="C394" s="5">
        <f>Dashboard!$C$17*A394</f>
        <v>3136</v>
      </c>
      <c r="D394" s="5">
        <f>Dashboard!$C$15*(1-EXP(-Dashboard!$C$16*A394))</f>
        <v>0.687313263263164</v>
      </c>
      <c r="E394" s="5">
        <f>1/(1+EXP(MIN(700,MAX(-700,(C394-Dashboard!$C$18)/Dashboard!$C$19))))</f>
        <v>0.1308648718567603</v>
      </c>
      <c r="F394" s="5">
        <f t="shared" si="31"/>
        <v>8.9945162122385708E-2</v>
      </c>
      <c r="G394" s="8">
        <f>Dashboard!$C$9*B394*Dashboard!$C$11*(1-F394)</f>
        <v>92315.691015197299</v>
      </c>
      <c r="H394" s="8">
        <f>Dashboard!$C$20*A394^2</f>
        <v>122931.19999999998</v>
      </c>
      <c r="I394" s="8">
        <f t="shared" si="32"/>
        <v>215246.89101519727</v>
      </c>
      <c r="J394" s="8">
        <f>Dashboard!$C$13*A394</f>
        <v>78400</v>
      </c>
      <c r="K394" s="8">
        <f>Dashboard!$C$14*A394</f>
        <v>117600</v>
      </c>
      <c r="L394" s="8">
        <f>Dashboard!$C$21-K394</f>
        <v>1382400</v>
      </c>
      <c r="M394" s="8">
        <f t="shared" si="33"/>
        <v>1088753.1089848028</v>
      </c>
      <c r="N394" s="8">
        <f t="shared" si="34"/>
        <v>196000</v>
      </c>
      <c r="O394" s="8">
        <f>Dashboard!$C$15*(Dashboard!$C$16*EXP(-Dashboard!$C$16*A394)*E394-(1-EXP(-Dashboard!$C$16*A394))*Dashboard!$C$17/Dashboard!$C$19*E394*(1-E394))</f>
        <v>-9.6859298994627627E-2</v>
      </c>
      <c r="P394" s="8">
        <f>Dashboard!$C$9*B394*Dashboard!$C$11*(-Dashboard!$C$12*(1-F394)-O394)+2*Dashboard!$C$20*A394</f>
        <v>40234.886512856974</v>
      </c>
      <c r="Q394" s="8">
        <f>-P394-Dashboard!$C$13-Dashboard!$C$14</f>
        <v>-90234.886512856974</v>
      </c>
    </row>
    <row r="395" spans="1:17" x14ac:dyDescent="0.25">
      <c r="A395" s="5">
        <f>(395-2)/100</f>
        <v>3.93</v>
      </c>
      <c r="B395" s="5">
        <f>Dashboard!$C$10*EXP(-Dashboard!$C$12*A395)</f>
        <v>5.0542641521305359E-2</v>
      </c>
      <c r="C395" s="5">
        <f>Dashboard!$C$17*A395</f>
        <v>3144</v>
      </c>
      <c r="D395" s="5">
        <f>Dashboard!$C$15*(1-EXP(-Dashboard!$C$16*A395))</f>
        <v>0.68787529070734776</v>
      </c>
      <c r="E395" s="5">
        <f>1/(1+EXP(MIN(700,MAX(-700,(C395-Dashboard!$C$18)/Dashboard!$C$19))))</f>
        <v>0.12935579814596745</v>
      </c>
      <c r="F395" s="5">
        <f t="shared" si="31"/>
        <v>8.8980657254338361E-2</v>
      </c>
      <c r="G395" s="8">
        <f>Dashboard!$C$9*B395*Dashboard!$C$11*(1-F395)</f>
        <v>92090.648118738405</v>
      </c>
      <c r="H395" s="8">
        <f>Dashboard!$C$20*A395^2</f>
        <v>123559.2</v>
      </c>
      <c r="I395" s="8">
        <f t="shared" si="32"/>
        <v>215649.84811873839</v>
      </c>
      <c r="J395" s="8">
        <f>Dashboard!$C$13*A395</f>
        <v>78600</v>
      </c>
      <c r="K395" s="8">
        <f>Dashboard!$C$14*A395</f>
        <v>117900</v>
      </c>
      <c r="L395" s="8">
        <f>Dashboard!$C$21-K395</f>
        <v>1382100</v>
      </c>
      <c r="M395" s="8">
        <f t="shared" si="33"/>
        <v>1087850.1518812617</v>
      </c>
      <c r="N395" s="8">
        <f t="shared" si="34"/>
        <v>196500</v>
      </c>
      <c r="O395" s="8">
        <f>Dashboard!$C$15*(Dashboard!$C$16*EXP(-Dashboard!$C$16*A395)*E395-(1-EXP(-Dashboard!$C$16*A395))*Dashboard!$C$17/Dashboard!$C$19*E395*(1-E395))</f>
        <v>-9.6042000456316404E-2</v>
      </c>
      <c r="P395" s="8">
        <f>Dashboard!$C$9*B395*Dashboard!$C$11*(-Dashboard!$C$12*(1-F395)-O395)+2*Dashboard!$C$20*A395</f>
        <v>40356.705958546852</v>
      </c>
      <c r="Q395" s="8">
        <f>-P395-Dashboard!$C$13-Dashboard!$C$14</f>
        <v>-90356.705958546852</v>
      </c>
    </row>
    <row r="396" spans="1:17" x14ac:dyDescent="0.25">
      <c r="A396" s="5">
        <f>(396-2)/100</f>
        <v>3.94</v>
      </c>
      <c r="B396" s="5">
        <f>Dashboard!$C$10*EXP(-Dashboard!$C$12*A396)</f>
        <v>5.0366051488806608E-2</v>
      </c>
      <c r="C396" s="5">
        <f>Dashboard!$C$17*A396</f>
        <v>3152</v>
      </c>
      <c r="D396" s="5">
        <f>Dashboard!$C$15*(1-EXP(-Dashboard!$C$16*A396))</f>
        <v>0.68843451502795938</v>
      </c>
      <c r="E396" s="5">
        <f>1/(1+EXP(MIN(700,MAX(-700,(C396-Dashboard!$C$18)/Dashboard!$C$19))))</f>
        <v>0.12786156631908133</v>
      </c>
      <c r="F396" s="5">
        <f t="shared" si="31"/>
        <v>8.8024315399592018E-2</v>
      </c>
      <c r="G396" s="8">
        <f>Dashboard!$C$9*B396*Dashboard!$C$11*(1-F396)</f>
        <v>91865.228574247609</v>
      </c>
      <c r="H396" s="8">
        <f>Dashboard!$C$20*A396^2</f>
        <v>124188.8</v>
      </c>
      <c r="I396" s="8">
        <f t="shared" si="32"/>
        <v>216054.02857424761</v>
      </c>
      <c r="J396" s="8">
        <f>Dashboard!$C$13*A396</f>
        <v>78800</v>
      </c>
      <c r="K396" s="8">
        <f>Dashboard!$C$14*A396</f>
        <v>118200</v>
      </c>
      <c r="L396" s="8">
        <f>Dashboard!$C$21-K396</f>
        <v>1381800</v>
      </c>
      <c r="M396" s="8">
        <f t="shared" si="33"/>
        <v>1086945.9714257524</v>
      </c>
      <c r="N396" s="8">
        <f t="shared" si="34"/>
        <v>197000</v>
      </c>
      <c r="O396" s="8">
        <f>Dashboard!$C$15*(Dashboard!$C$16*EXP(-Dashboard!$C$16*A396)*E396-(1-EXP(-Dashboard!$C$16*A396))*Dashboard!$C$17/Dashboard!$C$19*E396*(1-E396))</f>
        <v>-9.522671591674392E-2</v>
      </c>
      <c r="P396" s="8">
        <f>Dashboard!$C$9*B396*Dashboard!$C$11*(-Dashboard!$C$12*(1-F396)-O396)+2*Dashboard!$C$20*A396</f>
        <v>40479.557352958713</v>
      </c>
      <c r="Q396" s="8">
        <f>-P396-Dashboard!$C$13-Dashboard!$C$14</f>
        <v>-90479.557352958713</v>
      </c>
    </row>
    <row r="397" spans="1:17" x14ac:dyDescent="0.25">
      <c r="A397" s="5">
        <f>(397-2)/100</f>
        <v>3.95</v>
      </c>
      <c r="B397" s="5">
        <f>Dashboard!$C$10*EXP(-Dashboard!$C$12*A397)</f>
        <v>5.0190078441068445E-2</v>
      </c>
      <c r="C397" s="5">
        <f>Dashboard!$C$17*A397</f>
        <v>3160</v>
      </c>
      <c r="D397" s="5">
        <f>Dashboard!$C$15*(1-EXP(-Dashboard!$C$16*A397))</f>
        <v>0.68899095020563594</v>
      </c>
      <c r="E397" s="5">
        <f>1/(1+EXP(MIN(700,MAX(-700,(C397-Dashboard!$C$18)/Dashboard!$C$19))))</f>
        <v>0.12638208935801287</v>
      </c>
      <c r="F397" s="5">
        <f t="shared" si="31"/>
        <v>8.7076115835750881E-2</v>
      </c>
      <c r="G397" s="8">
        <f>Dashboard!$C$9*B397*Dashboard!$C$11*(1-F397)</f>
        <v>91639.44271385709</v>
      </c>
      <c r="H397" s="8">
        <f>Dashboard!$C$20*A397^2</f>
        <v>124820.00000000001</v>
      </c>
      <c r="I397" s="8">
        <f t="shared" si="32"/>
        <v>216459.4427138571</v>
      </c>
      <c r="J397" s="8">
        <f>Dashboard!$C$13*A397</f>
        <v>79000</v>
      </c>
      <c r="K397" s="8">
        <f>Dashboard!$C$14*A397</f>
        <v>118500</v>
      </c>
      <c r="L397" s="8">
        <f>Dashboard!$C$21-K397</f>
        <v>1381500</v>
      </c>
      <c r="M397" s="8">
        <f t="shared" si="33"/>
        <v>1086040.5572861428</v>
      </c>
      <c r="N397" s="8">
        <f t="shared" si="34"/>
        <v>197500</v>
      </c>
      <c r="O397" s="8">
        <f>Dashboard!$C$15*(Dashboard!$C$16*EXP(-Dashboard!$C$16*A397)*E397-(1-EXP(-Dashboard!$C$16*A397))*Dashboard!$C$17/Dashboard!$C$19*E397*(1-E397))</f>
        <v>-9.441356135233471E-2</v>
      </c>
      <c r="P397" s="8">
        <f>Dashboard!$C$9*B397*Dashboard!$C$11*(-Dashboard!$C$12*(1-F397)-O397)+2*Dashboard!$C$20*A397</f>
        <v>40603.443150498635</v>
      </c>
      <c r="Q397" s="8">
        <f>-P397-Dashboard!$C$13-Dashboard!$C$14</f>
        <v>-90603.443150498642</v>
      </c>
    </row>
    <row r="398" spans="1:17" x14ac:dyDescent="0.25">
      <c r="A398" s="5">
        <f>(398-2)/100</f>
        <v>3.96</v>
      </c>
      <c r="B398" s="5">
        <f>Dashboard!$C$10*EXP(-Dashboard!$C$12*A398)</f>
        <v>5.0014720222418832E-2</v>
      </c>
      <c r="C398" s="5">
        <f>Dashboard!$C$17*A398</f>
        <v>3168</v>
      </c>
      <c r="D398" s="5">
        <f>Dashboard!$C$15*(1-EXP(-Dashboard!$C$16*A398))</f>
        <v>0.68954461015128576</v>
      </c>
      <c r="E398" s="5">
        <f>1/(1+EXP(MIN(700,MAX(-700,(C398-Dashboard!$C$18)/Dashboard!$C$19))))</f>
        <v>0.12491727935756199</v>
      </c>
      <c r="F398" s="5">
        <f t="shared" si="31"/>
        <v>8.613603669576933E-2</v>
      </c>
      <c r="G398" s="8">
        <f>Dashboard!$C$9*B398*Dashboard!$C$11*(1-F398)</f>
        <v>91413.30089202385</v>
      </c>
      <c r="H398" s="8">
        <f>Dashboard!$C$20*A398^2</f>
        <v>125452.8</v>
      </c>
      <c r="I398" s="8">
        <f t="shared" si="32"/>
        <v>216866.10089202385</v>
      </c>
      <c r="J398" s="8">
        <f>Dashboard!$C$13*A398</f>
        <v>79200</v>
      </c>
      <c r="K398" s="8">
        <f>Dashboard!$C$14*A398</f>
        <v>118800</v>
      </c>
      <c r="L398" s="8">
        <f>Dashboard!$C$21-K398</f>
        <v>1381200</v>
      </c>
      <c r="M398" s="8">
        <f t="shared" si="33"/>
        <v>1085133.8991079761</v>
      </c>
      <c r="N398" s="8">
        <f t="shared" si="34"/>
        <v>198000</v>
      </c>
      <c r="O398" s="8">
        <f>Dashboard!$C$15*(Dashboard!$C$16*EXP(-Dashboard!$C$16*A398)*E398-(1-EXP(-Dashboard!$C$16*A398))*Dashboard!$C$17/Dashboard!$C$19*E398*(1-E398))</f>
        <v>-9.3602649720980813E-2</v>
      </c>
      <c r="P398" s="8">
        <f>Dashboard!$C$9*B398*Dashboard!$C$11*(-Dashboard!$C$12*(1-F398)-O398)+2*Dashboard!$C$20*A398</f>
        <v>40728.3653635355</v>
      </c>
      <c r="Q398" s="8">
        <f>-P398-Dashboard!$C$13-Dashboard!$C$14</f>
        <v>-90728.3653635355</v>
      </c>
    </row>
    <row r="399" spans="1:17" x14ac:dyDescent="0.25">
      <c r="A399" s="5">
        <f>(399-2)/100</f>
        <v>3.97</v>
      </c>
      <c r="B399" s="5">
        <f>Dashboard!$C$10*EXP(-Dashboard!$C$12*A399)</f>
        <v>4.9839974684717368E-2</v>
      </c>
      <c r="C399" s="5">
        <f>Dashboard!$C$17*A399</f>
        <v>3176</v>
      </c>
      <c r="D399" s="5">
        <f>Dashboard!$C$15*(1-EXP(-Dashboard!$C$16*A399))</f>
        <v>0.69009550870643666</v>
      </c>
      <c r="E399" s="5">
        <f>1/(1+EXP(MIN(700,MAX(-700,(C399-Dashboard!$C$18)/Dashboard!$C$19))))</f>
        <v>0.12346704756522399</v>
      </c>
      <c r="F399" s="5">
        <f t="shared" si="31"/>
        <v>8.5204054998005055E-2</v>
      </c>
      <c r="G399" s="8">
        <f>Dashboard!$C$9*B399*Dashboard!$C$11*(1-F399)</f>
        <v>91186.813481163059</v>
      </c>
      <c r="H399" s="8">
        <f>Dashboard!$C$20*A399^2</f>
        <v>126087.20000000001</v>
      </c>
      <c r="I399" s="8">
        <f t="shared" si="32"/>
        <v>217274.01348116307</v>
      </c>
      <c r="J399" s="8">
        <f>Dashboard!$C$13*A399</f>
        <v>79400</v>
      </c>
      <c r="K399" s="8">
        <f>Dashboard!$C$14*A399</f>
        <v>119100</v>
      </c>
      <c r="L399" s="8">
        <f>Dashboard!$C$21-K399</f>
        <v>1380900</v>
      </c>
      <c r="M399" s="8">
        <f t="shared" si="33"/>
        <v>1084225.986518837</v>
      </c>
      <c r="N399" s="8">
        <f t="shared" si="34"/>
        <v>198500</v>
      </c>
      <c r="O399" s="8">
        <f>Dashboard!$C$15*(Dashboard!$C$16*EXP(-Dashboard!$C$16*A399)*E399-(1-EXP(-Dashboard!$C$16*A399))*Dashboard!$C$17/Dashboard!$C$19*E399*(1-E399))</f>
        <v>-9.2794090988668143E-2</v>
      </c>
      <c r="P399" s="8">
        <f>Dashboard!$C$9*B399*Dashboard!$C$11*(-Dashboard!$C$12*(1-F399)-O399)+2*Dashboard!$C$20*A399</f>
        <v>40854.325573126087</v>
      </c>
      <c r="Q399" s="8">
        <f>-P399-Dashboard!$C$13-Dashboard!$C$14</f>
        <v>-90854.325573126087</v>
      </c>
    </row>
    <row r="400" spans="1:17" x14ac:dyDescent="0.25">
      <c r="A400" s="5">
        <f>(400-2)/100</f>
        <v>3.98</v>
      </c>
      <c r="B400" s="5">
        <f>Dashboard!$C$10*EXP(-Dashboard!$C$12*A400)</f>
        <v>4.9665839687329058E-2</v>
      </c>
      <c r="C400" s="5">
        <f>Dashboard!$C$17*A400</f>
        <v>3184</v>
      </c>
      <c r="D400" s="5">
        <f>Dashboard!$C$15*(1-EXP(-Dashboard!$C$16*A400))</f>
        <v>0.69064365964358099</v>
      </c>
      <c r="E400" s="5">
        <f>1/(1+EXP(MIN(700,MAX(-700,(C400-Dashboard!$C$18)/Dashboard!$C$19))))</f>
        <v>0.12203130442042308</v>
      </c>
      <c r="F400" s="5">
        <f t="shared" si="31"/>
        <v>8.4280146676000894E-2</v>
      </c>
      <c r="G400" s="8">
        <f>Dashboard!$C$9*B400*Dashboard!$C$11*(1-F400)</f>
        <v>90959.990867388449</v>
      </c>
      <c r="H400" s="8">
        <f>Dashboard!$C$20*A400^2</f>
        <v>126723.20000000001</v>
      </c>
      <c r="I400" s="8">
        <f t="shared" si="32"/>
        <v>217683.19086738845</v>
      </c>
      <c r="J400" s="8">
        <f>Dashboard!$C$13*A400</f>
        <v>79600</v>
      </c>
      <c r="K400" s="8">
        <f>Dashboard!$C$14*A400</f>
        <v>119400</v>
      </c>
      <c r="L400" s="8">
        <f>Dashboard!$C$21-K400</f>
        <v>1380600</v>
      </c>
      <c r="M400" s="8">
        <f t="shared" si="33"/>
        <v>1083316.8091326116</v>
      </c>
      <c r="N400" s="8">
        <f t="shared" si="34"/>
        <v>199000</v>
      </c>
      <c r="O400" s="8">
        <f>Dashboard!$C$15*(Dashboard!$C$16*EXP(-Dashboard!$C$16*A400)*E400-(1-EXP(-Dashboard!$C$16*A400))*Dashboard!$C$17/Dashboard!$C$19*E400*(1-E400))</f>
        <v>-9.1987992157009757E-2</v>
      </c>
      <c r="P400" s="8">
        <f>Dashboard!$C$9*B400*Dashboard!$C$11*(-Dashboard!$C$12*(1-F400)-O400)+2*Dashboard!$C$20*A400</f>
        <v>40981.324939672704</v>
      </c>
      <c r="Q400" s="8">
        <f>-P400-Dashboard!$C$13-Dashboard!$C$14</f>
        <v>-90981.324939672704</v>
      </c>
    </row>
    <row r="401" spans="1:17" x14ac:dyDescent="0.25">
      <c r="A401" s="5">
        <f>(401-2)/100</f>
        <v>3.99</v>
      </c>
      <c r="B401" s="5">
        <f>Dashboard!$C$10*EXP(-Dashboard!$C$12*A401)</f>
        <v>4.9492313097097999E-2</v>
      </c>
      <c r="C401" s="5">
        <f>Dashboard!$C$17*A401</f>
        <v>3192</v>
      </c>
      <c r="D401" s="5">
        <f>Dashboard!$C$15*(1-EXP(-Dashboard!$C$16*A401))</f>
        <v>0.69118907666652074</v>
      </c>
      <c r="E401" s="5">
        <f>1/(1+EXP(MIN(700,MAX(-700,(C401-Dashboard!$C$18)/Dashboard!$C$19))))</f>
        <v>0.12060995959316716</v>
      </c>
      <c r="F401" s="5">
        <f t="shared" si="31"/>
        <v>8.3364286607987587E-2</v>
      </c>
      <c r="G401" s="8">
        <f>Dashboard!$C$9*B401*Dashboard!$C$11*(1-F401)</f>
        <v>90732.843446358529</v>
      </c>
      <c r="H401" s="8">
        <f>Dashboard!$C$20*A401^2</f>
        <v>127360.80000000002</v>
      </c>
      <c r="I401" s="8">
        <f t="shared" si="32"/>
        <v>218093.64344635856</v>
      </c>
      <c r="J401" s="8">
        <f>Dashboard!$C$13*A401</f>
        <v>79800</v>
      </c>
      <c r="K401" s="8">
        <f>Dashboard!$C$14*A401</f>
        <v>119700</v>
      </c>
      <c r="L401" s="8">
        <f>Dashboard!$C$21-K401</f>
        <v>1380300</v>
      </c>
      <c r="M401" s="8">
        <f t="shared" si="33"/>
        <v>1082406.3565536414</v>
      </c>
      <c r="N401" s="8">
        <f t="shared" si="34"/>
        <v>199500</v>
      </c>
      <c r="O401" s="8">
        <f>Dashboard!$C$15*(Dashboard!$C$16*EXP(-Dashboard!$C$16*A401)*E401-(1-EXP(-Dashboard!$C$16*A401))*Dashboard!$C$17/Dashboard!$C$19*E401*(1-E401))</f>
        <v>-9.1184457291640264E-2</v>
      </c>
      <c r="P401" s="8">
        <f>Dashboard!$C$9*B401*Dashboard!$C$11*(-Dashboard!$C$12*(1-F401)-O401)+2*Dashboard!$C$20*A401</f>
        <v>41109.364213508161</v>
      </c>
      <c r="Q401" s="8">
        <f>-P401-Dashboard!$C$13-Dashboard!$C$14</f>
        <v>-91109.364213508161</v>
      </c>
    </row>
    <row r="402" spans="1:17" x14ac:dyDescent="0.25">
      <c r="A402" s="5">
        <f>(402-2)/100</f>
        <v>4</v>
      </c>
      <c r="B402" s="5">
        <f>Dashboard!$C$10*EXP(-Dashboard!$C$12*A402)</f>
        <v>4.9319392788321301E-2</v>
      </c>
      <c r="C402" s="5">
        <f>Dashboard!$C$17*A402</f>
        <v>3200</v>
      </c>
      <c r="D402" s="5">
        <f>Dashboard!$C$15*(1-EXP(-Dashboard!$C$16*A402))</f>
        <v>0.6917317734107099</v>
      </c>
      <c r="E402" s="5">
        <f>1/(1+EXP(MIN(700,MAX(-700,(C402-Dashboard!$C$18)/Dashboard!$C$19))))</f>
        <v>0.11920292202211755</v>
      </c>
      <c r="F402" s="5">
        <f t="shared" si="31"/>
        <v>8.2456448646097941E-2</v>
      </c>
      <c r="G402" s="8">
        <f>Dashboard!$C$9*B402*Dashboard!$C$11*(1-F402)</f>
        <v>90505.38161922872</v>
      </c>
      <c r="H402" s="8">
        <f>Dashboard!$C$20*A402^2</f>
        <v>128000</v>
      </c>
      <c r="I402" s="8">
        <f t="shared" si="32"/>
        <v>218505.38161922872</v>
      </c>
      <c r="J402" s="8">
        <f>Dashboard!$C$13*A402</f>
        <v>80000</v>
      </c>
      <c r="K402" s="8">
        <f>Dashboard!$C$14*A402</f>
        <v>120000</v>
      </c>
      <c r="L402" s="8">
        <f>Dashboard!$C$21-K402</f>
        <v>1380000</v>
      </c>
      <c r="M402" s="8">
        <f t="shared" si="33"/>
        <v>1081494.6183807713</v>
      </c>
      <c r="N402" s="8">
        <f t="shared" si="34"/>
        <v>200000</v>
      </c>
      <c r="O402" s="8">
        <f>Dashboard!$C$15*(Dashboard!$C$16*EXP(-Dashboard!$C$16*A402)*E402-(1-EXP(-Dashboard!$C$16*A402))*Dashboard!$C$17/Dashboard!$C$19*E402*(1-E402))</f>
        <v>-9.0383587551423783E-2</v>
      </c>
      <c r="P402" s="8">
        <f>Dashboard!$C$9*B402*Dashboard!$C$11*(-Dashboard!$C$12*(1-F402)-O402)+2*Dashboard!$C$20*A402</f>
        <v>41238.443745402546</v>
      </c>
      <c r="Q402" s="8">
        <f>-P402-Dashboard!$C$13-Dashboard!$C$14</f>
        <v>-91238.443745402546</v>
      </c>
    </row>
    <row r="403" spans="1:17" x14ac:dyDescent="0.25">
      <c r="A403" s="5">
        <f>(403-2)/100</f>
        <v>4.01</v>
      </c>
      <c r="B403" s="5">
        <f>Dashboard!$C$10*EXP(-Dashboard!$C$12*A403)</f>
        <v>4.9147076642723012E-2</v>
      </c>
      <c r="C403" s="5">
        <f>Dashboard!$C$17*A403</f>
        <v>3208</v>
      </c>
      <c r="D403" s="5">
        <f>Dashboard!$C$15*(1-EXP(-Dashboard!$C$16*A403))</f>
        <v>0.69227176344359531</v>
      </c>
      <c r="E403" s="5">
        <f>1/(1+EXP(MIN(700,MAX(-700,(C403-Dashboard!$C$18)/Dashboard!$C$19))))</f>
        <v>0.11781009995206961</v>
      </c>
      <c r="F403" s="5">
        <f t="shared" si="31"/>
        <v>8.1556605645285454E-2</v>
      </c>
      <c r="G403" s="8">
        <f>Dashboard!$C$9*B403*Dashboard!$C$11*(1-F403)</f>
        <v>90277.61578870767</v>
      </c>
      <c r="H403" s="8">
        <f>Dashboard!$C$20*A403^2</f>
        <v>128640.79999999999</v>
      </c>
      <c r="I403" s="8">
        <f t="shared" si="32"/>
        <v>218918.41578870767</v>
      </c>
      <c r="J403" s="8">
        <f>Dashboard!$C$13*A403</f>
        <v>80200</v>
      </c>
      <c r="K403" s="8">
        <f>Dashboard!$C$14*A403</f>
        <v>120300</v>
      </c>
      <c r="L403" s="8">
        <f>Dashboard!$C$21-K403</f>
        <v>1379700</v>
      </c>
      <c r="M403" s="8">
        <f t="shared" si="33"/>
        <v>1080581.5842112922</v>
      </c>
      <c r="N403" s="8">
        <f t="shared" si="34"/>
        <v>200500</v>
      </c>
      <c r="O403" s="8">
        <f>Dashboard!$C$15*(Dashboard!$C$16*EXP(-Dashboard!$C$16*A403)*E403-(1-EXP(-Dashboard!$C$16*A403))*Dashboard!$C$17/Dashboard!$C$19*E403*(1-E403))</f>
        <v>-8.9585481218432031E-2</v>
      </c>
      <c r="P403" s="8">
        <f>Dashboard!$C$9*B403*Dashboard!$C$11*(-Dashboard!$C$12*(1-F403)-O403)+2*Dashboard!$C$20*A403</f>
        <v>41368.563496987321</v>
      </c>
      <c r="Q403" s="8">
        <f>-P403-Dashboard!$C$13-Dashboard!$C$14</f>
        <v>-91368.563496987321</v>
      </c>
    </row>
    <row r="404" spans="1:17" x14ac:dyDescent="0.25">
      <c r="A404" s="5">
        <f>(404-2)/100</f>
        <v>4.0199999999999996</v>
      </c>
      <c r="B404" s="5">
        <f>Dashboard!$C$10*EXP(-Dashboard!$C$12*A404)</f>
        <v>4.8975362549428178E-2</v>
      </c>
      <c r="C404" s="5">
        <f>Dashboard!$C$17*A404</f>
        <v>3215.9999999999995</v>
      </c>
      <c r="D404" s="5">
        <f>Dashboard!$C$15*(1-EXP(-Dashboard!$C$16*A404))</f>
        <v>0.69280906026495603</v>
      </c>
      <c r="E404" s="5">
        <f>1/(1+EXP(MIN(700,MAX(-700,(C404-Dashboard!$C$18)/Dashboard!$C$19))))</f>
        <v>0.11643140097083897</v>
      </c>
      <c r="F404" s="5">
        <f t="shared" si="31"/>
        <v>8.066472949193923E-2</v>
      </c>
      <c r="G404" s="8">
        <f>Dashboard!$C$9*B404*Dashboard!$C$11*(1-F404)</f>
        <v>90049.556355217806</v>
      </c>
      <c r="H404" s="8">
        <f>Dashboard!$C$20*A404^2</f>
        <v>129283.19999999997</v>
      </c>
      <c r="I404" s="8">
        <f t="shared" si="32"/>
        <v>219332.75635521777</v>
      </c>
      <c r="J404" s="8">
        <f>Dashboard!$C$13*A404</f>
        <v>80399.999999999985</v>
      </c>
      <c r="K404" s="8">
        <f>Dashboard!$C$14*A404</f>
        <v>120599.99999999999</v>
      </c>
      <c r="L404" s="8">
        <f>Dashboard!$C$21-K404</f>
        <v>1379400</v>
      </c>
      <c r="M404" s="8">
        <f t="shared" si="33"/>
        <v>1079667.2436447823</v>
      </c>
      <c r="N404" s="8">
        <f t="shared" si="34"/>
        <v>200999.99999999997</v>
      </c>
      <c r="O404" s="8">
        <f>Dashboard!$C$15*(Dashboard!$C$16*EXP(-Dashboard!$C$16*A404)*E404-(1-EXP(-Dashboard!$C$16*A404))*Dashboard!$C$17/Dashboard!$C$19*E404*(1-E404))</f>
        <v>-8.8790233728646029E-2</v>
      </c>
      <c r="P404" s="8">
        <f>Dashboard!$C$9*B404*Dashboard!$C$11*(-Dashboard!$C$12*(1-F404)-O404)+2*Dashboard!$C$20*A404</f>
        <v>41499.723051091569</v>
      </c>
      <c r="Q404" s="8">
        <f>-P404-Dashboard!$C$13-Dashboard!$C$14</f>
        <v>-91499.723051091569</v>
      </c>
    </row>
    <row r="405" spans="1:17" x14ac:dyDescent="0.25">
      <c r="A405" s="5">
        <f>(405-2)/100</f>
        <v>4.03</v>
      </c>
      <c r="B405" s="5">
        <f>Dashboard!$C$10*EXP(-Dashboard!$C$12*A405)</f>
        <v>4.8804248404937016E-2</v>
      </c>
      <c r="C405" s="5">
        <f>Dashboard!$C$17*A405</f>
        <v>3224</v>
      </c>
      <c r="D405" s="5">
        <f>Dashboard!$C$15*(1-EXP(-Dashboard!$C$16*A405))</f>
        <v>0.69334367730724056</v>
      </c>
      <c r="E405" s="5">
        <f>1/(1+EXP(MIN(700,MAX(-700,(C405-Dashboard!$C$18)/Dashboard!$C$19))))</f>
        <v>0.1150667320455498</v>
      </c>
      <c r="F405" s="5">
        <f t="shared" si="31"/>
        <v>7.9780791132188403E-2</v>
      </c>
      <c r="G405" s="8">
        <f>Dashboard!$C$9*B405*Dashboard!$C$11*(1-F405)</f>
        <v>89821.213713158591</v>
      </c>
      <c r="H405" s="8">
        <f>Dashboard!$C$20*A405^2</f>
        <v>129927.20000000003</v>
      </c>
      <c r="I405" s="8">
        <f t="shared" si="32"/>
        <v>219748.41371315863</v>
      </c>
      <c r="J405" s="8">
        <f>Dashboard!$C$13*A405</f>
        <v>80600</v>
      </c>
      <c r="K405" s="8">
        <f>Dashboard!$C$14*A405</f>
        <v>120900.00000000001</v>
      </c>
      <c r="L405" s="8">
        <f>Dashboard!$C$21-K405</f>
        <v>1379100</v>
      </c>
      <c r="M405" s="8">
        <f t="shared" si="33"/>
        <v>1078751.5862868414</v>
      </c>
      <c r="N405" s="8">
        <f t="shared" si="34"/>
        <v>201500</v>
      </c>
      <c r="O405" s="8">
        <f>Dashboard!$C$15*(Dashboard!$C$16*EXP(-Dashboard!$C$16*A405)*E405-(1-EXP(-Dashboard!$C$16*A405))*Dashboard!$C$17/Dashboard!$C$19*E405*(1-E405))</f>
        <v>-8.7997937703339468E-2</v>
      </c>
      <c r="P405" s="8">
        <f>Dashboard!$C$9*B405*Dashboard!$C$11*(-Dashboard!$C$12*(1-F405)-O405)+2*Dashboard!$C$20*A405</f>
        <v>41631.921621986403</v>
      </c>
      <c r="Q405" s="8">
        <f>-P405-Dashboard!$C$13-Dashboard!$C$14</f>
        <v>-91631.921621986403</v>
      </c>
    </row>
    <row r="406" spans="1:17" x14ac:dyDescent="0.25">
      <c r="A406" s="5">
        <f>(406-2)/100</f>
        <v>4.04</v>
      </c>
      <c r="B406" s="5">
        <f>Dashboard!$C$10*EXP(-Dashboard!$C$12*A406)</f>
        <v>4.8633732113099133E-2</v>
      </c>
      <c r="C406" s="5">
        <f>Dashboard!$C$17*A406</f>
        <v>3232</v>
      </c>
      <c r="D406" s="5">
        <f>Dashboard!$C$15*(1-EXP(-Dashboard!$C$16*A406))</f>
        <v>0.69387562793590263</v>
      </c>
      <c r="E406" s="5">
        <f>1/(1+EXP(MIN(700,MAX(-700,(C406-Dashboard!$C$18)/Dashboard!$C$19))))</f>
        <v>0.11371599955832264</v>
      </c>
      <c r="F406" s="5">
        <f t="shared" si="31"/>
        <v>7.8904760599889948E-2</v>
      </c>
      <c r="G406" s="8">
        <f>Dashboard!$C$9*B406*Dashboard!$C$11*(1-F406)</f>
        <v>89592.59824727173</v>
      </c>
      <c r="H406" s="8">
        <f>Dashboard!$C$20*A406^2</f>
        <v>130572.8</v>
      </c>
      <c r="I406" s="8">
        <f t="shared" si="32"/>
        <v>220165.39824727172</v>
      </c>
      <c r="J406" s="8">
        <f>Dashboard!$C$13*A406</f>
        <v>80800</v>
      </c>
      <c r="K406" s="8">
        <f>Dashboard!$C$14*A406</f>
        <v>121200</v>
      </c>
      <c r="L406" s="8">
        <f>Dashboard!$C$21-K406</f>
        <v>1378800</v>
      </c>
      <c r="M406" s="8">
        <f t="shared" si="33"/>
        <v>1077834.6017527282</v>
      </c>
      <c r="N406" s="8">
        <f t="shared" si="34"/>
        <v>202000</v>
      </c>
      <c r="O406" s="8">
        <f>Dashboard!$C$15*(Dashboard!$C$16*EXP(-Dashboard!$C$16*A406)*E406-(1-EXP(-Dashboard!$C$16*A406))*Dashboard!$C$17/Dashboard!$C$19*E406*(1-E406))</f>
        <v>-8.7208682981100336E-2</v>
      </c>
      <c r="P406" s="8">
        <f>Dashboard!$C$9*B406*Dashboard!$C$11*(-Dashboard!$C$12*(1-F406)-O406)+2*Dashboard!$C$20*A406</f>
        <v>41765.158065532938</v>
      </c>
      <c r="Q406" s="8">
        <f>-P406-Dashboard!$C$13-Dashboard!$C$14</f>
        <v>-91765.158065532945</v>
      </c>
    </row>
    <row r="407" spans="1:17" x14ac:dyDescent="0.25">
      <c r="A407" s="5">
        <f>(407-2)/100</f>
        <v>4.05</v>
      </c>
      <c r="B407" s="5">
        <f>Dashboard!$C$10*EXP(-Dashboard!$C$12*A407)</f>
        <v>4.8463811585087821E-2</v>
      </c>
      <c r="C407" s="5">
        <f>Dashboard!$C$17*A407</f>
        <v>3240</v>
      </c>
      <c r="D407" s="5">
        <f>Dashboard!$C$15*(1-EXP(-Dashboard!$C$16*A407))</f>
        <v>0.69440492544973587</v>
      </c>
      <c r="E407" s="5">
        <f>1/(1+EXP(MIN(700,MAX(-700,(C407-Dashboard!$C$18)/Dashboard!$C$19))))</f>
        <v>0.11237910934135674</v>
      </c>
      <c r="F407" s="5">
        <f t="shared" si="31"/>
        <v>7.8036607044292536E-2</v>
      </c>
      <c r="G407" s="8">
        <f>Dashboard!$C$9*B407*Dashboard!$C$11*(1-F407)</f>
        <v>89363.720329107397</v>
      </c>
      <c r="H407" s="8">
        <f>Dashboard!$C$20*A407^2</f>
        <v>131220</v>
      </c>
      <c r="I407" s="8">
        <f t="shared" si="32"/>
        <v>220583.7203291074</v>
      </c>
      <c r="J407" s="8">
        <f>Dashboard!$C$13*A407</f>
        <v>81000</v>
      </c>
      <c r="K407" s="8">
        <f>Dashboard!$C$14*A407</f>
        <v>121500</v>
      </c>
      <c r="L407" s="8">
        <f>Dashboard!$C$21-K407</f>
        <v>1378500</v>
      </c>
      <c r="M407" s="8">
        <f t="shared" si="33"/>
        <v>1076916.2796708925</v>
      </c>
      <c r="N407" s="8">
        <f t="shared" si="34"/>
        <v>202500</v>
      </c>
      <c r="O407" s="8">
        <f>Dashboard!$C$15*(Dashboard!$C$16*EXP(-Dashboard!$C$16*A407)*E407-(1-EXP(-Dashboard!$C$16*A407))*Dashboard!$C$17/Dashboard!$C$19*E407*(1-E407))</f>
        <v>-8.6422556650448235E-2</v>
      </c>
      <c r="P407" s="8">
        <f>Dashboard!$C$9*B407*Dashboard!$C$11*(-Dashboard!$C$12*(1-F407)-O407)+2*Dashboard!$C$20*A407</f>
        <v>41899.430889230222</v>
      </c>
      <c r="Q407" s="8">
        <f>-P407-Dashboard!$C$13-Dashboard!$C$14</f>
        <v>-91899.430889230222</v>
      </c>
    </row>
    <row r="408" spans="1:17" x14ac:dyDescent="0.25">
      <c r="A408" s="5">
        <f>(408-2)/100</f>
        <v>4.0599999999999996</v>
      </c>
      <c r="B408" s="5">
        <f>Dashboard!$C$10*EXP(-Dashboard!$C$12*A408)</f>
        <v>4.8294484739374463E-2</v>
      </c>
      <c r="C408" s="5">
        <f>Dashboard!$C$17*A408</f>
        <v>3247.9999999999995</v>
      </c>
      <c r="D408" s="5">
        <f>Dashboard!$C$15*(1-EXP(-Dashboard!$C$16*A408))</f>
        <v>0.69493158308120551</v>
      </c>
      <c r="E408" s="5">
        <f>1/(1+EXP(MIN(700,MAX(-700,(C408-Dashboard!$C$18)/Dashboard!$C$19))))</f>
        <v>0.11105596671140765</v>
      </c>
      <c r="F408" s="5">
        <f t="shared" si="31"/>
        <v>7.7176298757372183E-2</v>
      </c>
      <c r="G408" s="8">
        <f>Dashboard!$C$9*B408*Dashboard!$C$11*(1-F408)</f>
        <v>89134.590313590292</v>
      </c>
      <c r="H408" s="8">
        <f>Dashboard!$C$20*A408^2</f>
        <v>131868.79999999996</v>
      </c>
      <c r="I408" s="8">
        <f t="shared" si="32"/>
        <v>221003.39031359024</v>
      </c>
      <c r="J408" s="8">
        <f>Dashboard!$C$13*A408</f>
        <v>81199.999999999985</v>
      </c>
      <c r="K408" s="8">
        <f>Dashboard!$C$14*A408</f>
        <v>121799.99999999999</v>
      </c>
      <c r="L408" s="8">
        <f>Dashboard!$C$21-K408</f>
        <v>1378200</v>
      </c>
      <c r="M408" s="8">
        <f t="shared" si="33"/>
        <v>1075996.6096864098</v>
      </c>
      <c r="N408" s="8">
        <f t="shared" si="34"/>
        <v>202999.99999999997</v>
      </c>
      <c r="O408" s="8">
        <f>Dashboard!$C$15*(Dashboard!$C$16*EXP(-Dashboard!$C$16*A408)*E408-(1-EXP(-Dashboard!$C$16*A408))*Dashboard!$C$17/Dashboard!$C$19*E408*(1-E408))</f>
        <v>-8.563964308300813E-2</v>
      </c>
      <c r="P408" s="8">
        <f>Dashboard!$C$9*B408*Dashboard!$C$11*(-Dashboard!$C$12*(1-F408)-O408)+2*Dashboard!$C$20*A408</f>
        <v>42034.738262159022</v>
      </c>
      <c r="Q408" s="8">
        <f>-P408-Dashboard!$C$13-Dashboard!$C$14</f>
        <v>-92034.738262159022</v>
      </c>
    </row>
    <row r="409" spans="1:17" x14ac:dyDescent="0.25">
      <c r="A409" s="5">
        <f>(409-2)/100</f>
        <v>4.07</v>
      </c>
      <c r="B409" s="5">
        <f>Dashboard!$C$10*EXP(-Dashboard!$C$12*A409)</f>
        <v>4.8125749501703084E-2</v>
      </c>
      <c r="C409" s="5">
        <f>Dashboard!$C$17*A409</f>
        <v>3256</v>
      </c>
      <c r="D409" s="5">
        <f>Dashboard!$C$15*(1-EXP(-Dashboard!$C$16*A409))</f>
        <v>0.69545561399678002</v>
      </c>
      <c r="E409" s="5">
        <f>1/(1+EXP(MIN(700,MAX(-700,(C409-Dashboard!$C$18)/Dashboard!$C$19))))</f>
        <v>0.10974647650365506</v>
      </c>
      <c r="F409" s="5">
        <f t="shared" si="31"/>
        <v>7.6323803200832624E-2</v>
      </c>
      <c r="G409" s="8">
        <f>Dashboard!$C$9*B409*Dashboard!$C$11*(1-F409)</f>
        <v>88905.218535685068</v>
      </c>
      <c r="H409" s="8">
        <f>Dashboard!$C$20*A409^2</f>
        <v>132519.20000000001</v>
      </c>
      <c r="I409" s="8">
        <f t="shared" si="32"/>
        <v>221424.41853568508</v>
      </c>
      <c r="J409" s="8">
        <f>Dashboard!$C$13*A409</f>
        <v>81400</v>
      </c>
      <c r="K409" s="8">
        <f>Dashboard!$C$14*A409</f>
        <v>122100.00000000001</v>
      </c>
      <c r="L409" s="8">
        <f>Dashboard!$C$21-K409</f>
        <v>1377900</v>
      </c>
      <c r="M409" s="8">
        <f t="shared" si="33"/>
        <v>1075075.5814643148</v>
      </c>
      <c r="N409" s="8">
        <f t="shared" si="34"/>
        <v>203500</v>
      </c>
      <c r="O409" s="8">
        <f>Dashboard!$C$15*(Dashboard!$C$16*EXP(-Dashboard!$C$16*A409)*E409-(1-EXP(-Dashboard!$C$16*A409))*Dashboard!$C$17/Dashboard!$C$19*E409*(1-E409))</f>
        <v>-8.4860023967198092E-2</v>
      </c>
      <c r="P409" s="8">
        <f>Dashboard!$C$9*B409*Dashboard!$C$11*(-Dashboard!$C$12*(1-F409)-O409)+2*Dashboard!$C$20*A409</f>
        <v>42171.078024818031</v>
      </c>
      <c r="Q409" s="8">
        <f>-P409-Dashboard!$C$13-Dashboard!$C$14</f>
        <v>-92171.078024818038</v>
      </c>
    </row>
    <row r="410" spans="1:17" x14ac:dyDescent="0.25">
      <c r="A410" s="5">
        <f>(410-2)/100</f>
        <v>4.08</v>
      </c>
      <c r="B410" s="5">
        <f>Dashboard!$C$10*EXP(-Dashboard!$C$12*A410)</f>
        <v>4.7957603805064947E-2</v>
      </c>
      <c r="C410" s="5">
        <f>Dashboard!$C$17*A410</f>
        <v>3264</v>
      </c>
      <c r="D410" s="5">
        <f>Dashboard!$C$15*(1-EXP(-Dashboard!$C$16*A410))</f>
        <v>0.6959770312972593</v>
      </c>
      <c r="E410" s="5">
        <f>1/(1+EXP(MIN(700,MAX(-700,(C410-Dashboard!$C$18)/Dashboard!$C$19))))</f>
        <v>0.10845054310496309</v>
      </c>
      <c r="F410" s="5">
        <f t="shared" si="31"/>
        <v>7.5479087032767664E-2</v>
      </c>
      <c r="G410" s="8">
        <f>Dashboard!$C$9*B410*Dashboard!$C$11*(1-F410)</f>
        <v>88675.615307158921</v>
      </c>
      <c r="H410" s="8">
        <f>Dashboard!$C$20*A410^2</f>
        <v>133171.20000000001</v>
      </c>
      <c r="I410" s="8">
        <f t="shared" si="32"/>
        <v>221846.81530715892</v>
      </c>
      <c r="J410" s="8">
        <f>Dashboard!$C$13*A410</f>
        <v>81600</v>
      </c>
      <c r="K410" s="8">
        <f>Dashboard!$C$14*A410</f>
        <v>122400</v>
      </c>
      <c r="L410" s="8">
        <f>Dashboard!$C$21-K410</f>
        <v>1377600</v>
      </c>
      <c r="M410" s="8">
        <f t="shared" si="33"/>
        <v>1074153.184692841</v>
      </c>
      <c r="N410" s="8">
        <f t="shared" si="34"/>
        <v>204000</v>
      </c>
      <c r="O410" s="8">
        <f>Dashboard!$C$15*(Dashboard!$C$16*EXP(-Dashboard!$C$16*A410)*E410-(1-EXP(-Dashboard!$C$16*A410))*Dashboard!$C$17/Dashboard!$C$19*E410*(1-E410))</f>
        <v>-8.4083778342394916E-2</v>
      </c>
      <c r="P410" s="8">
        <f>Dashboard!$C$9*B410*Dashboard!$C$11*(-Dashboard!$C$12*(1-F410)-O410)+2*Dashboard!$C$20*A410</f>
        <v>42308.447698849326</v>
      </c>
      <c r="Q410" s="8">
        <f>-P410-Dashboard!$C$13-Dashboard!$C$14</f>
        <v>-92308.447698849326</v>
      </c>
    </row>
    <row r="411" spans="1:17" x14ac:dyDescent="0.25">
      <c r="A411" s="5">
        <f>(411-2)/100</f>
        <v>4.09</v>
      </c>
      <c r="B411" s="5">
        <f>Dashboard!$C$10*EXP(-Dashboard!$C$12*A411)</f>
        <v>4.779004558967314E-2</v>
      </c>
      <c r="C411" s="5">
        <f>Dashboard!$C$17*A411</f>
        <v>3272</v>
      </c>
      <c r="D411" s="5">
        <f>Dashboard!$C$15*(1-EXP(-Dashboard!$C$16*A411))</f>
        <v>0.69649584801810316</v>
      </c>
      <c r="E411" s="5">
        <f>1/(1+EXP(MIN(700,MAX(-700,(C411-Dashboard!$C$18)/Dashboard!$C$19))))</f>
        <v>0.10716807048652817</v>
      </c>
      <c r="F411" s="5">
        <f t="shared" si="31"/>
        <v>7.4642116133978295E-2</v>
      </c>
      <c r="G411" s="8">
        <f>Dashboard!$C$9*B411*Dashboard!$C$11*(1-F411)</f>
        <v>88445.790913441291</v>
      </c>
      <c r="H411" s="8">
        <f>Dashboard!$C$20*A411^2</f>
        <v>133824.79999999999</v>
      </c>
      <c r="I411" s="8">
        <f t="shared" si="32"/>
        <v>222270.59091344127</v>
      </c>
      <c r="J411" s="8">
        <f>Dashboard!$C$13*A411</f>
        <v>81800</v>
      </c>
      <c r="K411" s="8">
        <f>Dashboard!$C$14*A411</f>
        <v>122700</v>
      </c>
      <c r="L411" s="8">
        <f>Dashboard!$C$21-K411</f>
        <v>1377300</v>
      </c>
      <c r="M411" s="8">
        <f t="shared" si="33"/>
        <v>1073229.4090865587</v>
      </c>
      <c r="N411" s="8">
        <f t="shared" si="34"/>
        <v>204500</v>
      </c>
      <c r="O411" s="8">
        <f>Dashboard!$C$15*(Dashboard!$C$16*EXP(-Dashboard!$C$16*A411)*E411-(1-EXP(-Dashboard!$C$16*A411))*Dashboard!$C$17/Dashboard!$C$19*E411*(1-E411))</f>
        <v>-8.3310982633535854E-2</v>
      </c>
      <c r="P411" s="8">
        <f>Dashboard!$C$9*B411*Dashboard!$C$11*(-Dashboard!$C$12*(1-F411)-O411)+2*Dashboard!$C$20*A411</f>
        <v>42446.84449664985</v>
      </c>
      <c r="Q411" s="8">
        <f>-P411-Dashboard!$C$13-Dashboard!$C$14</f>
        <v>-92446.84449664985</v>
      </c>
    </row>
    <row r="412" spans="1:17" x14ac:dyDescent="0.25">
      <c r="A412" s="5">
        <f>(412-2)/100</f>
        <v>4.0999999999999996</v>
      </c>
      <c r="B412" s="5">
        <f>Dashboard!$C$10*EXP(-Dashboard!$C$12*A412)</f>
        <v>4.762307280293742E-2</v>
      </c>
      <c r="C412" s="5">
        <f>Dashboard!$C$17*A412</f>
        <v>3279.9999999999995</v>
      </c>
      <c r="D412" s="5">
        <f>Dashboard!$C$15*(1-EXP(-Dashboard!$C$16*A412))</f>
        <v>0.69701207712975666</v>
      </c>
      <c r="E412" s="5">
        <f>1/(1+EXP(MIN(700,MAX(-700,(C412-Dashboard!$C$18)/Dashboard!$C$19))))</f>
        <v>0.10589896223591794</v>
      </c>
      <c r="F412" s="5">
        <f t="shared" si="31"/>
        <v>7.3812855633942825E-2</v>
      </c>
      <c r="G412" s="8">
        <f>Dashboard!$C$9*B412*Dashboard!$C$11*(1-F412)</f>
        <v>88215.755610578912</v>
      </c>
      <c r="H412" s="8">
        <f>Dashboard!$C$20*A412^2</f>
        <v>134480</v>
      </c>
      <c r="I412" s="8">
        <f t="shared" si="32"/>
        <v>222695.75561057893</v>
      </c>
      <c r="J412" s="8">
        <f>Dashboard!$C$13*A412</f>
        <v>82000</v>
      </c>
      <c r="K412" s="8">
        <f>Dashboard!$C$14*A412</f>
        <v>122999.99999999999</v>
      </c>
      <c r="L412" s="8">
        <f>Dashboard!$C$21-K412</f>
        <v>1377000</v>
      </c>
      <c r="M412" s="8">
        <f t="shared" si="33"/>
        <v>1072304.2443894211</v>
      </c>
      <c r="N412" s="8">
        <f t="shared" si="34"/>
        <v>205000</v>
      </c>
      <c r="O412" s="8">
        <f>Dashboard!$C$15*(Dashboard!$C$16*EXP(-Dashboard!$C$16*A412)*E412-(1-EXP(-Dashboard!$C$16*A412))*Dashboard!$C$17/Dashboard!$C$19*E412*(1-E412))</f>
        <v>-8.2541710686122427E-2</v>
      </c>
      <c r="P412" s="8">
        <f>Dashboard!$C$9*B412*Dashboard!$C$11*(-Dashboard!$C$12*(1-F412)-O412)+2*Dashboard!$C$20*A412</f>
        <v>42586.265330865797</v>
      </c>
      <c r="Q412" s="8">
        <f>-P412-Dashboard!$C$13-Dashboard!$C$14</f>
        <v>-92586.265330865805</v>
      </c>
    </row>
    <row r="413" spans="1:17" x14ac:dyDescent="0.25">
      <c r="A413" s="5">
        <f>(413-2)/100</f>
        <v>4.1100000000000003</v>
      </c>
      <c r="B413" s="5">
        <f>Dashboard!$C$10*EXP(-Dashboard!$C$12*A413)</f>
        <v>4.7456683399439065E-2</v>
      </c>
      <c r="C413" s="5">
        <f>Dashboard!$C$17*A413</f>
        <v>3288.0000000000005</v>
      </c>
      <c r="D413" s="5">
        <f>Dashboard!$C$15*(1-EXP(-Dashboard!$C$16*A413))</f>
        <v>0.69752573153797448</v>
      </c>
      <c r="E413" s="5">
        <f>1/(1+EXP(MIN(700,MAX(-700,(C413-Dashboard!$C$18)/Dashboard!$C$19))))</f>
        <v>0.10464312158849785</v>
      </c>
      <c r="F413" s="5">
        <f t="shared" si="31"/>
        <v>7.2991269936434178E-2</v>
      </c>
      <c r="G413" s="8">
        <f>Dashboard!$C$9*B413*Dashboard!$C$11*(1-F413)</f>
        <v>87985.519622285428</v>
      </c>
      <c r="H413" s="8">
        <f>Dashboard!$C$20*A413^2</f>
        <v>135136.80000000002</v>
      </c>
      <c r="I413" s="8">
        <f t="shared" si="32"/>
        <v>223122.31962228543</v>
      </c>
      <c r="J413" s="8">
        <f>Dashboard!$C$13*A413</f>
        <v>82200</v>
      </c>
      <c r="K413" s="8">
        <f>Dashboard!$C$14*A413</f>
        <v>123300.00000000001</v>
      </c>
      <c r="L413" s="8">
        <f>Dashboard!$C$21-K413</f>
        <v>1376700</v>
      </c>
      <c r="M413" s="8">
        <f t="shared" si="33"/>
        <v>1071377.6803777146</v>
      </c>
      <c r="N413" s="8">
        <f t="shared" si="34"/>
        <v>205500</v>
      </c>
      <c r="O413" s="8">
        <f>Dashboard!$C$15*(Dashboard!$C$16*EXP(-Dashboard!$C$16*A413)*E413-(1-EXP(-Dashboard!$C$16*A413))*Dashboard!$C$17/Dashboard!$C$19*E413*(1-E413))</f>
        <v>-8.1776033801587308E-2</v>
      </c>
      <c r="P413" s="8">
        <f>Dashboard!$C$9*B413*Dashboard!$C$11*(-Dashboard!$C$12*(1-F413)-O413)+2*Dashboard!$C$20*A413</f>
        <v>42726.706823767614</v>
      </c>
      <c r="Q413" s="8">
        <f>-P413-Dashboard!$C$13-Dashboard!$C$14</f>
        <v>-92726.706823767614</v>
      </c>
    </row>
    <row r="414" spans="1:17" x14ac:dyDescent="0.25">
      <c r="A414" s="5">
        <f>(414-2)/100</f>
        <v>4.12</v>
      </c>
      <c r="B414" s="5">
        <f>Dashboard!$C$10*EXP(-Dashboard!$C$12*A414)</f>
        <v>4.7290875340905821E-2</v>
      </c>
      <c r="C414" s="5">
        <f>Dashboard!$C$17*A414</f>
        <v>3296</v>
      </c>
      <c r="D414" s="5">
        <f>Dashboard!$C$15*(1-EXP(-Dashboard!$C$16*A414))</f>
        <v>0.69803682408414347</v>
      </c>
      <c r="E414" s="5">
        <f>1/(1+EXP(MIN(700,MAX(-700,(C414-Dashboard!$C$18)/Dashboard!$C$19))))</f>
        <v>0.10340045145824957</v>
      </c>
      <c r="F414" s="5">
        <f t="shared" si="31"/>
        <v>7.2177322744783168E-2</v>
      </c>
      <c r="G414" s="8">
        <f>Dashboard!$C$9*B414*Dashboard!$C$11*(1-F414)</f>
        <v>87755.09313708391</v>
      </c>
      <c r="H414" s="8">
        <f>Dashboard!$C$20*A414^2</f>
        <v>135795.19999999998</v>
      </c>
      <c r="I414" s="8">
        <f t="shared" si="32"/>
        <v>223550.29313708388</v>
      </c>
      <c r="J414" s="8">
        <f>Dashboard!$C$13*A414</f>
        <v>82400</v>
      </c>
      <c r="K414" s="8">
        <f>Dashboard!$C$14*A414</f>
        <v>123600</v>
      </c>
      <c r="L414" s="8">
        <f>Dashboard!$C$21-K414</f>
        <v>1376400</v>
      </c>
      <c r="M414" s="8">
        <f t="shared" si="33"/>
        <v>1070449.7068629162</v>
      </c>
      <c r="N414" s="8">
        <f t="shared" si="34"/>
        <v>206000</v>
      </c>
      <c r="O414" s="8">
        <f>Dashboard!$C$15*(Dashboard!$C$16*EXP(-Dashboard!$C$16*A414)*E414-(1-EXP(-Dashboard!$C$16*A414))*Dashboard!$C$17/Dashboard!$C$19*E414*(1-E414))</f>
        <v>-8.1014020772991482E-2</v>
      </c>
      <c r="P414" s="8">
        <f>Dashboard!$C$9*B414*Dashboard!$C$11*(-Dashboard!$C$12*(1-F414)-O414)+2*Dashboard!$C$20*A414</f>
        <v>42868.165316502826</v>
      </c>
      <c r="Q414" s="8">
        <f>-P414-Dashboard!$C$13-Dashboard!$C$14</f>
        <v>-92868.165316502826</v>
      </c>
    </row>
    <row r="415" spans="1:17" x14ac:dyDescent="0.25">
      <c r="A415" s="5">
        <f>(415-2)/100</f>
        <v>4.13</v>
      </c>
      <c r="B415" s="5">
        <f>Dashboard!$C$10*EXP(-Dashboard!$C$12*A415)</f>
        <v>4.7125646596186899E-2</v>
      </c>
      <c r="C415" s="5">
        <f>Dashboard!$C$17*A415</f>
        <v>3304</v>
      </c>
      <c r="D415" s="5">
        <f>Dashboard!$C$15*(1-EXP(-Dashboard!$C$16*A415))</f>
        <v>0.69854536754560392</v>
      </c>
      <c r="E415" s="5">
        <f>1/(1+EXP(MIN(700,MAX(-700,(C415-Dashboard!$C$18)/Dashboard!$C$19))))</f>
        <v>0.10217085446797732</v>
      </c>
      <c r="F415" s="5">
        <f t="shared" si="31"/>
        <v>7.1370977086781626E-2</v>
      </c>
      <c r="G415" s="8">
        <f>Dashboard!$C$9*B415*Dashboard!$C$11*(1-F415)</f>
        <v>87524.486305541344</v>
      </c>
      <c r="H415" s="8">
        <f>Dashboard!$C$20*A415^2</f>
        <v>136455.19999999998</v>
      </c>
      <c r="I415" s="8">
        <f t="shared" si="32"/>
        <v>223979.68630554131</v>
      </c>
      <c r="J415" s="8">
        <f>Dashboard!$C$13*A415</f>
        <v>82600</v>
      </c>
      <c r="K415" s="8">
        <f>Dashboard!$C$14*A415</f>
        <v>123900</v>
      </c>
      <c r="L415" s="8">
        <f>Dashboard!$C$21-K415</f>
        <v>1376100</v>
      </c>
      <c r="M415" s="8">
        <f t="shared" si="33"/>
        <v>1069520.3136944587</v>
      </c>
      <c r="N415" s="8">
        <f t="shared" si="34"/>
        <v>206500</v>
      </c>
      <c r="O415" s="8">
        <f>Dashboard!$C$15*(Dashboard!$C$16*EXP(-Dashboard!$C$16*A415)*E415-(1-EXP(-Dashboard!$C$16*A415))*Dashboard!$C$17/Dashboard!$C$19*E415*(1-E415))</f>
        <v>-8.0255737921014175E-2</v>
      </c>
      <c r="P415" s="8">
        <f>Dashboard!$C$9*B415*Dashboard!$C$11*(-Dashboard!$C$12*(1-F415)-O415)+2*Dashboard!$C$20*A415</f>
        <v>43010.636878224352</v>
      </c>
      <c r="Q415" s="8">
        <f>-P415-Dashboard!$C$13-Dashboard!$C$14</f>
        <v>-93010.636878224352</v>
      </c>
    </row>
    <row r="416" spans="1:17" x14ac:dyDescent="0.25">
      <c r="A416" s="5">
        <f>(416-2)/100</f>
        <v>4.1399999999999997</v>
      </c>
      <c r="B416" s="5">
        <f>Dashboard!$C$10*EXP(-Dashboard!$C$12*A416)</f>
        <v>4.6960995141228076E-2</v>
      </c>
      <c r="C416" s="5">
        <f>Dashboard!$C$17*A416</f>
        <v>3311.9999999999995</v>
      </c>
      <c r="D416" s="5">
        <f>Dashboard!$C$15*(1-EXP(-Dashboard!$C$16*A416))</f>
        <v>0.699051374635969</v>
      </c>
      <c r="E416" s="5">
        <f>1/(1+EXP(MIN(700,MAX(-700,(C416-Dashboard!$C$18)/Dashboard!$C$19))))</f>
        <v>0.10095423297890832</v>
      </c>
      <c r="F416" s="5">
        <f t="shared" si="31"/>
        <v>7.0572195339225735E-2</v>
      </c>
      <c r="G416" s="8">
        <f>Dashboard!$C$9*B416*Dashboard!$C$11*(1-F416)</f>
        <v>87293.709237593794</v>
      </c>
      <c r="H416" s="8">
        <f>Dashboard!$C$20*A416^2</f>
        <v>137116.79999999999</v>
      </c>
      <c r="I416" s="8">
        <f t="shared" si="32"/>
        <v>224410.5092375938</v>
      </c>
      <c r="J416" s="8">
        <f>Dashboard!$C$13*A416</f>
        <v>82800</v>
      </c>
      <c r="K416" s="8">
        <f>Dashboard!$C$14*A416</f>
        <v>124199.99999999999</v>
      </c>
      <c r="L416" s="8">
        <f>Dashboard!$C$21-K416</f>
        <v>1375800</v>
      </c>
      <c r="M416" s="8">
        <f t="shared" si="33"/>
        <v>1068589.4907624063</v>
      </c>
      <c r="N416" s="8">
        <f t="shared" si="34"/>
        <v>207000</v>
      </c>
      <c r="O416" s="8">
        <f>Dashboard!$C$15*(Dashboard!$C$16*EXP(-Dashboard!$C$16*A416)*E416-(1-EXP(-Dashboard!$C$16*A416))*Dashboard!$C$17/Dashboard!$C$19*E416*(1-E416))</f>
        <v>-7.9501249130204898E-2</v>
      </c>
      <c r="P416" s="8">
        <f>Dashboard!$C$9*B416*Dashboard!$C$11*(-Dashboard!$C$12*(1-F416)-O416)+2*Dashboard!$C$20*A416</f>
        <v>43154.117315092401</v>
      </c>
      <c r="Q416" s="8">
        <f>-P416-Dashboard!$C$13-Dashboard!$C$14</f>
        <v>-93154.117315092401</v>
      </c>
    </row>
    <row r="417" spans="1:17" x14ac:dyDescent="0.25">
      <c r="A417" s="5">
        <f>(417-2)/100</f>
        <v>4.1500000000000004</v>
      </c>
      <c r="B417" s="5">
        <f>Dashboard!$C$10*EXP(-Dashboard!$C$12*A417)</f>
        <v>4.6796918959046981E-2</v>
      </c>
      <c r="C417" s="5">
        <f>Dashboard!$C$17*A417</f>
        <v>3320.0000000000005</v>
      </c>
      <c r="D417" s="5">
        <f>Dashboard!$C$15*(1-EXP(-Dashboard!$C$16*A417))</f>
        <v>0.69955485800544226</v>
      </c>
      <c r="E417" s="5">
        <f>1/(1+EXP(MIN(700,MAX(-700,(C417-Dashboard!$C$18)/Dashboard!$C$19))))</f>
        <v>9.9750489119685079E-2</v>
      </c>
      <c r="F417" s="5">
        <f t="shared" si="31"/>
        <v>6.9780939252094706E-2</v>
      </c>
      <c r="G417" s="8">
        <f>Dashboard!$C$9*B417*Dashboard!$C$11*(1-F417)</f>
        <v>87062.771999961042</v>
      </c>
      <c r="H417" s="8">
        <f>Dashboard!$C$20*A417^2</f>
        <v>137780.00000000003</v>
      </c>
      <c r="I417" s="8">
        <f t="shared" si="32"/>
        <v>224842.77199996106</v>
      </c>
      <c r="J417" s="8">
        <f>Dashboard!$C$13*A417</f>
        <v>83000</v>
      </c>
      <c r="K417" s="8">
        <f>Dashboard!$C$14*A417</f>
        <v>124500.00000000001</v>
      </c>
      <c r="L417" s="8">
        <f>Dashboard!$C$21-K417</f>
        <v>1375500</v>
      </c>
      <c r="M417" s="8">
        <f t="shared" si="33"/>
        <v>1067657.228000039</v>
      </c>
      <c r="N417" s="8">
        <f t="shared" si="34"/>
        <v>207500</v>
      </c>
      <c r="O417" s="8">
        <f>Dashboard!$C$15*(Dashboard!$C$16*EXP(-Dashboard!$C$16*A417)*E417-(1-EXP(-Dashboard!$C$16*A417))*Dashboard!$C$17/Dashboard!$C$19*E417*(1-E417))</f>
        <v>-7.8750615885462949E-2</v>
      </c>
      <c r="P417" s="8">
        <f>Dashboard!$C$9*B417*Dashboard!$C$11*(-Dashboard!$C$12*(1-F417)-O417)+2*Dashboard!$C$20*A417</f>
        <v>43298.602179147732</v>
      </c>
      <c r="Q417" s="8">
        <f>-P417-Dashboard!$C$13-Dashboard!$C$14</f>
        <v>-93298.60217914774</v>
      </c>
    </row>
    <row r="418" spans="1:17" x14ac:dyDescent="0.25">
      <c r="A418" s="5">
        <f>(418-2)/100</f>
        <v>4.16</v>
      </c>
      <c r="B418" s="5">
        <f>Dashboard!$C$10*EXP(-Dashboard!$C$12*A418)</f>
        <v>4.6633416039708359E-2</v>
      </c>
      <c r="C418" s="5">
        <f>Dashboard!$C$17*A418</f>
        <v>3328</v>
      </c>
      <c r="D418" s="5">
        <f>Dashboard!$C$15*(1-EXP(-Dashboard!$C$16*A418))</f>
        <v>0.70005583024113405</v>
      </c>
      <c r="E418" s="5">
        <f>1/(1+EXP(MIN(700,MAX(-700,(C418-Dashboard!$C$18)/Dashboard!$C$19))))</f>
        <v>9.8559524814754579E-2</v>
      </c>
      <c r="F418" s="5">
        <f t="shared" si="31"/>
        <v>6.8997169972364672E-2</v>
      </c>
      <c r="G418" s="8">
        <f>Dashboard!$C$9*B418*Dashboard!$C$11*(1-F418)</f>
        <v>86831.684613649209</v>
      </c>
      <c r="H418" s="8">
        <f>Dashboard!$C$20*A418^2</f>
        <v>138444.80000000002</v>
      </c>
      <c r="I418" s="8">
        <f t="shared" si="32"/>
        <v>225276.48461364923</v>
      </c>
      <c r="J418" s="8">
        <f>Dashboard!$C$13*A418</f>
        <v>83200</v>
      </c>
      <c r="K418" s="8">
        <f>Dashboard!$C$14*A418</f>
        <v>124800</v>
      </c>
      <c r="L418" s="8">
        <f>Dashboard!$C$21-K418</f>
        <v>1375200</v>
      </c>
      <c r="M418" s="8">
        <f t="shared" si="33"/>
        <v>1066723.5153863507</v>
      </c>
      <c r="N418" s="8">
        <f t="shared" si="34"/>
        <v>208000</v>
      </c>
      <c r="O418" s="8">
        <f>Dashboard!$C$15*(Dashboard!$C$16*EXP(-Dashboard!$C$16*A418)*E418-(1-EXP(-Dashboard!$C$16*A418))*Dashboard!$C$17/Dashboard!$C$19*E418*(1-E418))</f>
        <v>-7.800389730871457E-2</v>
      </c>
      <c r="P418" s="8">
        <f>Dashboard!$C$9*B418*Dashboard!$C$11*(-Dashboard!$C$12*(1-F418)-O418)+2*Dashboard!$C$20*A418</f>
        <v>43444.086777054727</v>
      </c>
      <c r="Q418" s="8">
        <f>-P418-Dashboard!$C$13-Dashboard!$C$14</f>
        <v>-93444.086777054734</v>
      </c>
    </row>
    <row r="419" spans="1:17" x14ac:dyDescent="0.25">
      <c r="A419" s="5">
        <f>(419-2)/100</f>
        <v>4.17</v>
      </c>
      <c r="B419" s="5">
        <f>Dashboard!$C$10*EXP(-Dashboard!$C$12*A419)</f>
        <v>4.6470484380299389E-2</v>
      </c>
      <c r="C419" s="5">
        <f>Dashboard!$C$17*A419</f>
        <v>3336</v>
      </c>
      <c r="D419" s="5">
        <f>Dashboard!$C$15*(1-EXP(-Dashboard!$C$16*A419))</f>
        <v>0.70055430386737649</v>
      </c>
      <c r="E419" s="5">
        <f>1/(1+EXP(MIN(700,MAX(-700,(C419-Dashboard!$C$18)/Dashboard!$C$19))))</f>
        <v>9.7381241812152977E-2</v>
      </c>
      <c r="F419" s="5">
        <f t="shared" si="31"/>
        <v>6.8220848067453488E-2</v>
      </c>
      <c r="G419" s="8">
        <f>Dashboard!$C$9*B419*Dashboard!$C$11*(1-F419)</f>
        <v>86600.457051540012</v>
      </c>
      <c r="H419" s="8">
        <f>Dashboard!$C$20*A419^2</f>
        <v>139111.19999999998</v>
      </c>
      <c r="I419" s="8">
        <f t="shared" si="32"/>
        <v>225711.65705153998</v>
      </c>
      <c r="J419" s="8">
        <f>Dashboard!$C$13*A419</f>
        <v>83400</v>
      </c>
      <c r="K419" s="8">
        <f>Dashboard!$C$14*A419</f>
        <v>125100</v>
      </c>
      <c r="L419" s="8">
        <f>Dashboard!$C$21-K419</f>
        <v>1374900</v>
      </c>
      <c r="M419" s="8">
        <f t="shared" si="33"/>
        <v>1065788.34294846</v>
      </c>
      <c r="N419" s="8">
        <f t="shared" si="34"/>
        <v>208500</v>
      </c>
      <c r="O419" s="8">
        <f>Dashboard!$C$15*(Dashboard!$C$16*EXP(-Dashboard!$C$16*A419)*E419-(1-EXP(-Dashboard!$C$16*A419))*Dashboard!$C$17/Dashboard!$C$19*E419*(1-E419))</f>
        <v>-7.7261150195754413E-2</v>
      </c>
      <c r="P419" s="8">
        <f>Dashboard!$C$9*B419*Dashboard!$C$11*(-Dashboard!$C$12*(1-F419)-O419)+2*Dashboard!$C$20*A419</f>
        <v>43590.566178712535</v>
      </c>
      <c r="Q419" s="8">
        <f>-P419-Dashboard!$C$13-Dashboard!$C$14</f>
        <v>-93590.566178712528</v>
      </c>
    </row>
    <row r="420" spans="1:17" x14ac:dyDescent="0.25">
      <c r="A420" s="5">
        <f>(420-2)/100</f>
        <v>4.18</v>
      </c>
      <c r="B420" s="5">
        <f>Dashboard!$C$10*EXP(-Dashboard!$C$12*A420)</f>
        <v>4.6308121984905193E-2</v>
      </c>
      <c r="C420" s="5">
        <f>Dashboard!$C$17*A420</f>
        <v>3344</v>
      </c>
      <c r="D420" s="5">
        <f>Dashboard!$C$15*(1-EXP(-Dashboard!$C$16*A420))</f>
        <v>0.70105029134603614</v>
      </c>
      <c r="E420" s="5">
        <f>1/(1+EXP(MIN(700,MAX(-700,(C420-Dashboard!$C$18)/Dashboard!$C$19))))</f>
        <v>9.6215541710692826E-2</v>
      </c>
      <c r="F420" s="5">
        <f t="shared" si="31"/>
        <v>6.7451933548297899E-2</v>
      </c>
      <c r="G420" s="8">
        <f>Dashboard!$C$9*B420*Dashboard!$C$11*(1-F420)</f>
        <v>86369.099236065784</v>
      </c>
      <c r="H420" s="8">
        <f>Dashboard!$C$20*A420^2</f>
        <v>139779.19999999998</v>
      </c>
      <c r="I420" s="8">
        <f t="shared" si="32"/>
        <v>226148.29923606577</v>
      </c>
      <c r="J420" s="8">
        <f>Dashboard!$C$13*A420</f>
        <v>83600</v>
      </c>
      <c r="K420" s="8">
        <f>Dashboard!$C$14*A420</f>
        <v>125399.99999999999</v>
      </c>
      <c r="L420" s="8">
        <f>Dashboard!$C$21-K420</f>
        <v>1374600</v>
      </c>
      <c r="M420" s="8">
        <f t="shared" si="33"/>
        <v>1064851.7007639343</v>
      </c>
      <c r="N420" s="8">
        <f t="shared" si="34"/>
        <v>209000</v>
      </c>
      <c r="O420" s="8">
        <f>Dashboard!$C$15*(Dashboard!$C$16*EXP(-Dashboard!$C$16*A420)*E420-(1-EXP(-Dashboard!$C$16*A420))*Dashboard!$C$17/Dashboard!$C$19*E420*(1-E420))</f>
        <v>-7.6522429053224844E-2</v>
      </c>
      <c r="P420" s="8">
        <f>Dashboard!$C$9*B420*Dashboard!$C$11*(-Dashboard!$C$12*(1-F420)-O420)+2*Dashboard!$C$20*A420</f>
        <v>43738.035225732958</v>
      </c>
      <c r="Q420" s="8">
        <f>-P420-Dashboard!$C$13-Dashboard!$C$14</f>
        <v>-93738.03522573295</v>
      </c>
    </row>
    <row r="421" spans="1:17" x14ac:dyDescent="0.25">
      <c r="A421" s="5">
        <f>(421-2)/100</f>
        <v>4.1900000000000004</v>
      </c>
      <c r="B421" s="5">
        <f>Dashboard!$C$10*EXP(-Dashboard!$C$12*A421)</f>
        <v>4.6146326864584392E-2</v>
      </c>
      <c r="C421" s="5">
        <f>Dashboard!$C$17*A421</f>
        <v>3352.0000000000005</v>
      </c>
      <c r="D421" s="5">
        <f>Dashboard!$C$15*(1-EXP(-Dashboard!$C$16*A421))</f>
        <v>0.7015438050768259</v>
      </c>
      <c r="E421" s="5">
        <f>1/(1+EXP(MIN(700,MAX(-700,(C421-Dashboard!$C$18)/Dashboard!$C$19))))</f>
        <v>9.5062325986552218E-2</v>
      </c>
      <c r="F421" s="5">
        <f t="shared" si="31"/>
        <v>6.6690385892059473E-2</v>
      </c>
      <c r="G421" s="8">
        <f>Dashboard!$C$9*B421*Dashboard!$C$11*(1-F421)</f>
        <v>86137.621036968296</v>
      </c>
      <c r="H421" s="8">
        <f>Dashboard!$C$20*A421^2</f>
        <v>140448.80000000005</v>
      </c>
      <c r="I421" s="8">
        <f t="shared" si="32"/>
        <v>226586.42103696836</v>
      </c>
      <c r="J421" s="8">
        <f>Dashboard!$C$13*A421</f>
        <v>83800.000000000015</v>
      </c>
      <c r="K421" s="8">
        <f>Dashboard!$C$14*A421</f>
        <v>125700.00000000001</v>
      </c>
      <c r="L421" s="8">
        <f>Dashboard!$C$21-K421</f>
        <v>1374300</v>
      </c>
      <c r="M421" s="8">
        <f t="shared" si="33"/>
        <v>1063913.5789630315</v>
      </c>
      <c r="N421" s="8">
        <f t="shared" si="34"/>
        <v>209500.00000000003</v>
      </c>
      <c r="O421" s="8">
        <f>Dashboard!$C$15*(Dashboard!$C$16*EXP(-Dashboard!$C$16*A421)*E421-(1-EXP(-Dashboard!$C$16*A421))*Dashboard!$C$17/Dashboard!$C$19*E421*(1-E421))</f>
        <v>-7.5787786135701585E-2</v>
      </c>
      <c r="P421" s="8">
        <f>Dashboard!$C$9*B421*Dashboard!$C$11*(-Dashboard!$C$12*(1-F421)-O421)+2*Dashboard!$C$20*A421</f>
        <v>43886.488539783706</v>
      </c>
      <c r="Q421" s="8">
        <f>-P421-Dashboard!$C$13-Dashboard!$C$14</f>
        <v>-93886.488539783706</v>
      </c>
    </row>
    <row r="422" spans="1:17" x14ac:dyDescent="0.25">
      <c r="A422" s="5">
        <f>(422-2)/100</f>
        <v>4.2</v>
      </c>
      <c r="B422" s="5">
        <f>Dashboard!$C$10*EXP(-Dashboard!$C$12*A422)</f>
        <v>4.5985097037344769E-2</v>
      </c>
      <c r="C422" s="5">
        <f>Dashboard!$C$17*A422</f>
        <v>3360</v>
      </c>
      <c r="D422" s="5">
        <f>Dashboard!$C$15*(1-EXP(-Dashboard!$C$16*A422))</f>
        <v>0.70203485739761451</v>
      </c>
      <c r="E422" s="5">
        <f>1/(1+EXP(MIN(700,MAX(-700,(C422-Dashboard!$C$18)/Dashboard!$C$19))))</f>
        <v>9.3921496019271161E-2</v>
      </c>
      <c r="F422" s="5">
        <f t="shared" si="31"/>
        <v>6.5936164064459651E-2</v>
      </c>
      <c r="G422" s="8">
        <f>Dashboard!$C$9*B422*Dashboard!$C$11*(1-F422)</f>
        <v>85906.032269140618</v>
      </c>
      <c r="H422" s="8">
        <f>Dashboard!$C$20*A422^2</f>
        <v>141120</v>
      </c>
      <c r="I422" s="8">
        <f t="shared" si="32"/>
        <v>227026.03226914062</v>
      </c>
      <c r="J422" s="8">
        <f>Dashboard!$C$13*A422</f>
        <v>84000</v>
      </c>
      <c r="K422" s="8">
        <f>Dashboard!$C$14*A422</f>
        <v>126000</v>
      </c>
      <c r="L422" s="8">
        <f>Dashboard!$C$21-K422</f>
        <v>1374000</v>
      </c>
      <c r="M422" s="8">
        <f t="shared" si="33"/>
        <v>1062973.9677308593</v>
      </c>
      <c r="N422" s="8">
        <f t="shared" si="34"/>
        <v>210000</v>
      </c>
      <c r="O422" s="8">
        <f>Dashboard!$C$15*(Dashboard!$C$16*EXP(-Dashboard!$C$16*A422)*E422-(1-EXP(-Dashboard!$C$16*A422))*Dashboard!$C$17/Dashboard!$C$19*E422*(1-E422))</f>
        <v>-7.5057271482859345E-2</v>
      </c>
      <c r="P422" s="8">
        <f>Dashboard!$C$9*B422*Dashboard!$C$11*(-Dashboard!$C$12*(1-F422)-O422)+2*Dashboard!$C$20*A422</f>
        <v>44035.920530796022</v>
      </c>
      <c r="Q422" s="8">
        <f>-P422-Dashboard!$C$13-Dashboard!$C$14</f>
        <v>-94035.920530796022</v>
      </c>
    </row>
    <row r="423" spans="1:17" x14ac:dyDescent="0.25">
      <c r="A423" s="5">
        <f>(423-2)/100</f>
        <v>4.21</v>
      </c>
      <c r="B423" s="5">
        <f>Dashboard!$C$10*EXP(-Dashboard!$C$12*A423)</f>
        <v>4.5824430528118909E-2</v>
      </c>
      <c r="C423" s="5">
        <f>Dashboard!$C$17*A423</f>
        <v>3368</v>
      </c>
      <c r="D423" s="5">
        <f>Dashboard!$C$15*(1-EXP(-Dashboard!$C$16*A423))</f>
        <v>0.7025234605847358</v>
      </c>
      <c r="E423" s="5">
        <f>1/(1+EXP(MIN(700,MAX(-700,(C423-Dashboard!$C$18)/Dashboard!$C$19))))</f>
        <v>9.2792953117157018E-2</v>
      </c>
      <c r="F423" s="5">
        <f t="shared" ref="F423:F486" si="35">D423*E423</f>
        <v>6.5189226541742293E-2</v>
      </c>
      <c r="G423" s="8">
        <f>Dashboard!$C$9*B423*Dashboard!$C$11*(1-F423)</f>
        <v>85674.342690550067</v>
      </c>
      <c r="H423" s="8">
        <f>Dashboard!$C$20*A423^2</f>
        <v>141792.79999999999</v>
      </c>
      <c r="I423" s="8">
        <f t="shared" ref="I423:I486" si="36">G423+H423</f>
        <v>227467.14269055007</v>
      </c>
      <c r="J423" s="8">
        <f>Dashboard!$C$13*A423</f>
        <v>84200</v>
      </c>
      <c r="K423" s="8">
        <f>Dashboard!$C$14*A423</f>
        <v>126300</v>
      </c>
      <c r="L423" s="8">
        <f>Dashboard!$C$21-K423</f>
        <v>1373700</v>
      </c>
      <c r="M423" s="8">
        <f t="shared" ref="M423:M486" si="37">L423-I423-J423</f>
        <v>1062032.8573094499</v>
      </c>
      <c r="N423" s="8">
        <f t="shared" ref="N423:N486" si="38">J423+K423</f>
        <v>210500</v>
      </c>
      <c r="O423" s="8">
        <f>Dashboard!$C$15*(Dashboard!$C$16*EXP(-Dashboard!$C$16*A423)*E423-(1-EXP(-Dashboard!$C$16*A423))*Dashboard!$C$17/Dashboard!$C$19*E423*(1-E423))</f>
        <v>-7.433093295668923E-2</v>
      </c>
      <c r="P423" s="8">
        <f>Dashboard!$C$9*B423*Dashboard!$C$11*(-Dashboard!$C$12*(1-F423)-O423)+2*Dashboard!$C$20*A423</f>
        <v>44186.325405035619</v>
      </c>
      <c r="Q423" s="8">
        <f>-P423-Dashboard!$C$13-Dashboard!$C$14</f>
        <v>-94186.325405035619</v>
      </c>
    </row>
    <row r="424" spans="1:17" x14ac:dyDescent="0.25">
      <c r="A424" s="5">
        <f>(424-2)/100</f>
        <v>4.22</v>
      </c>
      <c r="B424" s="5">
        <f>Dashboard!$C$10*EXP(-Dashboard!$C$12*A424)</f>
        <v>4.5664325368740058E-2</v>
      </c>
      <c r="C424" s="5">
        <f>Dashboard!$C$17*A424</f>
        <v>3376</v>
      </c>
      <c r="D424" s="5">
        <f>Dashboard!$C$15*(1-EXP(-Dashboard!$C$16*A424))</f>
        <v>0.70300962685329471</v>
      </c>
      <c r="E424" s="5">
        <f>1/(1+EXP(MIN(700,MAX(-700,(C424-Dashboard!$C$18)/Dashboard!$C$19))))</f>
        <v>9.1676598542105317E-2</v>
      </c>
      <c r="F424" s="5">
        <f t="shared" si="35"/>
        <v>6.4449531332264762E-2</v>
      </c>
      <c r="G424" s="8">
        <f>Dashboard!$C$9*B424*Dashboard!$C$11*(1-F424)</f>
        <v>85442.562000241422</v>
      </c>
      <c r="H424" s="8">
        <f>Dashboard!$C$20*A424^2</f>
        <v>142467.19999999998</v>
      </c>
      <c r="I424" s="8">
        <f t="shared" si="36"/>
        <v>227909.7620002414</v>
      </c>
      <c r="J424" s="8">
        <f>Dashboard!$C$13*A424</f>
        <v>84400</v>
      </c>
      <c r="K424" s="8">
        <f>Dashboard!$C$14*A424</f>
        <v>126599.99999999999</v>
      </c>
      <c r="L424" s="8">
        <f>Dashboard!$C$21-K424</f>
        <v>1373400</v>
      </c>
      <c r="M424" s="8">
        <f t="shared" si="37"/>
        <v>1061090.2379997587</v>
      </c>
      <c r="N424" s="8">
        <f t="shared" si="38"/>
        <v>211000</v>
      </c>
      <c r="O424" s="8">
        <f>Dashboard!$C$15*(Dashboard!$C$16*EXP(-Dashboard!$C$16*A424)*E424-(1-EXP(-Dashboard!$C$16*A424))*Dashboard!$C$17/Dashboard!$C$19*E424*(1-E424))</f>
        <v>-7.3608816278743425E-2</v>
      </c>
      <c r="P424" s="8">
        <f>Dashboard!$C$9*B424*Dashboard!$C$11*(-Dashboard!$C$12*(1-F424)-O424)+2*Dashboard!$C$20*A424</f>
        <v>44337.697173036198</v>
      </c>
      <c r="Q424" s="8">
        <f>-P424-Dashboard!$C$13-Dashboard!$C$14</f>
        <v>-94337.697173036198</v>
      </c>
    </row>
    <row r="425" spans="1:17" x14ac:dyDescent="0.25">
      <c r="A425" s="5">
        <f>(425-2)/100</f>
        <v>4.2300000000000004</v>
      </c>
      <c r="B425" s="5">
        <f>Dashboard!$C$10*EXP(-Dashboard!$C$12*A425)</f>
        <v>4.5504779597918002E-2</v>
      </c>
      <c r="C425" s="5">
        <f>Dashboard!$C$17*A425</f>
        <v>3384.0000000000005</v>
      </c>
      <c r="D425" s="5">
        <f>Dashboard!$C$15*(1-EXP(-Dashboard!$C$16*A425))</f>
        <v>0.70349336835747345</v>
      </c>
      <c r="E425" s="5">
        <f>1/(1+EXP(MIN(700,MAX(-700,(C425-Dashboard!$C$18)/Dashboard!$C$19))))</f>
        <v>9.0572333533837465E-2</v>
      </c>
      <c r="F425" s="5">
        <f t="shared" si="35"/>
        <v>6.371703599771586E-2</v>
      </c>
      <c r="G425" s="8">
        <f>Dashboard!$C$9*B425*Dashboard!$C$11*(1-F425)</f>
        <v>85210.699836418673</v>
      </c>
      <c r="H425" s="8">
        <f>Dashboard!$C$20*A425^2</f>
        <v>143143.20000000004</v>
      </c>
      <c r="I425" s="8">
        <f t="shared" si="36"/>
        <v>228353.89983641871</v>
      </c>
      <c r="J425" s="8">
        <f>Dashboard!$C$13*A425</f>
        <v>84600.000000000015</v>
      </c>
      <c r="K425" s="8">
        <f>Dashboard!$C$14*A425</f>
        <v>126900.00000000001</v>
      </c>
      <c r="L425" s="8">
        <f>Dashboard!$C$21-K425</f>
        <v>1373100</v>
      </c>
      <c r="M425" s="8">
        <f t="shared" si="37"/>
        <v>1060146.1001635813</v>
      </c>
      <c r="N425" s="8">
        <f t="shared" si="38"/>
        <v>211500.00000000003</v>
      </c>
      <c r="O425" s="8">
        <f>Dashboard!$C$15*(Dashboard!$C$16*EXP(-Dashboard!$C$16*A425)*E425-(1-EXP(-Dashboard!$C$16*A425))*Dashboard!$C$17/Dashboard!$C$19*E425*(1-E425))</f>
        <v>-7.2890965067380561E-2</v>
      </c>
      <c r="P425" s="8">
        <f>Dashboard!$C$9*B425*Dashboard!$C$11*(-Dashboard!$C$12*(1-F425)-O425)+2*Dashboard!$C$20*A425</f>
        <v>44490.029657394858</v>
      </c>
      <c r="Q425" s="8">
        <f>-P425-Dashboard!$C$13-Dashboard!$C$14</f>
        <v>-94490.029657394858</v>
      </c>
    </row>
    <row r="426" spans="1:17" x14ac:dyDescent="0.25">
      <c r="A426" s="5">
        <f>(426-2)/100</f>
        <v>4.24</v>
      </c>
      <c r="B426" s="5">
        <f>Dashboard!$C$10*EXP(-Dashboard!$C$12*A426)</f>
        <v>4.5345791261215088E-2</v>
      </c>
      <c r="C426" s="5">
        <f>Dashboard!$C$17*A426</f>
        <v>3392</v>
      </c>
      <c r="D426" s="5">
        <f>Dashboard!$C$15*(1-EXP(-Dashboard!$C$16*A426))</f>
        <v>0.70397469719083461</v>
      </c>
      <c r="E426" s="5">
        <f>1/(1+EXP(MIN(700,MAX(-700,(C426-Dashboard!$C$18)/Dashboard!$C$19))))</f>
        <v>8.9480059333561443E-2</v>
      </c>
      <c r="F426" s="5">
        <f t="shared" si="35"/>
        <v>6.299169767396183E-2</v>
      </c>
      <c r="G426" s="8">
        <f>Dashboard!$C$9*B426*Dashboard!$C$11*(1-F426)</f>
        <v>84978.765774604079</v>
      </c>
      <c r="H426" s="8">
        <f>Dashboard!$C$20*A426^2</f>
        <v>143820.80000000002</v>
      </c>
      <c r="I426" s="8">
        <f t="shared" si="36"/>
        <v>228799.5657746041</v>
      </c>
      <c r="J426" s="8">
        <f>Dashboard!$C$13*A426</f>
        <v>84800</v>
      </c>
      <c r="K426" s="8">
        <f>Dashboard!$C$14*A426</f>
        <v>127200</v>
      </c>
      <c r="L426" s="8">
        <f>Dashboard!$C$21-K426</f>
        <v>1372800</v>
      </c>
      <c r="M426" s="8">
        <f t="shared" si="37"/>
        <v>1059200.4342253958</v>
      </c>
      <c r="N426" s="8">
        <f t="shared" si="38"/>
        <v>212000</v>
      </c>
      <c r="O426" s="8">
        <f>Dashboard!$C$15*(Dashboard!$C$16*EXP(-Dashboard!$C$16*A426)*E426-(1-EXP(-Dashboard!$C$16*A426))*Dashboard!$C$17/Dashboard!$C$19*E426*(1-E426))</f>
        <v>-7.2177420874988296E-2</v>
      </c>
      <c r="P426" s="8">
        <f>Dashboard!$C$9*B426*Dashboard!$C$11*(-Dashboard!$C$12*(1-F426)-O426)+2*Dashboard!$C$20*A426</f>
        <v>44643.316500428744</v>
      </c>
      <c r="Q426" s="8">
        <f>-P426-Dashboard!$C$13-Dashboard!$C$14</f>
        <v>-94643.316500428744</v>
      </c>
    </row>
    <row r="427" spans="1:17" x14ac:dyDescent="0.25">
      <c r="A427" s="5">
        <f>(427-2)/100</f>
        <v>4.25</v>
      </c>
      <c r="B427" s="5">
        <f>Dashboard!$C$10*EXP(-Dashboard!$C$12*A427)</f>
        <v>4.5187358411022178E-2</v>
      </c>
      <c r="C427" s="5">
        <f>Dashboard!$C$17*A427</f>
        <v>3400</v>
      </c>
      <c r="D427" s="5">
        <f>Dashboard!$C$15*(1-EXP(-Dashboard!$C$16*A427))</f>
        <v>0.70445362538662426</v>
      </c>
      <c r="E427" s="5">
        <f>1/(1+EXP(MIN(700,MAX(-700,(C427-Dashboard!$C$18)/Dashboard!$C$19))))</f>
        <v>8.8399677207058408E-2</v>
      </c>
      <c r="F427" s="5">
        <f t="shared" si="35"/>
        <v>6.2273473091519628E-2</v>
      </c>
      <c r="G427" s="8">
        <f>Dashboard!$C$9*B427*Dashboard!$C$11*(1-F427)</f>
        <v>84746.769325873072</v>
      </c>
      <c r="H427" s="8">
        <f>Dashboard!$C$20*A427^2</f>
        <v>144500</v>
      </c>
      <c r="I427" s="8">
        <f t="shared" si="36"/>
        <v>229246.76932587306</v>
      </c>
      <c r="J427" s="8">
        <f>Dashboard!$C$13*A427</f>
        <v>85000</v>
      </c>
      <c r="K427" s="8">
        <f>Dashboard!$C$14*A427</f>
        <v>127500</v>
      </c>
      <c r="L427" s="8">
        <f>Dashboard!$C$21-K427</f>
        <v>1372500</v>
      </c>
      <c r="M427" s="8">
        <f t="shared" si="37"/>
        <v>1058253.2306741269</v>
      </c>
      <c r="N427" s="8">
        <f t="shared" si="38"/>
        <v>212500</v>
      </c>
      <c r="O427" s="8">
        <f>Dashboard!$C$15*(Dashboard!$C$16*EXP(-Dashboard!$C$16*A427)*E427-(1-EXP(-Dashboard!$C$16*A427))*Dashboard!$C$17/Dashboard!$C$19*E427*(1-E427))</f>
        <v>-7.1468223225158931E-2</v>
      </c>
      <c r="P427" s="8">
        <f>Dashboard!$C$9*B427*Dashboard!$C$11*(-Dashboard!$C$12*(1-F427)-O427)+2*Dashboard!$C$20*A427</f>
        <v>44797.551171692816</v>
      </c>
      <c r="Q427" s="8">
        <f>-P427-Dashboard!$C$13-Dashboard!$C$14</f>
        <v>-94797.551171692816</v>
      </c>
    </row>
    <row r="428" spans="1:17" x14ac:dyDescent="0.25">
      <c r="A428" s="5">
        <f>(428-2)/100</f>
        <v>4.26</v>
      </c>
      <c r="B428" s="5">
        <f>Dashboard!$C$10*EXP(-Dashboard!$C$12*A428)</f>
        <v>4.5029479106534875E-2</v>
      </c>
      <c r="C428" s="5">
        <f>Dashboard!$C$17*A428</f>
        <v>3408</v>
      </c>
      <c r="D428" s="5">
        <f>Dashboard!$C$15*(1-EXP(-Dashboard!$C$16*A428))</f>
        <v>0.70493016491807237</v>
      </c>
      <c r="E428" s="5">
        <f>1/(1+EXP(MIN(700,MAX(-700,(C428-Dashboard!$C$18)/Dashboard!$C$19))))</f>
        <v>8.7331088467202611E-2</v>
      </c>
      <c r="F428" s="5">
        <f t="shared" si="35"/>
        <v>6.1562318595659901E-2</v>
      </c>
      <c r="G428" s="8">
        <f>Dashboard!$C$9*B428*Dashboard!$C$11*(1-F428)</f>
        <v>84514.719935163535</v>
      </c>
      <c r="H428" s="8">
        <f>Dashboard!$C$20*A428^2</f>
        <v>145180.79999999999</v>
      </c>
      <c r="I428" s="8">
        <f t="shared" si="36"/>
        <v>229695.51993516352</v>
      </c>
      <c r="J428" s="8">
        <f>Dashboard!$C$13*A428</f>
        <v>85200</v>
      </c>
      <c r="K428" s="8">
        <f>Dashboard!$C$14*A428</f>
        <v>127800</v>
      </c>
      <c r="L428" s="8">
        <f>Dashboard!$C$21-K428</f>
        <v>1372200</v>
      </c>
      <c r="M428" s="8">
        <f t="shared" si="37"/>
        <v>1057304.4800648366</v>
      </c>
      <c r="N428" s="8">
        <f t="shared" si="38"/>
        <v>213000</v>
      </c>
      <c r="O428" s="8">
        <f>Dashboard!$C$15*(Dashboard!$C$16*EXP(-Dashboard!$C$16*A428)*E428-(1-EXP(-Dashboard!$C$16*A428))*Dashboard!$C$17/Dashboard!$C$19*E428*(1-E428))</f>
        <v>-7.0763409649797201E-2</v>
      </c>
      <c r="P428" s="8">
        <f>Dashboard!$C$9*B428*Dashboard!$C$11*(-Dashboard!$C$12*(1-F428)-O428)+2*Dashboard!$C$20*A428</f>
        <v>44952.726975358186</v>
      </c>
      <c r="Q428" s="8">
        <f>-P428-Dashboard!$C$13-Dashboard!$C$14</f>
        <v>-94952.726975358179</v>
      </c>
    </row>
    <row r="429" spans="1:17" x14ac:dyDescent="0.25">
      <c r="A429" s="5">
        <f>(429-2)/100</f>
        <v>4.2699999999999996</v>
      </c>
      <c r="B429" s="5">
        <f>Dashboard!$C$10*EXP(-Dashboard!$C$12*A429)</f>
        <v>4.4872151413729744E-2</v>
      </c>
      <c r="C429" s="5">
        <f>Dashboard!$C$17*A429</f>
        <v>3415.9999999999995</v>
      </c>
      <c r="D429" s="5">
        <f>Dashboard!$C$15*(1-EXP(-Dashboard!$C$16*A429))</f>
        <v>0.70540432769869166</v>
      </c>
      <c r="E429" s="5">
        <f>1/(1+EXP(MIN(700,MAX(-700,(C429-Dashboard!$C$18)/Dashboard!$C$19))))</f>
        <v>8.6274194495916737E-2</v>
      </c>
      <c r="F429" s="5">
        <f t="shared" si="35"/>
        <v>6.0858190166138311E-2</v>
      </c>
      <c r="G429" s="8">
        <f>Dashboard!$C$9*B429*Dashboard!$C$11*(1-F429)</f>
        <v>84282.626979658453</v>
      </c>
      <c r="H429" s="8">
        <f>Dashboard!$C$20*A429^2</f>
        <v>145863.19999999998</v>
      </c>
      <c r="I429" s="8">
        <f t="shared" si="36"/>
        <v>230145.82697965845</v>
      </c>
      <c r="J429" s="8">
        <f>Dashboard!$C$13*A429</f>
        <v>85399.999999999985</v>
      </c>
      <c r="K429" s="8">
        <f>Dashboard!$C$14*A429</f>
        <v>128099.99999999999</v>
      </c>
      <c r="L429" s="8">
        <f>Dashboard!$C$21-K429</f>
        <v>1371900</v>
      </c>
      <c r="M429" s="8">
        <f t="shared" si="37"/>
        <v>1056354.1730203414</v>
      </c>
      <c r="N429" s="8">
        <f t="shared" si="38"/>
        <v>213499.99999999997</v>
      </c>
      <c r="O429" s="8">
        <f>Dashboard!$C$15*(Dashboard!$C$16*EXP(-Dashboard!$C$16*A429)*E429-(1-EXP(-Dashboard!$C$16*A429))*Dashboard!$C$17/Dashboard!$C$19*E429*(1-E429))</f>
        <v>-7.0063015726136324E-2</v>
      </c>
      <c r="P429" s="8">
        <f>Dashboard!$C$9*B429*Dashboard!$C$11*(-Dashboard!$C$12*(1-F429)-O429)+2*Dashboard!$C$20*A429</f>
        <v>45108.837057450975</v>
      </c>
      <c r="Q429" s="8">
        <f>-P429-Dashboard!$C$13-Dashboard!$C$14</f>
        <v>-95108.837057450975</v>
      </c>
    </row>
    <row r="430" spans="1:17" x14ac:dyDescent="0.25">
      <c r="A430" s="5">
        <f>(430-2)/100</f>
        <v>4.28</v>
      </c>
      <c r="B430" s="5">
        <f>Dashboard!$C$10*EXP(-Dashboard!$C$12*A430)</f>
        <v>4.4715373405340542E-2</v>
      </c>
      <c r="C430" s="5">
        <f>Dashboard!$C$17*A430</f>
        <v>3424</v>
      </c>
      <c r="D430" s="5">
        <f>Dashboard!$C$15*(1-EXP(-Dashboard!$C$16*A430))</f>
        <v>0.70587612558257673</v>
      </c>
      <c r="E430" s="5">
        <f>1/(1+EXP(MIN(700,MAX(-700,(C430-Dashboard!$C$18)/Dashboard!$C$19))))</f>
        <v>8.5228896765569523E-2</v>
      </c>
      <c r="F430" s="5">
        <f t="shared" si="35"/>
        <v>6.0161043436557621E-2</v>
      </c>
      <c r="G430" s="8">
        <f>Dashboard!$C$9*B430*Dashboard!$C$11*(1-F430)</f>
        <v>84050.499767239919</v>
      </c>
      <c r="H430" s="8">
        <f>Dashboard!$C$20*A430^2</f>
        <v>146547.20000000001</v>
      </c>
      <c r="I430" s="8">
        <f t="shared" si="36"/>
        <v>230597.69976723992</v>
      </c>
      <c r="J430" s="8">
        <f>Dashboard!$C$13*A430</f>
        <v>85600</v>
      </c>
      <c r="K430" s="8">
        <f>Dashboard!$C$14*A430</f>
        <v>128400.00000000001</v>
      </c>
      <c r="L430" s="8">
        <f>Dashboard!$C$21-K430</f>
        <v>1371600</v>
      </c>
      <c r="M430" s="8">
        <f t="shared" si="37"/>
        <v>1055402.3002327601</v>
      </c>
      <c r="N430" s="8">
        <f t="shared" si="38"/>
        <v>214000</v>
      </c>
      <c r="O430" s="8">
        <f>Dashboard!$C$15*(Dashboard!$C$16*EXP(-Dashboard!$C$16*A430)*E430-(1-EXP(-Dashboard!$C$16*A430))*Dashboard!$C$17/Dashboard!$C$19*E430*(1-E430))</f>
        <v>-6.9367075113643401E-2</v>
      </c>
      <c r="P430" s="8">
        <f>Dashboard!$C$9*B430*Dashboard!$C$11*(-Dashboard!$C$12*(1-F430)-O430)+2*Dashboard!$C$20*A430</f>
        <v>45265.874412951773</v>
      </c>
      <c r="Q430" s="8">
        <f>-P430-Dashboard!$C$13-Dashboard!$C$14</f>
        <v>-95265.874412951773</v>
      </c>
    </row>
    <row r="431" spans="1:17" x14ac:dyDescent="0.25">
      <c r="A431" s="5">
        <f>(431-2)/100</f>
        <v>4.29</v>
      </c>
      <c r="B431" s="5">
        <f>Dashboard!$C$10*EXP(-Dashboard!$C$12*A431)</f>
        <v>4.4559143160834751E-2</v>
      </c>
      <c r="C431" s="5">
        <f>Dashboard!$C$17*A431</f>
        <v>3432</v>
      </c>
      <c r="D431" s="5">
        <f>Dashboard!$C$15*(1-EXP(-Dashboard!$C$16*A431))</f>
        <v>0.70634557036469892</v>
      </c>
      <c r="E431" s="5">
        <f>1/(1+EXP(MIN(700,MAX(-700,(C431-Dashboard!$C$18)/Dashboard!$C$19))))</f>
        <v>8.4195096859821475E-2</v>
      </c>
      <c r="F431" s="5">
        <f t="shared" si="35"/>
        <v>5.9470833713361669E-2</v>
      </c>
      <c r="G431" s="8">
        <f>Dashboard!$C$9*B431*Dashboard!$C$11*(1-F431)</f>
        <v>83818.347535013745</v>
      </c>
      <c r="H431" s="8">
        <f>Dashboard!$C$20*A431^2</f>
        <v>147232.79999999999</v>
      </c>
      <c r="I431" s="8">
        <f t="shared" si="36"/>
        <v>231051.14753501373</v>
      </c>
      <c r="J431" s="8">
        <f>Dashboard!$C$13*A431</f>
        <v>85800</v>
      </c>
      <c r="K431" s="8">
        <f>Dashboard!$C$14*A431</f>
        <v>128700</v>
      </c>
      <c r="L431" s="8">
        <f>Dashboard!$C$21-K431</f>
        <v>1371300</v>
      </c>
      <c r="M431" s="8">
        <f t="shared" si="37"/>
        <v>1054448.8524649863</v>
      </c>
      <c r="N431" s="8">
        <f t="shared" si="38"/>
        <v>214500</v>
      </c>
      <c r="O431" s="8">
        <f>Dashboard!$C$15*(Dashboard!$C$16*EXP(-Dashboard!$C$16*A431)*E431-(1-EXP(-Dashboard!$C$16*A431))*Dashboard!$C$17/Dashboard!$C$19*E431*(1-E431))</f>
        <v>-6.8675619590793366E-2</v>
      </c>
      <c r="P431" s="8">
        <f>Dashboard!$C$9*B431*Dashboard!$C$11*(-Dashboard!$C$12*(1-F431)-O431)+2*Dashboard!$C$20*A431</f>
        <v>45423.831892755567</v>
      </c>
      <c r="Q431" s="8">
        <f>-P431-Dashboard!$C$13-Dashboard!$C$14</f>
        <v>-95423.831892755567</v>
      </c>
    </row>
    <row r="432" spans="1:17" x14ac:dyDescent="0.25">
      <c r="A432" s="5">
        <f>(432-2)/100</f>
        <v>4.3</v>
      </c>
      <c r="B432" s="5">
        <f>Dashboard!$C$10*EXP(-Dashboard!$C$12*A432)</f>
        <v>4.4403458766389889E-2</v>
      </c>
      <c r="C432" s="5">
        <f>Dashboard!$C$17*A432</f>
        <v>3440</v>
      </c>
      <c r="D432" s="5">
        <f>Dashboard!$C$15*(1-EXP(-Dashboard!$C$16*A432))</f>
        <v>0.70681267378120249</v>
      </c>
      <c r="E432" s="5">
        <f>1/(1+EXP(MIN(700,MAX(-700,(C432-Dashboard!$C$18)/Dashboard!$C$19))))</f>
        <v>8.317269649392238E-2</v>
      </c>
      <c r="F432" s="5">
        <f t="shared" si="35"/>
        <v>5.878751599446172E-2</v>
      </c>
      <c r="G432" s="8">
        <f>Dashboard!$C$9*B432*Dashboard!$C$11*(1-F432)</f>
        <v>83586.179447902643</v>
      </c>
      <c r="H432" s="8">
        <f>Dashboard!$C$20*A432^2</f>
        <v>147920</v>
      </c>
      <c r="I432" s="8">
        <f t="shared" si="36"/>
        <v>231506.17944790266</v>
      </c>
      <c r="J432" s="8">
        <f>Dashboard!$C$13*A432</f>
        <v>86000</v>
      </c>
      <c r="K432" s="8">
        <f>Dashboard!$C$14*A432</f>
        <v>129000</v>
      </c>
      <c r="L432" s="8">
        <f>Dashboard!$C$21-K432</f>
        <v>1371000</v>
      </c>
      <c r="M432" s="8">
        <f t="shared" si="37"/>
        <v>1053493.8205520974</v>
      </c>
      <c r="N432" s="8">
        <f t="shared" si="38"/>
        <v>215000</v>
      </c>
      <c r="O432" s="8">
        <f>Dashboard!$C$15*(Dashboard!$C$16*EXP(-Dashboard!$C$16*A432)*E432-(1-EXP(-Dashboard!$C$16*A432))*Dashboard!$C$17/Dashboard!$C$19*E432*(1-E432))</f>
        <v>-6.7988679091692247E-2</v>
      </c>
      <c r="P432" s="8">
        <f>Dashboard!$C$9*B432*Dashboard!$C$11*(-Dashboard!$C$12*(1-F432)-O432)+2*Dashboard!$C$20*A432</f>
        <v>45582.702210492615</v>
      </c>
      <c r="Q432" s="8">
        <f>-P432-Dashboard!$C$13-Dashboard!$C$14</f>
        <v>-95582.702210492615</v>
      </c>
    </row>
    <row r="433" spans="1:17" x14ac:dyDescent="0.25">
      <c r="A433" s="5">
        <f>(433-2)/100</f>
        <v>4.3099999999999996</v>
      </c>
      <c r="B433" s="5">
        <f>Dashboard!$C$10*EXP(-Dashboard!$C$12*A433)</f>
        <v>4.4248318314870201E-2</v>
      </c>
      <c r="C433" s="5">
        <f>Dashboard!$C$17*A433</f>
        <v>3447.9999999999995</v>
      </c>
      <c r="D433" s="5">
        <f>Dashboard!$C$15*(1-EXP(-Dashboard!$C$16*A433))</f>
        <v>0.70727744750969701</v>
      </c>
      <c r="E433" s="5">
        <f>1/(1+EXP(MIN(700,MAX(-700,(C433-Dashboard!$C$18)/Dashboard!$C$19))))</f>
        <v>8.2161597534468472E-2</v>
      </c>
      <c r="F433" s="5">
        <f t="shared" si="35"/>
        <v>5.8111044987497876E-2</v>
      </c>
      <c r="G433" s="8">
        <f>Dashboard!$C$9*B433*Dashboard!$C$11*(1-F433)</f>
        <v>83354.004597307299</v>
      </c>
      <c r="H433" s="8">
        <f>Dashboard!$C$20*A433^2</f>
        <v>148608.79999999999</v>
      </c>
      <c r="I433" s="8">
        <f t="shared" si="36"/>
        <v>231962.80459730729</v>
      </c>
      <c r="J433" s="8">
        <f>Dashboard!$C$13*A433</f>
        <v>86199.999999999985</v>
      </c>
      <c r="K433" s="8">
        <f>Dashboard!$C$14*A433</f>
        <v>129299.99999999999</v>
      </c>
      <c r="L433" s="8">
        <f>Dashboard!$C$21-K433</f>
        <v>1370700</v>
      </c>
      <c r="M433" s="8">
        <f t="shared" si="37"/>
        <v>1052537.1954026928</v>
      </c>
      <c r="N433" s="8">
        <f t="shared" si="38"/>
        <v>215499.99999999997</v>
      </c>
      <c r="O433" s="8">
        <f>Dashboard!$C$15*(Dashboard!$C$16*EXP(-Dashboard!$C$16*A433)*E433-(1-EXP(-Dashboard!$C$16*A433))*Dashboard!$C$17/Dashboard!$C$19*E433*(1-E433))</f>
        <v>-6.7306281742531796E-2</v>
      </c>
      <c r="P433" s="8">
        <f>Dashboard!$C$9*B433*Dashboard!$C$11*(-Dashboard!$C$12*(1-F433)-O433)+2*Dashboard!$C$20*A433</f>
        <v>45742.47794921021</v>
      </c>
      <c r="Q433" s="8">
        <f>-P433-Dashboard!$C$13-Dashboard!$C$14</f>
        <v>-95742.47794921021</v>
      </c>
    </row>
    <row r="434" spans="1:17" x14ac:dyDescent="0.25">
      <c r="A434" s="5">
        <f>(434-2)/100</f>
        <v>4.32</v>
      </c>
      <c r="B434" s="5">
        <f>Dashboard!$C$10*EXP(-Dashboard!$C$12*A434)</f>
        <v>4.4093719905803186E-2</v>
      </c>
      <c r="C434" s="5">
        <f>Dashboard!$C$17*A434</f>
        <v>3456</v>
      </c>
      <c r="D434" s="5">
        <f>Dashboard!$C$15*(1-EXP(-Dashboard!$C$16*A434))</f>
        <v>0.70773990316955004</v>
      </c>
      <c r="E434" s="5">
        <f>1/(1+EXP(MIN(700,MAX(-700,(C434-Dashboard!$C$18)/Dashboard!$C$19))))</f>
        <v>8.1161702018623702E-2</v>
      </c>
      <c r="F434" s="5">
        <f t="shared" si="35"/>
        <v>5.7441375127736616E-2</v>
      </c>
      <c r="G434" s="8">
        <f>Dashboard!$C$9*B434*Dashboard!$C$11*(1-F434)</f>
        <v>83121.831999833186</v>
      </c>
      <c r="H434" s="8">
        <f>Dashboard!$C$20*A434^2</f>
        <v>149299.20000000001</v>
      </c>
      <c r="I434" s="8">
        <f t="shared" si="36"/>
        <v>232421.03199983318</v>
      </c>
      <c r="J434" s="8">
        <f>Dashboard!$C$13*A434</f>
        <v>86400</v>
      </c>
      <c r="K434" s="8">
        <f>Dashboard!$C$14*A434</f>
        <v>129600.00000000001</v>
      </c>
      <c r="L434" s="8">
        <f>Dashboard!$C$21-K434</f>
        <v>1370400</v>
      </c>
      <c r="M434" s="8">
        <f t="shared" si="37"/>
        <v>1051578.9680001668</v>
      </c>
      <c r="N434" s="8">
        <f t="shared" si="38"/>
        <v>216000</v>
      </c>
      <c r="O434" s="8">
        <f>Dashboard!$C$15*(Dashboard!$C$16*EXP(-Dashboard!$C$16*A434)*E434-(1-EXP(-Dashboard!$C$16*A434))*Dashboard!$C$17/Dashboard!$C$19*E434*(1-E434))</f>
        <v>-6.6628453897857862E-2</v>
      </c>
      <c r="P434" s="8">
        <f>Dashboard!$C$9*B434*Dashboard!$C$11*(-Dashboard!$C$12*(1-F434)-O434)+2*Dashboard!$C$20*A434</f>
        <v>45903.151567916117</v>
      </c>
      <c r="Q434" s="8">
        <f>-P434-Dashboard!$C$13-Dashboard!$C$14</f>
        <v>-95903.151567916124</v>
      </c>
    </row>
    <row r="435" spans="1:17" x14ac:dyDescent="0.25">
      <c r="A435" s="5">
        <f>(435-2)/100</f>
        <v>4.33</v>
      </c>
      <c r="B435" s="5">
        <f>Dashboard!$C$10*EXP(-Dashboard!$C$12*A435)</f>
        <v>4.393966164535644E-2</v>
      </c>
      <c r="C435" s="5">
        <f>Dashboard!$C$17*A435</f>
        <v>3464</v>
      </c>
      <c r="D435" s="5">
        <f>Dashboard!$C$15*(1-EXP(-Dashboard!$C$16*A435))</f>
        <v>0.70820005232217698</v>
      </c>
      <c r="E435" s="5">
        <f>1/(1+EXP(MIN(700,MAX(-700,(C435-Dashboard!$C$18)/Dashboard!$C$19))))</f>
        <v>8.0172912172812333E-2</v>
      </c>
      <c r="F435" s="5">
        <f t="shared" si="35"/>
        <v>5.677846059560699E-2</v>
      </c>
      <c r="G435" s="8">
        <f>Dashboard!$C$9*B435*Dashboard!$C$11*(1-F435)</f>
        <v>82889.670596082535</v>
      </c>
      <c r="H435" s="8">
        <f>Dashboard!$C$20*A435^2</f>
        <v>149991.19999999998</v>
      </c>
      <c r="I435" s="8">
        <f t="shared" si="36"/>
        <v>232880.87059608253</v>
      </c>
      <c r="J435" s="8">
        <f>Dashboard!$C$13*A435</f>
        <v>86600</v>
      </c>
      <c r="K435" s="8">
        <f>Dashboard!$C$14*A435</f>
        <v>129900</v>
      </c>
      <c r="L435" s="8">
        <f>Dashboard!$C$21-K435</f>
        <v>1370100</v>
      </c>
      <c r="M435" s="8">
        <f t="shared" si="37"/>
        <v>1050619.1294039176</v>
      </c>
      <c r="N435" s="8">
        <f t="shared" si="38"/>
        <v>216500</v>
      </c>
      <c r="O435" s="8">
        <f>Dashboard!$C$15*(Dashboard!$C$16*EXP(-Dashboard!$C$16*A435)*E435-(1-EXP(-Dashboard!$C$16*A435))*Dashboard!$C$17/Dashboard!$C$19*E435*(1-E435))</f>
        <v>-6.5955220176635784E-2</v>
      </c>
      <c r="P435" s="8">
        <f>Dashboard!$C$9*B435*Dashboard!$C$11*(-Dashboard!$C$12*(1-F435)-O435)+2*Dashboard!$C$20*A435</f>
        <v>46064.715407983836</v>
      </c>
      <c r="Q435" s="8">
        <f>-P435-Dashboard!$C$13-Dashboard!$C$14</f>
        <v>-96064.715407983836</v>
      </c>
    </row>
    <row r="436" spans="1:17" x14ac:dyDescent="0.25">
      <c r="A436" s="5">
        <f>(436-2)/100</f>
        <v>4.34</v>
      </c>
      <c r="B436" s="5">
        <f>Dashboard!$C$10*EXP(-Dashboard!$C$12*A436)</f>
        <v>4.3786141646314315E-2</v>
      </c>
      <c r="C436" s="5">
        <f>Dashboard!$C$17*A436</f>
        <v>3472</v>
      </c>
      <c r="D436" s="5">
        <f>Dashboard!$C$15*(1-EXP(-Dashboard!$C$16*A436))</f>
        <v>0.70865790647133087</v>
      </c>
      <c r="E436" s="5">
        <f>1/(1+EXP(MIN(700,MAX(-700,(C436-Dashboard!$C$18)/Dashboard!$C$19))))</f>
        <v>7.9195130430887523E-2</v>
      </c>
      <c r="F436" s="5">
        <f t="shared" si="35"/>
        <v>5.6122255333876742E-2</v>
      </c>
      <c r="G436" s="8">
        <f>Dashboard!$C$9*B436*Dashboard!$C$11*(1-F436)</f>
        <v>82657.529249509127</v>
      </c>
      <c r="H436" s="8">
        <f>Dashboard!$C$20*A436^2</f>
        <v>150684.79999999999</v>
      </c>
      <c r="I436" s="8">
        <f t="shared" si="36"/>
        <v>233342.32924950912</v>
      </c>
      <c r="J436" s="8">
        <f>Dashboard!$C$13*A436</f>
        <v>86800</v>
      </c>
      <c r="K436" s="8">
        <f>Dashboard!$C$14*A436</f>
        <v>130200</v>
      </c>
      <c r="L436" s="8">
        <f>Dashboard!$C$21-K436</f>
        <v>1369800</v>
      </c>
      <c r="M436" s="8">
        <f t="shared" si="37"/>
        <v>1049657.6707504909</v>
      </c>
      <c r="N436" s="8">
        <f t="shared" si="38"/>
        <v>217000</v>
      </c>
      <c r="O436" s="8">
        <f>Dashboard!$C$15*(Dashboard!$C$16*EXP(-Dashboard!$C$16*A436)*E436-(1-EXP(-Dashboard!$C$16*A436))*Dashboard!$C$17/Dashboard!$C$19*E436*(1-E436))</f>
        <v>-6.5286603498096424E-2</v>
      </c>
      <c r="P436" s="8">
        <f>Dashboard!$C$9*B436*Dashboard!$C$11*(-Dashboard!$C$12*(1-F436)-O436)+2*Dashboard!$C$20*A436</f>
        <v>46227.161699420627</v>
      </c>
      <c r="Q436" s="8">
        <f>-P436-Dashboard!$C$13-Dashboard!$C$14</f>
        <v>-96227.161699420627</v>
      </c>
    </row>
    <row r="437" spans="1:17" x14ac:dyDescent="0.25">
      <c r="A437" s="5">
        <f>(437-2)/100</f>
        <v>4.3499999999999996</v>
      </c>
      <c r="B437" s="5">
        <f>Dashboard!$C$10*EXP(-Dashboard!$C$12*A437)</f>
        <v>4.3633158028054925E-2</v>
      </c>
      <c r="C437" s="5">
        <f>Dashboard!$C$17*A437</f>
        <v>3479.9999999999995</v>
      </c>
      <c r="D437" s="5">
        <f>Dashboard!$C$15*(1-EXP(-Dashboard!$C$16*A437))</f>
        <v>0.70911347706338901</v>
      </c>
      <c r="E437" s="5">
        <f>1/(1+EXP(MIN(700,MAX(-700,(C437-Dashboard!$C$18)/Dashboard!$C$19))))</f>
        <v>7.8228259451784021E-2</v>
      </c>
      <c r="F437" s="5">
        <f t="shared" si="35"/>
        <v>5.5472713064471491E-2</v>
      </c>
      <c r="G437" s="8">
        <f>Dashboard!$C$9*B437*Dashboard!$C$11*(1-F437)</f>
        <v>82425.416745335795</v>
      </c>
      <c r="H437" s="8">
        <f>Dashboard!$C$20*A437^2</f>
        <v>151379.99999999997</v>
      </c>
      <c r="I437" s="8">
        <f t="shared" si="36"/>
        <v>233805.41674533577</v>
      </c>
      <c r="J437" s="8">
        <f>Dashboard!$C$13*A437</f>
        <v>87000</v>
      </c>
      <c r="K437" s="8">
        <f>Dashboard!$C$14*A437</f>
        <v>130499.99999999999</v>
      </c>
      <c r="L437" s="8">
        <f>Dashboard!$C$21-K437</f>
        <v>1369500</v>
      </c>
      <c r="M437" s="8">
        <f t="shared" si="37"/>
        <v>1048694.5832546642</v>
      </c>
      <c r="N437" s="8">
        <f t="shared" si="38"/>
        <v>217500</v>
      </c>
      <c r="O437" s="8">
        <f>Dashboard!$C$15*(Dashboard!$C$16*EXP(-Dashboard!$C$16*A437)*E437-(1-EXP(-Dashboard!$C$16*A437))*Dashboard!$C$17/Dashboard!$C$19*E437*(1-E437))</f>
        <v>-6.4622625117348342E-2</v>
      </c>
      <c r="P437" s="8">
        <f>Dashboard!$C$9*B437*Dashboard!$C$11*(-Dashboard!$C$12*(1-F437)-O437)+2*Dashboard!$C$20*A437</f>
        <v>46390.4825669985</v>
      </c>
      <c r="Q437" s="8">
        <f>-P437-Dashboard!$C$13-Dashboard!$C$14</f>
        <v>-96390.4825669985</v>
      </c>
    </row>
    <row r="438" spans="1:17" x14ac:dyDescent="0.25">
      <c r="A438" s="5">
        <f>(438-2)/100</f>
        <v>4.3600000000000003</v>
      </c>
      <c r="B438" s="5">
        <f>Dashboard!$C$10*EXP(-Dashboard!$C$12*A438)</f>
        <v>4.3480708916527E-2</v>
      </c>
      <c r="C438" s="5">
        <f>Dashboard!$C$17*A438</f>
        <v>3488.0000000000005</v>
      </c>
      <c r="D438" s="5">
        <f>Dashboard!$C$15*(1-EXP(-Dashboard!$C$16*A438))</f>
        <v>0.70956677548764013</v>
      </c>
      <c r="E438" s="5">
        <f>1/(1+EXP(MIN(700,MAX(-700,(C438-Dashboard!$C$18)/Dashboard!$C$19))))</f>
        <v>7.7272202136659821E-2</v>
      </c>
      <c r="F438" s="5">
        <f t="shared" si="35"/>
        <v>5.4829787304938843E-2</v>
      </c>
      <c r="G438" s="8">
        <f>Dashboard!$C$9*B438*Dashboard!$C$11*(1-F438)</f>
        <v>82193.34178953174</v>
      </c>
      <c r="H438" s="8">
        <f>Dashboard!$C$20*A438^2</f>
        <v>152076.80000000002</v>
      </c>
      <c r="I438" s="8">
        <f t="shared" si="36"/>
        <v>234270.14178953174</v>
      </c>
      <c r="J438" s="8">
        <f>Dashboard!$C$13*A438</f>
        <v>87200</v>
      </c>
      <c r="K438" s="8">
        <f>Dashboard!$C$14*A438</f>
        <v>130800.00000000001</v>
      </c>
      <c r="L438" s="8">
        <f>Dashboard!$C$21-K438</f>
        <v>1369200</v>
      </c>
      <c r="M438" s="8">
        <f t="shared" si="37"/>
        <v>1047729.8582104682</v>
      </c>
      <c r="N438" s="8">
        <f t="shared" si="38"/>
        <v>218000</v>
      </c>
      <c r="O438" s="8">
        <f>Dashboard!$C$15*(Dashboard!$C$16*EXP(-Dashboard!$C$16*A438)*E438-(1-EXP(-Dashboard!$C$16*A438))*Dashboard!$C$17/Dashboard!$C$19*E438*(1-E438))</f>
        <v>-6.3963304660740891E-2</v>
      </c>
      <c r="P438" s="8">
        <f>Dashboard!$C$9*B438*Dashboard!$C$11*(-Dashboard!$C$12*(1-F438)-O438)+2*Dashboard!$C$20*A438</f>
        <v>46554.670036249518</v>
      </c>
      <c r="Q438" s="8">
        <f>-P438-Dashboard!$C$13-Dashboard!$C$14</f>
        <v>-96554.670036249518</v>
      </c>
    </row>
    <row r="439" spans="1:17" x14ac:dyDescent="0.25">
      <c r="A439" s="5">
        <f>(439-2)/100</f>
        <v>4.37</v>
      </c>
      <c r="B439" s="5">
        <f>Dashboard!$C$10*EXP(-Dashboard!$C$12*A439)</f>
        <v>4.3328792444227049E-2</v>
      </c>
      <c r="C439" s="5">
        <f>Dashboard!$C$17*A439</f>
        <v>3496</v>
      </c>
      <c r="D439" s="5">
        <f>Dashboard!$C$15*(1-EXP(-Dashboard!$C$16*A439))</f>
        <v>0.71001781307656842</v>
      </c>
      <c r="E439" s="5">
        <f>1/(1+EXP(MIN(700,MAX(-700,(C439-Dashboard!$C$18)/Dashboard!$C$19))))</f>
        <v>7.6326861645535149E-2</v>
      </c>
      <c r="F439" s="5">
        <f t="shared" si="35"/>
        <v>5.4193431384560675E-2</v>
      </c>
      <c r="G439" s="8">
        <f>Dashboard!$C$9*B439*Dashboard!$C$11*(1-F439)</f>
        <v>81961.313007849923</v>
      </c>
      <c r="H439" s="8">
        <f>Dashboard!$C$20*A439^2</f>
        <v>152775.20000000001</v>
      </c>
      <c r="I439" s="8">
        <f t="shared" si="36"/>
        <v>234736.51300784992</v>
      </c>
      <c r="J439" s="8">
        <f>Dashboard!$C$13*A439</f>
        <v>87400</v>
      </c>
      <c r="K439" s="8">
        <f>Dashboard!$C$14*A439</f>
        <v>131100</v>
      </c>
      <c r="L439" s="8">
        <f>Dashboard!$C$21-K439</f>
        <v>1368900</v>
      </c>
      <c r="M439" s="8">
        <f t="shared" si="37"/>
        <v>1046763.4869921501</v>
      </c>
      <c r="N439" s="8">
        <f t="shared" si="38"/>
        <v>218500</v>
      </c>
      <c r="O439" s="8">
        <f>Dashboard!$C$15*(Dashboard!$C$16*EXP(-Dashboard!$C$16*A439)*E439-(1-EXP(-Dashboard!$C$16*A439))*Dashboard!$C$17/Dashboard!$C$19*E439*(1-E439))</f>
        <v>-6.3308660160965619E-2</v>
      </c>
      <c r="P439" s="8">
        <f>Dashboard!$C$9*B439*Dashboard!$C$11*(-Dashboard!$C$12*(1-F439)-O439)+2*Dashboard!$C$20*A439</f>
        <v>46719.716039325693</v>
      </c>
      <c r="Q439" s="8">
        <f>-P439-Dashboard!$C$13-Dashboard!$C$14</f>
        <v>-96719.716039325693</v>
      </c>
    </row>
    <row r="440" spans="1:17" x14ac:dyDescent="0.25">
      <c r="A440" s="5">
        <f>(440-2)/100</f>
        <v>4.38</v>
      </c>
      <c r="B440" s="5">
        <f>Dashboard!$C$10*EXP(-Dashboard!$C$12*A440)</f>
        <v>4.3177406750176367E-2</v>
      </c>
      <c r="C440" s="5">
        <f>Dashboard!$C$17*A440</f>
        <v>3504</v>
      </c>
      <c r="D440" s="5">
        <f>Dashboard!$C$15*(1-EXP(-Dashboard!$C$16*A440))</f>
        <v>0.71046660110613691</v>
      </c>
      <c r="E440" s="5">
        <f>1/(1+EXP(MIN(700,MAX(-700,(C440-Dashboard!$C$18)/Dashboard!$C$19))))</f>
        <v>7.5392141413432437E-2</v>
      </c>
      <c r="F440" s="5">
        <f t="shared" si="35"/>
        <v>5.3563598460114568E-2</v>
      </c>
      <c r="G440" s="8">
        <f>Dashboard!$C$9*B440*Dashboard!$C$11*(1-F440)</f>
        <v>81729.33894492175</v>
      </c>
      <c r="H440" s="8">
        <f>Dashboard!$C$20*A440^2</f>
        <v>153475.20000000001</v>
      </c>
      <c r="I440" s="8">
        <f t="shared" si="36"/>
        <v>235204.53894492175</v>
      </c>
      <c r="J440" s="8">
        <f>Dashboard!$C$13*A440</f>
        <v>87600</v>
      </c>
      <c r="K440" s="8">
        <f>Dashboard!$C$14*A440</f>
        <v>131400</v>
      </c>
      <c r="L440" s="8">
        <f>Dashboard!$C$21-K440</f>
        <v>1368600</v>
      </c>
      <c r="M440" s="8">
        <f t="shared" si="37"/>
        <v>1045795.4610550783</v>
      </c>
      <c r="N440" s="8">
        <f t="shared" si="38"/>
        <v>219000</v>
      </c>
      <c r="O440" s="8">
        <f>Dashboard!$C$15*(Dashboard!$C$16*EXP(-Dashboard!$C$16*A440)*E440-(1-EXP(-Dashboard!$C$16*A440))*Dashboard!$C$17/Dashboard!$C$19*E440*(1-E440))</f>
        <v>-6.2658708091880705E-2</v>
      </c>
      <c r="P440" s="8">
        <f>Dashboard!$C$9*B440*Dashboard!$C$11*(-Dashboard!$C$12*(1-F440)-O440)+2*Dashboard!$C$20*A440</f>
        <v>46885.612420724792</v>
      </c>
      <c r="Q440" s="8">
        <f>-P440-Dashboard!$C$13-Dashboard!$C$14</f>
        <v>-96885.612420724792</v>
      </c>
    </row>
    <row r="441" spans="1:17" x14ac:dyDescent="0.25">
      <c r="A441" s="5">
        <f>(441-2)/100</f>
        <v>4.3899999999999997</v>
      </c>
      <c r="B441" s="5">
        <f>Dashboard!$C$10*EXP(-Dashboard!$C$12*A441)</f>
        <v>4.3026549979898333E-2</v>
      </c>
      <c r="C441" s="5">
        <f>Dashboard!$C$17*A441</f>
        <v>3511.9999999999995</v>
      </c>
      <c r="D441" s="5">
        <f>Dashboard!$C$15*(1-EXP(-Dashboard!$C$16*A441))</f>
        <v>0.71091315079606998</v>
      </c>
      <c r="E441" s="5">
        <f>1/(1+EXP(MIN(700,MAX(-700,(C441-Dashboard!$C$18)/Dashboard!$C$19))))</f>
        <v>7.4467945166028129E-2</v>
      </c>
      <c r="F441" s="5">
        <f t="shared" si="35"/>
        <v>5.2940241531290025E-2</v>
      </c>
      <c r="G441" s="8">
        <f>Dashboard!$C$9*B441*Dashboard!$C$11*(1-F441)</f>
        <v>81497.428063408777</v>
      </c>
      <c r="H441" s="8">
        <f>Dashboard!$C$20*A441^2</f>
        <v>154176.79999999999</v>
      </c>
      <c r="I441" s="8">
        <f t="shared" si="36"/>
        <v>235674.22806340875</v>
      </c>
      <c r="J441" s="8">
        <f>Dashboard!$C$13*A441</f>
        <v>87800</v>
      </c>
      <c r="K441" s="8">
        <f>Dashboard!$C$14*A441</f>
        <v>131700</v>
      </c>
      <c r="L441" s="8">
        <f>Dashboard!$C$21-K441</f>
        <v>1368300</v>
      </c>
      <c r="M441" s="8">
        <f t="shared" si="37"/>
        <v>1044825.7719365912</v>
      </c>
      <c r="N441" s="8">
        <f t="shared" si="38"/>
        <v>219500</v>
      </c>
      <c r="O441" s="8">
        <f>Dashboard!$C$15*(Dashboard!$C$16*EXP(-Dashboard!$C$16*A441)*E441-(1-EXP(-Dashboard!$C$16*A441))*Dashboard!$C$17/Dashboard!$C$19*E441*(1-E441))</f>
        <v>-6.2013463403049252E-2</v>
      </c>
      <c r="P441" s="8">
        <f>Dashboard!$C$9*B441*Dashboard!$C$11*(-Dashboard!$C$12*(1-F441)-O441)+2*Dashboard!$C$20*A441</f>
        <v>47052.350942882724</v>
      </c>
      <c r="Q441" s="8">
        <f>-P441-Dashboard!$C$13-Dashboard!$C$14</f>
        <v>-97052.350942882724</v>
      </c>
    </row>
    <row r="442" spans="1:17" x14ac:dyDescent="0.25">
      <c r="A442" s="5">
        <f>(442-2)/100</f>
        <v>4.4000000000000004</v>
      </c>
      <c r="B442" s="5">
        <f>Dashboard!$C$10*EXP(-Dashboard!$C$12*A442)</f>
        <v>4.2876220285395589E-2</v>
      </c>
      <c r="C442" s="5">
        <f>Dashboard!$C$17*A442</f>
        <v>3520.0000000000005</v>
      </c>
      <c r="D442" s="5">
        <f>Dashboard!$C$15*(1-EXP(-Dashboard!$C$16*A442))</f>
        <v>0.71135747331013288</v>
      </c>
      <c r="E442" s="5">
        <f>1/(1+EXP(MIN(700,MAX(-700,(C442-Dashboard!$C$18)/Dashboard!$C$19))))</f>
        <v>7.3554176934818916E-2</v>
      </c>
      <c r="F442" s="5">
        <f t="shared" si="35"/>
        <v>5.2323313455759239E-2</v>
      </c>
      <c r="G442" s="8">
        <f>Dashboard!$C$9*B442*Dashboard!$C$11*(1-F442)</f>
        <v>81265.5887432093</v>
      </c>
      <c r="H442" s="8">
        <f>Dashboard!$C$20*A442^2</f>
        <v>154880.00000000003</v>
      </c>
      <c r="I442" s="8">
        <f t="shared" si="36"/>
        <v>236145.58874320931</v>
      </c>
      <c r="J442" s="8">
        <f>Dashboard!$C$13*A442</f>
        <v>88000</v>
      </c>
      <c r="K442" s="8">
        <f>Dashboard!$C$14*A442</f>
        <v>132000</v>
      </c>
      <c r="L442" s="8">
        <f>Dashboard!$C$21-K442</f>
        <v>1368000</v>
      </c>
      <c r="M442" s="8">
        <f t="shared" si="37"/>
        <v>1043854.4112567906</v>
      </c>
      <c r="N442" s="8">
        <f t="shared" si="38"/>
        <v>220000</v>
      </c>
      <c r="O442" s="8">
        <f>Dashboard!$C$15*(Dashboard!$C$16*EXP(-Dashboard!$C$16*A442)*E442-(1-EXP(-Dashboard!$C$16*A442))*Dashboard!$C$17/Dashboard!$C$19*E442*(1-E442))</f>
        <v>-6.1372939553976491E-2</v>
      </c>
      <c r="P442" s="8">
        <f>Dashboard!$C$9*B442*Dashboard!$C$11*(-Dashboard!$C$12*(1-F442)-O442)+2*Dashboard!$C$20*A442</f>
        <v>47219.923291633873</v>
      </c>
      <c r="Q442" s="8">
        <f>-P442-Dashboard!$C$13-Dashboard!$C$14</f>
        <v>-97219.923291633866</v>
      </c>
    </row>
    <row r="443" spans="1:17" x14ac:dyDescent="0.25">
      <c r="A443" s="5">
        <f>(443-2)/100</f>
        <v>4.41</v>
      </c>
      <c r="B443" s="5">
        <f>Dashboard!$C$10*EXP(-Dashboard!$C$12*A443)</f>
        <v>4.2726415825127539E-2</v>
      </c>
      <c r="C443" s="5">
        <f>Dashboard!$C$17*A443</f>
        <v>3528</v>
      </c>
      <c r="D443" s="5">
        <f>Dashboard!$C$15*(1-EXP(-Dashboard!$C$16*A443))</f>
        <v>0.71179957975641184</v>
      </c>
      <c r="E443" s="5">
        <f>1/(1+EXP(MIN(700,MAX(-700,(C443-Dashboard!$C$18)/Dashboard!$C$19))))</f>
        <v>7.265074107181331E-2</v>
      </c>
      <c r="F443" s="5">
        <f t="shared" si="35"/>
        <v>5.1712766963908606E-2</v>
      </c>
      <c r="G443" s="8">
        <f>Dashboard!$C$9*B443*Dashboard!$C$11*(1-F443)</f>
        <v>81033.829280719321</v>
      </c>
      <c r="H443" s="8">
        <f>Dashboard!$C$20*A443^2</f>
        <v>155584.79999999999</v>
      </c>
      <c r="I443" s="8">
        <f t="shared" si="36"/>
        <v>236618.62928071932</v>
      </c>
      <c r="J443" s="8">
        <f>Dashboard!$C$13*A443</f>
        <v>88200</v>
      </c>
      <c r="K443" s="8">
        <f>Dashboard!$C$14*A443</f>
        <v>132300</v>
      </c>
      <c r="L443" s="8">
        <f>Dashboard!$C$21-K443</f>
        <v>1367700</v>
      </c>
      <c r="M443" s="8">
        <f t="shared" si="37"/>
        <v>1042881.3707192806</v>
      </c>
      <c r="N443" s="8">
        <f t="shared" si="38"/>
        <v>220500</v>
      </c>
      <c r="O443" s="8">
        <f>Dashboard!$C$15*(Dashboard!$C$16*EXP(-Dashboard!$C$16*A443)*E443-(1-EXP(-Dashboard!$C$16*A443))*Dashboard!$C$17/Dashboard!$C$19*E443*(1-E443))</f>
        <v>-6.0737148548037849E-2</v>
      </c>
      <c r="P443" s="8">
        <f>Dashboard!$C$9*B443*Dashboard!$C$11*(-Dashboard!$C$12*(1-F443)-O443)+2*Dashboard!$C$20*A443</f>
        <v>47388.321081540256</v>
      </c>
      <c r="Q443" s="8">
        <f>-P443-Dashboard!$C$13-Dashboard!$C$14</f>
        <v>-97388.321081540256</v>
      </c>
    </row>
    <row r="444" spans="1:17" x14ac:dyDescent="0.25">
      <c r="A444" s="5">
        <f>(444-2)/100</f>
        <v>4.42</v>
      </c>
      <c r="B444" s="5">
        <f>Dashboard!$C$10*EXP(-Dashboard!$C$12*A444)</f>
        <v>4.257713476398764E-2</v>
      </c>
      <c r="C444" s="5">
        <f>Dashboard!$C$17*A444</f>
        <v>3536</v>
      </c>
      <c r="D444" s="5">
        <f>Dashboard!$C$15*(1-EXP(-Dashboard!$C$16*A444))</f>
        <v>0.71223948118759095</v>
      </c>
      <c r="E444" s="5">
        <f>1/(1+EXP(MIN(700,MAX(-700,(C444-Dashboard!$C$18)/Dashboard!$C$19))))</f>
        <v>7.1757542263751334E-2</v>
      </c>
      <c r="F444" s="5">
        <f t="shared" si="35"/>
        <v>5.1108554673230881E-2</v>
      </c>
      <c r="G444" s="8">
        <f>Dashboard!$C$9*B444*Dashboard!$C$11*(1-F444)</f>
        <v>80802.157888145724</v>
      </c>
      <c r="H444" s="8">
        <f>Dashboard!$C$20*A444^2</f>
        <v>156291.20000000001</v>
      </c>
      <c r="I444" s="8">
        <f t="shared" si="36"/>
        <v>237093.35788814572</v>
      </c>
      <c r="J444" s="8">
        <f>Dashboard!$C$13*A444</f>
        <v>88400</v>
      </c>
      <c r="K444" s="8">
        <f>Dashboard!$C$14*A444</f>
        <v>132600</v>
      </c>
      <c r="L444" s="8">
        <f>Dashboard!$C$21-K444</f>
        <v>1367400</v>
      </c>
      <c r="M444" s="8">
        <f t="shared" si="37"/>
        <v>1041906.6421118542</v>
      </c>
      <c r="N444" s="8">
        <f t="shared" si="38"/>
        <v>221000</v>
      </c>
      <c r="O444" s="8">
        <f>Dashboard!$C$15*(Dashboard!$C$16*EXP(-Dashboard!$C$16*A444)*E444-(1-EXP(-Dashboard!$C$16*A444))*Dashboard!$C$17/Dashboard!$C$19*E444*(1-E444))</f>
        <v>-6.0106100966084597E-2</v>
      </c>
      <c r="P444" s="8">
        <f>Dashboard!$C$9*B444*Dashboard!$C$11*(-Dashboard!$C$12*(1-F444)-O444)+2*Dashboard!$C$20*A444</f>
        <v>47557.535861090662</v>
      </c>
      <c r="Q444" s="8">
        <f>-P444-Dashboard!$C$13-Dashboard!$C$14</f>
        <v>-97557.53586109067</v>
      </c>
    </row>
    <row r="445" spans="1:17" x14ac:dyDescent="0.25">
      <c r="A445" s="5">
        <f>(445-2)/100</f>
        <v>4.43</v>
      </c>
      <c r="B445" s="5">
        <f>Dashboard!$C$10*EXP(-Dashboard!$C$12*A445)</f>
        <v>4.2428375273281041E-2</v>
      </c>
      <c r="C445" s="5">
        <f>Dashboard!$C$17*A445</f>
        <v>3544</v>
      </c>
      <c r="D445" s="5">
        <f>Dashboard!$C$15*(1-EXP(-Dashboard!$C$16*A445))</f>
        <v>0.71267718860122875</v>
      </c>
      <c r="E445" s="5">
        <f>1/(1+EXP(MIN(700,MAX(-700,(C445-Dashboard!$C$18)/Dashboard!$C$19))))</f>
        <v>7.0874485545863272E-2</v>
      </c>
      <c r="F445" s="5">
        <f t="shared" si="35"/>
        <v>5.0510629102384262E-2</v>
      </c>
      <c r="G445" s="8">
        <f>Dashboard!$C$9*B445*Dashboard!$C$11*(1-F445)</f>
        <v>80570.582692871147</v>
      </c>
      <c r="H445" s="8">
        <f>Dashboard!$C$20*A445^2</f>
        <v>156999.19999999998</v>
      </c>
      <c r="I445" s="8">
        <f t="shared" si="36"/>
        <v>237569.78269287111</v>
      </c>
      <c r="J445" s="8">
        <f>Dashboard!$C$13*A445</f>
        <v>88600</v>
      </c>
      <c r="K445" s="8">
        <f>Dashboard!$C$14*A445</f>
        <v>132900</v>
      </c>
      <c r="L445" s="8">
        <f>Dashboard!$C$21-K445</f>
        <v>1367100</v>
      </c>
      <c r="M445" s="8">
        <f t="shared" si="37"/>
        <v>1040930.2173071289</v>
      </c>
      <c r="N445" s="8">
        <f t="shared" si="38"/>
        <v>221500</v>
      </c>
      <c r="O445" s="8">
        <f>Dashboard!$C$15*(Dashboard!$C$16*EXP(-Dashboard!$C$16*A445)*E445-(1-EXP(-Dashboard!$C$16*A445))*Dashboard!$C$17/Dashboard!$C$19*E445*(1-E445))</f>
        <v>-5.947980599971997E-2</v>
      </c>
      <c r="P445" s="8">
        <f>Dashboard!$C$9*B445*Dashboard!$C$11*(-Dashboard!$C$12*(1-F445)-O445)+2*Dashboard!$C$20*A445</f>
        <v>47727.559117771249</v>
      </c>
      <c r="Q445" s="8">
        <f>-P445-Dashboard!$C$13-Dashboard!$C$14</f>
        <v>-97727.559117771249</v>
      </c>
    </row>
    <row r="446" spans="1:17" x14ac:dyDescent="0.25">
      <c r="A446" s="5">
        <f>(446-2)/100</f>
        <v>4.4400000000000004</v>
      </c>
      <c r="B446" s="5">
        <f>Dashboard!$C$10*EXP(-Dashboard!$C$12*A446)</f>
        <v>4.2280135530702097E-2</v>
      </c>
      <c r="C446" s="5">
        <f>Dashboard!$C$17*A446</f>
        <v>3552.0000000000005</v>
      </c>
      <c r="D446" s="5">
        <f>Dashboard!$C$15*(1-EXP(-Dashboard!$C$16*A446))</f>
        <v>0.71311271294003364</v>
      </c>
      <c r="E446" s="5">
        <f>1/(1+EXP(MIN(700,MAX(-700,(C446-Dashboard!$C$18)/Dashboard!$C$19))))</f>
        <v>7.0001476315171937E-2</v>
      </c>
      <c r="F446" s="5">
        <f t="shared" si="35"/>
        <v>4.9918942684919768E-2</v>
      </c>
      <c r="G446" s="8">
        <f>Dashboard!$C$9*B446*Dashboard!$C$11*(1-F446)</f>
        <v>80339.111736868668</v>
      </c>
      <c r="H446" s="8">
        <f>Dashboard!$C$20*A446^2</f>
        <v>157708.80000000002</v>
      </c>
      <c r="I446" s="8">
        <f t="shared" si="36"/>
        <v>238047.91173686867</v>
      </c>
      <c r="J446" s="8">
        <f>Dashboard!$C$13*A446</f>
        <v>88800.000000000015</v>
      </c>
      <c r="K446" s="8">
        <f>Dashboard!$C$14*A446</f>
        <v>133200</v>
      </c>
      <c r="L446" s="8">
        <f>Dashboard!$C$21-K446</f>
        <v>1366800</v>
      </c>
      <c r="M446" s="8">
        <f t="shared" si="37"/>
        <v>1039952.0882631312</v>
      </c>
      <c r="N446" s="8">
        <f t="shared" si="38"/>
        <v>222000</v>
      </c>
      <c r="O446" s="8">
        <f>Dashboard!$C$15*(Dashboard!$C$16*EXP(-Dashboard!$C$16*A446)*E446-(1-EXP(-Dashboard!$C$16*A446))*Dashboard!$C$17/Dashboard!$C$19*E446*(1-E446))</f>
        <v>-5.8858271484235031E-2</v>
      </c>
      <c r="P446" s="8">
        <f>Dashboard!$C$9*B446*Dashboard!$C$11*(-Dashboard!$C$12*(1-F446)-O446)+2*Dashboard!$C$20*A446</f>
        <v>47898.382283008599</v>
      </c>
      <c r="Q446" s="8">
        <f>-P446-Dashboard!$C$13-Dashboard!$C$14</f>
        <v>-97898.382283008599</v>
      </c>
    </row>
    <row r="447" spans="1:17" x14ac:dyDescent="0.25">
      <c r="A447" s="5">
        <f>(447-2)/100</f>
        <v>4.45</v>
      </c>
      <c r="B447" s="5">
        <f>Dashboard!$C$10*EXP(-Dashboard!$C$12*A447)</f>
        <v>4.2132413720312151E-2</v>
      </c>
      <c r="C447" s="5">
        <f>Dashboard!$C$17*A447</f>
        <v>3560</v>
      </c>
      <c r="D447" s="5">
        <f>Dashboard!$C$15*(1-EXP(-Dashboard!$C$16*A447))</f>
        <v>0.71354606509213658</v>
      </c>
      <c r="E447" s="5">
        <f>1/(1+EXP(MIN(700,MAX(-700,(C447-Dashboard!$C$18)/Dashboard!$C$19))))</f>
        <v>6.9138420343346815E-2</v>
      </c>
      <c r="F447" s="5">
        <f t="shared" si="35"/>
        <v>4.9333447782681249E-2</v>
      </c>
      <c r="G447" s="8">
        <f>Dashboard!$C$9*B447*Dashboard!$C$11*(1-F447)</f>
        <v>80107.752976165619</v>
      </c>
      <c r="H447" s="8">
        <f>Dashboard!$C$20*A447^2</f>
        <v>158420.00000000003</v>
      </c>
      <c r="I447" s="8">
        <f t="shared" si="36"/>
        <v>238527.75297616565</v>
      </c>
      <c r="J447" s="8">
        <f>Dashboard!$C$13*A447</f>
        <v>89000</v>
      </c>
      <c r="K447" s="8">
        <f>Dashboard!$C$14*A447</f>
        <v>133500</v>
      </c>
      <c r="L447" s="8">
        <f>Dashboard!$C$21-K447</f>
        <v>1366500</v>
      </c>
      <c r="M447" s="8">
        <f t="shared" si="37"/>
        <v>1038972.2470238344</v>
      </c>
      <c r="N447" s="8">
        <f t="shared" si="38"/>
        <v>222500</v>
      </c>
      <c r="O447" s="8">
        <f>Dashboard!$C$15*(Dashboard!$C$16*EXP(-Dashboard!$C$16*A447)*E447-(1-EXP(-Dashboard!$C$16*A447))*Dashboard!$C$17/Dashboard!$C$19*E447*(1-E447))</f>
        <v>-5.8241503931196127E-2</v>
      </c>
      <c r="P447" s="8">
        <f>Dashboard!$C$9*B447*Dashboard!$C$11*(-Dashboard!$C$12*(1-F447)-O447)+2*Dashboard!$C$20*A447</f>
        <v>48069.996736986723</v>
      </c>
      <c r="Q447" s="8">
        <f>-P447-Dashboard!$C$13-Dashboard!$C$14</f>
        <v>-98069.996736986723</v>
      </c>
    </row>
    <row r="448" spans="1:17" x14ac:dyDescent="0.25">
      <c r="A448" s="5">
        <f>(448-2)/100</f>
        <v>4.46</v>
      </c>
      <c r="B448" s="5">
        <f>Dashboard!$C$10*EXP(-Dashboard!$C$12*A448)</f>
        <v>4.1985208032517131E-2</v>
      </c>
      <c r="C448" s="5">
        <f>Dashboard!$C$17*A448</f>
        <v>3568</v>
      </c>
      <c r="D448" s="5">
        <f>Dashboard!$C$15*(1-EXP(-Dashboard!$C$16*A448))</f>
        <v>0.71397725589136407</v>
      </c>
      <c r="E448" s="5">
        <f>1/(1+EXP(MIN(700,MAX(-700,(C448-Dashboard!$C$18)/Dashboard!$C$19))))</f>
        <v>6.8285223789116195E-2</v>
      </c>
      <c r="F448" s="5">
        <f t="shared" si="35"/>
        <v>4.8754096698880874E-2</v>
      </c>
      <c r="G448" s="8">
        <f>Dashboard!$C$9*B448*Dashboard!$C$11*(1-F448)</f>
        <v>79876.514280354313</v>
      </c>
      <c r="H448" s="8">
        <f>Dashboard!$C$20*A448^2</f>
        <v>159132.80000000002</v>
      </c>
      <c r="I448" s="8">
        <f t="shared" si="36"/>
        <v>239009.31428035433</v>
      </c>
      <c r="J448" s="8">
        <f>Dashboard!$C$13*A448</f>
        <v>89200</v>
      </c>
      <c r="K448" s="8">
        <f>Dashboard!$C$14*A448</f>
        <v>133800</v>
      </c>
      <c r="L448" s="8">
        <f>Dashboard!$C$21-K448</f>
        <v>1366200</v>
      </c>
      <c r="M448" s="8">
        <f t="shared" si="37"/>
        <v>1037990.6857196456</v>
      </c>
      <c r="N448" s="8">
        <f t="shared" si="38"/>
        <v>223000</v>
      </c>
      <c r="O448" s="8">
        <f>Dashboard!$C$15*(Dashboard!$C$16*EXP(-Dashboard!$C$16*A448)*E448-(1-EXP(-Dashboard!$C$16*A448))*Dashboard!$C$17/Dashboard!$C$19*E448*(1-E448))</f>
        <v>-5.7629508560676071E-2</v>
      </c>
      <c r="P448" s="8">
        <f>Dashboard!$C$9*B448*Dashboard!$C$11*(-Dashboard!$C$12*(1-F448)-O448)+2*Dashboard!$C$20*A448</f>
        <v>48242.393813339411</v>
      </c>
      <c r="Q448" s="8">
        <f>-P448-Dashboard!$C$13-Dashboard!$C$14</f>
        <v>-98242.393813339411</v>
      </c>
    </row>
    <row r="449" spans="1:17" x14ac:dyDescent="0.25">
      <c r="A449" s="5">
        <f>(449-2)/100</f>
        <v>4.47</v>
      </c>
      <c r="B449" s="5">
        <f>Dashboard!$C$10*EXP(-Dashboard!$C$12*A449)</f>
        <v>4.1838516664045561E-2</v>
      </c>
      <c r="C449" s="5">
        <f>Dashboard!$C$17*A449</f>
        <v>3576</v>
      </c>
      <c r="D449" s="5">
        <f>Dashboard!$C$15*(1-EXP(-Dashboard!$C$16*A449))</f>
        <v>0.7144062961175085</v>
      </c>
      <c r="E449" s="5">
        <f>1/(1+EXP(MIN(700,MAX(-700,(C449-Dashboard!$C$18)/Dashboard!$C$19))))</f>
        <v>6.7441793210245932E-2</v>
      </c>
      <c r="F449" s="5">
        <f t="shared" si="35"/>
        <v>4.818084169085473E-2</v>
      </c>
      <c r="G449" s="8">
        <f>Dashboard!$C$9*B449*Dashboard!$C$11*(1-F449)</f>
        <v>79645.403432149978</v>
      </c>
      <c r="H449" s="8">
        <f>Dashboard!$C$20*A449^2</f>
        <v>159847.19999999998</v>
      </c>
      <c r="I449" s="8">
        <f t="shared" si="36"/>
        <v>239492.60343214998</v>
      </c>
      <c r="J449" s="8">
        <f>Dashboard!$C$13*A449</f>
        <v>89400</v>
      </c>
      <c r="K449" s="8">
        <f>Dashboard!$C$14*A449</f>
        <v>134100</v>
      </c>
      <c r="L449" s="8">
        <f>Dashboard!$C$21-K449</f>
        <v>1365900</v>
      </c>
      <c r="M449" s="8">
        <f t="shared" si="37"/>
        <v>1037007.3965678499</v>
      </c>
      <c r="N449" s="8">
        <f t="shared" si="38"/>
        <v>223500</v>
      </c>
      <c r="O449" s="8">
        <f>Dashboard!$C$15*(Dashboard!$C$16*EXP(-Dashboard!$C$16*A449)*E449-(1-EXP(-Dashboard!$C$16*A449))*Dashboard!$C$17/Dashboard!$C$19*E449*(1-E449))</f>
        <v>-5.7022289333121673E-2</v>
      </c>
      <c r="P449" s="8">
        <f>Dashboard!$C$9*B449*Dashboard!$C$11*(-Dashboard!$C$12*(1-F449)-O449)+2*Dashboard!$C$20*A449</f>
        <v>48415.564803719186</v>
      </c>
      <c r="Q449" s="8">
        <f>-P449-Dashboard!$C$13-Dashboard!$C$14</f>
        <v>-98415.564803719186</v>
      </c>
    </row>
    <row r="450" spans="1:17" x14ac:dyDescent="0.25">
      <c r="A450" s="5">
        <f>(450-2)/100</f>
        <v>4.4800000000000004</v>
      </c>
      <c r="B450" s="5">
        <f>Dashboard!$C$10*EXP(-Dashboard!$C$12*A450)</f>
        <v>4.1692337817926306E-2</v>
      </c>
      <c r="C450" s="5">
        <f>Dashboard!$C$17*A450</f>
        <v>3584.0000000000005</v>
      </c>
      <c r="D450" s="5">
        <f>Dashboard!$C$15*(1-EXP(-Dashboard!$C$16*A450))</f>
        <v>0.71483319649659782</v>
      </c>
      <c r="E450" s="5">
        <f>1/(1+EXP(MIN(700,MAX(-700,(C450-Dashboard!$C$18)/Dashboard!$C$19))))</f>
        <v>6.6608035575090624E-2</v>
      </c>
      <c r="F450" s="5">
        <f t="shared" si="35"/>
        <v>4.7613634982501131E-2</v>
      </c>
      <c r="G450" s="8">
        <f>Dashboard!$C$9*B450*Dashboard!$C$11*(1-F450)</f>
        <v>79414.428126992876</v>
      </c>
      <c r="H450" s="8">
        <f>Dashboard!$C$20*A450^2</f>
        <v>160563.20000000001</v>
      </c>
      <c r="I450" s="8">
        <f t="shared" si="36"/>
        <v>239977.6281269929</v>
      </c>
      <c r="J450" s="8">
        <f>Dashboard!$C$13*A450</f>
        <v>89600.000000000015</v>
      </c>
      <c r="K450" s="8">
        <f>Dashboard!$C$14*A450</f>
        <v>134400</v>
      </c>
      <c r="L450" s="8">
        <f>Dashboard!$C$21-K450</f>
        <v>1365600</v>
      </c>
      <c r="M450" s="8">
        <f t="shared" si="37"/>
        <v>1036022.3718730072</v>
      </c>
      <c r="N450" s="8">
        <f t="shared" si="38"/>
        <v>224000</v>
      </c>
      <c r="O450" s="8">
        <f>Dashboard!$C$15*(Dashboard!$C$16*EXP(-Dashboard!$C$16*A450)*E450-(1-EXP(-Dashboard!$C$16*A450))*Dashboard!$C$17/Dashboard!$C$19*E450*(1-E450))</f>
        <v>-5.6419848980850729E-2</v>
      </c>
      <c r="P450" s="8">
        <f>Dashboard!$C$9*B450*Dashboard!$C$11*(-Dashboard!$C$12*(1-F450)-O450)+2*Dashboard!$C$20*A450</f>
        <v>48589.500962244521</v>
      </c>
      <c r="Q450" s="8">
        <f>-P450-Dashboard!$C$13-Dashboard!$C$14</f>
        <v>-98589.500962244521</v>
      </c>
    </row>
    <row r="451" spans="1:17" x14ac:dyDescent="0.25">
      <c r="A451" s="5">
        <f>(451-2)/100</f>
        <v>4.49</v>
      </c>
      <c r="B451" s="5">
        <f>Dashboard!$C$10*EXP(-Dashboard!$C$12*A451)</f>
        <v>4.1546669703466717E-2</v>
      </c>
      <c r="C451" s="5">
        <f>Dashboard!$C$17*A451</f>
        <v>3592</v>
      </c>
      <c r="D451" s="5">
        <f>Dashboard!$C$15*(1-EXP(-Dashboard!$C$16*A451))</f>
        <v>0.71525796770116379</v>
      </c>
      <c r="E451" s="5">
        <f>1/(1+EXP(MIN(700,MAX(-700,(C451-Dashboard!$C$18)/Dashboard!$C$19))))</f>
        <v>6.5783858273725321E-2</v>
      </c>
      <c r="F451" s="5">
        <f t="shared" si="35"/>
        <v>4.7052428776406162E-2</v>
      </c>
      <c r="G451" s="8">
        <f>Dashboard!$C$9*B451*Dashboard!$C$11*(1-F451)</f>
        <v>79183.595972694951</v>
      </c>
      <c r="H451" s="8">
        <f>Dashboard!$C$20*A451^2</f>
        <v>161280.80000000002</v>
      </c>
      <c r="I451" s="8">
        <f t="shared" si="36"/>
        <v>240464.39597269497</v>
      </c>
      <c r="J451" s="8">
        <f>Dashboard!$C$13*A451</f>
        <v>89800</v>
      </c>
      <c r="K451" s="8">
        <f>Dashboard!$C$14*A451</f>
        <v>134700</v>
      </c>
      <c r="L451" s="8">
        <f>Dashboard!$C$21-K451</f>
        <v>1365300</v>
      </c>
      <c r="M451" s="8">
        <f t="shared" si="37"/>
        <v>1035035.604027305</v>
      </c>
      <c r="N451" s="8">
        <f t="shared" si="38"/>
        <v>224500</v>
      </c>
      <c r="O451" s="8">
        <f>Dashboard!$C$15*(Dashboard!$C$16*EXP(-Dashboard!$C$16*A451)*E451-(1-EXP(-Dashboard!$C$16*A451))*Dashboard!$C$17/Dashboard!$C$19*E451*(1-E451))</f>
        <v>-5.5822189039172292E-2</v>
      </c>
      <c r="P451" s="8">
        <f>Dashboard!$C$9*B451*Dashboard!$C$11*(-Dashboard!$C$12*(1-F451)-O451)+2*Dashboard!$C$20*A451</f>
        <v>48764.193509826713</v>
      </c>
      <c r="Q451" s="8">
        <f>-P451-Dashboard!$C$13-Dashboard!$C$14</f>
        <v>-98764.193509826713</v>
      </c>
    </row>
    <row r="452" spans="1:17" x14ac:dyDescent="0.25">
      <c r="A452" s="5">
        <f>(452-2)/100</f>
        <v>4.5</v>
      </c>
      <c r="B452" s="5">
        <f>Dashboard!$C$10*EXP(-Dashboard!$C$12*A452)</f>
        <v>4.1401510536230535E-2</v>
      </c>
      <c r="C452" s="5">
        <f>Dashboard!$C$17*A452</f>
        <v>3600</v>
      </c>
      <c r="D452" s="5">
        <f>Dashboard!$C$15*(1-EXP(-Dashboard!$C$16*A452))</f>
        <v>0.71568062035050861</v>
      </c>
      <c r="E452" s="5">
        <f>1/(1+EXP(MIN(700,MAX(-700,(C452-Dashboard!$C$18)/Dashboard!$C$19))))</f>
        <v>6.4969169128664073E-2</v>
      </c>
      <c r="F452" s="5">
        <f t="shared" si="35"/>
        <v>4.649717526565942E-2</v>
      </c>
      <c r="G452" s="8">
        <f>Dashboard!$C$9*B452*Dashboard!$C$11*(1-F452)</f>
        <v>78952.914489128758</v>
      </c>
      <c r="H452" s="8">
        <f>Dashboard!$C$20*A452^2</f>
        <v>162000</v>
      </c>
      <c r="I452" s="8">
        <f t="shared" si="36"/>
        <v>240952.91448912874</v>
      </c>
      <c r="J452" s="8">
        <f>Dashboard!$C$13*A452</f>
        <v>90000</v>
      </c>
      <c r="K452" s="8">
        <f>Dashboard!$C$14*A452</f>
        <v>135000</v>
      </c>
      <c r="L452" s="8">
        <f>Dashboard!$C$21-K452</f>
        <v>1365000</v>
      </c>
      <c r="M452" s="8">
        <f t="shared" si="37"/>
        <v>1034047.0855108714</v>
      </c>
      <c r="N452" s="8">
        <f t="shared" si="38"/>
        <v>225000</v>
      </c>
      <c r="O452" s="8">
        <f>Dashboard!$C$15*(Dashboard!$C$16*EXP(-Dashboard!$C$16*A452)*E452-(1-EXP(-Dashboard!$C$16*A452))*Dashboard!$C$17/Dashboard!$C$19*E452*(1-E452))</f>
        <v>-5.5229309877123628E-2</v>
      </c>
      <c r="P452" s="8">
        <f>Dashboard!$C$9*B452*Dashboard!$C$11*(-Dashboard!$C$12*(1-F452)-O452)+2*Dashboard!$C$20*A452</f>
        <v>48939.633638377883</v>
      </c>
      <c r="Q452" s="8">
        <f>-P452-Dashboard!$C$13-Dashboard!$C$14</f>
        <v>-98939.633638377883</v>
      </c>
    </row>
    <row r="453" spans="1:17" x14ac:dyDescent="0.25">
      <c r="A453" s="5">
        <f>(453-2)/100</f>
        <v>4.51</v>
      </c>
      <c r="B453" s="5">
        <f>Dashboard!$C$10*EXP(-Dashboard!$C$12*A453)</f>
        <v>4.125685853801616E-2</v>
      </c>
      <c r="C453" s="5">
        <f>Dashboard!$C$17*A453</f>
        <v>3608</v>
      </c>
      <c r="D453" s="5">
        <f>Dashboard!$C$15*(1-EXP(-Dashboard!$C$16*A453))</f>
        <v>0.71610116501097054</v>
      </c>
      <c r="E453" s="5">
        <f>1/(1+EXP(MIN(700,MAX(-700,(C453-Dashboard!$C$18)/Dashboard!$C$19))))</f>
        <v>6.4163876405173931E-2</v>
      </c>
      <c r="F453" s="5">
        <f t="shared" si="35"/>
        <v>4.5947826645364974E-2</v>
      </c>
      <c r="G453" s="8">
        <f>Dashboard!$C$9*B453*Dashboard!$C$11*(1-F453)</f>
        <v>78722.391107958087</v>
      </c>
      <c r="H453" s="8">
        <f>Dashboard!$C$20*A453^2</f>
        <v>162720.79999999999</v>
      </c>
      <c r="I453" s="8">
        <f t="shared" si="36"/>
        <v>241443.19110795809</v>
      </c>
      <c r="J453" s="8">
        <f>Dashboard!$C$13*A453</f>
        <v>90200</v>
      </c>
      <c r="K453" s="8">
        <f>Dashboard!$C$14*A453</f>
        <v>135300</v>
      </c>
      <c r="L453" s="8">
        <f>Dashboard!$C$21-K453</f>
        <v>1364700</v>
      </c>
      <c r="M453" s="8">
        <f t="shared" si="37"/>
        <v>1033056.8088920419</v>
      </c>
      <c r="N453" s="8">
        <f t="shared" si="38"/>
        <v>225500</v>
      </c>
      <c r="O453" s="8">
        <f>Dashboard!$C$15*(Dashboard!$C$16*EXP(-Dashboard!$C$16*A453)*E453-(1-EXP(-Dashboard!$C$16*A453))*Dashboard!$C$17/Dashboard!$C$19*E453*(1-E453))</f>
        <v>-5.4641210727820133E-2</v>
      </c>
      <c r="P453" s="8">
        <f>Dashboard!$C$9*B453*Dashboard!$C$11*(-Dashboard!$C$12*(1-F453)-O453)+2*Dashboard!$C$20*A453</f>
        <v>49115.812514901882</v>
      </c>
      <c r="Q453" s="8">
        <f>-P453-Dashboard!$C$13-Dashboard!$C$14</f>
        <v>-99115.812514901889</v>
      </c>
    </row>
    <row r="454" spans="1:17" x14ac:dyDescent="0.25">
      <c r="A454" s="5">
        <f>(454-2)/100</f>
        <v>4.5199999999999996</v>
      </c>
      <c r="B454" s="5">
        <f>Dashboard!$C$10*EXP(-Dashboard!$C$12*A454)</f>
        <v>4.1112711936834793E-2</v>
      </c>
      <c r="C454" s="5">
        <f>Dashboard!$C$17*A454</f>
        <v>3615.9999999999995</v>
      </c>
      <c r="D454" s="5">
        <f>Dashboard!$C$15*(1-EXP(-Dashboard!$C$16*A454))</f>
        <v>0.71651961219618798</v>
      </c>
      <c r="E454" s="5">
        <f>1/(1+EXP(MIN(700,MAX(-700,(C454-Dashboard!$C$18)/Dashboard!$C$19))))</f>
        <v>6.3367888821190335E-2</v>
      </c>
      <c r="F454" s="5">
        <f t="shared" si="35"/>
        <v>4.5404335123850455E-2</v>
      </c>
      <c r="G454" s="8">
        <f>Dashboard!$C$9*B454*Dashboard!$C$11*(1-F454)</f>
        <v>78492.033172408832</v>
      </c>
      <c r="H454" s="8">
        <f>Dashboard!$C$20*A454^2</f>
        <v>163443.19999999995</v>
      </c>
      <c r="I454" s="8">
        <f t="shared" si="36"/>
        <v>241935.23317240877</v>
      </c>
      <c r="J454" s="8">
        <f>Dashboard!$C$13*A454</f>
        <v>90399.999999999985</v>
      </c>
      <c r="K454" s="8">
        <f>Dashboard!$C$14*A454</f>
        <v>135600</v>
      </c>
      <c r="L454" s="8">
        <f>Dashboard!$C$21-K454</f>
        <v>1364400</v>
      </c>
      <c r="M454" s="8">
        <f t="shared" si="37"/>
        <v>1032064.7668275912</v>
      </c>
      <c r="N454" s="8">
        <f t="shared" si="38"/>
        <v>226000</v>
      </c>
      <c r="O454" s="8">
        <f>Dashboard!$C$15*(Dashboard!$C$16*EXP(-Dashboard!$C$16*A454)*E454-(1-EXP(-Dashboard!$C$16*A454))*Dashboard!$C$17/Dashboard!$C$19*E454*(1-E454))</f>
        <v>-5.4057889718412071E-2</v>
      </c>
      <c r="P454" s="8">
        <f>Dashboard!$C$9*B454*Dashboard!$C$11*(-Dashboard!$C$12*(1-F454)-O454)+2*Dashboard!$C$20*A454</f>
        <v>49292.721285469423</v>
      </c>
      <c r="Q454" s="8">
        <f>-P454-Dashboard!$C$13-Dashboard!$C$14</f>
        <v>-99292.721285469423</v>
      </c>
    </row>
    <row r="455" spans="1:17" x14ac:dyDescent="0.25">
      <c r="A455" s="5">
        <f>(455-2)/100</f>
        <v>4.53</v>
      </c>
      <c r="B455" s="5">
        <f>Dashboard!$C$10*EXP(-Dashboard!$C$12*A455)</f>
        <v>4.0969068966888775E-2</v>
      </c>
      <c r="C455" s="5">
        <f>Dashboard!$C$17*A455</f>
        <v>3624</v>
      </c>
      <c r="D455" s="5">
        <f>Dashboard!$C$15*(1-EXP(-Dashboard!$C$16*A455))</f>
        <v>0.71693597236736251</v>
      </c>
      <c r="E455" s="5">
        <f>1/(1+EXP(MIN(700,MAX(-700,(C455-Dashboard!$C$18)/Dashboard!$C$19))))</f>
        <v>6.2581115556841246E-2</v>
      </c>
      <c r="F455" s="5">
        <f t="shared" si="35"/>
        <v>4.4866652933578256E-2</v>
      </c>
      <c r="G455" s="8">
        <f>Dashboard!$C$9*B455*Dashboard!$C$11*(1-F455)</f>
        <v>78261.847937079088</v>
      </c>
      <c r="H455" s="8">
        <f>Dashboard!$C$20*A455^2</f>
        <v>164167.20000000001</v>
      </c>
      <c r="I455" s="8">
        <f t="shared" si="36"/>
        <v>242429.0479370791</v>
      </c>
      <c r="J455" s="8">
        <f>Dashboard!$C$13*A455</f>
        <v>90600</v>
      </c>
      <c r="K455" s="8">
        <f>Dashboard!$C$14*A455</f>
        <v>135900</v>
      </c>
      <c r="L455" s="8">
        <f>Dashboard!$C$21-K455</f>
        <v>1364100</v>
      </c>
      <c r="M455" s="8">
        <f t="shared" si="37"/>
        <v>1031070.9520629209</v>
      </c>
      <c r="N455" s="8">
        <f t="shared" si="38"/>
        <v>226500</v>
      </c>
      <c r="O455" s="8">
        <f>Dashboard!$C$15*(Dashboard!$C$16*EXP(-Dashboard!$C$16*A455)*E455-(1-EXP(-Dashboard!$C$16*A455))*Dashboard!$C$17/Dashboard!$C$19*E455*(1-E455))</f>
        <v>-5.3479343899643698E-2</v>
      </c>
      <c r="P455" s="8">
        <f>Dashboard!$C$9*B455*Dashboard!$C$11*(-Dashboard!$C$12*(1-F455)-O455)+2*Dashboard!$C$20*A455</f>
        <v>49470.35107907925</v>
      </c>
      <c r="Q455" s="8">
        <f>-P455-Dashboard!$C$13-Dashboard!$C$14</f>
        <v>-99470.35107907925</v>
      </c>
    </row>
    <row r="456" spans="1:17" x14ac:dyDescent="0.25">
      <c r="A456" s="5">
        <f>(456-2)/100</f>
        <v>4.54</v>
      </c>
      <c r="B456" s="5">
        <f>Dashboard!$C$10*EXP(-Dashboard!$C$12*A456)</f>
        <v>4.0825927868549931E-2</v>
      </c>
      <c r="C456" s="5">
        <f>Dashboard!$C$17*A456</f>
        <v>3632</v>
      </c>
      <c r="D456" s="5">
        <f>Dashboard!$C$15*(1-EXP(-Dashboard!$C$16*A456))</f>
        <v>0.71735025593351986</v>
      </c>
      <c r="E456" s="5">
        <f>1/(1+EXP(MIN(700,MAX(-700,(C456-Dashboard!$C$18)/Dashboard!$C$19))))</f>
        <v>6.1803466263588569E-2</v>
      </c>
      <c r="F456" s="5">
        <f t="shared" si="35"/>
        <v>4.4334732341763917E-2</v>
      </c>
      <c r="G456" s="8">
        <f>Dashboard!$C$9*B456*Dashboard!$C$11*(1-F456)</f>
        <v>78031.842567787215</v>
      </c>
      <c r="H456" s="8">
        <f>Dashboard!$C$20*A456^2</f>
        <v>164892.79999999999</v>
      </c>
      <c r="I456" s="8">
        <f t="shared" si="36"/>
        <v>242924.6425677872</v>
      </c>
      <c r="J456" s="8">
        <f>Dashboard!$C$13*A456</f>
        <v>90800</v>
      </c>
      <c r="K456" s="8">
        <f>Dashboard!$C$14*A456</f>
        <v>136200</v>
      </c>
      <c r="L456" s="8">
        <f>Dashboard!$C$21-K456</f>
        <v>1363800</v>
      </c>
      <c r="M456" s="8">
        <f t="shared" si="37"/>
        <v>1030075.3574322127</v>
      </c>
      <c r="N456" s="8">
        <f t="shared" si="38"/>
        <v>227000</v>
      </c>
      <c r="O456" s="8">
        <f>Dashboard!$C$15*(Dashboard!$C$16*EXP(-Dashboard!$C$16*A456)*E456-(1-EXP(-Dashboard!$C$16*A456))*Dashboard!$C$17/Dashboard!$C$19*E456*(1-E456))</f>
        <v>-5.2905569275012526E-2</v>
      </c>
      <c r="P456" s="8">
        <f>Dashboard!$C$9*B456*Dashboard!$C$11*(-Dashboard!$C$12*(1-F456)-O456)+2*Dashboard!$C$20*A456</f>
        <v>49648.69301140694</v>
      </c>
      <c r="Q456" s="8">
        <f>-P456-Dashboard!$C$13-Dashboard!$C$14</f>
        <v>-99648.69301140694</v>
      </c>
    </row>
    <row r="457" spans="1:17" x14ac:dyDescent="0.25">
      <c r="A457" s="5">
        <f>(457-2)/100</f>
        <v>4.55</v>
      </c>
      <c r="B457" s="5">
        <f>Dashboard!$C$10*EXP(-Dashboard!$C$12*A457)</f>
        <v>4.068328688833802E-2</v>
      </c>
      <c r="C457" s="5">
        <f>Dashboard!$C$17*A457</f>
        <v>3640</v>
      </c>
      <c r="D457" s="5">
        <f>Dashboard!$C$15*(1-EXP(-Dashboard!$C$16*A457))</f>
        <v>0.71776247325177089</v>
      </c>
      <c r="E457" s="5">
        <f>1/(1+EXP(MIN(700,MAX(-700,(C457-Dashboard!$C$18)/Dashboard!$C$19))))</f>
        <v>6.1034851072991926E-2</v>
      </c>
      <c r="F457" s="5">
        <f t="shared" si="35"/>
        <v>4.3808525660704187E-2</v>
      </c>
      <c r="G457" s="8">
        <f>Dashboard!$C$9*B457*Dashboard!$C$11*(1-F457)</f>
        <v>77802.024141456946</v>
      </c>
      <c r="H457" s="8">
        <f>Dashboard!$C$20*A457^2</f>
        <v>165619.99999999997</v>
      </c>
      <c r="I457" s="8">
        <f t="shared" si="36"/>
        <v>243422.02414145693</v>
      </c>
      <c r="J457" s="8">
        <f>Dashboard!$C$13*A457</f>
        <v>91000</v>
      </c>
      <c r="K457" s="8">
        <f>Dashboard!$C$14*A457</f>
        <v>136500</v>
      </c>
      <c r="L457" s="8">
        <f>Dashboard!$C$21-K457</f>
        <v>1363500</v>
      </c>
      <c r="M457" s="8">
        <f t="shared" si="37"/>
        <v>1029077.9758585431</v>
      </c>
      <c r="N457" s="8">
        <f t="shared" si="38"/>
        <v>227500</v>
      </c>
      <c r="O457" s="8">
        <f>Dashboard!$C$15*(Dashboard!$C$16*EXP(-Dashboard!$C$16*A457)*E457-(1-EXP(-Dashboard!$C$16*A457))*Dashboard!$C$17/Dashboard!$C$19*E457*(1-E457))</f>
        <v>-5.233656082952301E-2</v>
      </c>
      <c r="P457" s="8">
        <f>Dashboard!$C$9*B457*Dashboard!$C$11*(-Dashboard!$C$12*(1-F457)-O457)+2*Dashboard!$C$20*A457</f>
        <v>49827.738188442949</v>
      </c>
      <c r="Q457" s="8">
        <f>-P457-Dashboard!$C$13-Dashboard!$C$14</f>
        <v>-99827.738188442949</v>
      </c>
    </row>
    <row r="458" spans="1:17" x14ac:dyDescent="0.25">
      <c r="A458" s="5">
        <f>(458-2)/100</f>
        <v>4.5599999999999996</v>
      </c>
      <c r="B458" s="5">
        <f>Dashboard!$C$10*EXP(-Dashboard!$C$12*A458)</f>
        <v>4.0541144278899238E-2</v>
      </c>
      <c r="C458" s="5">
        <f>Dashboard!$C$17*A458</f>
        <v>3647.9999999999995</v>
      </c>
      <c r="D458" s="5">
        <f>Dashboard!$C$15*(1-EXP(-Dashboard!$C$16*A458))</f>
        <v>0.71817263462757008</v>
      </c>
      <c r="E458" s="5">
        <f>1/(1+EXP(MIN(700,MAX(-700,(C458-Dashboard!$C$18)/Dashboard!$C$19))))</f>
        <v>6.0275180605103708E-2</v>
      </c>
      <c r="F458" s="5">
        <f t="shared" si="35"/>
        <v>4.3287985257819947E-2</v>
      </c>
      <c r="G458" s="8">
        <f>Dashboard!$C$9*B458*Dashboard!$C$11*(1-F458)</f>
        <v>77572.39964603819</v>
      </c>
      <c r="H458" s="8">
        <f>Dashboard!$C$20*A458^2</f>
        <v>166348.79999999999</v>
      </c>
      <c r="I458" s="8">
        <f t="shared" si="36"/>
        <v>243921.19964603818</v>
      </c>
      <c r="J458" s="8">
        <f>Dashboard!$C$13*A458</f>
        <v>91199.999999999985</v>
      </c>
      <c r="K458" s="8">
        <f>Dashboard!$C$14*A458</f>
        <v>136800</v>
      </c>
      <c r="L458" s="8">
        <f>Dashboard!$C$21-K458</f>
        <v>1363200</v>
      </c>
      <c r="M458" s="8">
        <f t="shared" si="37"/>
        <v>1028078.8003539618</v>
      </c>
      <c r="N458" s="8">
        <f t="shared" si="38"/>
        <v>228000</v>
      </c>
      <c r="O458" s="8">
        <f>Dashboard!$C$15*(Dashboard!$C$16*EXP(-Dashboard!$C$16*A458)*E458-(1-EXP(-Dashboard!$C$16*A458))*Dashboard!$C$17/Dashboard!$C$19*E458*(1-E458))</f>
        <v>-5.1772312558033523E-2</v>
      </c>
      <c r="P458" s="8">
        <f>Dashboard!$C$9*B458*Dashboard!$C$11*(-Dashboard!$C$12*(1-F458)-O458)+2*Dashboard!$C$20*A458</f>
        <v>50007.477710021638</v>
      </c>
      <c r="Q458" s="8">
        <f>-P458-Dashboard!$C$13-Dashboard!$C$14</f>
        <v>-100007.47771002163</v>
      </c>
    </row>
    <row r="459" spans="1:17" x14ac:dyDescent="0.25">
      <c r="A459" s="5">
        <f>(459-2)/100</f>
        <v>4.57</v>
      </c>
      <c r="B459" s="5">
        <f>Dashboard!$C$10*EXP(-Dashboard!$C$12*A459)</f>
        <v>4.0399498298984843E-2</v>
      </c>
      <c r="C459" s="5">
        <f>Dashboard!$C$17*A459</f>
        <v>3656</v>
      </c>
      <c r="D459" s="5">
        <f>Dashboard!$C$15*(1-EXP(-Dashboard!$C$16*A459))</f>
        <v>0.71858075031497304</v>
      </c>
      <c r="E459" s="5">
        <f>1/(1+EXP(MIN(700,MAX(-700,(C459-Dashboard!$C$18)/Dashboard!$C$19))))</f>
        <v>5.9524365976501521E-2</v>
      </c>
      <c r="F459" s="5">
        <f t="shared" si="35"/>
        <v>4.2773063565417518E-2</v>
      </c>
      <c r="G459" s="8">
        <f>Dashboard!$C$9*B459*Dashboard!$C$11*(1-F459)</f>
        <v>77342.975980462768</v>
      </c>
      <c r="H459" s="8">
        <f>Dashboard!$C$20*A459^2</f>
        <v>167079.20000000001</v>
      </c>
      <c r="I459" s="8">
        <f t="shared" si="36"/>
        <v>244422.17598046278</v>
      </c>
      <c r="J459" s="8">
        <f>Dashboard!$C$13*A459</f>
        <v>91400</v>
      </c>
      <c r="K459" s="8">
        <f>Dashboard!$C$14*A459</f>
        <v>137100</v>
      </c>
      <c r="L459" s="8">
        <f>Dashboard!$C$21-K459</f>
        <v>1362900</v>
      </c>
      <c r="M459" s="8">
        <f t="shared" si="37"/>
        <v>1027077.8240195373</v>
      </c>
      <c r="N459" s="8">
        <f t="shared" si="38"/>
        <v>228500</v>
      </c>
      <c r="O459" s="8">
        <f>Dashboard!$C$15*(Dashboard!$C$16*EXP(-Dashboard!$C$16*A459)*E459-(1-EXP(-Dashboard!$C$16*A459))*Dashboard!$C$17/Dashboard!$C$19*E459*(1-E459))</f>
        <v>-5.1212817493192724E-2</v>
      </c>
      <c r="P459" s="8">
        <f>Dashboard!$C$9*B459*Dashboard!$C$11*(-Dashboard!$C$12*(1-F459)-O459)+2*Dashboard!$C$20*A459</f>
        <v>50187.902673242956</v>
      </c>
      <c r="Q459" s="8">
        <f>-P459-Dashboard!$C$13-Dashboard!$C$14</f>
        <v>-100187.90267324296</v>
      </c>
    </row>
    <row r="460" spans="1:17" x14ac:dyDescent="0.25">
      <c r="A460" s="5">
        <f>(460-2)/100</f>
        <v>4.58</v>
      </c>
      <c r="B460" s="5">
        <f>Dashboard!$C$10*EXP(-Dashboard!$C$12*A460)</f>
        <v>4.0258347213429822E-2</v>
      </c>
      <c r="C460" s="5">
        <f>Dashboard!$C$17*A460</f>
        <v>3664</v>
      </c>
      <c r="D460" s="5">
        <f>Dashboard!$C$15*(1-EXP(-Dashboard!$C$16*A460))</f>
        <v>0.71898683051689327</v>
      </c>
      <c r="E460" s="5">
        <f>1/(1+EXP(MIN(700,MAX(-700,(C460-Dashboard!$C$18)/Dashboard!$C$19))))</f>
        <v>5.8782318807966173E-2</v>
      </c>
      <c r="F460" s="5">
        <f t="shared" si="35"/>
        <v>4.2263713090173162E-2</v>
      </c>
      <c r="G460" s="8">
        <f>Dashboard!$C$9*B460*Dashboard!$C$11*(1-F460)</f>
        <v>77113.759954633701</v>
      </c>
      <c r="H460" s="8">
        <f>Dashboard!$C$20*A460^2</f>
        <v>167811.20000000001</v>
      </c>
      <c r="I460" s="8">
        <f t="shared" si="36"/>
        <v>244924.95995463373</v>
      </c>
      <c r="J460" s="8">
        <f>Dashboard!$C$13*A460</f>
        <v>91600</v>
      </c>
      <c r="K460" s="8">
        <f>Dashboard!$C$14*A460</f>
        <v>137400</v>
      </c>
      <c r="L460" s="8">
        <f>Dashboard!$C$21-K460</f>
        <v>1362600</v>
      </c>
      <c r="M460" s="8">
        <f t="shared" si="37"/>
        <v>1026075.0400453662</v>
      </c>
      <c r="N460" s="8">
        <f t="shared" si="38"/>
        <v>229000</v>
      </c>
      <c r="O460" s="8">
        <f>Dashboard!$C$15*(Dashboard!$C$16*EXP(-Dashboard!$C$16*A460)*E460-(1-EXP(-Dashboard!$C$16*A460))*Dashboard!$C$17/Dashboard!$C$19*E460*(1-E460))</f>
        <v>-5.0658067732964378E-2</v>
      </c>
      <c r="P460" s="8">
        <f>Dashboard!$C$9*B460*Dashboard!$C$11*(-Dashboard!$C$12*(1-F460)-O460)+2*Dashboard!$C$20*A460</f>
        <v>50369.004175788461</v>
      </c>
      <c r="Q460" s="8">
        <f>-P460-Dashboard!$C$13-Dashboard!$C$14</f>
        <v>-100369.00417578846</v>
      </c>
    </row>
    <row r="461" spans="1:17" x14ac:dyDescent="0.25">
      <c r="A461" s="5">
        <f>(461-2)/100</f>
        <v>4.59</v>
      </c>
      <c r="B461" s="5">
        <f>Dashboard!$C$10*EXP(-Dashboard!$C$12*A461)</f>
        <v>4.0117689293131607E-2</v>
      </c>
      <c r="C461" s="5">
        <f>Dashboard!$C$17*A461</f>
        <v>3672</v>
      </c>
      <c r="D461" s="5">
        <f>Dashboard!$C$15*(1-EXP(-Dashboard!$C$16*A461))</f>
        <v>0.71939088538535712</v>
      </c>
      <c r="E461" s="5">
        <f>1/(1+EXP(MIN(700,MAX(-700,(C461-Dashboard!$C$18)/Dashboard!$C$19))))</f>
        <v>5.8048951231810655E-2</v>
      </c>
      <c r="F461" s="5">
        <f t="shared" si="35"/>
        <v>4.1759886422343684E-2</v>
      </c>
      <c r="G461" s="8">
        <f>Dashboard!$C$9*B461*Dashboard!$C$11*(1-F461)</f>
        <v>76884.758289447127</v>
      </c>
      <c r="H461" s="8">
        <f>Dashboard!$C$20*A461^2</f>
        <v>168544.8</v>
      </c>
      <c r="I461" s="8">
        <f t="shared" si="36"/>
        <v>245429.5582894471</v>
      </c>
      <c r="J461" s="8">
        <f>Dashboard!$C$13*A461</f>
        <v>91800</v>
      </c>
      <c r="K461" s="8">
        <f>Dashboard!$C$14*A461</f>
        <v>137700</v>
      </c>
      <c r="L461" s="8">
        <f>Dashboard!$C$21-K461</f>
        <v>1362300</v>
      </c>
      <c r="M461" s="8">
        <f t="shared" si="37"/>
        <v>1025070.4417105529</v>
      </c>
      <c r="N461" s="8">
        <f t="shared" si="38"/>
        <v>229500</v>
      </c>
      <c r="O461" s="8">
        <f>Dashboard!$C$15*(Dashboard!$C$16*EXP(-Dashboard!$C$16*A461)*E461-(1-EXP(-Dashboard!$C$16*A461))*Dashboard!$C$17/Dashboard!$C$19*E461*(1-E461))</f>
        <v>-5.0108054467737043E-2</v>
      </c>
      <c r="P461" s="8">
        <f>Dashboard!$C$9*B461*Dashboard!$C$11*(-Dashboard!$C$12*(1-F461)-O461)+2*Dashboard!$C$20*A461</f>
        <v>50550.773319133485</v>
      </c>
      <c r="Q461" s="8">
        <f>-P461-Dashboard!$C$13-Dashboard!$C$14</f>
        <v>-100550.77331913348</v>
      </c>
    </row>
    <row r="462" spans="1:17" x14ac:dyDescent="0.25">
      <c r="A462" s="5">
        <f>(462-2)/100</f>
        <v>4.5999999999999996</v>
      </c>
      <c r="B462" s="5">
        <f>Dashboard!$C$10*EXP(-Dashboard!$C$12*A462)</f>
        <v>3.9977522815028907E-2</v>
      </c>
      <c r="C462" s="5">
        <f>Dashboard!$C$17*A462</f>
        <v>3679.9999999999995</v>
      </c>
      <c r="D462" s="5">
        <f>Dashboard!$C$15*(1-EXP(-Dashboard!$C$16*A462))</f>
        <v>0.71979292502175696</v>
      </c>
      <c r="E462" s="5">
        <f>1/(1+EXP(MIN(700,MAX(-700,(C462-Dashboard!$C$18)/Dashboard!$C$19))))</f>
        <v>5.7324175898868776E-2</v>
      </c>
      <c r="F462" s="5">
        <f t="shared" si="35"/>
        <v>4.1261536244708463E-2</v>
      </c>
      <c r="G462" s="8">
        <f>Dashboard!$C$9*B462*Dashboard!$C$11*(1-F462)</f>
        <v>76655.977616845877</v>
      </c>
      <c r="H462" s="8">
        <f>Dashboard!$C$20*A462^2</f>
        <v>169279.99999999997</v>
      </c>
      <c r="I462" s="8">
        <f t="shared" si="36"/>
        <v>245935.97761684586</v>
      </c>
      <c r="J462" s="8">
        <f>Dashboard!$C$13*A462</f>
        <v>92000</v>
      </c>
      <c r="K462" s="8">
        <f>Dashboard!$C$14*A462</f>
        <v>138000</v>
      </c>
      <c r="L462" s="8">
        <f>Dashboard!$C$21-K462</f>
        <v>1362000</v>
      </c>
      <c r="M462" s="8">
        <f t="shared" si="37"/>
        <v>1024064.0223831541</v>
      </c>
      <c r="N462" s="8">
        <f t="shared" si="38"/>
        <v>230000</v>
      </c>
      <c r="O462" s="8">
        <f>Dashboard!$C$15*(Dashboard!$C$16*EXP(-Dashboard!$C$16*A462)*E462-(1-EXP(-Dashboard!$C$16*A462))*Dashboard!$C$17/Dashboard!$C$19*E462*(1-E462))</f>
        <v>-4.9562768007019045E-2</v>
      </c>
      <c r="P462" s="8">
        <f>Dashboard!$C$9*B462*Dashboard!$C$11*(-Dashboard!$C$12*(1-F462)-O462)+2*Dashboard!$C$20*A462</f>
        <v>50733.20121165712</v>
      </c>
      <c r="Q462" s="8">
        <f>-P462-Dashboard!$C$13-Dashboard!$C$14</f>
        <v>-100733.20121165711</v>
      </c>
    </row>
    <row r="463" spans="1:17" x14ac:dyDescent="0.25">
      <c r="A463" s="5">
        <f>(463-2)/100</f>
        <v>4.6100000000000003</v>
      </c>
      <c r="B463" s="5">
        <f>Dashboard!$C$10*EXP(-Dashboard!$C$12*A463)</f>
        <v>3.9837846062080622E-2</v>
      </c>
      <c r="C463" s="5">
        <f>Dashboard!$C$17*A463</f>
        <v>3688.0000000000005</v>
      </c>
      <c r="D463" s="5">
        <f>Dashboard!$C$15*(1-EXP(-Dashboard!$C$16*A463))</f>
        <v>0.72019295947710515</v>
      </c>
      <c r="E463" s="5">
        <f>1/(1+EXP(MIN(700,MAX(-700,(C463-Dashboard!$C$18)/Dashboard!$C$19))))</f>
        <v>5.6607905985149413E-2</v>
      </c>
      <c r="F463" s="5">
        <f t="shared" si="35"/>
        <v>4.0768615341246491E-2</v>
      </c>
      <c r="G463" s="8">
        <f>Dashboard!$C$9*B463*Dashboard!$C$11*(1-F463)</f>
        <v>76427.424479903726</v>
      </c>
      <c r="H463" s="8">
        <f>Dashboard!$C$20*A463^2</f>
        <v>170016.80000000002</v>
      </c>
      <c r="I463" s="8">
        <f t="shared" si="36"/>
        <v>246444.22447990376</v>
      </c>
      <c r="J463" s="8">
        <f>Dashboard!$C$13*A463</f>
        <v>92200</v>
      </c>
      <c r="K463" s="8">
        <f>Dashboard!$C$14*A463</f>
        <v>138300</v>
      </c>
      <c r="L463" s="8">
        <f>Dashboard!$C$21-K463</f>
        <v>1361700</v>
      </c>
      <c r="M463" s="8">
        <f t="shared" si="37"/>
        <v>1023055.7755200963</v>
      </c>
      <c r="N463" s="8">
        <f t="shared" si="38"/>
        <v>230500</v>
      </c>
      <c r="O463" s="8">
        <f>Dashboard!$C$15*(Dashboard!$C$16*EXP(-Dashboard!$C$16*A463)*E463-(1-EXP(-Dashboard!$C$16*A463))*Dashboard!$C$17/Dashboard!$C$19*E463*(1-E463))</f>
        <v>-4.9022197805716129E-2</v>
      </c>
      <c r="P463" s="8">
        <f>Dashboard!$C$9*B463*Dashboard!$C$11*(-Dashboard!$C$12*(1-F463)-O463)+2*Dashboard!$C$20*A463</f>
        <v>50916.278971651671</v>
      </c>
      <c r="Q463" s="8">
        <f>-P463-Dashboard!$C$13-Dashboard!$C$14</f>
        <v>-100916.27897165167</v>
      </c>
    </row>
    <row r="464" spans="1:17" x14ac:dyDescent="0.25">
      <c r="A464" s="5">
        <f>(464-2)/100</f>
        <v>4.62</v>
      </c>
      <c r="B464" s="5">
        <f>Dashboard!$C$10*EXP(-Dashboard!$C$12*A464)</f>
        <v>3.9698657323244776E-2</v>
      </c>
      <c r="C464" s="5">
        <f>Dashboard!$C$17*A464</f>
        <v>3696</v>
      </c>
      <c r="D464" s="5">
        <f>Dashboard!$C$15*(1-EXP(-Dashboard!$C$16*A464))</f>
        <v>0.72059099875228361</v>
      </c>
      <c r="E464" s="5">
        <f>1/(1+EXP(MIN(700,MAX(-700,(C464-Dashboard!$C$18)/Dashboard!$C$19))))</f>
        <v>5.5900055198164225E-2</v>
      </c>
      <c r="F464" s="5">
        <f t="shared" si="35"/>
        <v>4.028107660555294E-2</v>
      </c>
      <c r="G464" s="8">
        <f>Dashboard!$C$9*B464*Dashboard!$C$11*(1-F464)</f>
        <v>76199.105332939114</v>
      </c>
      <c r="H464" s="8">
        <f>Dashboard!$C$20*A464^2</f>
        <v>170755.20000000001</v>
      </c>
      <c r="I464" s="8">
        <f t="shared" si="36"/>
        <v>246954.30533293914</v>
      </c>
      <c r="J464" s="8">
        <f>Dashboard!$C$13*A464</f>
        <v>92400</v>
      </c>
      <c r="K464" s="8">
        <f>Dashboard!$C$14*A464</f>
        <v>138600</v>
      </c>
      <c r="L464" s="8">
        <f>Dashboard!$C$21-K464</f>
        <v>1361400</v>
      </c>
      <c r="M464" s="8">
        <f t="shared" si="37"/>
        <v>1022045.6946670609</v>
      </c>
      <c r="N464" s="8">
        <f t="shared" si="38"/>
        <v>231000</v>
      </c>
      <c r="O464" s="8">
        <f>Dashboard!$C$15*(Dashboard!$C$16*EXP(-Dashboard!$C$16*A464)*E464-(1-EXP(-Dashboard!$C$16*A464))*Dashboard!$C$17/Dashboard!$C$19*E464*(1-E464))</f>
        <v>-4.8486332489992179E-2</v>
      </c>
      <c r="P464" s="8">
        <f>Dashboard!$C$9*B464*Dashboard!$C$11*(-Dashboard!$C$12*(1-F464)-O464)+2*Dashboard!$C$20*A464</f>
        <v>51099.997730233532</v>
      </c>
      <c r="Q464" s="8">
        <f>-P464-Dashboard!$C$13-Dashboard!$C$14</f>
        <v>-101099.99773023353</v>
      </c>
    </row>
    <row r="465" spans="1:17" x14ac:dyDescent="0.25">
      <c r="A465" s="5">
        <f>(465-2)/100</f>
        <v>4.63</v>
      </c>
      <c r="B465" s="5">
        <f>Dashboard!$C$10*EXP(-Dashboard!$C$12*A465)</f>
        <v>3.9559954893457587E-2</v>
      </c>
      <c r="C465" s="5">
        <f>Dashboard!$C$17*A465</f>
        <v>3704</v>
      </c>
      <c r="D465" s="5">
        <f>Dashboard!$C$15*(1-EXP(-Dashboard!$C$16*A465))</f>
        <v>0.72098705279829478</v>
      </c>
      <c r="E465" s="5">
        <f>1/(1+EXP(MIN(700,MAX(-700,(C465-Dashboard!$C$18)/Dashboard!$C$19))))</f>
        <v>5.5200537782934302E-2</v>
      </c>
      <c r="F465" s="5">
        <f t="shared" si="35"/>
        <v>3.979887304899872E-2</v>
      </c>
      <c r="G465" s="8">
        <f>Dashboard!$C$9*B465*Dashboard!$C$11*(1-F465)</f>
        <v>75971.026541657498</v>
      </c>
      <c r="H465" s="8">
        <f>Dashboard!$C$20*A465^2</f>
        <v>171495.19999999998</v>
      </c>
      <c r="I465" s="8">
        <f t="shared" si="36"/>
        <v>247466.22654165747</v>
      </c>
      <c r="J465" s="8">
        <f>Dashboard!$C$13*A465</f>
        <v>92600</v>
      </c>
      <c r="K465" s="8">
        <f>Dashboard!$C$14*A465</f>
        <v>138900</v>
      </c>
      <c r="L465" s="8">
        <f>Dashboard!$C$21-K465</f>
        <v>1361100</v>
      </c>
      <c r="M465" s="8">
        <f t="shared" si="37"/>
        <v>1021033.7734583425</v>
      </c>
      <c r="N465" s="8">
        <f t="shared" si="38"/>
        <v>231500</v>
      </c>
      <c r="O465" s="8">
        <f>Dashboard!$C$15*(Dashboard!$C$16*EXP(-Dashboard!$C$16*A465)*E465-(1-EXP(-Dashboard!$C$16*A465))*Dashboard!$C$17/Dashboard!$C$19*E465*(1-E465))</f>
        <v>-4.7955159882711311E-2</v>
      </c>
      <c r="P465" s="8">
        <f>Dashboard!$C$9*B465*Dashboard!$C$11*(-Dashboard!$C$12*(1-F465)-O465)+2*Dashboard!$C$20*A465</f>
        <v>51284.34863415709</v>
      </c>
      <c r="Q465" s="8">
        <f>-P465-Dashboard!$C$13-Dashboard!$C$14</f>
        <v>-101284.3486341571</v>
      </c>
    </row>
    <row r="466" spans="1:17" x14ac:dyDescent="0.25">
      <c r="A466" s="5">
        <f>(466-2)/100</f>
        <v>4.6399999999999997</v>
      </c>
      <c r="B466" s="5">
        <f>Dashboard!$C$10*EXP(-Dashboard!$C$12*A466)</f>
        <v>3.9421737073612545E-2</v>
      </c>
      <c r="C466" s="5">
        <f>Dashboard!$C$17*A466</f>
        <v>3711.9999999999995</v>
      </c>
      <c r="D466" s="5">
        <f>Dashboard!$C$15*(1-EXP(-Dashboard!$C$16*A466))</f>
        <v>0.72138113151651084</v>
      </c>
      <c r="E466" s="5">
        <f>1/(1+EXP(MIN(700,MAX(-700,(C466-Dashboard!$C$18)/Dashboard!$C$19))))</f>
        <v>5.4509268527684299E-2</v>
      </c>
      <c r="F466" s="5">
        <f t="shared" si="35"/>
        <v>3.932195780863823E-2</v>
      </c>
      <c r="G466" s="8">
        <f>Dashboard!$C$9*B466*Dashboard!$C$11*(1-F466)</f>
        <v>75743.194383321446</v>
      </c>
      <c r="H466" s="8">
        <f>Dashboard!$C$20*A466^2</f>
        <v>172236.79999999999</v>
      </c>
      <c r="I466" s="8">
        <f t="shared" si="36"/>
        <v>247979.99438332143</v>
      </c>
      <c r="J466" s="8">
        <f>Dashboard!$C$13*A466</f>
        <v>92800</v>
      </c>
      <c r="K466" s="8">
        <f>Dashboard!$C$14*A466</f>
        <v>139200</v>
      </c>
      <c r="L466" s="8">
        <f>Dashboard!$C$21-K466</f>
        <v>1360800</v>
      </c>
      <c r="M466" s="8">
        <f t="shared" si="37"/>
        <v>1020020.0056166786</v>
      </c>
      <c r="N466" s="8">
        <f t="shared" si="38"/>
        <v>232000</v>
      </c>
      <c r="O466" s="8">
        <f>Dashboard!$C$15*(Dashboard!$C$16*EXP(-Dashboard!$C$16*A466)*E466-(1-EXP(-Dashboard!$C$16*A466))*Dashboard!$C$17/Dashboard!$C$19*E466*(1-E466))</f>
        <v>-4.7428667028462594E-2</v>
      </c>
      <c r="P466" s="8">
        <f>Dashboard!$C$9*B466*Dashboard!$C$11*(-Dashboard!$C$12*(1-F466)-O466)+2*Dashboard!$C$20*A466</f>
        <v>51469.322848533433</v>
      </c>
      <c r="Q466" s="8">
        <f>-P466-Dashboard!$C$13-Dashboard!$C$14</f>
        <v>-101469.32284853343</v>
      </c>
    </row>
    <row r="467" spans="1:17" x14ac:dyDescent="0.25">
      <c r="A467" s="5">
        <f>(467-2)/100</f>
        <v>4.6500000000000004</v>
      </c>
      <c r="B467" s="5">
        <f>Dashboard!$C$10*EXP(-Dashboard!$C$12*A467)</f>
        <v>3.9284002170539623E-2</v>
      </c>
      <c r="C467" s="5">
        <f>Dashboard!$C$17*A467</f>
        <v>3720.0000000000005</v>
      </c>
      <c r="D467" s="5">
        <f>Dashboard!$C$15*(1-EXP(-Dashboard!$C$16*A467))</f>
        <v>0.72177324475892002</v>
      </c>
      <c r="E467" s="5">
        <f>1/(1+EXP(MIN(700,MAX(-700,(C467-Dashboard!$C$18)/Dashboard!$C$19))))</f>
        <v>5.3826162769229489E-2</v>
      </c>
      <c r="F467" s="5">
        <f t="shared" si="35"/>
        <v>3.8850284154868547E-2</v>
      </c>
      <c r="G467" s="8">
        <f>Dashboard!$C$9*B467*Dashboard!$C$11*(1-F467)</f>
        <v>75515.615046947365</v>
      </c>
      <c r="H467" s="8">
        <f>Dashboard!$C$20*A467^2</f>
        <v>172980.00000000003</v>
      </c>
      <c r="I467" s="8">
        <f t="shared" si="36"/>
        <v>248495.61504694738</v>
      </c>
      <c r="J467" s="8">
        <f>Dashboard!$C$13*A467</f>
        <v>93000</v>
      </c>
      <c r="K467" s="8">
        <f>Dashboard!$C$14*A467</f>
        <v>139500</v>
      </c>
      <c r="L467" s="8">
        <f>Dashboard!$C$21-K467</f>
        <v>1360500</v>
      </c>
      <c r="M467" s="8">
        <f t="shared" si="37"/>
        <v>1019004.3849530527</v>
      </c>
      <c r="N467" s="8">
        <f t="shared" si="38"/>
        <v>232500</v>
      </c>
      <c r="O467" s="8">
        <f>Dashboard!$C$15*(Dashboard!$C$16*EXP(-Dashboard!$C$16*A467)*E467-(1-EXP(-Dashboard!$C$16*A467))*Dashboard!$C$17/Dashboard!$C$19*E467*(1-E467))</f>
        <v>-4.6906840218166164E-2</v>
      </c>
      <c r="P467" s="8">
        <f>Dashboard!$C$9*B467*Dashboard!$C$11*(-Dashboard!$C$12*(1-F467)-O467)+2*Dashboard!$C$20*A467</f>
        <v>51654.911559455613</v>
      </c>
      <c r="Q467" s="8">
        <f>-P467-Dashboard!$C$13-Dashboard!$C$14</f>
        <v>-101654.91155945562</v>
      </c>
    </row>
    <row r="468" spans="1:17" x14ac:dyDescent="0.25">
      <c r="A468" s="5">
        <f>(468-2)/100</f>
        <v>4.66</v>
      </c>
      <c r="B468" s="5">
        <f>Dashboard!$C$10*EXP(-Dashboard!$C$12*A468)</f>
        <v>3.9146748496984546E-2</v>
      </c>
      <c r="C468" s="5">
        <f>Dashboard!$C$17*A468</f>
        <v>3728</v>
      </c>
      <c r="D468" s="5">
        <f>Dashboard!$C$15*(1-EXP(-Dashboard!$C$16*A468))</f>
        <v>0.72216340232837384</v>
      </c>
      <c r="E468" s="5">
        <f>1/(1+EXP(MIN(700,MAX(-700,(C468-Dashboard!$C$18)/Dashboard!$C$19))))</f>
        <v>5.3151136398063722E-2</v>
      </c>
      <c r="F468" s="5">
        <f t="shared" si="35"/>
        <v>3.8383805498845167E-2</v>
      </c>
      <c r="G468" s="8">
        <f>Dashboard!$C$9*B468*Dashboard!$C$11*(1-F468)</f>
        <v>75288.294633528174</v>
      </c>
      <c r="H468" s="8">
        <f>Dashboard!$C$20*A468^2</f>
        <v>173724.80000000002</v>
      </c>
      <c r="I468" s="8">
        <f t="shared" si="36"/>
        <v>249013.09463352821</v>
      </c>
      <c r="J468" s="8">
        <f>Dashboard!$C$13*A468</f>
        <v>93200</v>
      </c>
      <c r="K468" s="8">
        <f>Dashboard!$C$14*A468</f>
        <v>139800</v>
      </c>
      <c r="L468" s="8">
        <f>Dashboard!$C$21-K468</f>
        <v>1360200</v>
      </c>
      <c r="M468" s="8">
        <f t="shared" si="37"/>
        <v>1017986.9053664717</v>
      </c>
      <c r="N468" s="8">
        <f t="shared" si="38"/>
        <v>233000</v>
      </c>
      <c r="O468" s="8">
        <f>Dashboard!$C$15*(Dashboard!$C$16*EXP(-Dashboard!$C$16*A468)*E468-(1-EXP(-Dashboard!$C$16*A468))*Dashboard!$C$17/Dashboard!$C$19*E468*(1-E468))</f>
        <v>-4.6389665013262818E-2</v>
      </c>
      <c r="P468" s="8">
        <f>Dashboard!$C$9*B468*Dashboard!$C$11*(-Dashboard!$C$12*(1-F468)-O468)+2*Dashboard!$C$20*A468</f>
        <v>51841.105976532272</v>
      </c>
      <c r="Q468" s="8">
        <f>-P468-Dashboard!$C$13-Dashboard!$C$14</f>
        <v>-101841.10597653227</v>
      </c>
    </row>
    <row r="469" spans="1:17" x14ac:dyDescent="0.25">
      <c r="A469" s="5">
        <f>(469-2)/100</f>
        <v>4.67</v>
      </c>
      <c r="B469" s="5">
        <f>Dashboard!$C$10*EXP(-Dashboard!$C$12*A469)</f>
        <v>3.900997437158811E-2</v>
      </c>
      <c r="C469" s="5">
        <f>Dashboard!$C$17*A469</f>
        <v>3736</v>
      </c>
      <c r="D469" s="5">
        <f>Dashboard!$C$15*(1-EXP(-Dashboard!$C$16*A469))</f>
        <v>0.72255161397883194</v>
      </c>
      <c r="E469" s="5">
        <f>1/(1+EXP(MIN(700,MAX(-700,(C469-Dashboard!$C$18)/Dashboard!$C$19))))</f>
        <v>5.2484105863153004E-2</v>
      </c>
      <c r="F469" s="5">
        <f t="shared" si="35"/>
        <v>3.7922475399657082E-2</v>
      </c>
      <c r="G469" s="8">
        <f>Dashboard!$C$9*B469*Dashboard!$C$11*(1-F469)</f>
        <v>75061.239156280601</v>
      </c>
      <c r="H469" s="8">
        <f>Dashboard!$C$20*A469^2</f>
        <v>174471.19999999998</v>
      </c>
      <c r="I469" s="8">
        <f t="shared" si="36"/>
        <v>249532.4391562806</v>
      </c>
      <c r="J469" s="8">
        <f>Dashboard!$C$13*A469</f>
        <v>93400</v>
      </c>
      <c r="K469" s="8">
        <f>Dashboard!$C$14*A469</f>
        <v>140100</v>
      </c>
      <c r="L469" s="8">
        <f>Dashboard!$C$21-K469</f>
        <v>1359900</v>
      </c>
      <c r="M469" s="8">
        <f t="shared" si="37"/>
        <v>1016967.5608437194</v>
      </c>
      <c r="N469" s="8">
        <f t="shared" si="38"/>
        <v>233500</v>
      </c>
      <c r="O469" s="8">
        <f>Dashboard!$C$15*(Dashboard!$C$16*EXP(-Dashboard!$C$16*A469)*E469-(1-EXP(-Dashboard!$C$16*A469))*Dashboard!$C$17/Dashboard!$C$19*E469*(1-E469))</f>
        <v>-4.5877126269485542E-2</v>
      </c>
      <c r="P469" s="8">
        <f>Dashboard!$C$9*B469*Dashboard!$C$11*(-Dashboard!$C$12*(1-F469)-O469)+2*Dashboard!$C$20*A469</f>
        <v>52027.897335331276</v>
      </c>
      <c r="Q469" s="8">
        <f>-P469-Dashboard!$C$13-Dashboard!$C$14</f>
        <v>-102027.89733533128</v>
      </c>
    </row>
    <row r="470" spans="1:17" x14ac:dyDescent="0.25">
      <c r="A470" s="5">
        <f>(470-2)/100</f>
        <v>4.68</v>
      </c>
      <c r="B470" s="5">
        <f>Dashboard!$C$10*EXP(-Dashboard!$C$12*A470)</f>
        <v>3.8873678118865544E-2</v>
      </c>
      <c r="C470" s="5">
        <f>Dashboard!$C$17*A470</f>
        <v>3744</v>
      </c>
      <c r="D470" s="5">
        <f>Dashboard!$C$15*(1-EXP(-Dashboard!$C$16*A470))</f>
        <v>0.72293788941560555</v>
      </c>
      <c r="E470" s="5">
        <f>1/(1+EXP(MIN(700,MAX(-700,(C470-Dashboard!$C$18)/Dashboard!$C$19))))</f>
        <v>5.1824988176444028E-2</v>
      </c>
      <c r="F470" s="5">
        <f t="shared" si="35"/>
        <v>3.746624757126716E-2</v>
      </c>
      <c r="G470" s="8">
        <f>Dashboard!$C$9*B470*Dashboard!$C$11*(1-F470)</f>
        <v>74834.454540916748</v>
      </c>
      <c r="H470" s="8">
        <f>Dashboard!$C$20*A470^2</f>
        <v>175219.19999999998</v>
      </c>
      <c r="I470" s="8">
        <f t="shared" si="36"/>
        <v>250053.65454091673</v>
      </c>
      <c r="J470" s="8">
        <f>Dashboard!$C$13*A470</f>
        <v>93600</v>
      </c>
      <c r="K470" s="8">
        <f>Dashboard!$C$14*A470</f>
        <v>140400</v>
      </c>
      <c r="L470" s="8">
        <f>Dashboard!$C$21-K470</f>
        <v>1359600</v>
      </c>
      <c r="M470" s="8">
        <f t="shared" si="37"/>
        <v>1015946.3454590833</v>
      </c>
      <c r="N470" s="8">
        <f t="shared" si="38"/>
        <v>234000</v>
      </c>
      <c r="O470" s="8">
        <f>Dashboard!$C$15*(Dashboard!$C$16*EXP(-Dashboard!$C$16*A470)*E470-(1-EXP(-Dashboard!$C$16*A470))*Dashboard!$C$17/Dashboard!$C$19*E470*(1-E470))</f>
        <v>-4.5369208160216661E-2</v>
      </c>
      <c r="P470" s="8">
        <f>Dashboard!$C$9*B470*Dashboard!$C$11*(-Dashboard!$C$12*(1-F470)-O470)+2*Dashboard!$C$20*A470</f>
        <v>52215.276899735283</v>
      </c>
      <c r="Q470" s="8">
        <f>-P470-Dashboard!$C$13-Dashboard!$C$14</f>
        <v>-102215.27689973528</v>
      </c>
    </row>
    <row r="471" spans="1:17" x14ac:dyDescent="0.25">
      <c r="A471" s="5">
        <f>(471-2)/100</f>
        <v>4.6900000000000004</v>
      </c>
      <c r="B471" s="5">
        <f>Dashboard!$C$10*EXP(-Dashboard!$C$12*A471)</f>
        <v>3.873785806918606E-2</v>
      </c>
      <c r="C471" s="5">
        <f>Dashboard!$C$17*A471</f>
        <v>3752.0000000000005</v>
      </c>
      <c r="D471" s="5">
        <f>Dashboard!$C$15*(1-EXP(-Dashboard!$C$16*A471))</f>
        <v>0.72332223829560105</v>
      </c>
      <c r="E471" s="5">
        <f>1/(1+EXP(MIN(700,MAX(-700,(C471-Dashboard!$C$18)/Dashboard!$C$19))))</f>
        <v>5.1173700917091607E-2</v>
      </c>
      <c r="F471" s="5">
        <f t="shared" si="35"/>
        <v>3.7015075889220352E-2</v>
      </c>
      <c r="G471" s="8">
        <f>Dashboard!$C$9*B471*Dashboard!$C$11*(1-F471)</f>
        <v>74607.946625938581</v>
      </c>
      <c r="H471" s="8">
        <f>Dashboard!$C$20*A471^2</f>
        <v>175968.80000000002</v>
      </c>
      <c r="I471" s="8">
        <f t="shared" si="36"/>
        <v>250576.7466259386</v>
      </c>
      <c r="J471" s="8">
        <f>Dashboard!$C$13*A471</f>
        <v>93800.000000000015</v>
      </c>
      <c r="K471" s="8">
        <f>Dashboard!$C$14*A471</f>
        <v>140700</v>
      </c>
      <c r="L471" s="8">
        <f>Dashboard!$C$21-K471</f>
        <v>1359300</v>
      </c>
      <c r="M471" s="8">
        <f t="shared" si="37"/>
        <v>1014923.2533740613</v>
      </c>
      <c r="N471" s="8">
        <f t="shared" si="38"/>
        <v>234500</v>
      </c>
      <c r="O471" s="8">
        <f>Dashboard!$C$15*(Dashboard!$C$16*EXP(-Dashboard!$C$16*A471)*E471-(1-EXP(-Dashboard!$C$16*A471))*Dashboard!$C$17/Dashboard!$C$19*E471*(1-E471))</f>
        <v>-4.4865894199429462E-2</v>
      </c>
      <c r="P471" s="8">
        <f>Dashboard!$C$9*B471*Dashboard!$C$11*(-Dashboard!$C$12*(1-F471)-O471)+2*Dashboard!$C$20*A471</f>
        <v>52403.235964210733</v>
      </c>
      <c r="Q471" s="8">
        <f>-P471-Dashboard!$C$13-Dashboard!$C$14</f>
        <v>-102403.23596421073</v>
      </c>
    </row>
    <row r="472" spans="1:17" x14ac:dyDescent="0.25">
      <c r="A472" s="5">
        <f>(472-2)/100</f>
        <v>4.7</v>
      </c>
      <c r="B472" s="5">
        <f>Dashboard!$C$10*EXP(-Dashboard!$C$12*A472)</f>
        <v>3.8602512558752348E-2</v>
      </c>
      <c r="C472" s="5">
        <f>Dashboard!$C$17*A472</f>
        <v>3760</v>
      </c>
      <c r="D472" s="5">
        <f>Dashboard!$C$15*(1-EXP(-Dashboard!$C$16*A472))</f>
        <v>0.72370467022756035</v>
      </c>
      <c r="E472" s="5">
        <f>1/(1+EXP(MIN(700,MAX(-700,(C472-Dashboard!$C$18)/Dashboard!$C$19))))</f>
        <v>5.0530162235413477E-2</v>
      </c>
      <c r="F472" s="5">
        <f t="shared" si="35"/>
        <v>3.6568914397125035E-2</v>
      </c>
      <c r="G472" s="8">
        <f>Dashboard!$C$9*B472*Dashboard!$C$11*(1-F472)</f>
        <v>74381.721162954782</v>
      </c>
      <c r="H472" s="8">
        <f>Dashboard!$C$20*A472^2</f>
        <v>176720.00000000003</v>
      </c>
      <c r="I472" s="8">
        <f t="shared" si="36"/>
        <v>251101.72116295481</v>
      </c>
      <c r="J472" s="8">
        <f>Dashboard!$C$13*A472</f>
        <v>94000</v>
      </c>
      <c r="K472" s="8">
        <f>Dashboard!$C$14*A472</f>
        <v>141000</v>
      </c>
      <c r="L472" s="8">
        <f>Dashboard!$C$21-K472</f>
        <v>1359000</v>
      </c>
      <c r="M472" s="8">
        <f t="shared" si="37"/>
        <v>1013898.2788370452</v>
      </c>
      <c r="N472" s="8">
        <f t="shared" si="38"/>
        <v>235000</v>
      </c>
      <c r="O472" s="8">
        <f>Dashboard!$C$15*(Dashboard!$C$16*EXP(-Dashboard!$C$16*A472)*E472-(1-EXP(-Dashboard!$C$16*A472))*Dashboard!$C$17/Dashboard!$C$19*E472*(1-E472))</f>
        <v>-4.4367167264217605E-2</v>
      </c>
      <c r="P472" s="8">
        <f>Dashboard!$C$9*B472*Dashboard!$C$11*(-Dashboard!$C$12*(1-F472)-O472)+2*Dashboard!$C$20*A472</f>
        <v>52591.765855992286</v>
      </c>
      <c r="Q472" s="8">
        <f>-P472-Dashboard!$C$13-Dashboard!$C$14</f>
        <v>-102591.76585599229</v>
      </c>
    </row>
    <row r="473" spans="1:17" x14ac:dyDescent="0.25">
      <c r="A473" s="5">
        <f>(473-2)/100</f>
        <v>4.71</v>
      </c>
      <c r="B473" s="5">
        <f>Dashboard!$C$10*EXP(-Dashboard!$C$12*A473)</f>
        <v>3.8467639929580216E-2</v>
      </c>
      <c r="C473" s="5">
        <f>Dashboard!$C$17*A473</f>
        <v>3768</v>
      </c>
      <c r="D473" s="5">
        <f>Dashboard!$C$15*(1-EXP(-Dashboard!$C$16*A473))</f>
        <v>0.72408519477230149</v>
      </c>
      <c r="E473" s="5">
        <f>1/(1+EXP(MIN(700,MAX(-700,(C473-Dashboard!$C$18)/Dashboard!$C$19))))</f>
        <v>4.9894290856577053E-2</v>
      </c>
      <c r="F473" s="5">
        <f t="shared" si="35"/>
        <v>3.6127717312910458E-2</v>
      </c>
      <c r="G473" s="8">
        <f>Dashboard!$C$9*B473*Dashboard!$C$11*(1-F473)</f>
        <v>74155.783817019037</v>
      </c>
      <c r="H473" s="8">
        <f>Dashboard!$C$20*A473^2</f>
        <v>177472.80000000002</v>
      </c>
      <c r="I473" s="8">
        <f t="shared" si="36"/>
        <v>251628.58381701907</v>
      </c>
      <c r="J473" s="8">
        <f>Dashboard!$C$13*A473</f>
        <v>94200</v>
      </c>
      <c r="K473" s="8">
        <f>Dashboard!$C$14*A473</f>
        <v>141300</v>
      </c>
      <c r="L473" s="8">
        <f>Dashboard!$C$21-K473</f>
        <v>1358700</v>
      </c>
      <c r="M473" s="8">
        <f t="shared" si="37"/>
        <v>1012871.4161829809</v>
      </c>
      <c r="N473" s="8">
        <f t="shared" si="38"/>
        <v>235500</v>
      </c>
      <c r="O473" s="8">
        <f>Dashboard!$C$15*(Dashboard!$C$16*EXP(-Dashboard!$C$16*A473)*E473-(1-EXP(-Dashboard!$C$16*A473))*Dashboard!$C$17/Dashboard!$C$19*E473*(1-E473))</f>
        <v>-4.387300961691229E-2</v>
      </c>
      <c r="P473" s="8">
        <f>Dashboard!$C$9*B473*Dashboard!$C$11*(-Dashboard!$C$12*(1-F473)-O473)+2*Dashboard!$C$20*A473</f>
        <v>52780.857937184126</v>
      </c>
      <c r="Q473" s="8">
        <f>-P473-Dashboard!$C$13-Dashboard!$C$14</f>
        <v>-102780.85793718413</v>
      </c>
    </row>
    <row r="474" spans="1:17" x14ac:dyDescent="0.25">
      <c r="A474" s="5">
        <f>(474-2)/100</f>
        <v>4.72</v>
      </c>
      <c r="B474" s="5">
        <f>Dashboard!$C$10*EXP(-Dashboard!$C$12*A474)</f>
        <v>3.8333238529478258E-2</v>
      </c>
      <c r="C474" s="5">
        <f>Dashboard!$C$17*A474</f>
        <v>3776</v>
      </c>
      <c r="D474" s="5">
        <f>Dashboard!$C$15*(1-EXP(-Dashboard!$C$16*A474))</f>
        <v>0.72446382144295818</v>
      </c>
      <c r="E474" s="5">
        <f>1/(1+EXP(MIN(700,MAX(-700,(C474-Dashboard!$C$18)/Dashboard!$C$19))))</f>
        <v>4.9266006084026655E-2</v>
      </c>
      <c r="F474" s="5">
        <f t="shared" si="35"/>
        <v>3.5691439034865977E-2</v>
      </c>
      <c r="G474" s="8">
        <f>Dashboard!$C$9*B474*Dashboard!$C$11*(1-F474)</f>
        <v>73930.140166988815</v>
      </c>
      <c r="H474" s="8">
        <f>Dashboard!$C$20*A474^2</f>
        <v>178227.19999999998</v>
      </c>
      <c r="I474" s="8">
        <f t="shared" si="36"/>
        <v>252157.34016698878</v>
      </c>
      <c r="J474" s="8">
        <f>Dashboard!$C$13*A474</f>
        <v>94400</v>
      </c>
      <c r="K474" s="8">
        <f>Dashboard!$C$14*A474</f>
        <v>141600</v>
      </c>
      <c r="L474" s="8">
        <f>Dashboard!$C$21-K474</f>
        <v>1358400</v>
      </c>
      <c r="M474" s="8">
        <f t="shared" si="37"/>
        <v>1011842.6598330112</v>
      </c>
      <c r="N474" s="8">
        <f t="shared" si="38"/>
        <v>236000</v>
      </c>
      <c r="O474" s="8">
        <f>Dashboard!$C$15*(Dashboard!$C$16*EXP(-Dashboard!$C$16*A474)*E474-(1-EXP(-Dashboard!$C$16*A474))*Dashboard!$C$17/Dashboard!$C$19*E474*(1-E474))</f>
        <v>-4.3383402926791131E-2</v>
      </c>
      <c r="P474" s="8">
        <f>Dashboard!$C$9*B474*Dashboard!$C$11*(-Dashboard!$C$12*(1-F474)-O474)+2*Dashboard!$C$20*A474</f>
        <v>52970.503606780214</v>
      </c>
      <c r="Q474" s="8">
        <f>-P474-Dashboard!$C$13-Dashboard!$C$14</f>
        <v>-102970.50360678021</v>
      </c>
    </row>
    <row r="475" spans="1:17" x14ac:dyDescent="0.25">
      <c r="A475" s="5">
        <f>(475-2)/100</f>
        <v>4.7300000000000004</v>
      </c>
      <c r="B475" s="5">
        <f>Dashboard!$C$10*EXP(-Dashboard!$C$12*A475)</f>
        <v>3.8199306712027661E-2</v>
      </c>
      <c r="C475" s="5">
        <f>Dashboard!$C$17*A475</f>
        <v>3784.0000000000005</v>
      </c>
      <c r="D475" s="5">
        <f>Dashboard!$C$15*(1-EXP(-Dashboard!$C$16*A475))</f>
        <v>0.72484055970521677</v>
      </c>
      <c r="E475" s="5">
        <f>1/(1+EXP(MIN(700,MAX(-700,(C475-Dashboard!$C$18)/Dashboard!$C$19))))</f>
        <v>4.8645227802655219E-2</v>
      </c>
      <c r="F475" s="5">
        <f t="shared" si="35"/>
        <v>3.5260034147464384E-2</v>
      </c>
      <c r="G475" s="8">
        <f>Dashboard!$C$9*B475*Dashboard!$C$11*(1-F475)</f>
        <v>73704.795705904195</v>
      </c>
      <c r="H475" s="8">
        <f>Dashboard!$C$20*A475^2</f>
        <v>178983.20000000004</v>
      </c>
      <c r="I475" s="8">
        <f t="shared" si="36"/>
        <v>252687.99570590424</v>
      </c>
      <c r="J475" s="8">
        <f>Dashboard!$C$13*A475</f>
        <v>94600.000000000015</v>
      </c>
      <c r="K475" s="8">
        <f>Dashboard!$C$14*A475</f>
        <v>141900</v>
      </c>
      <c r="L475" s="8">
        <f>Dashboard!$C$21-K475</f>
        <v>1358100</v>
      </c>
      <c r="M475" s="8">
        <f t="shared" si="37"/>
        <v>1010812.0042940958</v>
      </c>
      <c r="N475" s="8">
        <f t="shared" si="38"/>
        <v>236500</v>
      </c>
      <c r="O475" s="8">
        <f>Dashboard!$C$15*(Dashboard!$C$16*EXP(-Dashboard!$C$16*A475)*E475-(1-EXP(-Dashboard!$C$16*A475))*Dashboard!$C$17/Dashboard!$C$19*E475*(1-E475))</f>
        <v>-4.2898328291378865E-2</v>
      </c>
      <c r="P475" s="8">
        <f>Dashboard!$C$9*B475*Dashboard!$C$11*(-Dashboard!$C$12*(1-F475)-O475)+2*Dashboard!$C$20*A475</f>
        <v>53160.694302604796</v>
      </c>
      <c r="Q475" s="8">
        <f>-P475-Dashboard!$C$13-Dashboard!$C$14</f>
        <v>-103160.6943026048</v>
      </c>
    </row>
    <row r="476" spans="1:17" x14ac:dyDescent="0.25">
      <c r="A476" s="5">
        <f>(476-2)/100</f>
        <v>4.74</v>
      </c>
      <c r="B476" s="5">
        <f>Dashboard!$C$10*EXP(-Dashboard!$C$12*A476)</f>
        <v>3.8065842836561975E-2</v>
      </c>
      <c r="C476" s="5">
        <f>Dashboard!$C$17*A476</f>
        <v>3792</v>
      </c>
      <c r="D476" s="5">
        <f>Dashboard!$C$15*(1-EXP(-Dashboard!$C$16*A476))</f>
        <v>0.72521541897755326</v>
      </c>
      <c r="E476" s="5">
        <f>1/(1+EXP(MIN(700,MAX(-700,(C476-Dashboard!$C$18)/Dashboard!$C$19))))</f>
        <v>4.8031876481728575E-2</v>
      </c>
      <c r="F476" s="5">
        <f t="shared" si="35"/>
        <v>3.4833457426974877E-2</v>
      </c>
      <c r="G476" s="8">
        <f>Dashboard!$C$9*B476*Dashboard!$C$11*(1-F476)</f>
        <v>73479.755841385355</v>
      </c>
      <c r="H476" s="8">
        <f>Dashboard!$C$20*A476^2</f>
        <v>179740.80000000002</v>
      </c>
      <c r="I476" s="8">
        <f t="shared" si="36"/>
        <v>253220.55584138539</v>
      </c>
      <c r="J476" s="8">
        <f>Dashboard!$C$13*A476</f>
        <v>94800</v>
      </c>
      <c r="K476" s="8">
        <f>Dashboard!$C$14*A476</f>
        <v>142200</v>
      </c>
      <c r="L476" s="8">
        <f>Dashboard!$C$21-K476</f>
        <v>1357800</v>
      </c>
      <c r="M476" s="8">
        <f t="shared" si="37"/>
        <v>1009779.4441586146</v>
      </c>
      <c r="N476" s="8">
        <f t="shared" si="38"/>
        <v>237000</v>
      </c>
      <c r="O476" s="8">
        <f>Dashboard!$C$15*(Dashboard!$C$16*EXP(-Dashboard!$C$16*A476)*E476-(1-EXP(-Dashboard!$C$16*A476))*Dashboard!$C$17/Dashboard!$C$19*E476*(1-E476))</f>
        <v>-4.2417766257343836E-2</v>
      </c>
      <c r="P476" s="8">
        <f>Dashboard!$C$9*B476*Dashboard!$C$11*(-Dashboard!$C$12*(1-F476)-O476)+2*Dashboard!$C$20*A476</f>
        <v>53351.421503175268</v>
      </c>
      <c r="Q476" s="8">
        <f>-P476-Dashboard!$C$13-Dashboard!$C$14</f>
        <v>-103351.42150317527</v>
      </c>
    </row>
    <row r="477" spans="1:17" x14ac:dyDescent="0.25">
      <c r="A477" s="5">
        <f>(477-2)/100</f>
        <v>4.75</v>
      </c>
      <c r="B477" s="5">
        <f>Dashboard!$C$10*EXP(-Dashboard!$C$12*A477)</f>
        <v>3.793284526814706E-2</v>
      </c>
      <c r="C477" s="5">
        <f>Dashboard!$C$17*A477</f>
        <v>3800</v>
      </c>
      <c r="D477" s="5">
        <f>Dashboard!$C$15*(1-EXP(-Dashboard!$C$16*A477))</f>
        <v>0.72558840863146923</v>
      </c>
      <c r="E477" s="5">
        <f>1/(1+EXP(MIN(700,MAX(-700,(C477-Dashboard!$C$18)/Dashboard!$C$19))))</f>
        <v>4.7425873177566781E-2</v>
      </c>
      <c r="F477" s="5">
        <f t="shared" si="35"/>
        <v>3.4411663846868563E-2</v>
      </c>
      <c r="G477" s="8">
        <f>Dashboard!$C$9*B477*Dashboard!$C$11*(1-F477)</f>
        <v>73255.02589604861</v>
      </c>
      <c r="H477" s="8">
        <f>Dashboard!$C$20*A477^2</f>
        <v>180500</v>
      </c>
      <c r="I477" s="8">
        <f t="shared" si="36"/>
        <v>253755.02589604861</v>
      </c>
      <c r="J477" s="8">
        <f>Dashboard!$C$13*A477</f>
        <v>95000</v>
      </c>
      <c r="K477" s="8">
        <f>Dashboard!$C$14*A477</f>
        <v>142500</v>
      </c>
      <c r="L477" s="8">
        <f>Dashboard!$C$21-K477</f>
        <v>1357500</v>
      </c>
      <c r="M477" s="8">
        <f t="shared" si="37"/>
        <v>1008744.9741039514</v>
      </c>
      <c r="N477" s="8">
        <f t="shared" si="38"/>
        <v>237500</v>
      </c>
      <c r="O477" s="8">
        <f>Dashboard!$C$15*(Dashboard!$C$16*EXP(-Dashboard!$C$16*A477)*E477-(1-EXP(-Dashboard!$C$16*A477))*Dashboard!$C$17/Dashboard!$C$19*E477*(1-E477))</f>
        <v>-4.1941696840991451E-2</v>
      </c>
      <c r="P477" s="8">
        <f>Dashboard!$C$9*B477*Dashboard!$C$11*(-Dashboard!$C$12*(1-F477)-O477)+2*Dashboard!$C$20*A477</f>
        <v>53542.67672948871</v>
      </c>
      <c r="Q477" s="8">
        <f>-P477-Dashboard!$C$13-Dashboard!$C$14</f>
        <v>-103542.67672948871</v>
      </c>
    </row>
    <row r="478" spans="1:17" x14ac:dyDescent="0.25">
      <c r="A478" s="5">
        <f>(478-2)/100</f>
        <v>4.76</v>
      </c>
      <c r="B478" s="5">
        <f>Dashboard!$C$10*EXP(-Dashboard!$C$12*A478)</f>
        <v>3.7800312377561034E-2</v>
      </c>
      <c r="C478" s="5">
        <f>Dashboard!$C$17*A478</f>
        <v>3808</v>
      </c>
      <c r="D478" s="5">
        <f>Dashboard!$C$15*(1-EXP(-Dashboard!$C$16*A478))</f>
        <v>0.72595953799172541</v>
      </c>
      <c r="E478" s="5">
        <f>1/(1+EXP(MIN(700,MAX(-700,(C478-Dashboard!$C$18)/Dashboard!$C$19))))</f>
        <v>4.682713953599018E-2</v>
      </c>
      <c r="F478" s="5">
        <f t="shared" si="35"/>
        <v>3.3994608583021488E-2</v>
      </c>
      <c r="G478" s="8">
        <f>Dashboard!$C$9*B478*Dashboard!$C$11*(1-F478)</f>
        <v>73030.611107939811</v>
      </c>
      <c r="H478" s="8">
        <f>Dashboard!$C$20*A478^2</f>
        <v>181260.79999999999</v>
      </c>
      <c r="I478" s="8">
        <f t="shared" si="36"/>
        <v>254291.41110793978</v>
      </c>
      <c r="J478" s="8">
        <f>Dashboard!$C$13*A478</f>
        <v>95200</v>
      </c>
      <c r="K478" s="8">
        <f>Dashboard!$C$14*A478</f>
        <v>142800</v>
      </c>
      <c r="L478" s="8">
        <f>Dashboard!$C$21-K478</f>
        <v>1357200</v>
      </c>
      <c r="M478" s="8">
        <f t="shared" si="37"/>
        <v>1007708.5888920603</v>
      </c>
      <c r="N478" s="8">
        <f t="shared" si="38"/>
        <v>238000</v>
      </c>
      <c r="O478" s="8">
        <f>Dashboard!$C$15*(Dashboard!$C$16*EXP(-Dashboard!$C$16*A478)*E478-(1-EXP(-Dashboard!$C$16*A478))*Dashboard!$C$17/Dashboard!$C$19*E478*(1-E478))</f>
        <v>-4.147009954835864E-2</v>
      </c>
      <c r="P478" s="8">
        <f>Dashboard!$C$9*B478*Dashboard!$C$11*(-Dashboard!$C$12*(1-F478)-O478)+2*Dashboard!$C$20*A478</f>
        <v>53734.451546734083</v>
      </c>
      <c r="Q478" s="8">
        <f>-P478-Dashboard!$C$13-Dashboard!$C$14</f>
        <v>-103734.45154673408</v>
      </c>
    </row>
    <row r="479" spans="1:17" x14ac:dyDescent="0.25">
      <c r="A479" s="5">
        <f>(479-2)/100</f>
        <v>4.7699999999999996</v>
      </c>
      <c r="B479" s="5">
        <f>Dashboard!$C$10*EXP(-Dashboard!$C$12*A479)</f>
        <v>3.7668242541274342E-2</v>
      </c>
      <c r="C479" s="5">
        <f>Dashboard!$C$17*A479</f>
        <v>3815.9999999999995</v>
      </c>
      <c r="D479" s="5">
        <f>Dashboard!$C$15*(1-EXP(-Dashboard!$C$16*A479))</f>
        <v>0.72632881633657509</v>
      </c>
      <c r="E479" s="5">
        <f>1/(1+EXP(MIN(700,MAX(-700,(C479-Dashboard!$C$18)/Dashboard!$C$19))))</f>
        <v>4.6235597794534816E-2</v>
      </c>
      <c r="F479" s="5">
        <f t="shared" si="35"/>
        <v>3.3582247018718432E-2</v>
      </c>
      <c r="G479" s="8">
        <f>Dashboard!$C$9*B479*Dashboard!$C$11*(1-F479)</f>
        <v>72806.516630984537</v>
      </c>
      <c r="H479" s="8">
        <f>Dashboard!$C$20*A479^2</f>
        <v>182023.19999999998</v>
      </c>
      <c r="I479" s="8">
        <f t="shared" si="36"/>
        <v>254829.71663098451</v>
      </c>
      <c r="J479" s="8">
        <f>Dashboard!$C$13*A479</f>
        <v>95399.999999999985</v>
      </c>
      <c r="K479" s="8">
        <f>Dashboard!$C$14*A479</f>
        <v>143100</v>
      </c>
      <c r="L479" s="8">
        <f>Dashboard!$C$21-K479</f>
        <v>1356900</v>
      </c>
      <c r="M479" s="8">
        <f t="shared" si="37"/>
        <v>1006670.2833690154</v>
      </c>
      <c r="N479" s="8">
        <f t="shared" si="38"/>
        <v>238500</v>
      </c>
      <c r="O479" s="8">
        <f>Dashboard!$C$15*(Dashboard!$C$16*EXP(-Dashboard!$C$16*A479)*E479-(1-EXP(-Dashboard!$C$16*A479))*Dashboard!$C$17/Dashboard!$C$19*E479*(1-E479))</f>
        <v>-4.1002953394910974E-2</v>
      </c>
      <c r="P479" s="8">
        <f>Dashboard!$C$9*B479*Dashboard!$C$11*(-Dashboard!$C$12*(1-F479)-O479)+2*Dashboard!$C$20*A479</f>
        <v>53926.737565931558</v>
      </c>
      <c r="Q479" s="8">
        <f>-P479-Dashboard!$C$13-Dashboard!$C$14</f>
        <v>-103926.73756593156</v>
      </c>
    </row>
    <row r="480" spans="1:17" x14ac:dyDescent="0.25">
      <c r="A480" s="5">
        <f>(480-2)/100</f>
        <v>4.78</v>
      </c>
      <c r="B480" s="5">
        <f>Dashboard!$C$10*EXP(-Dashboard!$C$12*A480)</f>
        <v>3.7536634141429812E-2</v>
      </c>
      <c r="C480" s="5">
        <f>Dashboard!$C$17*A480</f>
        <v>3824</v>
      </c>
      <c r="D480" s="5">
        <f>Dashboard!$C$15*(1-EXP(-Dashboard!$C$16*A480))</f>
        <v>0.72669625289799622</v>
      </c>
      <c r="E480" s="5">
        <f>1/(1+EXP(MIN(700,MAX(-700,(C480-Dashboard!$C$18)/Dashboard!$C$19))))</f>
        <v>4.5651170784443723E-2</v>
      </c>
      <c r="F480" s="5">
        <f t="shared" si="35"/>
        <v>3.3174534749461734E-2</v>
      </c>
      <c r="G480" s="8">
        <f>Dashboard!$C$9*B480*Dashboard!$C$11*(1-F480)</f>
        <v>72582.74753545424</v>
      </c>
      <c r="H480" s="8">
        <f>Dashboard!$C$20*A480^2</f>
        <v>182787.20000000001</v>
      </c>
      <c r="I480" s="8">
        <f t="shared" si="36"/>
        <v>255369.94753545424</v>
      </c>
      <c r="J480" s="8">
        <f>Dashboard!$C$13*A480</f>
        <v>95600</v>
      </c>
      <c r="K480" s="8">
        <f>Dashboard!$C$14*A480</f>
        <v>143400</v>
      </c>
      <c r="L480" s="8">
        <f>Dashboard!$C$21-K480</f>
        <v>1356600</v>
      </c>
      <c r="M480" s="8">
        <f t="shared" si="37"/>
        <v>1005630.0524645457</v>
      </c>
      <c r="N480" s="8">
        <f t="shared" si="38"/>
        <v>239000</v>
      </c>
      <c r="O480" s="8">
        <f>Dashboard!$C$15*(Dashboard!$C$16*EXP(-Dashboard!$C$16*A480)*E480-(1-EXP(-Dashboard!$C$16*A480))*Dashboard!$C$17/Dashboard!$C$19*E480*(1-E480))</f>
        <v>-4.0540236924846158E-2</v>
      </c>
      <c r="P480" s="8">
        <f>Dashboard!$C$9*B480*Dashboard!$C$11*(-Dashboard!$C$12*(1-F480)-O480)+2*Dashboard!$C$20*A480</f>
        <v>54119.526445500684</v>
      </c>
      <c r="Q480" s="8">
        <f>-P480-Dashboard!$C$13-Dashboard!$C$14</f>
        <v>-104119.52644550068</v>
      </c>
    </row>
    <row r="481" spans="1:17" x14ac:dyDescent="0.25">
      <c r="A481" s="5">
        <f>(481-2)/100</f>
        <v>4.79</v>
      </c>
      <c r="B481" s="5">
        <f>Dashboard!$C$10*EXP(-Dashboard!$C$12*A481)</f>
        <v>3.7405485565822932E-2</v>
      </c>
      <c r="C481" s="5">
        <f>Dashboard!$C$17*A481</f>
        <v>3832</v>
      </c>
      <c r="D481" s="5">
        <f>Dashboard!$C$15*(1-EXP(-Dashboard!$C$16*A481))</f>
        <v>0.72706185686192182</v>
      </c>
      <c r="E481" s="5">
        <f>1/(1+EXP(MIN(700,MAX(-700,(C481-Dashboard!$C$18)/Dashboard!$C$19))))</f>
        <v>4.5073781932440063E-2</v>
      </c>
      <c r="F481" s="5">
        <f t="shared" si="35"/>
        <v>3.2771427587589212E-2</v>
      </c>
      <c r="G481" s="8">
        <f>Dashboard!$C$9*B481*Dashboard!$C$11*(1-F481)</f>
        <v>72359.30880844791</v>
      </c>
      <c r="H481" s="8">
        <f>Dashboard!$C$20*A481^2</f>
        <v>183552.8</v>
      </c>
      <c r="I481" s="8">
        <f t="shared" si="36"/>
        <v>255912.1088084479</v>
      </c>
      <c r="J481" s="8">
        <f>Dashboard!$C$13*A481</f>
        <v>95800</v>
      </c>
      <c r="K481" s="8">
        <f>Dashboard!$C$14*A481</f>
        <v>143700</v>
      </c>
      <c r="L481" s="8">
        <f>Dashboard!$C$21-K481</f>
        <v>1356300</v>
      </c>
      <c r="M481" s="8">
        <f t="shared" si="37"/>
        <v>1004587.8911915522</v>
      </c>
      <c r="N481" s="8">
        <f t="shared" si="38"/>
        <v>239500</v>
      </c>
      <c r="O481" s="8">
        <f>Dashboard!$C$15*(Dashboard!$C$16*EXP(-Dashboard!$C$16*A481)*E481-(1-EXP(-Dashboard!$C$16*A481))*Dashboard!$C$17/Dashboard!$C$19*E481*(1-E481))</f>
        <v>-4.0081928230007197E-2</v>
      </c>
      <c r="P481" s="8">
        <f>Dashboard!$C$9*B481*Dashboard!$C$11*(-Dashboard!$C$12*(1-F481)-O481)+2*Dashboard!$C$20*A481</f>
        <v>54312.809892759004</v>
      </c>
      <c r="Q481" s="8">
        <f>-P481-Dashboard!$C$13-Dashboard!$C$14</f>
        <v>-104312.809892759</v>
      </c>
    </row>
    <row r="482" spans="1:17" x14ac:dyDescent="0.25">
      <c r="A482" s="5">
        <f>(482-2)/100</f>
        <v>4.8</v>
      </c>
      <c r="B482" s="5">
        <f>Dashboard!$C$10*EXP(-Dashboard!$C$12*A482)</f>
        <v>3.7274795207881996E-2</v>
      </c>
      <c r="C482" s="5">
        <f>Dashboard!$C$17*A482</f>
        <v>3840</v>
      </c>
      <c r="D482" s="5">
        <f>Dashboard!$C$15*(1-EXP(-Dashboard!$C$16*A482))</f>
        <v>0.7274256373684701</v>
      </c>
      <c r="E482" s="5">
        <f>1/(1+EXP(MIN(700,MAX(-700,(C482-Dashboard!$C$18)/Dashboard!$C$19))))</f>
        <v>4.4503355262287041E-2</v>
      </c>
      <c r="F482" s="5">
        <f t="shared" si="35"/>
        <v>3.2372881566704606E-2</v>
      </c>
      <c r="G482" s="8">
        <f>Dashboard!$C$9*B482*Dashboard!$C$11*(1-F482)</f>
        <v>72136.205354388119</v>
      </c>
      <c r="H482" s="8">
        <f>Dashboard!$C$20*A482^2</f>
        <v>184320</v>
      </c>
      <c r="I482" s="8">
        <f t="shared" si="36"/>
        <v>256456.2053543881</v>
      </c>
      <c r="J482" s="8">
        <f>Dashboard!$C$13*A482</f>
        <v>96000</v>
      </c>
      <c r="K482" s="8">
        <f>Dashboard!$C$14*A482</f>
        <v>144000</v>
      </c>
      <c r="L482" s="8">
        <f>Dashboard!$C$21-K482</f>
        <v>1356000</v>
      </c>
      <c r="M482" s="8">
        <f t="shared" si="37"/>
        <v>1003543.7946456119</v>
      </c>
      <c r="N482" s="8">
        <f t="shared" si="38"/>
        <v>240000</v>
      </c>
      <c r="O482" s="8">
        <f>Dashboard!$C$15*(Dashboard!$C$16*EXP(-Dashboard!$C$16*A482)*E482-(1-EXP(-Dashboard!$C$16*A482))*Dashboard!$C$17/Dashboard!$C$19*E482*(1-E482))</f>
        <v>-3.9628004968407626E-2</v>
      </c>
      <c r="P482" s="8">
        <f>Dashboard!$C$9*B482*Dashboard!$C$11*(-Dashboard!$C$12*(1-F482)-O482)+2*Dashboard!$C$20*A482</f>
        <v>54506.579665352809</v>
      </c>
      <c r="Q482" s="8">
        <f>-P482-Dashboard!$C$13-Dashboard!$C$14</f>
        <v>-104506.57966535281</v>
      </c>
    </row>
    <row r="483" spans="1:17" x14ac:dyDescent="0.25">
      <c r="A483" s="5">
        <f>(483-2)/100</f>
        <v>4.8099999999999996</v>
      </c>
      <c r="B483" s="5">
        <f>Dashboard!$C$10*EXP(-Dashboard!$C$12*A483)</f>
        <v>3.714456146664849E-2</v>
      </c>
      <c r="C483" s="5">
        <f>Dashboard!$C$17*A483</f>
        <v>3847.9999999999995</v>
      </c>
      <c r="D483" s="5">
        <f>Dashboard!$C$15*(1-EXP(-Dashboard!$C$16*A483))</f>
        <v>0.72778760351217253</v>
      </c>
      <c r="E483" s="5">
        <f>1/(1+EXP(MIN(700,MAX(-700,(C483-Dashboard!$C$18)/Dashboard!$C$19))))</f>
        <v>4.3939815396141363E-2</v>
      </c>
      <c r="F483" s="5">
        <f t="shared" si="35"/>
        <v>3.1978852945924986E-2</v>
      </c>
      <c r="G483" s="8">
        <f>Dashboard!$C$9*B483*Dashboard!$C$11*(1-F483)</f>
        <v>71913.441995531335</v>
      </c>
      <c r="H483" s="8">
        <f>Dashboard!$C$20*A483^2</f>
        <v>185088.79999999996</v>
      </c>
      <c r="I483" s="8">
        <f t="shared" si="36"/>
        <v>257002.24199553131</v>
      </c>
      <c r="J483" s="8">
        <f>Dashboard!$C$13*A483</f>
        <v>96199.999999999985</v>
      </c>
      <c r="K483" s="8">
        <f>Dashboard!$C$14*A483</f>
        <v>144300</v>
      </c>
      <c r="L483" s="8">
        <f>Dashboard!$C$21-K483</f>
        <v>1355700</v>
      </c>
      <c r="M483" s="8">
        <f t="shared" si="37"/>
        <v>1002497.7580044686</v>
      </c>
      <c r="N483" s="8">
        <f t="shared" si="38"/>
        <v>240500</v>
      </c>
      <c r="O483" s="8">
        <f>Dashboard!$C$15*(Dashboard!$C$16*EXP(-Dashboard!$C$16*A483)*E483-(1-EXP(-Dashboard!$C$16*A483))*Dashboard!$C$17/Dashboard!$C$19*E483*(1-E483))</f>
        <v>-3.9178444382373528E-2</v>
      </c>
      <c r="P483" s="8">
        <f>Dashboard!$C$9*B483*Dashboard!$C$11*(-Dashboard!$C$12*(1-F483)-O483)+2*Dashboard!$C$20*A483</f>
        <v>54700.827572621522</v>
      </c>
      <c r="Q483" s="8">
        <f>-P483-Dashboard!$C$13-Dashboard!$C$14</f>
        <v>-104700.82757262152</v>
      </c>
    </row>
    <row r="484" spans="1:17" x14ac:dyDescent="0.25">
      <c r="A484" s="5">
        <f>(484-2)/100</f>
        <v>4.82</v>
      </c>
      <c r="B484" s="5">
        <f>Dashboard!$C$10*EXP(-Dashboard!$C$12*A484)</f>
        <v>3.7014782746757437E-2</v>
      </c>
      <c r="C484" s="5">
        <f>Dashboard!$C$17*A484</f>
        <v>3856</v>
      </c>
      <c r="D484" s="5">
        <f>Dashboard!$C$15*(1-EXP(-Dashboard!$C$16*A484))</f>
        <v>0.72814776434220185</v>
      </c>
      <c r="E484" s="5">
        <f>1/(1+EXP(MIN(700,MAX(-700,(C484-Dashboard!$C$18)/Dashboard!$C$19))))</f>
        <v>4.3383087555704608E-2</v>
      </c>
      <c r="F484" s="5">
        <f t="shared" si="35"/>
        <v>3.1589298213948312E-2</v>
      </c>
      <c r="G484" s="8">
        <f>Dashboard!$C$9*B484*Dashboard!$C$11*(1-F484)</f>
        <v>71691.023472491215</v>
      </c>
      <c r="H484" s="8">
        <f>Dashboard!$C$20*A484^2</f>
        <v>185859.20000000001</v>
      </c>
      <c r="I484" s="8">
        <f t="shared" si="36"/>
        <v>257550.22347249123</v>
      </c>
      <c r="J484" s="8">
        <f>Dashboard!$C$13*A484</f>
        <v>96400</v>
      </c>
      <c r="K484" s="8">
        <f>Dashboard!$C$14*A484</f>
        <v>144600</v>
      </c>
      <c r="L484" s="8">
        <f>Dashboard!$C$21-K484</f>
        <v>1355400</v>
      </c>
      <c r="M484" s="8">
        <f t="shared" si="37"/>
        <v>1001449.7765275089</v>
      </c>
      <c r="N484" s="8">
        <f t="shared" si="38"/>
        <v>241000</v>
      </c>
      <c r="O484" s="8">
        <f>Dashboard!$C$15*(Dashboard!$C$16*EXP(-Dashboard!$C$16*A484)*E484-(1-EXP(-Dashboard!$C$16*A484))*Dashboard!$C$17/Dashboard!$C$19*E484*(1-E484))</f>
        <v>-3.873322331630475E-2</v>
      </c>
      <c r="P484" s="8">
        <f>Dashboard!$C$9*B484*Dashboard!$C$11*(-Dashboard!$C$12*(1-F484)-O484)+2*Dashboard!$C$20*A484</f>
        <v>54895.545476897394</v>
      </c>
      <c r="Q484" s="8">
        <f>-P484-Dashboard!$C$13-Dashboard!$C$14</f>
        <v>-104895.54547689739</v>
      </c>
    </row>
    <row r="485" spans="1:17" x14ac:dyDescent="0.25">
      <c r="A485" s="5">
        <f>(485-2)/100</f>
        <v>4.83</v>
      </c>
      <c r="B485" s="5">
        <f>Dashboard!$C$10*EXP(-Dashboard!$C$12*A485)</f>
        <v>3.6885457458417925E-2</v>
      </c>
      <c r="C485" s="5">
        <f>Dashboard!$C$17*A485</f>
        <v>3864</v>
      </c>
      <c r="D485" s="5">
        <f>Dashboard!$C$15*(1-EXP(-Dashboard!$C$16*A485))</f>
        <v>0.72850612886259747</v>
      </c>
      <c r="E485" s="5">
        <f>1/(1+EXP(MIN(700,MAX(-700,(C485-Dashboard!$C$18)/Dashboard!$C$19))))</f>
        <v>4.2833097563179337E-2</v>
      </c>
      <c r="F485" s="5">
        <f t="shared" si="35"/>
        <v>3.1204174092945736E-2</v>
      </c>
      <c r="G485" s="8">
        <f>Dashboard!$C$9*B485*Dashboard!$C$11*(1-F485)</f>
        <v>71468.954444775023</v>
      </c>
      <c r="H485" s="8">
        <f>Dashboard!$C$20*A485^2</f>
        <v>186631.2</v>
      </c>
      <c r="I485" s="8">
        <f t="shared" si="36"/>
        <v>258100.15444477502</v>
      </c>
      <c r="J485" s="8">
        <f>Dashboard!$C$13*A485</f>
        <v>96600</v>
      </c>
      <c r="K485" s="8">
        <f>Dashboard!$C$14*A485</f>
        <v>144900</v>
      </c>
      <c r="L485" s="8">
        <f>Dashboard!$C$21-K485</f>
        <v>1355100</v>
      </c>
      <c r="M485" s="8">
        <f t="shared" si="37"/>
        <v>1000399.8455552249</v>
      </c>
      <c r="N485" s="8">
        <f t="shared" si="38"/>
        <v>241500</v>
      </c>
      <c r="O485" s="8">
        <f>Dashboard!$C$15*(Dashboard!$C$16*EXP(-Dashboard!$C$16*A485)*E485-(1-EXP(-Dashboard!$C$16*A485))*Dashboard!$C$17/Dashboard!$C$19*E485*(1-E485))</f>
        <v>-3.8292318234060013E-2</v>
      </c>
      <c r="P485" s="8">
        <f>Dashboard!$C$9*B485*Dashboard!$C$11*(-Dashboard!$C$12*(1-F485)-O485)+2*Dashboard!$C$20*A485</f>
        <v>55090.725294741984</v>
      </c>
      <c r="Q485" s="8">
        <f>-P485-Dashboard!$C$13-Dashboard!$C$14</f>
        <v>-105090.72529474198</v>
      </c>
    </row>
    <row r="486" spans="1:17" x14ac:dyDescent="0.25">
      <c r="A486" s="5">
        <f>(486-2)/100</f>
        <v>4.84</v>
      </c>
      <c r="B486" s="5">
        <f>Dashboard!$C$10*EXP(-Dashboard!$C$12*A486)</f>
        <v>3.6756584017393533E-2</v>
      </c>
      <c r="C486" s="5">
        <f>Dashboard!$C$17*A486</f>
        <v>3872</v>
      </c>
      <c r="D486" s="5">
        <f>Dashboard!$C$15*(1-EXP(-Dashboard!$C$16*A486))</f>
        <v>0.72886270603249104</v>
      </c>
      <c r="E486" s="5">
        <f>1/(1+EXP(MIN(700,MAX(-700,(C486-Dashboard!$C$18)/Dashboard!$C$19))))</f>
        <v>4.2289771842033794E-2</v>
      </c>
      <c r="F486" s="5">
        <f t="shared" si="35"/>
        <v>3.0823437542281396E-2</v>
      </c>
      <c r="G486" s="8">
        <f>Dashboard!$C$9*B486*Dashboard!$C$11*(1-F486)</f>
        <v>71247.23949133158</v>
      </c>
      <c r="H486" s="8">
        <f>Dashboard!$C$20*A486^2</f>
        <v>187404.79999999999</v>
      </c>
      <c r="I486" s="8">
        <f t="shared" si="36"/>
        <v>258652.03949133155</v>
      </c>
      <c r="J486" s="8">
        <f>Dashboard!$C$13*A486</f>
        <v>96800</v>
      </c>
      <c r="K486" s="8">
        <f>Dashboard!$C$14*A486</f>
        <v>145200</v>
      </c>
      <c r="L486" s="8">
        <f>Dashboard!$C$21-K486</f>
        <v>1354800</v>
      </c>
      <c r="M486" s="8">
        <f t="shared" si="37"/>
        <v>999347.96050866833</v>
      </c>
      <c r="N486" s="8">
        <f t="shared" si="38"/>
        <v>242000</v>
      </c>
      <c r="O486" s="8">
        <f>Dashboard!$C$15*(Dashboard!$C$16*EXP(-Dashboard!$C$16*A486)*E486-(1-EXP(-Dashboard!$C$16*A486))*Dashboard!$C$17/Dashboard!$C$19*E486*(1-E486))</f>
        <v>-3.7855705235968685E-2</v>
      </c>
      <c r="P486" s="8">
        <f>Dashboard!$C$9*B486*Dashboard!$C$11*(-Dashboard!$C$12*(1-F486)-O486)+2*Dashboard!$C$20*A486</f>
        <v>55286.358998121083</v>
      </c>
      <c r="Q486" s="8">
        <f>-P486-Dashboard!$C$13-Dashboard!$C$14</f>
        <v>-105286.35899812108</v>
      </c>
    </row>
    <row r="487" spans="1:17" x14ac:dyDescent="0.25">
      <c r="A487" s="5">
        <f>(487-2)/100</f>
        <v>4.8499999999999996</v>
      </c>
      <c r="B487" s="5">
        <f>Dashboard!$C$10*EXP(-Dashboard!$C$12*A487)</f>
        <v>3.6628160844983007E-2</v>
      </c>
      <c r="C487" s="5">
        <f>Dashboard!$C$17*A487</f>
        <v>3879.9999999999995</v>
      </c>
      <c r="D487" s="5">
        <f>Dashboard!$C$15*(1-EXP(-Dashboard!$C$16*A487))</f>
        <v>0.72921750476633018</v>
      </c>
      <c r="E487" s="5">
        <f>1/(1+EXP(MIN(700,MAX(-700,(C487-Dashboard!$C$18)/Dashboard!$C$19))))</f>
        <v>4.1753037417581955E-2</v>
      </c>
      <c r="F487" s="5">
        <f t="shared" ref="F487:F550" si="39">D487*E487</f>
        <v>3.0447045762064331E-2</v>
      </c>
      <c r="G487" s="8">
        <f>Dashboard!$C$9*B487*Dashboard!$C$11*(1-F487)</f>
        <v>71025.883111111107</v>
      </c>
      <c r="H487" s="8">
        <f>Dashboard!$C$20*A487^2</f>
        <v>188179.99999999997</v>
      </c>
      <c r="I487" s="8">
        <f t="shared" ref="I487:I550" si="40">G487+H487</f>
        <v>259205.88311111106</v>
      </c>
      <c r="J487" s="8">
        <f>Dashboard!$C$13*A487</f>
        <v>97000</v>
      </c>
      <c r="K487" s="8">
        <f>Dashboard!$C$14*A487</f>
        <v>145500</v>
      </c>
      <c r="L487" s="8">
        <f>Dashboard!$C$21-K487</f>
        <v>1354500</v>
      </c>
      <c r="M487" s="8">
        <f t="shared" ref="M487:M550" si="41">L487-I487-J487</f>
        <v>998294.11688888888</v>
      </c>
      <c r="N487" s="8">
        <f t="shared" ref="N487:N550" si="42">J487+K487</f>
        <v>242500</v>
      </c>
      <c r="O487" s="8">
        <f>Dashboard!$C$15*(Dashboard!$C$16*EXP(-Dashboard!$C$16*A487)*E487-(1-EXP(-Dashboard!$C$16*A487))*Dashboard!$C$17/Dashboard!$C$19*E487*(1-E487))</f>
        <v>-3.7423360075474088E-2</v>
      </c>
      <c r="P487" s="8">
        <f>Dashboard!$C$9*B487*Dashboard!$C$11*(-Dashboard!$C$12*(1-F487)-O487)+2*Dashboard!$C$20*A487</f>
        <v>55482.438615519481</v>
      </c>
      <c r="Q487" s="8">
        <f>-P487-Dashboard!$C$13-Dashboard!$C$14</f>
        <v>-105482.43861551948</v>
      </c>
    </row>
    <row r="488" spans="1:17" x14ac:dyDescent="0.25">
      <c r="A488" s="5">
        <f>(488-2)/100</f>
        <v>4.8600000000000003</v>
      </c>
      <c r="B488" s="5">
        <f>Dashboard!$C$10*EXP(-Dashboard!$C$12*A488)</f>
        <v>3.6500186368000863E-2</v>
      </c>
      <c r="C488" s="5">
        <f>Dashboard!$C$17*A488</f>
        <v>3888.0000000000005</v>
      </c>
      <c r="D488" s="5">
        <f>Dashboard!$C$15*(1-EXP(-Dashboard!$C$16*A488))</f>
        <v>0.72957053393410198</v>
      </c>
      <c r="E488" s="5">
        <f>1/(1+EXP(MIN(700,MAX(-700,(C488-Dashboard!$C$18)/Dashboard!$C$19))))</f>
        <v>4.1222821917382961E-2</v>
      </c>
      <c r="F488" s="5">
        <f t="shared" si="39"/>
        <v>3.0074956196535489E-2</v>
      </c>
      <c r="G488" s="8">
        <f>Dashboard!$C$9*B488*Dashboard!$C$11*(1-F488)</f>
        <v>70804.889723635715</v>
      </c>
      <c r="H488" s="8">
        <f>Dashboard!$C$20*A488^2</f>
        <v>188956.80000000002</v>
      </c>
      <c r="I488" s="8">
        <f t="shared" si="40"/>
        <v>259761.68972363573</v>
      </c>
      <c r="J488" s="8">
        <f>Dashboard!$C$13*A488</f>
        <v>97200</v>
      </c>
      <c r="K488" s="8">
        <f>Dashboard!$C$14*A488</f>
        <v>145800</v>
      </c>
      <c r="L488" s="8">
        <f>Dashboard!$C$21-K488</f>
        <v>1354200</v>
      </c>
      <c r="M488" s="8">
        <f t="shared" si="41"/>
        <v>997238.31027636421</v>
      </c>
      <c r="N488" s="8">
        <f t="shared" si="42"/>
        <v>243000</v>
      </c>
      <c r="O488" s="8">
        <f>Dashboard!$C$15*(Dashboard!$C$16*EXP(-Dashboard!$C$16*A488)*E488-(1-EXP(-Dashboard!$C$16*A488))*Dashboard!$C$17/Dashboard!$C$19*E488*(1-E488))</f>
        <v>-3.6995258175411376E-2</v>
      </c>
      <c r="P488" s="8">
        <f>Dashboard!$C$9*B488*Dashboard!$C$11*(-Dashboard!$C$12*(1-F488)-O488)+2*Dashboard!$C$20*A488</f>
        <v>55678.956232997152</v>
      </c>
      <c r="Q488" s="8">
        <f>-P488-Dashboard!$C$13-Dashboard!$C$14</f>
        <v>-105678.95623299715</v>
      </c>
    </row>
    <row r="489" spans="1:17" x14ac:dyDescent="0.25">
      <c r="A489" s="5">
        <f>(489-2)/100</f>
        <v>4.87</v>
      </c>
      <c r="B489" s="5">
        <f>Dashboard!$C$10*EXP(-Dashboard!$C$12*A489)</f>
        <v>3.6372659018758184E-2</v>
      </c>
      <c r="C489" s="5">
        <f>Dashboard!$C$17*A489</f>
        <v>3896</v>
      </c>
      <c r="D489" s="5">
        <f>Dashboard!$C$15*(1-EXP(-Dashboard!$C$16*A489))</f>
        <v>0.72992180236155391</v>
      </c>
      <c r="E489" s="5">
        <f>1/(1+EXP(MIN(700,MAX(-700,(C489-Dashboard!$C$18)/Dashboard!$C$19))))</f>
        <v>4.0699053571466484E-2</v>
      </c>
      <c r="F489" s="5">
        <f t="shared" si="39"/>
        <v>2.9707126537294255E-2</v>
      </c>
      <c r="G489" s="8">
        <f>Dashboard!$C$9*B489*Dashboard!$C$11*(1-F489)</f>
        <v>70584.263669580148</v>
      </c>
      <c r="H489" s="8">
        <f>Dashboard!$C$20*A489^2</f>
        <v>189735.2</v>
      </c>
      <c r="I489" s="8">
        <f t="shared" si="40"/>
        <v>260319.46366958017</v>
      </c>
      <c r="J489" s="8">
        <f>Dashboard!$C$13*A489</f>
        <v>97400</v>
      </c>
      <c r="K489" s="8">
        <f>Dashboard!$C$14*A489</f>
        <v>146100</v>
      </c>
      <c r="L489" s="8">
        <f>Dashboard!$C$21-K489</f>
        <v>1353900</v>
      </c>
      <c r="M489" s="8">
        <f t="shared" si="41"/>
        <v>996180.53633041983</v>
      </c>
      <c r="N489" s="8">
        <f t="shared" si="42"/>
        <v>243500</v>
      </c>
      <c r="O489" s="8">
        <f>Dashboard!$C$15*(Dashboard!$C$16*EXP(-Dashboard!$C$16*A489)*E489-(1-EXP(-Dashboard!$C$16*A489))*Dashboard!$C$17/Dashboard!$C$19*E489*(1-E489))</f>
        <v>-3.6571374643925313E-2</v>
      </c>
      <c r="P489" s="8">
        <f>Dashboard!$C$9*B489*Dashboard!$C$11*(-Dashboard!$C$12*(1-F489)-O489)+2*Dashboard!$C$20*A489</f>
        <v>55875.903995188455</v>
      </c>
      <c r="Q489" s="8">
        <f>-P489-Dashboard!$C$13-Dashboard!$C$14</f>
        <v>-105875.90399518845</v>
      </c>
    </row>
    <row r="490" spans="1:17" x14ac:dyDescent="0.25">
      <c r="A490" s="5">
        <f>(490-2)/100</f>
        <v>4.88</v>
      </c>
      <c r="B490" s="5">
        <f>Dashboard!$C$10*EXP(-Dashboard!$C$12*A490)</f>
        <v>3.6245577235043319E-2</v>
      </c>
      <c r="C490" s="5">
        <f>Dashboard!$C$17*A490</f>
        <v>3904</v>
      </c>
      <c r="D490" s="5">
        <f>Dashboard!$C$15*(1-EXP(-Dashboard!$C$16*A490))</f>
        <v>0.73027131883041507</v>
      </c>
      <c r="E490" s="5">
        <f>1/(1+EXP(MIN(700,MAX(-700,(C490-Dashboard!$C$18)/Dashboard!$C$19))))</f>
        <v>4.0181661212387053E-2</v>
      </c>
      <c r="F490" s="5">
        <f t="shared" si="39"/>
        <v>2.9343514726366829E-2</v>
      </c>
      <c r="G490" s="8">
        <f>Dashboard!$C$9*B490*Dashboard!$C$11*(1-F490)</f>
        <v>70364.00921136231</v>
      </c>
      <c r="H490" s="8">
        <f>Dashboard!$C$20*A490^2</f>
        <v>190515.19999999998</v>
      </c>
      <c r="I490" s="8">
        <f t="shared" si="40"/>
        <v>260879.20921136229</v>
      </c>
      <c r="J490" s="8">
        <f>Dashboard!$C$13*A490</f>
        <v>97600</v>
      </c>
      <c r="K490" s="8">
        <f>Dashboard!$C$14*A490</f>
        <v>146400</v>
      </c>
      <c r="L490" s="8">
        <f>Dashboard!$C$21-K490</f>
        <v>1353600</v>
      </c>
      <c r="M490" s="8">
        <f t="shared" si="41"/>
        <v>995120.79078863771</v>
      </c>
      <c r="N490" s="8">
        <f t="shared" si="42"/>
        <v>244000</v>
      </c>
      <c r="O490" s="8">
        <f>Dashboard!$C$15*(Dashboard!$C$16*EXP(-Dashboard!$C$16*A490)*E490-(1-EXP(-Dashboard!$C$16*A490))*Dashboard!$C$17/Dashboard!$C$19*E490*(1-E490))</f>
        <v>-3.6151684290030267E-2</v>
      </c>
      <c r="P490" s="8">
        <f>Dashboard!$C$9*B490*Dashboard!$C$11*(-Dashboard!$C$12*(1-F490)-O490)+2*Dashboard!$C$20*A490</f>
        <v>56073.274106245583</v>
      </c>
      <c r="Q490" s="8">
        <f>-P490-Dashboard!$C$13-Dashboard!$C$14</f>
        <v>-106073.27410624558</v>
      </c>
    </row>
    <row r="491" spans="1:17" x14ac:dyDescent="0.25">
      <c r="A491" s="5">
        <f>(491-2)/100</f>
        <v>4.8899999999999997</v>
      </c>
      <c r="B491" s="5">
        <f>Dashboard!$C$10*EXP(-Dashboard!$C$12*A491)</f>
        <v>3.6118939460102854E-2</v>
      </c>
      <c r="C491" s="5">
        <f>Dashboard!$C$17*A491</f>
        <v>3911.9999999999995</v>
      </c>
      <c r="D491" s="5">
        <f>Dashboard!$C$15*(1-EXP(-Dashboard!$C$16*A491))</f>
        <v>0.73061909207861508</v>
      </c>
      <c r="E491" s="5">
        <f>1/(1+EXP(MIN(700,MAX(-700,(C491-Dashboard!$C$18)/Dashboard!$C$19))))</f>
        <v>3.9670574275114605E-2</v>
      </c>
      <c r="F491" s="5">
        <f t="shared" si="39"/>
        <v>2.8984078959121497E-2</v>
      </c>
      <c r="G491" s="8">
        <f>Dashboard!$C$9*B491*Dashboard!$C$11*(1-F491)</f>
        <v>70144.130533743009</v>
      </c>
      <c r="H491" s="8">
        <f>Dashboard!$C$20*A491^2</f>
        <v>191296.79999999996</v>
      </c>
      <c r="I491" s="8">
        <f t="shared" si="40"/>
        <v>261440.93053374297</v>
      </c>
      <c r="J491" s="8">
        <f>Dashboard!$C$13*A491</f>
        <v>97800</v>
      </c>
      <c r="K491" s="8">
        <f>Dashboard!$C$14*A491</f>
        <v>146700</v>
      </c>
      <c r="L491" s="8">
        <f>Dashboard!$C$21-K491</f>
        <v>1353300</v>
      </c>
      <c r="M491" s="8">
        <f t="shared" si="41"/>
        <v>994059.069466257</v>
      </c>
      <c r="N491" s="8">
        <f t="shared" si="42"/>
        <v>244500</v>
      </c>
      <c r="O491" s="8">
        <f>Dashboard!$C$15*(Dashboard!$C$16*EXP(-Dashboard!$C$16*A491)*E491-(1-EXP(-Dashboard!$C$16*A491))*Dashboard!$C$17/Dashboard!$C$19*E491*(1-E491))</f>
        <v>-3.573616163881875E-2</v>
      </c>
      <c r="P491" s="8">
        <f>Dashboard!$C$9*B491*Dashboard!$C$11*(-Dashboard!$C$12*(1-F491)-O491)+2*Dashboard!$C$20*A491</f>
        <v>56271.058830727838</v>
      </c>
      <c r="Q491" s="8">
        <f>-P491-Dashboard!$C$13-Dashboard!$C$14</f>
        <v>-106271.05883072784</v>
      </c>
    </row>
    <row r="492" spans="1:17" x14ac:dyDescent="0.25">
      <c r="A492" s="5">
        <f>(492-2)/100</f>
        <v>4.9000000000000004</v>
      </c>
      <c r="B492" s="5">
        <f>Dashboard!$C$10*EXP(-Dashboard!$C$12*A492)</f>
        <v>3.5992744142622435E-2</v>
      </c>
      <c r="C492" s="5">
        <f>Dashboard!$C$17*A492</f>
        <v>3920.0000000000005</v>
      </c>
      <c r="D492" s="5">
        <f>Dashboard!$C$15*(1-EXP(-Dashboard!$C$16*A492))</f>
        <v>0.73096513080050363</v>
      </c>
      <c r="E492" s="5">
        <f>1/(1+EXP(MIN(700,MAX(-700,(C492-Dashboard!$C$18)/Dashboard!$C$19))))</f>
        <v>3.9165722796764335E-2</v>
      </c>
      <c r="F492" s="5">
        <f t="shared" si="39"/>
        <v>2.8628777687033109E-2</v>
      </c>
      <c r="G492" s="8">
        <f>Dashboard!$C$9*B492*Dashboard!$C$11*(1-F492)</f>
        <v>69924.631744434068</v>
      </c>
      <c r="H492" s="8">
        <f>Dashboard!$C$20*A492^2</f>
        <v>192080.00000000003</v>
      </c>
      <c r="I492" s="8">
        <f t="shared" si="40"/>
        <v>262004.6317444341</v>
      </c>
      <c r="J492" s="8">
        <f>Dashboard!$C$13*A492</f>
        <v>98000</v>
      </c>
      <c r="K492" s="8">
        <f>Dashboard!$C$14*A492</f>
        <v>147000</v>
      </c>
      <c r="L492" s="8">
        <f>Dashboard!$C$21-K492</f>
        <v>1353000</v>
      </c>
      <c r="M492" s="8">
        <f t="shared" si="41"/>
        <v>992995.36825556587</v>
      </c>
      <c r="N492" s="8">
        <f t="shared" si="42"/>
        <v>245000</v>
      </c>
      <c r="O492" s="8">
        <f>Dashboard!$C$15*(Dashboard!$C$16*EXP(-Dashboard!$C$16*A492)*E492-(1-EXP(-Dashboard!$C$16*A492))*Dashboard!$C$17/Dashboard!$C$19*E492*(1-E492))</f>
        <v>-3.5324780946320924E-2</v>
      </c>
      <c r="P492" s="8">
        <f>Dashboard!$C$9*B492*Dashboard!$C$11*(-Dashboard!$C$12*(1-F492)-O492)+2*Dashboard!$C$20*A492</f>
        <v>56469.250494438304</v>
      </c>
      <c r="Q492" s="8">
        <f>-P492-Dashboard!$C$13-Dashboard!$C$14</f>
        <v>-106469.25049443831</v>
      </c>
    </row>
    <row r="493" spans="1:17" x14ac:dyDescent="0.25">
      <c r="A493" s="5">
        <f>(493-2)/100</f>
        <v>4.91</v>
      </c>
      <c r="B493" s="5">
        <f>Dashboard!$C$10*EXP(-Dashboard!$C$12*A493)</f>
        <v>3.5866989736707877E-2</v>
      </c>
      <c r="C493" s="5">
        <f>Dashboard!$C$17*A493</f>
        <v>3928</v>
      </c>
      <c r="D493" s="5">
        <f>Dashboard!$C$15*(1-EXP(-Dashboard!$C$16*A493))</f>
        <v>0.73130944364706663</v>
      </c>
      <c r="E493" s="5">
        <f>1/(1+EXP(MIN(700,MAX(-700,(C493-Dashboard!$C$18)/Dashboard!$C$19))))</f>
        <v>3.8667037416171973E-2</v>
      </c>
      <c r="F493" s="5">
        <f t="shared" si="39"/>
        <v>2.8277569620301035E-2</v>
      </c>
      <c r="G493" s="8">
        <f>Dashboard!$C$9*B493*Dashboard!$C$11*(1-F493)</f>
        <v>69705.516874714987</v>
      </c>
      <c r="H493" s="8">
        <f>Dashboard!$C$20*A493^2</f>
        <v>192864.8</v>
      </c>
      <c r="I493" s="8">
        <f t="shared" si="40"/>
        <v>262570.31687471498</v>
      </c>
      <c r="J493" s="8">
        <f>Dashboard!$C$13*A493</f>
        <v>98200</v>
      </c>
      <c r="K493" s="8">
        <f>Dashboard!$C$14*A493</f>
        <v>147300</v>
      </c>
      <c r="L493" s="8">
        <f>Dashboard!$C$21-K493</f>
        <v>1352700</v>
      </c>
      <c r="M493" s="8">
        <f t="shared" si="41"/>
        <v>991929.68312528497</v>
      </c>
      <c r="N493" s="8">
        <f t="shared" si="42"/>
        <v>245500</v>
      </c>
      <c r="O493" s="8">
        <f>Dashboard!$C$15*(Dashboard!$C$16*EXP(-Dashboard!$C$16*A493)*E493-(1-EXP(-Dashboard!$C$16*A493))*Dashboard!$C$17/Dashboard!$C$19*E493*(1-E493))</f>
        <v>-3.4917516214020991E-2</v>
      </c>
      <c r="P493" s="8">
        <f>Dashboard!$C$9*B493*Dashboard!$C$11*(-Dashboard!$C$12*(1-F493)-O493)+2*Dashboard!$C$20*A493</f>
        <v>56667.841485208999</v>
      </c>
      <c r="Q493" s="8">
        <f>-P493-Dashboard!$C$13-Dashboard!$C$14</f>
        <v>-106667.84148520901</v>
      </c>
    </row>
    <row r="494" spans="1:17" x14ac:dyDescent="0.25">
      <c r="A494" s="5">
        <f>(494-2)/100</f>
        <v>4.92</v>
      </c>
      <c r="B494" s="5">
        <f>Dashboard!$C$10*EXP(-Dashboard!$C$12*A494)</f>
        <v>3.5741674701866108E-2</v>
      </c>
      <c r="C494" s="5">
        <f>Dashboard!$C$17*A494</f>
        <v>3936</v>
      </c>
      <c r="D494" s="5">
        <f>Dashboard!$C$15*(1-EXP(-Dashboard!$C$16*A494))</f>
        <v>0.73165203922614308</v>
      </c>
      <c r="E494" s="5">
        <f>1/(1+EXP(MIN(700,MAX(-700,(C494-Dashboard!$C$18)/Dashboard!$C$19))))</f>
        <v>3.8174449373317855E-2</v>
      </c>
      <c r="F494" s="5">
        <f t="shared" si="39"/>
        <v>2.7930413730323168E-2</v>
      </c>
      <c r="G494" s="8">
        <f>Dashboard!$C$9*B494*Dashboard!$C$11*(1-F494)</f>
        <v>69486.789880056735</v>
      </c>
      <c r="H494" s="8">
        <f>Dashboard!$C$20*A494^2</f>
        <v>193651.19999999998</v>
      </c>
      <c r="I494" s="8">
        <f t="shared" si="40"/>
        <v>263137.9898800567</v>
      </c>
      <c r="J494" s="8">
        <f>Dashboard!$C$13*A494</f>
        <v>98400</v>
      </c>
      <c r="K494" s="8">
        <f>Dashboard!$C$14*A494</f>
        <v>147600</v>
      </c>
      <c r="L494" s="8">
        <f>Dashboard!$C$21-K494</f>
        <v>1352400</v>
      </c>
      <c r="M494" s="8">
        <f t="shared" si="41"/>
        <v>990862.01011994341</v>
      </c>
      <c r="N494" s="8">
        <f t="shared" si="42"/>
        <v>246000</v>
      </c>
      <c r="O494" s="8">
        <f>Dashboard!$C$15*(Dashboard!$C$16*EXP(-Dashboard!$C$16*A494)*E494-(1-EXP(-Dashboard!$C$16*A494))*Dashboard!$C$17/Dashboard!$C$19*E494*(1-E494))</f>
        <v>-3.4514341203033268E-2</v>
      </c>
      <c r="P494" s="8">
        <f>Dashboard!$C$9*B494*Dashboard!$C$11*(-Dashboard!$C$12*(1-F494)-O494)+2*Dashboard!$C$20*A494</f>
        <v>56866.824253636201</v>
      </c>
      <c r="Q494" s="8">
        <f>-P494-Dashboard!$C$13-Dashboard!$C$14</f>
        <v>-106866.82425363621</v>
      </c>
    </row>
    <row r="495" spans="1:17" x14ac:dyDescent="0.25">
      <c r="A495" s="5">
        <f>(495-2)/100</f>
        <v>4.93</v>
      </c>
      <c r="B495" s="5">
        <f>Dashboard!$C$10*EXP(-Dashboard!$C$12*A495)</f>
        <v>3.5616797502986401E-2</v>
      </c>
      <c r="C495" s="5">
        <f>Dashboard!$C$17*A495</f>
        <v>3944</v>
      </c>
      <c r="D495" s="5">
        <f>Dashboard!$C$15*(1-EXP(-Dashboard!$C$16*A495))</f>
        <v>0.73199292610264033</v>
      </c>
      <c r="E495" s="5">
        <f>1/(1+EXP(MIN(700,MAX(-700,(C495-Dashboard!$C$18)/Dashboard!$C$19))))</f>
        <v>3.7687890508605916E-2</v>
      </c>
      <c r="F495" s="5">
        <f t="shared" si="39"/>
        <v>2.758726925203037E-2</v>
      </c>
      <c r="G495" s="8">
        <f>Dashboard!$C$9*B495*Dashboard!$C$11*(1-F495)</f>
        <v>69268.454640752941</v>
      </c>
      <c r="H495" s="8">
        <f>Dashboard!$C$20*A495^2</f>
        <v>194439.19999999998</v>
      </c>
      <c r="I495" s="8">
        <f t="shared" si="40"/>
        <v>263707.65464075294</v>
      </c>
      <c r="J495" s="8">
        <f>Dashboard!$C$13*A495</f>
        <v>98600</v>
      </c>
      <c r="K495" s="8">
        <f>Dashboard!$C$14*A495</f>
        <v>147900</v>
      </c>
      <c r="L495" s="8">
        <f>Dashboard!$C$21-K495</f>
        <v>1352100</v>
      </c>
      <c r="M495" s="8">
        <f t="shared" si="41"/>
        <v>989792.34535924718</v>
      </c>
      <c r="N495" s="8">
        <f t="shared" si="42"/>
        <v>246500</v>
      </c>
      <c r="O495" s="8">
        <f>Dashboard!$C$15*(Dashboard!$C$16*EXP(-Dashboard!$C$16*A495)*E495-(1-EXP(-Dashboard!$C$16*A495))*Dashboard!$C$17/Dashboard!$C$19*E495*(1-E495))</f>
        <v>-3.4115229447944054E-2</v>
      </c>
      <c r="P495" s="8">
        <f>Dashboard!$C$9*B495*Dashboard!$C$11*(-Dashboard!$C$12*(1-F495)-O495)+2*Dashboard!$C$20*A495</f>
        <v>57066.191313767151</v>
      </c>
      <c r="Q495" s="8">
        <f>-P495-Dashboard!$C$13-Dashboard!$C$14</f>
        <v>-107066.19131376715</v>
      </c>
    </row>
    <row r="496" spans="1:17" x14ac:dyDescent="0.25">
      <c r="A496" s="5">
        <f>(496-2)/100</f>
        <v>4.9400000000000004</v>
      </c>
      <c r="B496" s="5">
        <f>Dashboard!$C$10*EXP(-Dashboard!$C$12*A496)</f>
        <v>3.549235661032149E-2</v>
      </c>
      <c r="C496" s="5">
        <f>Dashboard!$C$17*A496</f>
        <v>3952.0000000000005</v>
      </c>
      <c r="D496" s="5">
        <f>Dashboard!$C$15*(1-EXP(-Dashboard!$C$16*A496))</f>
        <v>0.73233211279874832</v>
      </c>
      <c r="E496" s="5">
        <f>1/(1+EXP(MIN(700,MAX(-700,(C496-Dashboard!$C$18)/Dashboard!$C$19))))</f>
        <v>3.720729326200102E-2</v>
      </c>
      <c r="F496" s="5">
        <f t="shared" si="39"/>
        <v>2.7248095686083839E-2</v>
      </c>
      <c r="G496" s="8">
        <f>Dashboard!$C$9*B496*Dashboard!$C$11*(1-F496)</f>
        <v>69050.514962557674</v>
      </c>
      <c r="H496" s="8">
        <f>Dashboard!$C$20*A496^2</f>
        <v>195228.80000000005</v>
      </c>
      <c r="I496" s="8">
        <f t="shared" si="40"/>
        <v>264279.31496255775</v>
      </c>
      <c r="J496" s="8">
        <f>Dashboard!$C$13*A496</f>
        <v>98800.000000000015</v>
      </c>
      <c r="K496" s="8">
        <f>Dashboard!$C$14*A496</f>
        <v>148200</v>
      </c>
      <c r="L496" s="8">
        <f>Dashboard!$C$21-K496</f>
        <v>1351800</v>
      </c>
      <c r="M496" s="8">
        <f t="shared" si="41"/>
        <v>988720.68503744225</v>
      </c>
      <c r="N496" s="8">
        <f t="shared" si="42"/>
        <v>247000</v>
      </c>
      <c r="O496" s="8">
        <f>Dashboard!$C$15*(Dashboard!$C$16*EXP(-Dashboard!$C$16*A496)*E496-(1-EXP(-Dashboard!$C$16*A496))*Dashboard!$C$17/Dashboard!$C$19*E496*(1-E496))</f>
        <v>-3.3720154270322385E-2</v>
      </c>
      <c r="P496" s="8">
        <f>Dashboard!$C$9*B496*Dashboard!$C$11*(-Dashboard!$C$12*(1-F496)-O496)+2*Dashboard!$C$20*A496</f>
        <v>57265.935243739485</v>
      </c>
      <c r="Q496" s="8">
        <f>-P496-Dashboard!$C$13-Dashboard!$C$14</f>
        <v>-107265.93524373948</v>
      </c>
    </row>
    <row r="497" spans="1:17" x14ac:dyDescent="0.25">
      <c r="A497" s="5">
        <f>(497-2)/100</f>
        <v>4.95</v>
      </c>
      <c r="B497" s="5">
        <f>Dashboard!$C$10*EXP(-Dashboard!$C$12*A497)</f>
        <v>3.536835049946891E-2</v>
      </c>
      <c r="C497" s="5">
        <f>Dashboard!$C$17*A497</f>
        <v>3960</v>
      </c>
      <c r="D497" s="5">
        <f>Dashboard!$C$15*(1-EXP(-Dashboard!$C$16*A497))</f>
        <v>0.7326696077941518</v>
      </c>
      <c r="E497" s="5">
        <f>1/(1+EXP(MIN(700,MAX(-700,(C497-Dashboard!$C$18)/Dashboard!$C$19))))</f>
        <v>3.673259067202974E-2</v>
      </c>
      <c r="F497" s="5">
        <f t="shared" si="39"/>
        <v>2.6912852800939149E-2</v>
      </c>
      <c r="G497" s="8">
        <f>Dashboard!$C$9*B497*Dashboard!$C$11*(1-F497)</f>
        <v>68832.974577329354</v>
      </c>
      <c r="H497" s="8">
        <f>Dashboard!$C$20*A497^2</f>
        <v>196020</v>
      </c>
      <c r="I497" s="8">
        <f t="shared" si="40"/>
        <v>264852.97457732935</v>
      </c>
      <c r="J497" s="8">
        <f>Dashboard!$C$13*A497</f>
        <v>99000</v>
      </c>
      <c r="K497" s="8">
        <f>Dashboard!$C$14*A497</f>
        <v>148500</v>
      </c>
      <c r="L497" s="8">
        <f>Dashboard!$C$21-K497</f>
        <v>1351500</v>
      </c>
      <c r="M497" s="8">
        <f t="shared" si="41"/>
        <v>987647.02542267065</v>
      </c>
      <c r="N497" s="8">
        <f t="shared" si="42"/>
        <v>247500</v>
      </c>
      <c r="O497" s="8">
        <f>Dashboard!$C$15*(Dashboard!$C$16*EXP(-Dashboard!$C$16*A497)*E497-(1-EXP(-Dashboard!$C$16*A497))*Dashboard!$C$17/Dashboard!$C$19*E497*(1-E497))</f>
        <v>-3.3329088791905222E-2</v>
      </c>
      <c r="P497" s="8">
        <f>Dashboard!$C$9*B497*Dashboard!$C$11*(-Dashboard!$C$12*(1-F497)-O497)+2*Dashboard!$C$20*A497</f>
        <v>57466.048686374779</v>
      </c>
      <c r="Q497" s="8">
        <f>-P497-Dashboard!$C$13-Dashboard!$C$14</f>
        <v>-107466.04868637478</v>
      </c>
    </row>
    <row r="498" spans="1:17" x14ac:dyDescent="0.25">
      <c r="A498" s="5">
        <f>(498-2)/100</f>
        <v>4.96</v>
      </c>
      <c r="B498" s="5">
        <f>Dashboard!$C$10*EXP(-Dashboard!$C$12*A498)</f>
        <v>3.524477765135222E-2</v>
      </c>
      <c r="C498" s="5">
        <f>Dashboard!$C$17*A498</f>
        <v>3968</v>
      </c>
      <c r="D498" s="5">
        <f>Dashboard!$C$15*(1-EXP(-Dashboard!$C$16*A498))</f>
        <v>0.73300541952624332</v>
      </c>
      <c r="E498" s="5">
        <f>1/(1+EXP(MIN(700,MAX(-700,(C498-Dashboard!$C$18)/Dashboard!$C$19))))</f>
        <v>3.6263716374648348E-2</v>
      </c>
      <c r="F498" s="5">
        <f t="shared" si="39"/>
        <v>2.6581500634779813E-2</v>
      </c>
      <c r="G498" s="8">
        <f>Dashboard!$C$9*B498*Dashboard!$C$11*(1-F498)</f>
        <v>68615.837143680255</v>
      </c>
      <c r="H498" s="8">
        <f>Dashboard!$C$20*A498^2</f>
        <v>196812.80000000002</v>
      </c>
      <c r="I498" s="8">
        <f t="shared" si="40"/>
        <v>265428.63714368024</v>
      </c>
      <c r="J498" s="8">
        <f>Dashboard!$C$13*A498</f>
        <v>99200</v>
      </c>
      <c r="K498" s="8">
        <f>Dashboard!$C$14*A498</f>
        <v>148800</v>
      </c>
      <c r="L498" s="8">
        <f>Dashboard!$C$21-K498</f>
        <v>1351200</v>
      </c>
      <c r="M498" s="8">
        <f t="shared" si="41"/>
        <v>986571.36285631964</v>
      </c>
      <c r="N498" s="8">
        <f t="shared" si="42"/>
        <v>248000</v>
      </c>
      <c r="O498" s="8">
        <f>Dashboard!$C$15*(Dashboard!$C$16*EXP(-Dashboard!$C$16*A498)*E498-(1-EXP(-Dashboard!$C$16*A498))*Dashboard!$C$17/Dashboard!$C$19*E498*(1-E498))</f>
        <v>-3.2942005947460731E-2</v>
      </c>
      <c r="P498" s="8">
        <f>Dashboard!$C$9*B498*Dashboard!$C$11*(-Dashboard!$C$12*(1-F498)-O498)+2*Dashboard!$C$20*A498</f>
        <v>57666.524349727464</v>
      </c>
      <c r="Q498" s="8">
        <f>-P498-Dashboard!$C$13-Dashboard!$C$14</f>
        <v>-107666.52434972746</v>
      </c>
    </row>
    <row r="499" spans="1:17" x14ac:dyDescent="0.25">
      <c r="A499" s="5">
        <f>(499-2)/100</f>
        <v>4.97</v>
      </c>
      <c r="B499" s="5">
        <f>Dashboard!$C$10*EXP(-Dashboard!$C$12*A499)</f>
        <v>3.5121636552202525E-2</v>
      </c>
      <c r="C499" s="5">
        <f>Dashboard!$C$17*A499</f>
        <v>3976</v>
      </c>
      <c r="D499" s="5">
        <f>Dashboard!$C$15*(1-EXP(-Dashboard!$C$16*A499))</f>
        <v>0.73333955639033366</v>
      </c>
      <c r="E499" s="5">
        <f>1/(1+EXP(MIN(700,MAX(-700,(C499-Dashboard!$C$18)/Dashboard!$C$19))))</f>
        <v>3.580060460198331E-2</v>
      </c>
      <c r="F499" s="5">
        <f t="shared" si="39"/>
        <v>2.6253999497324178E-2</v>
      </c>
      <c r="G499" s="8">
        <f>Dashboard!$C$9*B499*Dashboard!$C$11*(1-F499)</f>
        <v>68399.106247631586</v>
      </c>
      <c r="H499" s="8">
        <f>Dashboard!$C$20*A499^2</f>
        <v>197607.19999999998</v>
      </c>
      <c r="I499" s="8">
        <f t="shared" si="40"/>
        <v>266006.30624763155</v>
      </c>
      <c r="J499" s="8">
        <f>Dashboard!$C$13*A499</f>
        <v>99400</v>
      </c>
      <c r="K499" s="8">
        <f>Dashboard!$C$14*A499</f>
        <v>149100</v>
      </c>
      <c r="L499" s="8">
        <f>Dashboard!$C$21-K499</f>
        <v>1350900</v>
      </c>
      <c r="M499" s="8">
        <f t="shared" si="41"/>
        <v>985493.69375236845</v>
      </c>
      <c r="N499" s="8">
        <f t="shared" si="42"/>
        <v>248500</v>
      </c>
      <c r="O499" s="8">
        <f>Dashboard!$C$15*(Dashboard!$C$16*EXP(-Dashboard!$C$16*A499)*E499-(1-EXP(-Dashboard!$C$16*A499))*Dashboard!$C$17/Dashboard!$C$19*E499*(1-E499))</f>
        <v>-3.2558878497335172E-2</v>
      </c>
      <c r="P499" s="8">
        <f>Dashboard!$C$9*B499*Dashboard!$C$11*(-Dashboard!$C$12*(1-F499)-O499)+2*Dashboard!$C$20*A499</f>
        <v>57867.355007590406</v>
      </c>
      <c r="Q499" s="8">
        <f>-P499-Dashboard!$C$13-Dashboard!$C$14</f>
        <v>-107867.35500759041</v>
      </c>
    </row>
    <row r="500" spans="1:17" x14ac:dyDescent="0.25">
      <c r="A500" s="5">
        <f>(500-2)/100</f>
        <v>4.9800000000000004</v>
      </c>
      <c r="B500" s="5">
        <f>Dashboard!$C$10*EXP(-Dashboard!$C$12*A500)</f>
        <v>3.4998925693539774E-2</v>
      </c>
      <c r="C500" s="5">
        <f>Dashboard!$C$17*A500</f>
        <v>3984.0000000000005</v>
      </c>
      <c r="D500" s="5">
        <f>Dashboard!$C$15*(1-EXP(-Dashboard!$C$16*A500))</f>
        <v>0.73367202673986187</v>
      </c>
      <c r="E500" s="5">
        <f>1/(1+EXP(MIN(700,MAX(-700,(C500-Dashboard!$C$18)/Dashboard!$C$19))))</f>
        <v>3.534319018094749E-2</v>
      </c>
      <c r="F500" s="5">
        <f t="shared" si="39"/>
        <v>2.5930309971508129E-2</v>
      </c>
      <c r="G500" s="8">
        <f>Dashboard!$C$9*B500*Dashboard!$C$11*(1-F500)</f>
        <v>68182.78540327301</v>
      </c>
      <c r="H500" s="8">
        <f>Dashboard!$C$20*A500^2</f>
        <v>198403.20000000004</v>
      </c>
      <c r="I500" s="8">
        <f t="shared" si="40"/>
        <v>266585.98540327302</v>
      </c>
      <c r="J500" s="8">
        <f>Dashboard!$C$13*A500</f>
        <v>99600.000000000015</v>
      </c>
      <c r="K500" s="8">
        <f>Dashboard!$C$14*A500</f>
        <v>149400</v>
      </c>
      <c r="L500" s="8">
        <f>Dashboard!$C$21-K500</f>
        <v>1350600</v>
      </c>
      <c r="M500" s="8">
        <f t="shared" si="41"/>
        <v>984414.01459672698</v>
      </c>
      <c r="N500" s="8">
        <f t="shared" si="42"/>
        <v>249000</v>
      </c>
      <c r="O500" s="8">
        <f>Dashboard!$C$15*(Dashboard!$C$16*EXP(-Dashboard!$C$16*A500)*E500-(1-EXP(-Dashboard!$C$16*A500))*Dashboard!$C$17/Dashboard!$C$19*E500*(1-E500))</f>
        <v>-3.2179679039687333E-2</v>
      </c>
      <c r="P500" s="8">
        <f>Dashboard!$C$9*B500*Dashboard!$C$11*(-Dashboard!$C$12*(1-F500)-O500)+2*Dashboard!$C$20*A500</f>
        <v>58068.533499958401</v>
      </c>
      <c r="Q500" s="8">
        <f>-P500-Dashboard!$C$13-Dashboard!$C$14</f>
        <v>-108068.5334999584</v>
      </c>
    </row>
    <row r="501" spans="1:17" x14ac:dyDescent="0.25">
      <c r="A501" s="5">
        <f>(501-2)/100</f>
        <v>4.99</v>
      </c>
      <c r="B501" s="5">
        <f>Dashboard!$C$10*EXP(-Dashboard!$C$12*A501)</f>
        <v>3.4876643572154455E-2</v>
      </c>
      <c r="C501" s="5">
        <f>Dashboard!$C$17*A501</f>
        <v>3992</v>
      </c>
      <c r="D501" s="5">
        <f>Dashboard!$C$15*(1-EXP(-Dashboard!$C$16*A501))</f>
        <v>0.734002838886604</v>
      </c>
      <c r="E501" s="5">
        <f>1/(1+EXP(MIN(700,MAX(-700,(C501-Dashboard!$C$18)/Dashboard!$C$19))))</f>
        <v>3.4891408531736841E-2</v>
      </c>
      <c r="F501" s="5">
        <f t="shared" si="39"/>
        <v>2.5610392915047117E-2</v>
      </c>
      <c r="G501" s="8">
        <f>Dashboard!$C$9*B501*Dashboard!$C$11*(1-F501)</f>
        <v>67966.878053427063</v>
      </c>
      <c r="H501" s="8">
        <f>Dashboard!$C$20*A501^2</f>
        <v>199200.80000000002</v>
      </c>
      <c r="I501" s="8">
        <f t="shared" si="40"/>
        <v>267167.67805342708</v>
      </c>
      <c r="J501" s="8">
        <f>Dashboard!$C$13*A501</f>
        <v>99800</v>
      </c>
      <c r="K501" s="8">
        <f>Dashboard!$C$14*A501</f>
        <v>149700</v>
      </c>
      <c r="L501" s="8">
        <f>Dashboard!$C$21-K501</f>
        <v>1350300</v>
      </c>
      <c r="M501" s="8">
        <f t="shared" si="41"/>
        <v>983332.32194657298</v>
      </c>
      <c r="N501" s="8">
        <f t="shared" si="42"/>
        <v>249500</v>
      </c>
      <c r="O501" s="8">
        <f>Dashboard!$C$15*(Dashboard!$C$16*EXP(-Dashboard!$C$16*A501)*E501-(1-EXP(-Dashboard!$C$16*A501))*Dashboard!$C$17/Dashboard!$C$19*E501*(1-E501))</f>
        <v>-3.1804380022415361E-2</v>
      </c>
      <c r="P501" s="8">
        <f>Dashboard!$C$9*B501*Dashboard!$C$11*(-Dashboard!$C$12*(1-F501)-O501)+2*Dashboard!$C$20*A501</f>
        <v>58270.052733450793</v>
      </c>
      <c r="Q501" s="8">
        <f>-P501-Dashboard!$C$13-Dashboard!$C$14</f>
        <v>-108270.05273345079</v>
      </c>
    </row>
    <row r="502" spans="1:17" x14ac:dyDescent="0.25">
      <c r="A502" s="5">
        <f>(502-2)/100</f>
        <v>5</v>
      </c>
      <c r="B502" s="5">
        <f>Dashboard!$C$10*EXP(-Dashboard!$C$12*A502)</f>
        <v>3.4754788690089029E-2</v>
      </c>
      <c r="C502" s="5">
        <f>Dashboard!$C$17*A502</f>
        <v>4000</v>
      </c>
      <c r="D502" s="5">
        <f>Dashboard!$C$15*(1-EXP(-Dashboard!$C$16*A502))</f>
        <v>0.73433200110088093</v>
      </c>
      <c r="E502" s="5">
        <f>1/(1+EXP(MIN(700,MAX(-700,(C502-Dashboard!$C$18)/Dashboard!$C$19))))</f>
        <v>3.4445195666211167E-2</v>
      </c>
      <c r="F502" s="5">
        <f t="shared" si="39"/>
        <v>2.5294209461880237E-2</v>
      </c>
      <c r="G502" s="8">
        <f>Dashboard!$C$9*B502*Dashboard!$C$11*(1-F502)</f>
        <v>67751.387570317063</v>
      </c>
      <c r="H502" s="8">
        <f>Dashboard!$C$20*A502^2</f>
        <v>200000</v>
      </c>
      <c r="I502" s="8">
        <f t="shared" si="40"/>
        <v>267751.38757031708</v>
      </c>
      <c r="J502" s="8">
        <f>Dashboard!$C$13*A502</f>
        <v>100000</v>
      </c>
      <c r="K502" s="8">
        <f>Dashboard!$C$14*A502</f>
        <v>150000</v>
      </c>
      <c r="L502" s="8">
        <f>Dashboard!$C$21-K502</f>
        <v>1350000</v>
      </c>
      <c r="M502" s="8">
        <f t="shared" si="41"/>
        <v>982248.61242968286</v>
      </c>
      <c r="N502" s="8">
        <f t="shared" si="42"/>
        <v>250000</v>
      </c>
      <c r="O502" s="8">
        <f>Dashboard!$C$15*(Dashboard!$C$16*EXP(-Dashboard!$C$16*A502)*E502-(1-EXP(-Dashboard!$C$16*A502))*Dashboard!$C$17/Dashboard!$C$19*E502*(1-E502))</f>
        <v>-3.1432953754780509E-2</v>
      </c>
      <c r="P502" s="8">
        <f>Dashboard!$C$9*B502*Dashboard!$C$11*(-Dashboard!$C$12*(1-F502)-O502)+2*Dashboard!$C$20*A502</f>
        <v>58471.905681694501</v>
      </c>
      <c r="Q502" s="8">
        <f>-P502-Dashboard!$C$13-Dashboard!$C$14</f>
        <v>-108471.90568169451</v>
      </c>
    </row>
    <row r="503" spans="1:17" x14ac:dyDescent="0.25">
      <c r="A503" s="5">
        <f>(503-2)/100</f>
        <v>5.01</v>
      </c>
      <c r="B503" s="5">
        <f>Dashboard!$C$10*EXP(-Dashboard!$C$12*A503)</f>
        <v>3.4633359554619679E-2</v>
      </c>
      <c r="C503" s="5">
        <f>Dashboard!$C$17*A503</f>
        <v>4008</v>
      </c>
      <c r="D503" s="5">
        <f>Dashboard!$C$15*(1-EXP(-Dashboard!$C$16*A503))</f>
        <v>0.73465952161176529</v>
      </c>
      <c r="E503" s="5">
        <f>1/(1+EXP(MIN(700,MAX(-700,(C503-Dashboard!$C$18)/Dashboard!$C$19))))</f>
        <v>3.4004488186163723E-2</v>
      </c>
      <c r="F503" s="5">
        <f t="shared" si="39"/>
        <v>2.4981721023499964E-2</v>
      </c>
      <c r="G503" s="8">
        <f>Dashboard!$C$9*B503*Dashboard!$C$11*(1-F503)</f>
        <v>67536.317256239214</v>
      </c>
      <c r="H503" s="8">
        <f>Dashboard!$C$20*A503^2</f>
        <v>200800.8</v>
      </c>
      <c r="I503" s="8">
        <f t="shared" si="40"/>
        <v>268337.11725623917</v>
      </c>
      <c r="J503" s="8">
        <f>Dashboard!$C$13*A503</f>
        <v>100200</v>
      </c>
      <c r="K503" s="8">
        <f>Dashboard!$C$14*A503</f>
        <v>150300</v>
      </c>
      <c r="L503" s="8">
        <f>Dashboard!$C$21-K503</f>
        <v>1349700</v>
      </c>
      <c r="M503" s="8">
        <f t="shared" si="41"/>
        <v>981162.88274376094</v>
      </c>
      <c r="N503" s="8">
        <f t="shared" si="42"/>
        <v>250500</v>
      </c>
      <c r="O503" s="8">
        <f>Dashboard!$C$15*(Dashboard!$C$16*EXP(-Dashboard!$C$16*A503)*E503-(1-EXP(-Dashboard!$C$16*A503))*Dashboard!$C$17/Dashboard!$C$19*E503*(1-E503))</f>
        <v>-3.1065372418732924E-2</v>
      </c>
      <c r="P503" s="8">
        <f>Dashboard!$C$9*B503*Dashboard!$C$11*(-Dashboard!$C$12*(1-F503)-O503)+2*Dashboard!$C$20*A503</f>
        <v>58674.085385668557</v>
      </c>
      <c r="Q503" s="8">
        <f>-P503-Dashboard!$C$13-Dashboard!$C$14</f>
        <v>-108674.08538566856</v>
      </c>
    </row>
    <row r="504" spans="1:17" x14ac:dyDescent="0.25">
      <c r="A504" s="5">
        <f>(504-2)/100</f>
        <v>5.0199999999999996</v>
      </c>
      <c r="B504" s="5">
        <f>Dashboard!$C$10*EXP(-Dashboard!$C$12*A504)</f>
        <v>3.4512354678237968E-2</v>
      </c>
      <c r="C504" s="5">
        <f>Dashboard!$C$17*A504</f>
        <v>4015.9999999999995</v>
      </c>
      <c r="D504" s="5">
        <f>Dashboard!$C$15*(1-EXP(-Dashboard!$C$16*A504))</f>
        <v>0.73498540860728667</v>
      </c>
      <c r="E504" s="5">
        <f>1/(1+EXP(MIN(700,MAX(-700,(C504-Dashboard!$C$18)/Dashboard!$C$19))))</f>
        <v>3.3569223281482541E-2</v>
      </c>
      <c r="F504" s="5">
        <f t="shared" si="39"/>
        <v>2.4672889290169687E-2</v>
      </c>
      <c r="G504" s="8">
        <f>Dashboard!$C$9*B504*Dashboard!$C$11*(1-F504)</f>
        <v>67321.670344237456</v>
      </c>
      <c r="H504" s="8">
        <f>Dashboard!$C$20*A504^2</f>
        <v>201603.19999999995</v>
      </c>
      <c r="I504" s="8">
        <f t="shared" si="40"/>
        <v>268924.87034423742</v>
      </c>
      <c r="J504" s="8">
        <f>Dashboard!$C$13*A504</f>
        <v>100399.99999999999</v>
      </c>
      <c r="K504" s="8">
        <f>Dashboard!$C$14*A504</f>
        <v>150600</v>
      </c>
      <c r="L504" s="8">
        <f>Dashboard!$C$21-K504</f>
        <v>1349400</v>
      </c>
      <c r="M504" s="8">
        <f t="shared" si="41"/>
        <v>980075.12965576258</v>
      </c>
      <c r="N504" s="8">
        <f t="shared" si="42"/>
        <v>251000</v>
      </c>
      <c r="O504" s="8">
        <f>Dashboard!$C$15*(Dashboard!$C$16*EXP(-Dashboard!$C$16*A504)*E504-(1-EXP(-Dashboard!$C$16*A504))*Dashboard!$C$17/Dashboard!$C$19*E504*(1-E504))</f>
        <v>-3.0701608079943401E-2</v>
      </c>
      <c r="P504" s="8">
        <f>Dashboard!$C$9*B504*Dashboard!$C$11*(-Dashboard!$C$12*(1-F504)-O504)+2*Dashboard!$C$20*A504</f>
        <v>58876.584954011414</v>
      </c>
      <c r="Q504" s="8">
        <f>-P504-Dashboard!$C$13-Dashboard!$C$14</f>
        <v>-108876.58495401141</v>
      </c>
    </row>
    <row r="505" spans="1:17" x14ac:dyDescent="0.25">
      <c r="A505" s="5">
        <f>(505-2)/100</f>
        <v>5.03</v>
      </c>
      <c r="B505" s="5">
        <f>Dashboard!$C$10*EXP(-Dashboard!$C$12*A505)</f>
        <v>3.4391772578632636E-2</v>
      </c>
      <c r="C505" s="5">
        <f>Dashboard!$C$17*A505</f>
        <v>4024</v>
      </c>
      <c r="D505" s="5">
        <f>Dashboard!$C$15*(1-EXP(-Dashboard!$C$16*A505))</f>
        <v>0.73530967023463711</v>
      </c>
      <c r="E505" s="5">
        <f>1/(1+EXP(MIN(700,MAX(-700,(C505-Dashboard!$C$18)/Dashboard!$C$19))))</f>
        <v>3.3139338728207991E-2</v>
      </c>
      <c r="F505" s="5">
        <f t="shared" si="39"/>
        <v>2.4367676232032558E-2</v>
      </c>
      <c r="G505" s="8">
        <f>Dashboard!$C$9*B505*Dashboard!$C$11*(1-F505)</f>
        <v>67107.449998781638</v>
      </c>
      <c r="H505" s="8">
        <f>Dashboard!$C$20*A505^2</f>
        <v>202407.2</v>
      </c>
      <c r="I505" s="8">
        <f t="shared" si="40"/>
        <v>269514.64999878162</v>
      </c>
      <c r="J505" s="8">
        <f>Dashboard!$C$13*A505</f>
        <v>100600</v>
      </c>
      <c r="K505" s="8">
        <f>Dashboard!$C$14*A505</f>
        <v>150900</v>
      </c>
      <c r="L505" s="8">
        <f>Dashboard!$C$21-K505</f>
        <v>1349100</v>
      </c>
      <c r="M505" s="8">
        <f t="shared" si="41"/>
        <v>978985.35000121826</v>
      </c>
      <c r="N505" s="8">
        <f t="shared" si="42"/>
        <v>251500</v>
      </c>
      <c r="O505" s="8">
        <f>Dashboard!$C$15*(Dashboard!$C$16*EXP(-Dashboard!$C$16*A505)*E505-(1-EXP(-Dashboard!$C$16*A505))*Dashboard!$C$17/Dashboard!$C$19*E505*(1-E505))</f>
        <v>-3.0341632698546311E-2</v>
      </c>
      <c r="P505" s="8">
        <f>Dashboard!$C$9*B505*Dashboard!$C$11*(-Dashboard!$C$12*(1-F505)-O505)+2*Dashboard!$C$20*A505</f>
        <v>59079.397563292048</v>
      </c>
      <c r="Q505" s="8">
        <f>-P505-Dashboard!$C$13-Dashboard!$C$14</f>
        <v>-109079.39756329205</v>
      </c>
    </row>
    <row r="506" spans="1:17" x14ac:dyDescent="0.25">
      <c r="A506" s="5">
        <f>(506-2)/100</f>
        <v>5.04</v>
      </c>
      <c r="B506" s="5">
        <f>Dashboard!$C$10*EXP(-Dashboard!$C$12*A506)</f>
        <v>3.4271611778671489E-2</v>
      </c>
      <c r="C506" s="5">
        <f>Dashboard!$C$17*A506</f>
        <v>4032</v>
      </c>
      <c r="D506" s="5">
        <f>Dashboard!$C$15*(1-EXP(-Dashboard!$C$16*A506))</f>
        <v>0.73563231460037404</v>
      </c>
      <c r="E506" s="5">
        <f>1/(1+EXP(MIN(700,MAX(-700,(C506-Dashboard!$C$18)/Dashboard!$C$19))))</f>
        <v>3.2714772886490384E-2</v>
      </c>
      <c r="F506" s="5">
        <f t="shared" si="39"/>
        <v>2.4066044100114481E-2</v>
      </c>
      <c r="G506" s="8">
        <f>Dashboard!$C$9*B506*Dashboard!$C$11*(1-F506)</f>
        <v>66893.659316447956</v>
      </c>
      <c r="H506" s="8">
        <f>Dashboard!$C$20*A506^2</f>
        <v>203212.80000000002</v>
      </c>
      <c r="I506" s="8">
        <f t="shared" si="40"/>
        <v>270106.45931644796</v>
      </c>
      <c r="J506" s="8">
        <f>Dashboard!$C$13*A506</f>
        <v>100800</v>
      </c>
      <c r="K506" s="8">
        <f>Dashboard!$C$14*A506</f>
        <v>151200</v>
      </c>
      <c r="L506" s="8">
        <f>Dashboard!$C$21-K506</f>
        <v>1348800</v>
      </c>
      <c r="M506" s="8">
        <f t="shared" si="41"/>
        <v>977893.54068355216</v>
      </c>
      <c r="N506" s="8">
        <f t="shared" si="42"/>
        <v>252000</v>
      </c>
      <c r="O506" s="8">
        <f>Dashboard!$C$15*(Dashboard!$C$16*EXP(-Dashboard!$C$16*A506)*E506-(1-EXP(-Dashboard!$C$16*A506))*Dashboard!$C$17/Dashboard!$C$19*E506*(1-E506))</f>
        <v>-2.9985418139598381E-2</v>
      </c>
      <c r="P506" s="8">
        <f>Dashboard!$C$9*B506*Dashboard!$C$11*(-Dashboard!$C$12*(1-F506)-O506)+2*Dashboard!$C$20*A506</f>
        <v>59282.516458246115</v>
      </c>
      <c r="Q506" s="8">
        <f>-P506-Dashboard!$C$13-Dashboard!$C$14</f>
        <v>-109282.51645824611</v>
      </c>
    </row>
    <row r="507" spans="1:17" x14ac:dyDescent="0.25">
      <c r="A507" s="5">
        <f>(507-2)/100</f>
        <v>5.05</v>
      </c>
      <c r="B507" s="5">
        <f>Dashboard!$C$10*EXP(-Dashboard!$C$12*A507)</f>
        <v>3.4151870806383183E-2</v>
      </c>
      <c r="C507" s="5">
        <f>Dashboard!$C$17*A507</f>
        <v>4040</v>
      </c>
      <c r="D507" s="5">
        <f>Dashboard!$C$15*(1-EXP(-Dashboard!$C$16*A507))</f>
        <v>0.73595334977062365</v>
      </c>
      <c r="E507" s="5">
        <f>1/(1+EXP(MIN(700,MAX(-700,(C507-Dashboard!$C$18)/Dashboard!$C$19))))</f>
        <v>3.2295464698450516E-2</v>
      </c>
      <c r="F507" s="5">
        <f t="shared" si="39"/>
        <v>2.376795542722358E-2</v>
      </c>
      <c r="G507" s="8">
        <f>Dashboard!$C$9*B507*Dashboard!$C$11*(1-F507)</f>
        <v>66680.301326601533</v>
      </c>
      <c r="H507" s="8">
        <f>Dashboard!$C$20*A507^2</f>
        <v>204019.99999999997</v>
      </c>
      <c r="I507" s="8">
        <f t="shared" si="40"/>
        <v>270700.30132660153</v>
      </c>
      <c r="J507" s="8">
        <f>Dashboard!$C$13*A507</f>
        <v>101000</v>
      </c>
      <c r="K507" s="8">
        <f>Dashboard!$C$14*A507</f>
        <v>151500</v>
      </c>
      <c r="L507" s="8">
        <f>Dashboard!$C$21-K507</f>
        <v>1348500</v>
      </c>
      <c r="M507" s="8">
        <f t="shared" si="41"/>
        <v>976799.69867339847</v>
      </c>
      <c r="N507" s="8">
        <f t="shared" si="42"/>
        <v>252500</v>
      </c>
      <c r="O507" s="8">
        <f>Dashboard!$C$15*(Dashboard!$C$16*EXP(-Dashboard!$C$16*A507)*E507-(1-EXP(-Dashboard!$C$16*A507))*Dashboard!$C$17/Dashboard!$C$19*E507*(1-E507))</f>
        <v>-2.9632936183257359E-2</v>
      </c>
      <c r="P507" s="8">
        <f>Dashboard!$C$9*B507*Dashboard!$C$11*(-Dashboard!$C$12*(1-F507)-O507)+2*Dashboard!$C$20*A507</f>
        <v>59485.93495197827</v>
      </c>
      <c r="Q507" s="8">
        <f>-P507-Dashboard!$C$13-Dashboard!$C$14</f>
        <v>-109485.93495197827</v>
      </c>
    </row>
    <row r="508" spans="1:17" x14ac:dyDescent="0.25">
      <c r="A508" s="5">
        <f>(508-2)/100</f>
        <v>5.0599999999999996</v>
      </c>
      <c r="B508" s="5">
        <f>Dashboard!$C$10*EXP(-Dashboard!$C$12*A508)</f>
        <v>3.4032548194939352E-2</v>
      </c>
      <c r="C508" s="5">
        <f>Dashboard!$C$17*A508</f>
        <v>4047.9999999999995</v>
      </c>
      <c r="D508" s="5">
        <f>Dashboard!$C$15*(1-EXP(-Dashboard!$C$16*A508))</f>
        <v>0.73627278377128169</v>
      </c>
      <c r="E508" s="5">
        <f>1/(1+EXP(MIN(700,MAX(-700,(C508-Dashboard!$C$18)/Dashboard!$C$19))))</f>
        <v>3.1881353685947703E-2</v>
      </c>
      <c r="F508" s="5">
        <f t="shared" si="39"/>
        <v>2.3473373028749526E-2</v>
      </c>
      <c r="G508" s="8">
        <f>Dashboard!$C$9*B508*Dashboard!$C$11*(1-F508)</f>
        <v>66467.378992081285</v>
      </c>
      <c r="H508" s="8">
        <f>Dashboard!$C$20*A508^2</f>
        <v>204828.79999999996</v>
      </c>
      <c r="I508" s="8">
        <f t="shared" si="40"/>
        <v>271296.17899208126</v>
      </c>
      <c r="J508" s="8">
        <f>Dashboard!$C$13*A508</f>
        <v>101199.99999999999</v>
      </c>
      <c r="K508" s="8">
        <f>Dashboard!$C$14*A508</f>
        <v>151800</v>
      </c>
      <c r="L508" s="8">
        <f>Dashboard!$C$21-K508</f>
        <v>1348200</v>
      </c>
      <c r="M508" s="8">
        <f t="shared" si="41"/>
        <v>975703.8210079188</v>
      </c>
      <c r="N508" s="8">
        <f t="shared" si="42"/>
        <v>253000</v>
      </c>
      <c r="O508" s="8">
        <f>Dashboard!$C$15*(Dashboard!$C$16*EXP(-Dashboard!$C$16*A508)*E508-(1-EXP(-Dashboard!$C$16*A508))*Dashboard!$C$17/Dashboard!$C$19*E508*(1-E508))</f>
        <v>-2.928415853468605E-2</v>
      </c>
      <c r="P508" s="8">
        <f>Dashboard!$C$9*B508*Dashboard!$C$11*(-Dashboard!$C$12*(1-F508)-O508)+2*Dashboard!$C$20*A508</f>
        <v>59689.646426131447</v>
      </c>
      <c r="Q508" s="8">
        <f>-P508-Dashboard!$C$13-Dashboard!$C$14</f>
        <v>-109689.64642613145</v>
      </c>
    </row>
    <row r="509" spans="1:17" x14ac:dyDescent="0.25">
      <c r="A509" s="5">
        <f>(509-2)/100</f>
        <v>5.07</v>
      </c>
      <c r="B509" s="5">
        <f>Dashboard!$C$10*EXP(-Dashboard!$C$12*A509)</f>
        <v>3.3913642482636473E-2</v>
      </c>
      <c r="C509" s="5">
        <f>Dashboard!$C$17*A509</f>
        <v>4056</v>
      </c>
      <c r="D509" s="5">
        <f>Dashboard!$C$15*(1-EXP(-Dashboard!$C$16*A509))</f>
        <v>0.73659062458821478</v>
      </c>
      <c r="E509" s="5">
        <f>1/(1+EXP(MIN(700,MAX(-700,(C509-Dashboard!$C$18)/Dashboard!$C$19))))</f>
        <v>3.1472379948258133E-2</v>
      </c>
      <c r="F509" s="5">
        <f t="shared" si="39"/>
        <v>2.3182260003365065E-2</v>
      </c>
      <c r="G509" s="8">
        <f>Dashboard!$C$9*B509*Dashboard!$C$11*(1-F509)</f>
        <v>66254.895209885653</v>
      </c>
      <c r="H509" s="8">
        <f>Dashboard!$C$20*A509^2</f>
        <v>205639.2</v>
      </c>
      <c r="I509" s="8">
        <f t="shared" si="40"/>
        <v>271894.09520988568</v>
      </c>
      <c r="J509" s="8">
        <f>Dashboard!$C$13*A509</f>
        <v>101400</v>
      </c>
      <c r="K509" s="8">
        <f>Dashboard!$C$14*A509</f>
        <v>152100</v>
      </c>
      <c r="L509" s="8">
        <f>Dashboard!$C$21-K509</f>
        <v>1347900</v>
      </c>
      <c r="M509" s="8">
        <f t="shared" si="41"/>
        <v>974605.90479011438</v>
      </c>
      <c r="N509" s="8">
        <f t="shared" si="42"/>
        <v>253500</v>
      </c>
      <c r="O509" s="8">
        <f>Dashboard!$C$15*(Dashboard!$C$16*EXP(-Dashboard!$C$16*A509)*E509-(1-EXP(-Dashboard!$C$16*A509))*Dashboard!$C$17/Dashboard!$C$19*E509*(1-E509))</f>
        <v>-2.8939056833685747E-2</v>
      </c>
      <c r="P509" s="8">
        <f>Dashboard!$C$9*B509*Dashboard!$C$11*(-Dashboard!$C$12*(1-F509)-O509)+2*Dashboard!$C$20*A509</f>
        <v>59893.644331024654</v>
      </c>
      <c r="Q509" s="8">
        <f>-P509-Dashboard!$C$13-Dashboard!$C$14</f>
        <v>-109893.64433102465</v>
      </c>
    </row>
    <row r="510" spans="1:17" x14ac:dyDescent="0.25">
      <c r="A510" s="5">
        <f>(510-2)/100</f>
        <v>5.08</v>
      </c>
      <c r="B510" s="5">
        <f>Dashboard!$C$10*EXP(-Dashboard!$C$12*A510)</f>
        <v>3.379515221287812E-2</v>
      </c>
      <c r="C510" s="5">
        <f>Dashboard!$C$17*A510</f>
        <v>4064</v>
      </c>
      <c r="D510" s="5">
        <f>Dashboard!$C$15*(1-EXP(-Dashboard!$C$16*A510))</f>
        <v>0.73690688016746009</v>
      </c>
      <c r="E510" s="5">
        <f>1/(1+EXP(MIN(700,MAX(-700,(C510-Dashboard!$C$18)/Dashboard!$C$19))))</f>
        <v>3.1068484159667412E-2</v>
      </c>
      <c r="F510" s="5">
        <f t="shared" si="39"/>
        <v>2.2894579733632667E-2</v>
      </c>
      <c r="G510" s="8">
        <f>Dashboard!$C$9*B510*Dashboard!$C$11*(1-F510)</f>
        <v>66042.85281186027</v>
      </c>
      <c r="H510" s="8">
        <f>Dashboard!$C$20*A510^2</f>
        <v>206451.20000000001</v>
      </c>
      <c r="I510" s="8">
        <f t="shared" si="40"/>
        <v>272494.05281186028</v>
      </c>
      <c r="J510" s="8">
        <f>Dashboard!$C$13*A510</f>
        <v>101600</v>
      </c>
      <c r="K510" s="8">
        <f>Dashboard!$C$14*A510</f>
        <v>152400</v>
      </c>
      <c r="L510" s="8">
        <f>Dashboard!$C$21-K510</f>
        <v>1347600</v>
      </c>
      <c r="M510" s="8">
        <f t="shared" si="41"/>
        <v>973505.94718813966</v>
      </c>
      <c r="N510" s="8">
        <f t="shared" si="42"/>
        <v>254000</v>
      </c>
      <c r="O510" s="8">
        <f>Dashboard!$C$15*(Dashboard!$C$16*EXP(-Dashboard!$C$16*A510)*E510-(1-EXP(-Dashboard!$C$16*A510))*Dashboard!$C$17/Dashboard!$C$19*E510*(1-E510))</f>
        <v>-2.8597602664064106E-2</v>
      </c>
      <c r="P510" s="8">
        <f>Dashboard!$C$9*B510*Dashboard!$C$11*(-Dashboard!$C$12*(1-F510)-O510)+2*Dashboard!$C$20*A510</f>
        <v>60097.922185759817</v>
      </c>
      <c r="Q510" s="8">
        <f>-P510-Dashboard!$C$13-Dashboard!$C$14</f>
        <v>-110097.92218575982</v>
      </c>
    </row>
    <row r="511" spans="1:17" x14ac:dyDescent="0.25">
      <c r="A511" s="5">
        <f>(511-2)/100</f>
        <v>5.09</v>
      </c>
      <c r="B511" s="5">
        <f>Dashboard!$C$10*EXP(-Dashboard!$C$12*A511)</f>
        <v>3.3677075934156989E-2</v>
      </c>
      <c r="C511" s="5">
        <f>Dashboard!$C$17*A511</f>
        <v>4072</v>
      </c>
      <c r="D511" s="5">
        <f>Dashboard!$C$15*(1-EXP(-Dashboard!$C$16*A511))</f>
        <v>0.73722155841542347</v>
      </c>
      <c r="E511" s="5">
        <f>1/(1+EXP(MIN(700,MAX(-700,(C511-Dashboard!$C$18)/Dashboard!$C$19))))</f>
        <v>3.0669607566980145E-2</v>
      </c>
      <c r="F511" s="5">
        <f t="shared" si="39"/>
        <v>2.2610295886518566E-2</v>
      </c>
      <c r="G511" s="8">
        <f>Dashboard!$C$9*B511*Dashboard!$C$11*(1-F511)</f>
        <v>65831.254565385883</v>
      </c>
      <c r="H511" s="8">
        <f>Dashboard!$C$20*A511^2</f>
        <v>207264.8</v>
      </c>
      <c r="I511" s="8">
        <f t="shared" si="40"/>
        <v>273096.05456538586</v>
      </c>
      <c r="J511" s="8">
        <f>Dashboard!$C$13*A511</f>
        <v>101800</v>
      </c>
      <c r="K511" s="8">
        <f>Dashboard!$C$14*A511</f>
        <v>152700</v>
      </c>
      <c r="L511" s="8">
        <f>Dashboard!$C$21-K511</f>
        <v>1347300</v>
      </c>
      <c r="M511" s="8">
        <f t="shared" si="41"/>
        <v>972403.94543461408</v>
      </c>
      <c r="N511" s="8">
        <f t="shared" si="42"/>
        <v>254500</v>
      </c>
      <c r="O511" s="8">
        <f>Dashboard!$C$15*(Dashboard!$C$16*EXP(-Dashboard!$C$16*A511)*E511-(1-EXP(-Dashboard!$C$16*A511))*Dashboard!$C$17/Dashboard!$C$19*E511*(1-E511))</f>
        <v>-2.8259767562741536E-2</v>
      </c>
      <c r="P511" s="8">
        <f>Dashboard!$C$9*B511*Dashboard!$C$11*(-Dashboard!$C$12*(1-F511)-O511)+2*Dashboard!$C$20*A511</f>
        <v>60302.473578299083</v>
      </c>
      <c r="Q511" s="8">
        <f>-P511-Dashboard!$C$13-Dashboard!$C$14</f>
        <v>-110302.47357829908</v>
      </c>
    </row>
    <row r="512" spans="1:17" x14ac:dyDescent="0.25">
      <c r="A512" s="5">
        <f>(512-2)/100</f>
        <v>5.0999999999999996</v>
      </c>
      <c r="B512" s="5">
        <f>Dashboard!$C$10*EXP(-Dashboard!$C$12*A512)</f>
        <v>3.3559412200037185E-2</v>
      </c>
      <c r="C512" s="5">
        <f>Dashboard!$C$17*A512</f>
        <v>4079.9999999999995</v>
      </c>
      <c r="D512" s="5">
        <f>Dashboard!$C$15*(1-EXP(-Dashboard!$C$16*A512))</f>
        <v>0.73753466719907745</v>
      </c>
      <c r="E512" s="5">
        <f>1/(1+EXP(MIN(700,MAX(-700,(C512-Dashboard!$C$18)/Dashboard!$C$19))))</f>
        <v>3.0275691986950487E-2</v>
      </c>
      <c r="F512" s="5">
        <f t="shared" si="39"/>
        <v>2.2329372413817303E-2</v>
      </c>
      <c r="G512" s="8">
        <f>Dashboard!$C$9*B512*Dashboard!$C$11*(1-F512)</f>
        <v>65620.10317406751</v>
      </c>
      <c r="H512" s="8">
        <f>Dashboard!$C$20*A512^2</f>
        <v>208079.99999999997</v>
      </c>
      <c r="I512" s="8">
        <f t="shared" si="40"/>
        <v>273700.10317406745</v>
      </c>
      <c r="J512" s="8">
        <f>Dashboard!$C$13*A512</f>
        <v>102000</v>
      </c>
      <c r="K512" s="8">
        <f>Dashboard!$C$14*A512</f>
        <v>153000</v>
      </c>
      <c r="L512" s="8">
        <f>Dashboard!$C$21-K512</f>
        <v>1347000</v>
      </c>
      <c r="M512" s="8">
        <f t="shared" si="41"/>
        <v>971299.89682593243</v>
      </c>
      <c r="N512" s="8">
        <f t="shared" si="42"/>
        <v>255000</v>
      </c>
      <c r="O512" s="8">
        <f>Dashboard!$C$15*(Dashboard!$C$16*EXP(-Dashboard!$C$16*A512)*E512-(1-EXP(-Dashboard!$C$16*A512))*Dashboard!$C$17/Dashboard!$C$19*E512*(1-E512))</f>
        <v>-2.7925523028601341E-2</v>
      </c>
      <c r="P512" s="8">
        <f>Dashboard!$C$9*B512*Dashboard!$C$11*(-Dashboard!$C$12*(1-F512)-O512)+2*Dashboard!$C$20*A512</f>
        <v>60507.292165513296</v>
      </c>
      <c r="Q512" s="8">
        <f>-P512-Dashboard!$C$13-Dashboard!$C$14</f>
        <v>-110507.2921655133</v>
      </c>
    </row>
    <row r="513" spans="1:17" x14ac:dyDescent="0.25">
      <c r="A513" s="5">
        <f>(513-2)/100</f>
        <v>5.1100000000000003</v>
      </c>
      <c r="B513" s="5">
        <f>Dashboard!$C$10*EXP(-Dashboard!$C$12*A513)</f>
        <v>3.3442159569136494E-2</v>
      </c>
      <c r="C513" s="5">
        <f>Dashboard!$C$17*A513</f>
        <v>4088.0000000000005</v>
      </c>
      <c r="D513" s="5">
        <f>Dashboard!$C$15*(1-EXP(-Dashboard!$C$16*A513))</f>
        <v>0.73784621434615816</v>
      </c>
      <c r="E513" s="5">
        <f>1/(1+EXP(MIN(700,MAX(-700,(C513-Dashboard!$C$18)/Dashboard!$C$19))))</f>
        <v>2.9886679803636212E-2</v>
      </c>
      <c r="F513" s="5">
        <f t="shared" si="39"/>
        <v>2.205177355248876E-2</v>
      </c>
      <c r="G513" s="8">
        <f>Dashboard!$C$9*B513*Dashboard!$C$11*(1-F513)</f>
        <v>65409.4012784234</v>
      </c>
      <c r="H513" s="8">
        <f>Dashboard!$C$20*A513^2</f>
        <v>208896.80000000002</v>
      </c>
      <c r="I513" s="8">
        <f t="shared" si="40"/>
        <v>274306.20127842342</v>
      </c>
      <c r="J513" s="8">
        <f>Dashboard!$C$13*A513</f>
        <v>102200</v>
      </c>
      <c r="K513" s="8">
        <f>Dashboard!$C$14*A513</f>
        <v>153300</v>
      </c>
      <c r="L513" s="8">
        <f>Dashboard!$C$21-K513</f>
        <v>1346700</v>
      </c>
      <c r="M513" s="8">
        <f t="shared" si="41"/>
        <v>970193.79872157658</v>
      </c>
      <c r="N513" s="8">
        <f t="shared" si="42"/>
        <v>255500</v>
      </c>
      <c r="O513" s="8">
        <f>Dashboard!$C$15*(Dashboard!$C$16*EXP(-Dashboard!$C$16*A513)*E513-(1-EXP(-Dashboard!$C$16*A513))*Dashboard!$C$17/Dashboard!$C$19*E513*(1-E513))</f>
        <v>-2.7594840531087544E-2</v>
      </c>
      <c r="P513" s="8">
        <f>Dashboard!$C$9*B513*Dashboard!$C$11*(-Dashboard!$C$12*(1-F513)-O513)+2*Dashboard!$C$20*A513</f>
        <v>60712.371673202819</v>
      </c>
      <c r="Q513" s="8">
        <f>-P513-Dashboard!$C$13-Dashboard!$C$14</f>
        <v>-110712.37167320281</v>
      </c>
    </row>
    <row r="514" spans="1:17" x14ac:dyDescent="0.25">
      <c r="A514" s="5">
        <f>(514-2)/100</f>
        <v>5.12</v>
      </c>
      <c r="B514" s="5">
        <f>Dashboard!$C$10*EXP(-Dashboard!$C$12*A514)</f>
        <v>3.3325316605108742E-2</v>
      </c>
      <c r="C514" s="5">
        <f>Dashboard!$C$17*A514</f>
        <v>4096</v>
      </c>
      <c r="D514" s="5">
        <f>Dashboard!$C$15*(1-EXP(-Dashboard!$C$16*A514))</f>
        <v>0.73815620764536027</v>
      </c>
      <c r="E514" s="5">
        <f>1/(1+EXP(MIN(700,MAX(-700,(C514-Dashboard!$C$18)/Dashboard!$C$19))))</f>
        <v>2.9502513965680273E-2</v>
      </c>
      <c r="F514" s="5">
        <f t="shared" si="39"/>
        <v>2.1777463824910828E-2</v>
      </c>
      <c r="G514" s="8">
        <f>Dashboard!$C$9*B514*Dashboard!$C$11*(1-F514)</f>
        <v>65199.151456574567</v>
      </c>
      <c r="H514" s="8">
        <f>Dashboard!$C$20*A514^2</f>
        <v>209715.20000000001</v>
      </c>
      <c r="I514" s="8">
        <f t="shared" si="40"/>
        <v>274914.35145657457</v>
      </c>
      <c r="J514" s="8">
        <f>Dashboard!$C$13*A514</f>
        <v>102400</v>
      </c>
      <c r="K514" s="8">
        <f>Dashboard!$C$14*A514</f>
        <v>153600</v>
      </c>
      <c r="L514" s="8">
        <f>Dashboard!$C$21-K514</f>
        <v>1346400</v>
      </c>
      <c r="M514" s="8">
        <f t="shared" si="41"/>
        <v>969085.64854342537</v>
      </c>
      <c r="N514" s="8">
        <f t="shared" si="42"/>
        <v>256000</v>
      </c>
      <c r="O514" s="8">
        <f>Dashboard!$C$15*(Dashboard!$C$16*EXP(-Dashboard!$C$16*A514)*E514-(1-EXP(-Dashboard!$C$16*A514))*Dashboard!$C$17/Dashboard!$C$19*E514*(1-E514))</f>
        <v>-2.7267691518555709E-2</v>
      </c>
      <c r="P514" s="8">
        <f>Dashboard!$C$9*B514*Dashboard!$C$11*(-Dashboard!$C$12*(1-F514)-O514)+2*Dashboard!$C$20*A514</f>
        <v>60917.705896091516</v>
      </c>
      <c r="Q514" s="8">
        <f>-P514-Dashboard!$C$13-Dashboard!$C$14</f>
        <v>-110917.70589609152</v>
      </c>
    </row>
    <row r="515" spans="1:17" x14ac:dyDescent="0.25">
      <c r="A515" s="5">
        <f>(515-2)/100</f>
        <v>5.13</v>
      </c>
      <c r="B515" s="5">
        <f>Dashboard!$C$10*EXP(-Dashboard!$C$12*A515)</f>
        <v>3.3208881876626128E-2</v>
      </c>
      <c r="C515" s="5">
        <f>Dashboard!$C$17*A515</f>
        <v>4104</v>
      </c>
      <c r="D515" s="5">
        <f>Dashboard!$C$15*(1-EXP(-Dashboard!$C$16*A515))</f>
        <v>0.73846465484653245</v>
      </c>
      <c r="E515" s="5">
        <f>1/(1+EXP(MIN(700,MAX(-700,(C515-Dashboard!$C$18)/Dashboard!$C$19))))</f>
        <v>2.9123137983521633E-2</v>
      </c>
      <c r="F515" s="5">
        <f t="shared" si="39"/>
        <v>2.1506408039049241E-2</v>
      </c>
      <c r="G515" s="8">
        <f>Dashboard!$C$9*B515*Dashboard!$C$11*(1-F515)</f>
        <v>64989.356224933646</v>
      </c>
      <c r="H515" s="8">
        <f>Dashboard!$C$20*A515^2</f>
        <v>210535.2</v>
      </c>
      <c r="I515" s="8">
        <f t="shared" si="40"/>
        <v>275524.55622493365</v>
      </c>
      <c r="J515" s="8">
        <f>Dashboard!$C$13*A515</f>
        <v>102600</v>
      </c>
      <c r="K515" s="8">
        <f>Dashboard!$C$14*A515</f>
        <v>153900</v>
      </c>
      <c r="L515" s="8">
        <f>Dashboard!$C$21-K515</f>
        <v>1346100</v>
      </c>
      <c r="M515" s="8">
        <f t="shared" si="41"/>
        <v>967975.44377506641</v>
      </c>
      <c r="N515" s="8">
        <f t="shared" si="42"/>
        <v>256500</v>
      </c>
      <c r="O515" s="8">
        <f>Dashboard!$C$15*(Dashboard!$C$16*EXP(-Dashboard!$C$16*A515)*E515-(1-EXP(-Dashboard!$C$16*A515))*Dashboard!$C$17/Dashboard!$C$19*E515*(1-E515))</f>
        <v>-2.6944047426380086E-2</v>
      </c>
      <c r="P515" s="8">
        <f>Dashboard!$C$9*B515*Dashboard!$C$11*(-Dashboard!$C$12*(1-F515)-O515)+2*Dashboard!$C$20*A515</f>
        <v>61123.28869779496</v>
      </c>
      <c r="Q515" s="8">
        <f>-P515-Dashboard!$C$13-Dashboard!$C$14</f>
        <v>-111123.28869779495</v>
      </c>
    </row>
    <row r="516" spans="1:17" x14ac:dyDescent="0.25">
      <c r="A516" s="5">
        <f>(516-2)/100</f>
        <v>5.14</v>
      </c>
      <c r="B516" s="5">
        <f>Dashboard!$C$10*EXP(-Dashboard!$C$12*A516)</f>
        <v>3.3092853957361799E-2</v>
      </c>
      <c r="C516" s="5">
        <f>Dashboard!$C$17*A516</f>
        <v>4112</v>
      </c>
      <c r="D516" s="5">
        <f>Dashboard!$C$15*(1-EXP(-Dashboard!$C$16*A516))</f>
        <v>0.73877156366087082</v>
      </c>
      <c r="E516" s="5">
        <f>1/(1+EXP(MIN(700,MAX(-700,(C516-Dashboard!$C$18)/Dashboard!$C$19))))</f>
        <v>2.8748495926539969E-2</v>
      </c>
      <c r="F516" s="5">
        <f t="shared" si="39"/>
        <v>2.1238571288548107E-2</v>
      </c>
      <c r="G516" s="8">
        <f>Dashboard!$C$9*B516*Dashboard!$C$11*(1-F516)</f>
        <v>64780.01803889373</v>
      </c>
      <c r="H516" s="8">
        <f>Dashboard!$C$20*A516^2</f>
        <v>211356.79999999996</v>
      </c>
      <c r="I516" s="8">
        <f t="shared" si="40"/>
        <v>276136.81803889369</v>
      </c>
      <c r="J516" s="8">
        <f>Dashboard!$C$13*A516</f>
        <v>102800</v>
      </c>
      <c r="K516" s="8">
        <f>Dashboard!$C$14*A516</f>
        <v>154200</v>
      </c>
      <c r="L516" s="8">
        <f>Dashboard!$C$21-K516</f>
        <v>1345800</v>
      </c>
      <c r="M516" s="8">
        <f t="shared" si="41"/>
        <v>966863.18196110637</v>
      </c>
      <c r="N516" s="8">
        <f t="shared" si="42"/>
        <v>257000</v>
      </c>
      <c r="O516" s="8">
        <f>Dashboard!$C$15*(Dashboard!$C$16*EXP(-Dashboard!$C$16*A516)*E516-(1-EXP(-Dashboard!$C$16*A516))*Dashboard!$C$17/Dashboard!$C$19*E516*(1-E516))</f>
        <v>-2.6623879684823066E-2</v>
      </c>
      <c r="P516" s="8">
        <f>Dashboard!$C$9*B516*Dashboard!$C$11*(-Dashboard!$C$12*(1-F516)-O516)+2*Dashboard!$C$20*A516</f>
        <v>61329.114010763638</v>
      </c>
      <c r="Q516" s="8">
        <f>-P516-Dashboard!$C$13-Dashboard!$C$14</f>
        <v>-111329.11401076365</v>
      </c>
    </row>
    <row r="517" spans="1:17" x14ac:dyDescent="0.25">
      <c r="A517" s="5">
        <f>(517-2)/100</f>
        <v>5.15</v>
      </c>
      <c r="B517" s="5">
        <f>Dashboard!$C$10*EXP(-Dashboard!$C$12*A517)</f>
        <v>3.2977231425972267E-2</v>
      </c>
      <c r="C517" s="5">
        <f>Dashboard!$C$17*A517</f>
        <v>4120</v>
      </c>
      <c r="D517" s="5">
        <f>Dashboard!$C$15*(1-EXP(-Dashboard!$C$16*A517))</f>
        <v>0.73907694176111183</v>
      </c>
      <c r="E517" s="5">
        <f>1/(1+EXP(MIN(700,MAX(-700,(C517-Dashboard!$C$18)/Dashboard!$C$19))))</f>
        <v>2.8378532420135823E-2</v>
      </c>
      <c r="F517" s="5">
        <f t="shared" si="39"/>
        <v>2.0973918952742549E-2</v>
      </c>
      <c r="G517" s="8">
        <f>Dashboard!$C$9*B517*Dashboard!$C$11*(1-F517)</f>
        <v>64571.139293516171</v>
      </c>
      <c r="H517" s="8">
        <f>Dashboard!$C$20*A517^2</f>
        <v>212180.00000000003</v>
      </c>
      <c r="I517" s="8">
        <f t="shared" si="40"/>
        <v>276751.13929351617</v>
      </c>
      <c r="J517" s="8">
        <f>Dashboard!$C$13*A517</f>
        <v>103000</v>
      </c>
      <c r="K517" s="8">
        <f>Dashboard!$C$14*A517</f>
        <v>154500</v>
      </c>
      <c r="L517" s="8">
        <f>Dashboard!$C$21-K517</f>
        <v>1345500</v>
      </c>
      <c r="M517" s="8">
        <f t="shared" si="41"/>
        <v>965748.86070648395</v>
      </c>
      <c r="N517" s="8">
        <f t="shared" si="42"/>
        <v>257500</v>
      </c>
      <c r="O517" s="8">
        <f>Dashboard!$C$15*(Dashboard!$C$16*EXP(-Dashboard!$C$16*A517)*E517-(1-EXP(-Dashboard!$C$16*A517))*Dashboard!$C$17/Dashboard!$C$19*E517*(1-E517))</f>
        <v>-2.6307159726670068E-2</v>
      </c>
      <c r="P517" s="8">
        <f>Dashboard!$C$9*B517*Dashboard!$C$11*(-Dashboard!$C$12*(1-F517)-O517)+2*Dashboard!$C$20*A517</f>
        <v>61535.175836202179</v>
      </c>
      <c r="Q517" s="8">
        <f>-P517-Dashboard!$C$13-Dashboard!$C$14</f>
        <v>-111535.17583620218</v>
      </c>
    </row>
    <row r="518" spans="1:17" x14ac:dyDescent="0.25">
      <c r="A518" s="5">
        <f>(518-2)/100</f>
        <v>5.16</v>
      </c>
      <c r="B518" s="5">
        <f>Dashboard!$C$10*EXP(-Dashboard!$C$12*A518)</f>
        <v>3.2862012866080099E-2</v>
      </c>
      <c r="C518" s="5">
        <f>Dashboard!$C$17*A518</f>
        <v>4128</v>
      </c>
      <c r="D518" s="5">
        <f>Dashboard!$C$15*(1-EXP(-Dashboard!$C$16*A518))</f>
        <v>0.73938079678172364</v>
      </c>
      <c r="E518" s="5">
        <f>1/(1+EXP(MIN(700,MAX(-700,(C518-Dashboard!$C$18)/Dashboard!$C$19))))</f>
        <v>2.8013192642749731E-2</v>
      </c>
      <c r="F518" s="5">
        <f t="shared" si="39"/>
        <v>2.0712416696596216E-2</v>
      </c>
      <c r="G518" s="8">
        <f>Dashboard!$C$9*B518*Dashboard!$C$11*(1-F518)</f>
        <v>64362.722324217888</v>
      </c>
      <c r="H518" s="8">
        <f>Dashboard!$C$20*A518^2</f>
        <v>213004.80000000002</v>
      </c>
      <c r="I518" s="8">
        <f t="shared" si="40"/>
        <v>277367.52232421789</v>
      </c>
      <c r="J518" s="8">
        <f>Dashboard!$C$13*A518</f>
        <v>103200</v>
      </c>
      <c r="K518" s="8">
        <f>Dashboard!$C$14*A518</f>
        <v>154800</v>
      </c>
      <c r="L518" s="8">
        <f>Dashboard!$C$21-K518</f>
        <v>1345200</v>
      </c>
      <c r="M518" s="8">
        <f t="shared" si="41"/>
        <v>964632.47767578205</v>
      </c>
      <c r="N518" s="8">
        <f t="shared" si="42"/>
        <v>258000</v>
      </c>
      <c r="O518" s="8">
        <f>Dashboard!$C$15*(Dashboard!$C$16*EXP(-Dashboard!$C$16*A518)*E518-(1-EXP(-Dashboard!$C$16*A518))*Dashboard!$C$17/Dashboard!$C$19*E518*(1-E518))</f>
        <v>-2.5993858994634956E-2</v>
      </c>
      <c r="P518" s="8">
        <f>Dashboard!$C$9*B518*Dashboard!$C$11*(-Dashboard!$C$12*(1-F518)-O518)+2*Dashboard!$C$20*A518</f>
        <v>61741.468243965275</v>
      </c>
      <c r="Q518" s="8">
        <f>-P518-Dashboard!$C$13-Dashboard!$C$14</f>
        <v>-111741.46824396527</v>
      </c>
    </row>
    <row r="519" spans="1:17" x14ac:dyDescent="0.25">
      <c r="A519" s="5">
        <f>(519-2)/100</f>
        <v>5.17</v>
      </c>
      <c r="B519" s="5">
        <f>Dashboard!$C$10*EXP(-Dashboard!$C$12*A519)</f>
        <v>3.2747196866256482E-2</v>
      </c>
      <c r="C519" s="5">
        <f>Dashboard!$C$17*A519</f>
        <v>4136</v>
      </c>
      <c r="D519" s="5">
        <f>Dashboard!$C$15*(1-EXP(-Dashboard!$C$16*A519))</f>
        <v>0.73968313631909788</v>
      </c>
      <c r="E519" s="5">
        <f>1/(1+EXP(MIN(700,MAX(-700,(C519-Dashboard!$C$18)/Dashboard!$C$19))))</f>
        <v>2.7652422322823136E-2</v>
      </c>
      <c r="F519" s="5">
        <f t="shared" si="39"/>
        <v>2.0454030470566049E-2</v>
      </c>
      <c r="G519" s="8">
        <f>Dashboard!$C$9*B519*Dashboard!$C$11*(1-F519)</f>
        <v>64154.769407456894</v>
      </c>
      <c r="H519" s="8">
        <f>Dashboard!$C$20*A519^2</f>
        <v>213831.19999999998</v>
      </c>
      <c r="I519" s="8">
        <f t="shared" si="40"/>
        <v>277985.96940745687</v>
      </c>
      <c r="J519" s="8">
        <f>Dashboard!$C$13*A519</f>
        <v>103400</v>
      </c>
      <c r="K519" s="8">
        <f>Dashboard!$C$14*A519</f>
        <v>155100</v>
      </c>
      <c r="L519" s="8">
        <f>Dashboard!$C$21-K519</f>
        <v>1344900</v>
      </c>
      <c r="M519" s="8">
        <f t="shared" si="41"/>
        <v>963514.03059254307</v>
      </c>
      <c r="N519" s="8">
        <f t="shared" si="42"/>
        <v>258500</v>
      </c>
      <c r="O519" s="8">
        <f>Dashboard!$C$15*(Dashboard!$C$16*EXP(-Dashboard!$C$16*A519)*E519-(1-EXP(-Dashboard!$C$16*A519))*Dashboard!$C$17/Dashboard!$C$19*E519*(1-E519))</f>
        <v>-2.5683948948540525E-2</v>
      </c>
      <c r="P519" s="8">
        <f>Dashboard!$C$9*B519*Dashboard!$C$11*(-Dashboard!$C$12*(1-F519)-O519)+2*Dashboard!$C$20*A519</f>
        <v>61947.985372431562</v>
      </c>
      <c r="Q519" s="8">
        <f>-P519-Dashboard!$C$13-Dashboard!$C$14</f>
        <v>-111947.98537243156</v>
      </c>
    </row>
    <row r="520" spans="1:17" x14ac:dyDescent="0.25">
      <c r="A520" s="5">
        <f>(520-2)/100</f>
        <v>5.18</v>
      </c>
      <c r="B520" s="5">
        <f>Dashboard!$C$10*EXP(-Dashboard!$C$12*A520)</f>
        <v>3.2632782020003998E-2</v>
      </c>
      <c r="C520" s="5">
        <f>Dashboard!$C$17*A520</f>
        <v>4144</v>
      </c>
      <c r="D520" s="5">
        <f>Dashboard!$C$15*(1-EXP(-Dashboard!$C$16*A520))</f>
        <v>0.73998396793173848</v>
      </c>
      <c r="E520" s="5">
        <f>1/(1+EXP(MIN(700,MAX(-700,(C520-Dashboard!$C$18)/Dashboard!$C$19))))</f>
        <v>2.7296167735703359E-2</v>
      </c>
      <c r="F520" s="5">
        <f t="shared" si="39"/>
        <v>2.0198726510396069E-2</v>
      </c>
      <c r="G520" s="8">
        <f>Dashboard!$C$9*B520*Dashboard!$C$11*(1-F520)</f>
        <v>63947.282761417126</v>
      </c>
      <c r="H520" s="8">
        <f>Dashboard!$C$20*A520^2</f>
        <v>214659.19999999998</v>
      </c>
      <c r="I520" s="8">
        <f t="shared" si="40"/>
        <v>278606.48276141711</v>
      </c>
      <c r="J520" s="8">
        <f>Dashboard!$C$13*A520</f>
        <v>103600</v>
      </c>
      <c r="K520" s="8">
        <f>Dashboard!$C$14*A520</f>
        <v>155400</v>
      </c>
      <c r="L520" s="8">
        <f>Dashboard!$C$21-K520</f>
        <v>1344600</v>
      </c>
      <c r="M520" s="8">
        <f t="shared" si="41"/>
        <v>962393.51723858295</v>
      </c>
      <c r="N520" s="8">
        <f t="shared" si="42"/>
        <v>259000</v>
      </c>
      <c r="O520" s="8">
        <f>Dashboard!$C$15*(Dashboard!$C$16*EXP(-Dashboard!$C$16*A520)*E520-(1-EXP(-Dashboard!$C$16*A520))*Dashboard!$C$17/Dashboard!$C$19*E520*(1-E520))</f>
        <v>-2.5377401072277619E-2</v>
      </c>
      <c r="P520" s="8">
        <f>Dashboard!$C$9*B520*Dashboard!$C$11*(-Dashboard!$C$12*(1-F520)-O520)+2*Dashboard!$C$20*A520</f>
        <v>62154.721428355711</v>
      </c>
      <c r="Q520" s="8">
        <f>-P520-Dashboard!$C$13-Dashboard!$C$14</f>
        <v>-112154.72142835571</v>
      </c>
    </row>
    <row r="521" spans="1:17" x14ac:dyDescent="0.25">
      <c r="A521" s="5">
        <f>(521-2)/100</f>
        <v>5.19</v>
      </c>
      <c r="B521" s="5">
        <f>Dashboard!$C$10*EXP(-Dashboard!$C$12*A521)</f>
        <v>3.2518766925739323E-2</v>
      </c>
      <c r="C521" s="5">
        <f>Dashboard!$C$17*A521</f>
        <v>4152</v>
      </c>
      <c r="D521" s="5">
        <f>Dashboard!$C$15*(1-EXP(-Dashboard!$C$16*A521))</f>
        <v>0.74028329914045166</v>
      </c>
      <c r="E521" s="5">
        <f>1/(1+EXP(MIN(700,MAX(-700,(C521-Dashboard!$C$18)/Dashboard!$C$19))))</f>
        <v>2.6944375700495838E-2</v>
      </c>
      <c r="F521" s="5">
        <f t="shared" si="39"/>
        <v>1.9946471336842877E-2</v>
      </c>
      <c r="G521" s="8">
        <f>Dashboard!$C$9*B521*Dashboard!$C$11*(1-F521)</f>
        <v>63740.264546691178</v>
      </c>
      <c r="H521" s="8">
        <f>Dashboard!$C$20*A521^2</f>
        <v>215488.80000000002</v>
      </c>
      <c r="I521" s="8">
        <f t="shared" si="40"/>
        <v>279229.0645466912</v>
      </c>
      <c r="J521" s="8">
        <f>Dashboard!$C$13*A521</f>
        <v>103800.00000000001</v>
      </c>
      <c r="K521" s="8">
        <f>Dashboard!$C$14*A521</f>
        <v>155700</v>
      </c>
      <c r="L521" s="8">
        <f>Dashboard!$C$21-K521</f>
        <v>1344300</v>
      </c>
      <c r="M521" s="8">
        <f t="shared" si="41"/>
        <v>961270.93545330875</v>
      </c>
      <c r="N521" s="8">
        <f t="shared" si="42"/>
        <v>259500</v>
      </c>
      <c r="O521" s="8">
        <f>Dashboard!$C$15*(Dashboard!$C$16*EXP(-Dashboard!$C$16*A521)*E521-(1-EXP(-Dashboard!$C$16*A521))*Dashboard!$C$17/Dashboard!$C$19*E521*(1-E521))</f>
        <v>-2.5074186880548185E-2</v>
      </c>
      <c r="P521" s="8">
        <f>Dashboard!$C$9*B521*Dashboard!$C$11*(-Dashboard!$C$12*(1-F521)-O521)+2*Dashboard!$C$20*A521</f>
        <v>62361.670686700047</v>
      </c>
      <c r="Q521" s="8">
        <f>-P521-Dashboard!$C$13-Dashboard!$C$14</f>
        <v>-112361.67068670005</v>
      </c>
    </row>
    <row r="522" spans="1:17" x14ac:dyDescent="0.25">
      <c r="A522" s="5">
        <f>(522-2)/100</f>
        <v>5.2</v>
      </c>
      <c r="B522" s="5">
        <f>Dashboard!$C$10*EXP(-Dashboard!$C$12*A522)</f>
        <v>3.2405150186776165E-2</v>
      </c>
      <c r="C522" s="5">
        <f>Dashboard!$C$17*A522</f>
        <v>4160</v>
      </c>
      <c r="D522" s="5">
        <f>Dashboard!$C$15*(1-EXP(-Dashboard!$C$16*A522))</f>
        <v>0.74058113742853293</v>
      </c>
      <c r="E522" s="5">
        <f>1/(1+EXP(MIN(700,MAX(-700,(C522-Dashboard!$C$18)/Dashboard!$C$19))))</f>
        <v>2.6596993576865856E-2</v>
      </c>
      <c r="F522" s="5">
        <f t="shared" si="39"/>
        <v>1.96972317553347E-2</v>
      </c>
      <c r="G522" s="8">
        <f>Dashboard!$C$9*B522*Dashboard!$C$11*(1-F522)</f>
        <v>63533.716866961615</v>
      </c>
      <c r="H522" s="8">
        <f>Dashboard!$C$20*A522^2</f>
        <v>216320.00000000003</v>
      </c>
      <c r="I522" s="8">
        <f t="shared" si="40"/>
        <v>279853.71686696162</v>
      </c>
      <c r="J522" s="8">
        <f>Dashboard!$C$13*A522</f>
        <v>104000</v>
      </c>
      <c r="K522" s="8">
        <f>Dashboard!$C$14*A522</f>
        <v>156000</v>
      </c>
      <c r="L522" s="8">
        <f>Dashboard!$C$21-K522</f>
        <v>1344000</v>
      </c>
      <c r="M522" s="8">
        <f t="shared" si="41"/>
        <v>960146.28313303832</v>
      </c>
      <c r="N522" s="8">
        <f t="shared" si="42"/>
        <v>260000</v>
      </c>
      <c r="O522" s="8">
        <f>Dashboard!$C$15*(Dashboard!$C$16*EXP(-Dashboard!$C$16*A522)*E522-(1-EXP(-Dashboard!$C$16*A522))*Dashboard!$C$17/Dashboard!$C$19*E522*(1-E522))</f>
        <v>-2.4774277925395709E-2</v>
      </c>
      <c r="P522" s="8">
        <f>Dashboard!$C$9*B522*Dashboard!$C$11*(-Dashboard!$C$12*(1-F522)-O522)+2*Dashboard!$C$20*A522</f>
        <v>62568.827490446201</v>
      </c>
      <c r="Q522" s="8">
        <f>-P522-Dashboard!$C$13-Dashboard!$C$14</f>
        <v>-112568.8274904462</v>
      </c>
    </row>
    <row r="523" spans="1:17" x14ac:dyDescent="0.25">
      <c r="A523" s="5">
        <f>(523-2)/100</f>
        <v>5.21</v>
      </c>
      <c r="B523" s="5">
        <f>Dashboard!$C$10*EXP(-Dashboard!$C$12*A523)</f>
        <v>3.2291930411308005E-2</v>
      </c>
      <c r="C523" s="5">
        <f>Dashboard!$C$17*A523</f>
        <v>4168</v>
      </c>
      <c r="D523" s="5">
        <f>Dashboard!$C$15*(1-EXP(-Dashboard!$C$16*A523))</f>
        <v>0.74087749024195526</v>
      </c>
      <c r="E523" s="5">
        <f>1/(1+EXP(MIN(700,MAX(-700,(C523-Dashboard!$C$18)/Dashboard!$C$19))))</f>
        <v>2.6253969261792423E-2</v>
      </c>
      <c r="F523" s="5">
        <f t="shared" si="39"/>
        <v>1.9450974855566211E-2</v>
      </c>
      <c r="G523" s="8">
        <f>Dashboard!$C$9*B523*Dashboard!$C$11*(1-F523)</f>
        <v>63327.641769679918</v>
      </c>
      <c r="H523" s="8">
        <f>Dashboard!$C$20*A523^2</f>
        <v>217152.8</v>
      </c>
      <c r="I523" s="8">
        <f t="shared" si="40"/>
        <v>280480.44176967989</v>
      </c>
      <c r="J523" s="8">
        <f>Dashboard!$C$13*A523</f>
        <v>104200</v>
      </c>
      <c r="K523" s="8">
        <f>Dashboard!$C$14*A523</f>
        <v>156300</v>
      </c>
      <c r="L523" s="8">
        <f>Dashboard!$C$21-K523</f>
        <v>1343700</v>
      </c>
      <c r="M523" s="8">
        <f t="shared" si="41"/>
        <v>959019.55823031999</v>
      </c>
      <c r="N523" s="8">
        <f t="shared" si="42"/>
        <v>260500</v>
      </c>
      <c r="O523" s="8">
        <f>Dashboard!$C$15*(Dashboard!$C$16*EXP(-Dashboard!$C$16*A523)*E523-(1-EXP(-Dashboard!$C$16*A523))*Dashboard!$C$17/Dashboard!$C$19*E523*(1-E523))</f>
        <v>-2.4477645802527835E-2</v>
      </c>
      <c r="P523" s="8">
        <f>Dashboard!$C$9*B523*Dashboard!$C$11*(-Dashboard!$C$12*(1-F523)-O523)+2*Dashboard!$C$20*A523</f>
        <v>62776.186250387778</v>
      </c>
      <c r="Q523" s="8">
        <f>-P523-Dashboard!$C$13-Dashboard!$C$14</f>
        <v>-112776.18625038778</v>
      </c>
    </row>
    <row r="524" spans="1:17" x14ac:dyDescent="0.25">
      <c r="A524" s="5">
        <f>(524-2)/100</f>
        <v>5.22</v>
      </c>
      <c r="B524" s="5">
        <f>Dashboard!$C$10*EXP(-Dashboard!$C$12*A524)</f>
        <v>3.2179106212391222E-2</v>
      </c>
      <c r="C524" s="5">
        <f>Dashboard!$C$17*A524</f>
        <v>4176</v>
      </c>
      <c r="D524" s="5">
        <f>Dashboard!$C$15*(1-EXP(-Dashboard!$C$16*A524))</f>
        <v>0.7411723649895543</v>
      </c>
      <c r="E524" s="5">
        <f>1/(1+EXP(MIN(700,MAX(-700,(C524-Dashboard!$C$18)/Dashboard!$C$19))))</f>
        <v>2.5915251186276744E-2</v>
      </c>
      <c r="F524" s="5">
        <f t="shared" si="39"/>
        <v>1.9207668011031086E-2</v>
      </c>
      <c r="G524" s="8">
        <f>Dashboard!$C$9*B524*Dashboard!$C$11*(1-F524)</f>
        <v>63122.041246743807</v>
      </c>
      <c r="H524" s="8">
        <f>Dashboard!$C$20*A524^2</f>
        <v>217987.19999999998</v>
      </c>
      <c r="I524" s="8">
        <f t="shared" si="40"/>
        <v>281109.24124674377</v>
      </c>
      <c r="J524" s="8">
        <f>Dashboard!$C$13*A524</f>
        <v>104400</v>
      </c>
      <c r="K524" s="8">
        <f>Dashboard!$C$14*A524</f>
        <v>156600</v>
      </c>
      <c r="L524" s="8">
        <f>Dashboard!$C$21-K524</f>
        <v>1343400</v>
      </c>
      <c r="M524" s="8">
        <f t="shared" si="41"/>
        <v>957890.75875325617</v>
      </c>
      <c r="N524" s="8">
        <f t="shared" si="42"/>
        <v>261000</v>
      </c>
      <c r="O524" s="8">
        <f>Dashboard!$C$15*(Dashboard!$C$16*EXP(-Dashboard!$C$16*A524)*E524-(1-EXP(-Dashboard!$C$16*A524))*Dashboard!$C$17/Dashboard!$C$19*E524*(1-E524))</f>
        <v>-2.4184262157434983E-2</v>
      </c>
      <c r="P524" s="8">
        <f>Dashboard!$C$9*B524*Dashboard!$C$11*(-Dashboard!$C$12*(1-F524)-O524)+2*Dashboard!$C$20*A524</f>
        <v>62983.741444904495</v>
      </c>
      <c r="Q524" s="8">
        <f>-P524-Dashboard!$C$13-Dashboard!$C$14</f>
        <v>-112983.7414449045</v>
      </c>
    </row>
    <row r="525" spans="1:17" x14ac:dyDescent="0.25">
      <c r="A525" s="5">
        <f>(525-2)/100</f>
        <v>5.23</v>
      </c>
      <c r="B525" s="5">
        <f>Dashboard!$C$10*EXP(-Dashboard!$C$12*A525)</f>
        <v>3.2066676207927927E-2</v>
      </c>
      <c r="C525" s="5">
        <f>Dashboard!$C$17*A525</f>
        <v>4184</v>
      </c>
      <c r="D525" s="5">
        <f>Dashboard!$C$15*(1-EXP(-Dashboard!$C$16*A525))</f>
        <v>0.74146576904321426</v>
      </c>
      <c r="E525" s="5">
        <f>1/(1+EXP(MIN(700,MAX(-700,(C525-Dashboard!$C$18)/Dashboard!$C$19))))</f>
        <v>2.5580788312007684E-2</v>
      </c>
      <c r="F525" s="5">
        <f t="shared" si="39"/>
        <v>1.8967278878494444E-2</v>
      </c>
      <c r="G525" s="8">
        <f>Dashboard!$C$9*B525*Dashboard!$C$11*(1-F525)</f>
        <v>62916.917235171546</v>
      </c>
      <c r="H525" s="8">
        <f>Dashboard!$C$20*A525^2</f>
        <v>218823.20000000004</v>
      </c>
      <c r="I525" s="8">
        <f t="shared" si="40"/>
        <v>281740.11723517161</v>
      </c>
      <c r="J525" s="8">
        <f>Dashboard!$C$13*A525</f>
        <v>104600.00000000001</v>
      </c>
      <c r="K525" s="8">
        <f>Dashboard!$C$14*A525</f>
        <v>156900</v>
      </c>
      <c r="L525" s="8">
        <f>Dashboard!$C$21-K525</f>
        <v>1343100</v>
      </c>
      <c r="M525" s="8">
        <f t="shared" si="41"/>
        <v>956759.88276482839</v>
      </c>
      <c r="N525" s="8">
        <f t="shared" si="42"/>
        <v>261500</v>
      </c>
      <c r="O525" s="8">
        <f>Dashboard!$C$15*(Dashboard!$C$16*EXP(-Dashboard!$C$16*A525)*E525-(1-EXP(-Dashboard!$C$16*A525))*Dashboard!$C$17/Dashboard!$C$19*E525*(1-E525))</f>
        <v>-2.3894098691309294E-2</v>
      </c>
      <c r="P525" s="8">
        <f>Dashboard!$C$9*B525*Dashboard!$C$11*(-Dashboard!$C$12*(1-F525)-O525)+2*Dashboard!$C$20*A525</f>
        <v>63191.487619718944</v>
      </c>
      <c r="Q525" s="8">
        <f>-P525-Dashboard!$C$13-Dashboard!$C$14</f>
        <v>-113191.48761971894</v>
      </c>
    </row>
    <row r="526" spans="1:17" x14ac:dyDescent="0.25">
      <c r="A526" s="5">
        <f>(526-2)/100</f>
        <v>5.24</v>
      </c>
      <c r="B526" s="5">
        <f>Dashboard!$C$10*EXP(-Dashboard!$C$12*A526)</f>
        <v>3.1954639020649191E-2</v>
      </c>
      <c r="C526" s="5">
        <f>Dashboard!$C$17*A526</f>
        <v>4192</v>
      </c>
      <c r="D526" s="5">
        <f>Dashboard!$C$15*(1-EXP(-Dashboard!$C$16*A526))</f>
        <v>0.74175770973805166</v>
      </c>
      <c r="E526" s="5">
        <f>1/(1+EXP(MIN(700,MAX(-700,(C526-Dashboard!$C$18)/Dashboard!$C$19))))</f>
        <v>2.5250530127986667E-2</v>
      </c>
      <c r="F526" s="5">
        <f t="shared" si="39"/>
        <v>1.8729775397407063E-2</v>
      </c>
      <c r="G526" s="8">
        <f>Dashboard!$C$9*B526*Dashboard!$C$11*(1-F526)</f>
        <v>62712.271617774422</v>
      </c>
      <c r="H526" s="8">
        <f>Dashboard!$C$20*A526^2</f>
        <v>219660.80000000002</v>
      </c>
      <c r="I526" s="8">
        <f t="shared" si="40"/>
        <v>282373.07161777443</v>
      </c>
      <c r="J526" s="8">
        <f>Dashboard!$C$13*A526</f>
        <v>104800</v>
      </c>
      <c r="K526" s="8">
        <f>Dashboard!$C$14*A526</f>
        <v>157200</v>
      </c>
      <c r="L526" s="8">
        <f>Dashboard!$C$21-K526</f>
        <v>1342800</v>
      </c>
      <c r="M526" s="8">
        <f t="shared" si="41"/>
        <v>955626.92838222557</v>
      </c>
      <c r="N526" s="8">
        <f t="shared" si="42"/>
        <v>262000</v>
      </c>
      <c r="O526" s="8">
        <f>Dashboard!$C$15*(Dashboard!$C$16*EXP(-Dashboard!$C$16*A526)*E526-(1-EXP(-Dashboard!$C$16*A526))*Dashboard!$C$17/Dashboard!$C$19*E526*(1-E526))</f>
        <v>-2.3607127166768077E-2</v>
      </c>
      <c r="P526" s="8">
        <f>Dashboard!$C$9*B526*Dashboard!$C$11*(-Dashboard!$C$12*(1-F526)-O526)+2*Dashboard!$C$20*A526</f>
        <v>63399.419387636226</v>
      </c>
      <c r="Q526" s="8">
        <f>-P526-Dashboard!$C$13-Dashboard!$C$14</f>
        <v>-113399.41938763623</v>
      </c>
    </row>
    <row r="527" spans="1:17" x14ac:dyDescent="0.25">
      <c r="A527" s="5">
        <f>(527-2)/100</f>
        <v>5.25</v>
      </c>
      <c r="B527" s="5">
        <f>Dashboard!$C$10*EXP(-Dashboard!$C$12*A527)</f>
        <v>3.1842993278098052E-2</v>
      </c>
      <c r="C527" s="5">
        <f>Dashboard!$C$17*A527</f>
        <v>4200</v>
      </c>
      <c r="D527" s="5">
        <f>Dashboard!$C$15*(1-EXP(-Dashboard!$C$16*A527))</f>
        <v>0.74204819437259895</v>
      </c>
      <c r="E527" s="5">
        <f>1/(1+EXP(MIN(700,MAX(-700,(C527-Dashboard!$C$18)/Dashboard!$C$19))))</f>
        <v>2.4924426647114039E-2</v>
      </c>
      <c r="F527" s="5">
        <f t="shared" si="39"/>
        <v>1.8495125789263264E-2</v>
      </c>
      <c r="G527" s="8">
        <f>Dashboard!$C$9*B527*Dashboard!$C$11*(1-F527)</f>
        <v>62508.106223825926</v>
      </c>
      <c r="H527" s="8">
        <f>Dashboard!$C$20*A527^2</f>
        <v>220500</v>
      </c>
      <c r="I527" s="8">
        <f t="shared" si="40"/>
        <v>283008.10622382595</v>
      </c>
      <c r="J527" s="8">
        <f>Dashboard!$C$13*A527</f>
        <v>105000</v>
      </c>
      <c r="K527" s="8">
        <f>Dashboard!$C$14*A527</f>
        <v>157500</v>
      </c>
      <c r="L527" s="8">
        <f>Dashboard!$C$21-K527</f>
        <v>1342500</v>
      </c>
      <c r="M527" s="8">
        <f t="shared" si="41"/>
        <v>954491.89377617417</v>
      </c>
      <c r="N527" s="8">
        <f t="shared" si="42"/>
        <v>262500</v>
      </c>
      <c r="O527" s="8">
        <f>Dashboard!$C$15*(Dashboard!$C$16*EXP(-Dashboard!$C$16*A527)*E527-(1-EXP(-Dashboard!$C$16*A527))*Dashboard!$C$17/Dashboard!$C$19*E527*(1-E527))</f>
        <v>-2.3323319413385508E-2</v>
      </c>
      <c r="P527" s="8">
        <f>Dashboard!$C$9*B527*Dashboard!$C$11*(-Dashboard!$C$12*(1-F527)-O527)+2*Dashboard!$C$20*A527</f>
        <v>63607.531428267663</v>
      </c>
      <c r="Q527" s="8">
        <f>-P527-Dashboard!$C$13-Dashboard!$C$14</f>
        <v>-113607.53142826766</v>
      </c>
    </row>
    <row r="528" spans="1:17" x14ac:dyDescent="0.25">
      <c r="A528" s="5">
        <f>(528-2)/100</f>
        <v>5.26</v>
      </c>
      <c r="B528" s="5">
        <f>Dashboard!$C$10*EXP(-Dashboard!$C$12*A528)</f>
        <v>3.1731737612612783E-2</v>
      </c>
      <c r="C528" s="5">
        <f>Dashboard!$C$17*A528</f>
        <v>4208</v>
      </c>
      <c r="D528" s="5">
        <f>Dashboard!$C$15*(1-EXP(-Dashboard!$C$16*A528))</f>
        <v>0.74233723020898712</v>
      </c>
      <c r="E528" s="5">
        <f>1/(1+EXP(MIN(700,MAX(-700,(C528-Dashboard!$C$18)/Dashboard!$C$19))))</f>
        <v>2.4602428402739435E-2</v>
      </c>
      <c r="F528" s="5">
        <f t="shared" si="39"/>
        <v>1.8263298556904506E-2</v>
      </c>
      <c r="G528" s="8">
        <f>Dashboard!$C$9*B528*Dashboard!$C$11*(1-F528)</f>
        <v>62304.422829728559</v>
      </c>
      <c r="H528" s="8">
        <f>Dashboard!$C$20*A528^2</f>
        <v>221340.79999999996</v>
      </c>
      <c r="I528" s="8">
        <f t="shared" si="40"/>
        <v>283645.2228297285</v>
      </c>
      <c r="J528" s="8">
        <f>Dashboard!$C$13*A528</f>
        <v>105200</v>
      </c>
      <c r="K528" s="8">
        <f>Dashboard!$C$14*A528</f>
        <v>157800</v>
      </c>
      <c r="L528" s="8">
        <f>Dashboard!$C$21-K528</f>
        <v>1342200</v>
      </c>
      <c r="M528" s="8">
        <f t="shared" si="41"/>
        <v>953354.77717027161</v>
      </c>
      <c r="N528" s="8">
        <f t="shared" si="42"/>
        <v>263000</v>
      </c>
      <c r="O528" s="8">
        <f>Dashboard!$C$15*(Dashboard!$C$16*EXP(-Dashboard!$C$16*A528)*E528-(1-EXP(-Dashboard!$C$16*A528))*Dashboard!$C$17/Dashboard!$C$19*E528*(1-E528))</f>
        <v>-2.3042647333037028E-2</v>
      </c>
      <c r="P528" s="8">
        <f>Dashboard!$C$9*B528*Dashboard!$C$11*(-Dashboard!$C$12*(1-F528)-O528)+2*Dashboard!$C$20*A528</f>
        <v>63815.818487738812</v>
      </c>
      <c r="Q528" s="8">
        <f>-P528-Dashboard!$C$13-Dashboard!$C$14</f>
        <v>-113815.81848773881</v>
      </c>
    </row>
    <row r="529" spans="1:17" x14ac:dyDescent="0.25">
      <c r="A529" s="5">
        <f>(529-2)/100</f>
        <v>5.27</v>
      </c>
      <c r="B529" s="5">
        <f>Dashboard!$C$10*EXP(-Dashboard!$C$12*A529)</f>
        <v>3.1620870661310078E-2</v>
      </c>
      <c r="C529" s="5">
        <f>Dashboard!$C$17*A529</f>
        <v>4216</v>
      </c>
      <c r="D529" s="5">
        <f>Dashboard!$C$15*(1-EXP(-Dashboard!$C$16*A529))</f>
        <v>0.74262482447312739</v>
      </c>
      <c r="E529" s="5">
        <f>1/(1+EXP(MIN(700,MAX(-700,(C529-Dashboard!$C$18)/Dashboard!$C$19))))</f>
        <v>2.4284486445178121E-2</v>
      </c>
      <c r="F529" s="5">
        <f t="shared" si="39"/>
        <v>1.8034262483770443E-2</v>
      </c>
      <c r="G529" s="8">
        <f>Dashboard!$C$9*B529*Dashboard!$C$11*(1-F529)</f>
        <v>62101.223159677313</v>
      </c>
      <c r="H529" s="8">
        <f>Dashboard!$C$20*A529^2</f>
        <v>222183.19999999998</v>
      </c>
      <c r="I529" s="8">
        <f t="shared" si="40"/>
        <v>284284.4231596773</v>
      </c>
      <c r="J529" s="8">
        <f>Dashboard!$C$13*A529</f>
        <v>105399.99999999999</v>
      </c>
      <c r="K529" s="8">
        <f>Dashboard!$C$14*A529</f>
        <v>158100</v>
      </c>
      <c r="L529" s="8">
        <f>Dashboard!$C$21-K529</f>
        <v>1341900</v>
      </c>
      <c r="M529" s="8">
        <f t="shared" si="41"/>
        <v>952215.5768403227</v>
      </c>
      <c r="N529" s="8">
        <f t="shared" si="42"/>
        <v>263500</v>
      </c>
      <c r="O529" s="8">
        <f>Dashboard!$C$15*(Dashboard!$C$16*EXP(-Dashboard!$C$16*A529)*E529-(1-EXP(-Dashboard!$C$16*A529))*Dashboard!$C$17/Dashboard!$C$19*E529*(1-E529))</f>
        <v>-2.2765082905060019E-2</v>
      </c>
      <c r="P529" s="8">
        <f>Dashboard!$C$9*B529*Dashboard!$C$11*(-Dashboard!$C$12*(1-F529)-O529)+2*Dashboard!$C$20*A529</f>
        <v>64024.27537838275</v>
      </c>
      <c r="Q529" s="8">
        <f>-P529-Dashboard!$C$13-Dashboard!$C$14</f>
        <v>-114024.27537838275</v>
      </c>
    </row>
    <row r="530" spans="1:17" x14ac:dyDescent="0.25">
      <c r="A530" s="5">
        <f>(530-2)/100</f>
        <v>5.28</v>
      </c>
      <c r="B530" s="5">
        <f>Dashboard!$C$10*EXP(-Dashboard!$C$12*A530)</f>
        <v>3.1510391066068393E-2</v>
      </c>
      <c r="C530" s="5">
        <f>Dashboard!$C$17*A530</f>
        <v>4224</v>
      </c>
      <c r="D530" s="5">
        <f>Dashboard!$C$15*(1-EXP(-Dashboard!$C$16*A530))</f>
        <v>0.74291098435489111</v>
      </c>
      <c r="E530" s="5">
        <f>1/(1+EXP(MIN(700,MAX(-700,(C530-Dashboard!$C$18)/Dashboard!$C$19))))</f>
        <v>2.3970552338195384E-2</v>
      </c>
      <c r="F530" s="5">
        <f t="shared" si="39"/>
        <v>1.7807986633099168E-2</v>
      </c>
      <c r="G530" s="8">
        <f>Dashboard!$C$9*B530*Dashboard!$C$11*(1-F530)</f>
        <v>61898.508886320247</v>
      </c>
      <c r="H530" s="8">
        <f>Dashboard!$C$20*A530^2</f>
        <v>223027.20000000001</v>
      </c>
      <c r="I530" s="8">
        <f t="shared" si="40"/>
        <v>284925.70888632024</v>
      </c>
      <c r="J530" s="8">
        <f>Dashboard!$C$13*A530</f>
        <v>105600</v>
      </c>
      <c r="K530" s="8">
        <f>Dashboard!$C$14*A530</f>
        <v>158400</v>
      </c>
      <c r="L530" s="8">
        <f>Dashboard!$C$21-K530</f>
        <v>1341600</v>
      </c>
      <c r="M530" s="8">
        <f t="shared" si="41"/>
        <v>951074.29111367976</v>
      </c>
      <c r="N530" s="8">
        <f t="shared" si="42"/>
        <v>264000</v>
      </c>
      <c r="O530" s="8">
        <f>Dashboard!$C$15*(Dashboard!$C$16*EXP(-Dashboard!$C$16*A530)*E530-(1-EXP(-Dashboard!$C$16*A530))*Dashboard!$C$17/Dashboard!$C$19*E530*(1-E530))</f>
        <v>-2.2490598191234876E-2</v>
      </c>
      <c r="P530" s="8">
        <f>Dashboard!$C$9*B530*Dashboard!$C$11*(-Dashboard!$C$12*(1-F530)-O530)+2*Dashboard!$C$20*A530</f>
        <v>64232.896978419158</v>
      </c>
      <c r="Q530" s="8">
        <f>-P530-Dashboard!$C$13-Dashboard!$C$14</f>
        <v>-114232.89697841916</v>
      </c>
    </row>
    <row r="531" spans="1:17" x14ac:dyDescent="0.25">
      <c r="A531" s="5">
        <f>(531-2)/100</f>
        <v>5.29</v>
      </c>
      <c r="B531" s="5">
        <f>Dashboard!$C$10*EXP(-Dashboard!$C$12*A531)</f>
        <v>3.1400297473511307E-2</v>
      </c>
      <c r="C531" s="5">
        <f>Dashboard!$C$17*A531</f>
        <v>4232</v>
      </c>
      <c r="D531" s="5">
        <f>Dashboard!$C$15*(1-EXP(-Dashboard!$C$16*A531))</f>
        <v>0.74319571700829046</v>
      </c>
      <c r="E531" s="5">
        <f>1/(1+EXP(MIN(700,MAX(-700,(C531-Dashboard!$C$18)/Dashboard!$C$19))))</f>
        <v>2.3660578155461204E-2</v>
      </c>
      <c r="F531" s="5">
        <f t="shared" si="39"/>
        <v>1.7584440347078685E-2</v>
      </c>
      <c r="G531" s="8">
        <f>Dashboard!$C$9*B531*Dashboard!$C$11*(1-F531)</f>
        <v>61696.281631415637</v>
      </c>
      <c r="H531" s="8">
        <f>Dashboard!$C$20*A531^2</f>
        <v>223872.80000000002</v>
      </c>
      <c r="I531" s="8">
        <f t="shared" si="40"/>
        <v>285569.08163141564</v>
      </c>
      <c r="J531" s="8">
        <f>Dashboard!$C$13*A531</f>
        <v>105800</v>
      </c>
      <c r="K531" s="8">
        <f>Dashboard!$C$14*A531</f>
        <v>158700</v>
      </c>
      <c r="L531" s="8">
        <f>Dashboard!$C$21-K531</f>
        <v>1341300</v>
      </c>
      <c r="M531" s="8">
        <f t="shared" si="41"/>
        <v>949930.91836858448</v>
      </c>
      <c r="N531" s="8">
        <f t="shared" si="42"/>
        <v>264500</v>
      </c>
      <c r="O531" s="8">
        <f>Dashboard!$C$15*(Dashboard!$C$16*EXP(-Dashboard!$C$16*A531)*E531-(1-EXP(-Dashboard!$C$16*A531))*Dashboard!$C$17/Dashboard!$C$19*E531*(1-E531))</f>
        <v>-2.2219165340590305E-2</v>
      </c>
      <c r="P531" s="8">
        <f>Dashboard!$C$9*B531*Dashboard!$C$11*(-Dashboard!$C$12*(1-F531)-O531)+2*Dashboard!$C$20*A531</f>
        <v>64441.678231619866</v>
      </c>
      <c r="Q531" s="8">
        <f>-P531-Dashboard!$C$13-Dashboard!$C$14</f>
        <v>-114441.67823161987</v>
      </c>
    </row>
    <row r="532" spans="1:17" x14ac:dyDescent="0.25">
      <c r="A532" s="5">
        <f>(532-2)/100</f>
        <v>5.3</v>
      </c>
      <c r="B532" s="5">
        <f>Dashboard!$C$10*EXP(-Dashboard!$C$12*A532)</f>
        <v>3.1290588534990955E-2</v>
      </c>
      <c r="C532" s="5">
        <f>Dashboard!$C$17*A532</f>
        <v>4240</v>
      </c>
      <c r="D532" s="5">
        <f>Dashboard!$C$15*(1-EXP(-Dashboard!$C$16*A532))</f>
        <v>0.74347902955165646</v>
      </c>
      <c r="E532" s="5">
        <f>1/(1+EXP(MIN(700,MAX(-700,(C532-Dashboard!$C$18)/Dashboard!$C$19))))</f>
        <v>2.3354516476977092E-2</v>
      </c>
      <c r="F532" s="5">
        <f t="shared" si="39"/>
        <v>1.73635932459511E-2</v>
      </c>
      <c r="G532" s="8">
        <f>Dashboard!$C$9*B532*Dashboard!$C$11*(1-F532)</f>
        <v>61494.542966485904</v>
      </c>
      <c r="H532" s="8">
        <f>Dashboard!$C$20*A532^2</f>
        <v>224720</v>
      </c>
      <c r="I532" s="8">
        <f t="shared" si="40"/>
        <v>286214.5429664859</v>
      </c>
      <c r="J532" s="8">
        <f>Dashboard!$C$13*A532</f>
        <v>106000</v>
      </c>
      <c r="K532" s="8">
        <f>Dashboard!$C$14*A532</f>
        <v>159000</v>
      </c>
      <c r="L532" s="8">
        <f>Dashboard!$C$21-K532</f>
        <v>1341000</v>
      </c>
      <c r="M532" s="8">
        <f t="shared" si="41"/>
        <v>948785.45703351405</v>
      </c>
      <c r="N532" s="8">
        <f t="shared" si="42"/>
        <v>265000</v>
      </c>
      <c r="O532" s="8">
        <f>Dashboard!$C$15*(Dashboard!$C$16*EXP(-Dashboard!$C$16*A532)*E532-(1-EXP(-Dashboard!$C$16*A532))*Dashboard!$C$17/Dashboard!$C$19*E532*(1-E532))</f>
        <v>-2.1950756594036717E-2</v>
      </c>
      <c r="P532" s="8">
        <f>Dashboard!$C$9*B532*Dashboard!$C$11*(-Dashboard!$C$12*(1-F532)-O532)+2*Dashboard!$C$20*A532</f>
        <v>64650.614146961423</v>
      </c>
      <c r="Q532" s="8">
        <f>-P532-Dashboard!$C$13-Dashboard!$C$14</f>
        <v>-114650.61414696142</v>
      </c>
    </row>
    <row r="533" spans="1:17" x14ac:dyDescent="0.25">
      <c r="A533" s="5">
        <f>(533-2)/100</f>
        <v>5.31</v>
      </c>
      <c r="B533" s="5">
        <f>Dashboard!$C$10*EXP(-Dashboard!$C$12*A533)</f>
        <v>3.1181262906571441E-2</v>
      </c>
      <c r="C533" s="5">
        <f>Dashboard!$C$17*A533</f>
        <v>4248</v>
      </c>
      <c r="D533" s="5">
        <f>Dashboard!$C$15*(1-EXP(-Dashboard!$C$16*A533))</f>
        <v>0.74376092906781732</v>
      </c>
      <c r="E533" s="5">
        <f>1/(1+EXP(MIN(700,MAX(-700,(C533-Dashboard!$C$18)/Dashboard!$C$19))))</f>
        <v>2.305232038547694E-2</v>
      </c>
      <c r="F533" s="5">
        <f t="shared" si="39"/>
        <v>1.7145415227071314E-2</v>
      </c>
      <c r="G533" s="8">
        <f>Dashboard!$C$9*B533*Dashboard!$C$11*(1-F533)</f>
        <v>61293.294413467585</v>
      </c>
      <c r="H533" s="8">
        <f>Dashboard!$C$20*A533^2</f>
        <v>225568.79999999996</v>
      </c>
      <c r="I533" s="8">
        <f t="shared" si="40"/>
        <v>286862.09441346757</v>
      </c>
      <c r="J533" s="8">
        <f>Dashboard!$C$13*A533</f>
        <v>106199.99999999999</v>
      </c>
      <c r="K533" s="8">
        <f>Dashboard!$C$14*A533</f>
        <v>159300</v>
      </c>
      <c r="L533" s="8">
        <f>Dashboard!$C$21-K533</f>
        <v>1340700</v>
      </c>
      <c r="M533" s="8">
        <f t="shared" si="41"/>
        <v>947637.90558653232</v>
      </c>
      <c r="N533" s="8">
        <f t="shared" si="42"/>
        <v>265500</v>
      </c>
      <c r="O533" s="8">
        <f>Dashboard!$C$15*(Dashboard!$C$16*EXP(-Dashboard!$C$16*A533)*E533-(1-EXP(-Dashboard!$C$16*A533))*Dashboard!$C$17/Dashboard!$C$19*E533*(1-E533))</f>
        <v>-2.1685344288831322E-2</v>
      </c>
      <c r="P533" s="8">
        <f>Dashboard!$C$9*B533*Dashboard!$C$11*(-Dashboard!$C$12*(1-F533)-O533)+2*Dashboard!$C$20*A533</f>
        <v>64859.699798265479</v>
      </c>
      <c r="Q533" s="8">
        <f>-P533-Dashboard!$C$13-Dashboard!$C$14</f>
        <v>-114859.69979826547</v>
      </c>
    </row>
    <row r="534" spans="1:17" x14ac:dyDescent="0.25">
      <c r="A534" s="5">
        <f>(534-2)/100</f>
        <v>5.32</v>
      </c>
      <c r="B534" s="5">
        <f>Dashboard!$C$10*EXP(-Dashboard!$C$12*A534)</f>
        <v>3.1072319249012461E-2</v>
      </c>
      <c r="C534" s="5">
        <f>Dashboard!$C$17*A534</f>
        <v>4256</v>
      </c>
      <c r="D534" s="5">
        <f>Dashboard!$C$15*(1-EXP(-Dashboard!$C$16*A534))</f>
        <v>0.74404142260427575</v>
      </c>
      <c r="E534" s="5">
        <f>1/(1+EXP(MIN(700,MAX(-700,(C534-Dashboard!$C$18)/Dashboard!$C$19))))</f>
        <v>2.2753943462803999E-2</v>
      </c>
      <c r="F534" s="5">
        <f t="shared" si="39"/>
        <v>1.6929876463921946E-2</v>
      </c>
      <c r="G534" s="8">
        <f>Dashboard!$C$9*B534*Dashboard!$C$11*(1-F534)</f>
        <v>61092.53744535827</v>
      </c>
      <c r="H534" s="8">
        <f>Dashboard!$C$20*A534^2</f>
        <v>226419.20000000001</v>
      </c>
      <c r="I534" s="8">
        <f t="shared" si="40"/>
        <v>287511.7374453583</v>
      </c>
      <c r="J534" s="8">
        <f>Dashboard!$C$13*A534</f>
        <v>106400</v>
      </c>
      <c r="K534" s="8">
        <f>Dashboard!$C$14*A534</f>
        <v>159600</v>
      </c>
      <c r="L534" s="8">
        <f>Dashboard!$C$21-K534</f>
        <v>1340400</v>
      </c>
      <c r="M534" s="8">
        <f t="shared" si="41"/>
        <v>946488.26255464181</v>
      </c>
      <c r="N534" s="8">
        <f t="shared" si="42"/>
        <v>266000</v>
      </c>
      <c r="O534" s="8">
        <f>Dashboard!$C$15*(Dashboard!$C$16*EXP(-Dashboard!$C$16*A534)*E534-(1-EXP(-Dashboard!$C$16*A534))*Dashboard!$C$17/Dashboard!$C$19*E534*(1-E534))</f>
        <v>-2.142290086287886E-2</v>
      </c>
      <c r="P534" s="8">
        <f>Dashboard!$C$9*B534*Dashboard!$C$11*(-Dashboard!$C$12*(1-F534)-O534)+2*Dashboard!$C$20*A534</f>
        <v>65068.93032382724</v>
      </c>
      <c r="Q534" s="8">
        <f>-P534-Dashboard!$C$13-Dashboard!$C$14</f>
        <v>-115068.93032382724</v>
      </c>
    </row>
    <row r="535" spans="1:17" x14ac:dyDescent="0.25">
      <c r="A535" s="5">
        <f>(535-2)/100</f>
        <v>5.33</v>
      </c>
      <c r="B535" s="5">
        <f>Dashboard!$C$10*EXP(-Dashboard!$C$12*A535)</f>
        <v>3.096375622775285E-2</v>
      </c>
      <c r="C535" s="5">
        <f>Dashboard!$C$17*A535</f>
        <v>4264</v>
      </c>
      <c r="D535" s="5">
        <f>Dashboard!$C$15*(1-EXP(-Dashboard!$C$16*A535))</f>
        <v>0.74432051717338477</v>
      </c>
      <c r="E535" s="5">
        <f>1/(1+EXP(MIN(700,MAX(-700,(C535-Dashboard!$C$18)/Dashboard!$C$19))))</f>
        <v>2.2459339786265617E-2</v>
      </c>
      <c r="F535" s="5">
        <f t="shared" si="39"/>
        <v>1.6716947405086002E-2</v>
      </c>
      <c r="G535" s="8">
        <f>Dashboard!$C$9*B535*Dashboard!$C$11*(1-F535)</f>
        <v>60892.273486859202</v>
      </c>
      <c r="H535" s="8">
        <f>Dashboard!$C$20*A535^2</f>
        <v>227271.19999999998</v>
      </c>
      <c r="I535" s="8">
        <f t="shared" si="40"/>
        <v>288163.47348685918</v>
      </c>
      <c r="J535" s="8">
        <f>Dashboard!$C$13*A535</f>
        <v>106600</v>
      </c>
      <c r="K535" s="8">
        <f>Dashboard!$C$14*A535</f>
        <v>159900</v>
      </c>
      <c r="L535" s="8">
        <f>Dashboard!$C$21-K535</f>
        <v>1340100</v>
      </c>
      <c r="M535" s="8">
        <f t="shared" si="41"/>
        <v>945336.52651314088</v>
      </c>
      <c r="N535" s="8">
        <f t="shared" si="42"/>
        <v>266500</v>
      </c>
      <c r="O535" s="8">
        <f>Dashboard!$C$15*(Dashboard!$C$16*EXP(-Dashboard!$C$16*A535)*E535-(1-EXP(-Dashboard!$C$16*A535))*Dashboard!$C$17/Dashboard!$C$19*E535*(1-E535))</f>
        <v>-2.1163398858871481E-2</v>
      </c>
      <c r="P535" s="8">
        <f>Dashboard!$C$9*B535*Dashboard!$C$11*(-Dashboard!$C$12*(1-F535)-O535)+2*Dashboard!$C$20*A535</f>
        <v>65278.300926032876</v>
      </c>
      <c r="Q535" s="8">
        <f>-P535-Dashboard!$C$13-Dashboard!$C$14</f>
        <v>-115278.30092603288</v>
      </c>
    </row>
    <row r="536" spans="1:17" x14ac:dyDescent="0.25">
      <c r="A536" s="5">
        <f>(536-2)/100</f>
        <v>5.34</v>
      </c>
      <c r="B536" s="5">
        <f>Dashboard!$C$10*EXP(-Dashboard!$C$12*A536)</f>
        <v>3.0855572512894242E-2</v>
      </c>
      <c r="C536" s="5">
        <f>Dashboard!$C$17*A536</f>
        <v>4272</v>
      </c>
      <c r="D536" s="5">
        <f>Dashboard!$C$15*(1-EXP(-Dashboard!$C$16*A536))</f>
        <v>0.74459821975252327</v>
      </c>
      <c r="E536" s="5">
        <f>1/(1+EXP(MIN(700,MAX(-700,(C536-Dashboard!$C$18)/Dashboard!$C$19))))</f>
        <v>2.2168463924967723E-2</v>
      </c>
      <c r="F536" s="5">
        <f t="shared" si="39"/>
        <v>1.6506598773179001E-2</v>
      </c>
      <c r="G536" s="8">
        <f>Dashboard!$C$9*B536*Dashboard!$C$11*(1-F536)</f>
        <v>60692.503915014335</v>
      </c>
      <c r="H536" s="8">
        <f>Dashboard!$C$20*A536^2</f>
        <v>228124.79999999999</v>
      </c>
      <c r="I536" s="8">
        <f t="shared" si="40"/>
        <v>288817.30391501432</v>
      </c>
      <c r="J536" s="8">
        <f>Dashboard!$C$13*A536</f>
        <v>106800</v>
      </c>
      <c r="K536" s="8">
        <f>Dashboard!$C$14*A536</f>
        <v>160200</v>
      </c>
      <c r="L536" s="8">
        <f>Dashboard!$C$21-K536</f>
        <v>1339800</v>
      </c>
      <c r="M536" s="8">
        <f t="shared" si="41"/>
        <v>944182.69608498574</v>
      </c>
      <c r="N536" s="8">
        <f t="shared" si="42"/>
        <v>267000</v>
      </c>
      <c r="O536" s="8">
        <f>Dashboard!$C$15*(Dashboard!$C$16*EXP(-Dashboard!$C$16*A536)*E536-(1-EXP(-Dashboard!$C$16*A536))*Dashboard!$C$17/Dashboard!$C$19*E536*(1-E536))</f>
        <v>-2.0906810928271569E-2</v>
      </c>
      <c r="P536" s="8">
        <f>Dashboard!$C$9*B536*Dashboard!$C$11*(-Dashboard!$C$12*(1-F536)-O536)+2*Dashboard!$C$20*A536</f>
        <v>65487.806870966291</v>
      </c>
      <c r="Q536" s="8">
        <f>-P536-Dashboard!$C$13-Dashboard!$C$14</f>
        <v>-115487.80687096629</v>
      </c>
    </row>
    <row r="537" spans="1:17" x14ac:dyDescent="0.25">
      <c r="A537" s="5">
        <f>(537-2)/100</f>
        <v>5.35</v>
      </c>
      <c r="B537" s="5">
        <f>Dashboard!$C$10*EXP(-Dashboard!$C$12*A537)</f>
        <v>3.0747766779184768E-2</v>
      </c>
      <c r="C537" s="5">
        <f>Dashboard!$C$17*A537</f>
        <v>4280</v>
      </c>
      <c r="D537" s="5">
        <f>Dashboard!$C$15*(1-EXP(-Dashboard!$C$16*A537))</f>
        <v>0.74487453728427</v>
      </c>
      <c r="E537" s="5">
        <f>1/(1+EXP(MIN(700,MAX(-700,(C537-Dashboard!$C$18)/Dashboard!$C$19))))</f>
        <v>2.1881270936130476E-2</v>
      </c>
      <c r="F537" s="5">
        <f t="shared" si="39"/>
        <v>1.6298801563741933E-2</v>
      </c>
      <c r="G537" s="8">
        <f>Dashboard!$C$9*B537*Dashboard!$C$11*(1-F537)</f>
        <v>60493.230059845242</v>
      </c>
      <c r="H537" s="8">
        <f>Dashboard!$C$20*A537^2</f>
        <v>228979.99999999997</v>
      </c>
      <c r="I537" s="8">
        <f t="shared" si="40"/>
        <v>289473.2300598452</v>
      </c>
      <c r="J537" s="8">
        <f>Dashboard!$C$13*A537</f>
        <v>107000</v>
      </c>
      <c r="K537" s="8">
        <f>Dashboard!$C$14*A537</f>
        <v>160500</v>
      </c>
      <c r="L537" s="8">
        <f>Dashboard!$C$21-K537</f>
        <v>1339500</v>
      </c>
      <c r="M537" s="8">
        <f t="shared" si="41"/>
        <v>943026.76994015486</v>
      </c>
      <c r="N537" s="8">
        <f t="shared" si="42"/>
        <v>267500</v>
      </c>
      <c r="O537" s="8">
        <f>Dashboard!$C$15*(Dashboard!$C$16*EXP(-Dashboard!$C$16*A537)*E537-(1-EXP(-Dashboard!$C$16*A537))*Dashboard!$C$17/Dashboard!$C$19*E537*(1-E537))</f>
        <v>-2.0653109835140737E-2</v>
      </c>
      <c r="P537" s="8">
        <f>Dashboard!$C$9*B537*Dashboard!$C$11*(-Dashboard!$C$12*(1-F537)-O537)+2*Dashboard!$C$20*A537</f>
        <v>65697.443488005752</v>
      </c>
      <c r="Q537" s="8">
        <f>-P537-Dashboard!$C$13-Dashboard!$C$14</f>
        <v>-115697.44348800575</v>
      </c>
    </row>
    <row r="538" spans="1:17" x14ac:dyDescent="0.25">
      <c r="A538" s="5">
        <f>(538-2)/100</f>
        <v>5.36</v>
      </c>
      <c r="B538" s="5">
        <f>Dashboard!$C$10*EXP(-Dashboard!$C$12*A538)</f>
        <v>3.0640337706002843E-2</v>
      </c>
      <c r="C538" s="5">
        <f>Dashboard!$C$17*A538</f>
        <v>4288</v>
      </c>
      <c r="D538" s="5">
        <f>Dashboard!$C$15*(1-EXP(-Dashboard!$C$16*A538))</f>
        <v>0.74514947667657772</v>
      </c>
      <c r="E538" s="5">
        <f>1/(1+EXP(MIN(700,MAX(-700,(C538-Dashboard!$C$18)/Dashboard!$C$19))))</f>
        <v>2.1597716361387156E-2</v>
      </c>
      <c r="F538" s="5">
        <f t="shared" si="39"/>
        <v>1.6093527044096799E-2</v>
      </c>
      <c r="G538" s="8">
        <f>Dashboard!$C$9*B538*Dashboard!$C$11*(1-F538)</f>
        <v>60294.453204982048</v>
      </c>
      <c r="H538" s="8">
        <f>Dashboard!$C$20*A538^2</f>
        <v>229836.80000000005</v>
      </c>
      <c r="I538" s="8">
        <f t="shared" si="40"/>
        <v>290131.25320498209</v>
      </c>
      <c r="J538" s="8">
        <f>Dashboard!$C$13*A538</f>
        <v>107200</v>
      </c>
      <c r="K538" s="8">
        <f>Dashboard!$C$14*A538</f>
        <v>160800</v>
      </c>
      <c r="L538" s="8">
        <f>Dashboard!$C$21-K538</f>
        <v>1339200</v>
      </c>
      <c r="M538" s="8">
        <f t="shared" si="41"/>
        <v>941868.74679501797</v>
      </c>
      <c r="N538" s="8">
        <f t="shared" si="42"/>
        <v>268000</v>
      </c>
      <c r="O538" s="8">
        <f>Dashboard!$C$15*(Dashboard!$C$16*EXP(-Dashboard!$C$16*A538)*E538-(1-EXP(-Dashboard!$C$16*A538))*Dashboard!$C$17/Dashboard!$C$19*E538*(1-E538))</f>
        <v>-2.0402268459818979E-2</v>
      </c>
      <c r="P538" s="8">
        <f>Dashboard!$C$9*B538*Dashboard!$C$11*(-Dashboard!$C$12*(1-F538)-O538)+2*Dashboard!$C$20*A538</f>
        <v>65907.206169411045</v>
      </c>
      <c r="Q538" s="8">
        <f>-P538-Dashboard!$C$13-Dashboard!$C$14</f>
        <v>-115907.20616941105</v>
      </c>
    </row>
    <row r="539" spans="1:17" x14ac:dyDescent="0.25">
      <c r="A539" s="5">
        <f>(539-2)/100</f>
        <v>5.37</v>
      </c>
      <c r="B539" s="5">
        <f>Dashboard!$C$10*EXP(-Dashboard!$C$12*A539)</f>
        <v>3.053328397734098E-2</v>
      </c>
      <c r="C539" s="5">
        <f>Dashboard!$C$17*A539</f>
        <v>4296</v>
      </c>
      <c r="D539" s="5">
        <f>Dashboard!$C$15*(1-EXP(-Dashboard!$C$16*A539))</f>
        <v>0.74542304480294552</v>
      </c>
      <c r="E539" s="5">
        <f>1/(1+EXP(MIN(700,MAX(-700,(C539-Dashboard!$C$18)/Dashboard!$C$19))))</f>
        <v>2.1317756223067669E-2</v>
      </c>
      <c r="F539" s="5">
        <f t="shared" si="39"/>
        <v>1.5890746752166042E-2</v>
      </c>
      <c r="G539" s="8">
        <f>Dashboard!$C$9*B539*Dashboard!$C$11*(1-F539)</f>
        <v>60096.174588290167</v>
      </c>
      <c r="H539" s="8">
        <f>Dashboard!$C$20*A539^2</f>
        <v>230695.2</v>
      </c>
      <c r="I539" s="8">
        <f t="shared" si="40"/>
        <v>290791.37458829017</v>
      </c>
      <c r="J539" s="8">
        <f>Dashboard!$C$13*A539</f>
        <v>107400</v>
      </c>
      <c r="K539" s="8">
        <f>Dashboard!$C$14*A539</f>
        <v>161100</v>
      </c>
      <c r="L539" s="8">
        <f>Dashboard!$C$21-K539</f>
        <v>1338900</v>
      </c>
      <c r="M539" s="8">
        <f t="shared" si="41"/>
        <v>940708.62541170977</v>
      </c>
      <c r="N539" s="8">
        <f t="shared" si="42"/>
        <v>268500</v>
      </c>
      <c r="O539" s="8">
        <f>Dashboard!$C$15*(Dashboard!$C$16*EXP(-Dashboard!$C$16*A539)*E539-(1-EXP(-Dashboard!$C$16*A539))*Dashboard!$C$17/Dashboard!$C$19*E539*(1-E539))</f>
        <v>-2.0154259802457105E-2</v>
      </c>
      <c r="P539" s="8">
        <f>Dashboard!$C$9*B539*Dashboard!$C$11*(-Dashboard!$C$12*(1-F539)-O539)+2*Dashboard!$C$20*A539</f>
        <v>66117.090369901503</v>
      </c>
      <c r="Q539" s="8">
        <f>-P539-Dashboard!$C$13-Dashboard!$C$14</f>
        <v>-116117.0903699015</v>
      </c>
    </row>
    <row r="540" spans="1:17" x14ac:dyDescent="0.25">
      <c r="A540" s="5">
        <f>(540-2)/100</f>
        <v>5.38</v>
      </c>
      <c r="B540" s="5">
        <f>Dashboard!$C$10*EXP(-Dashboard!$C$12*A540)</f>
        <v>3.0426604281789671E-2</v>
      </c>
      <c r="C540" s="5">
        <f>Dashboard!$C$17*A540</f>
        <v>4304</v>
      </c>
      <c r="D540" s="5">
        <f>Dashboard!$C$15*(1-EXP(-Dashboard!$C$16*A540))</f>
        <v>0.74569524850259095</v>
      </c>
      <c r="E540" s="5">
        <f>1/(1+EXP(MIN(700,MAX(-700,(C540-Dashboard!$C$18)/Dashboard!$C$19))))</f>
        <v>2.1041347020468282E-2</v>
      </c>
      <c r="F540" s="5">
        <f t="shared" si="39"/>
        <v>1.5690432495257346E-2</v>
      </c>
      <c r="G540" s="8">
        <f>Dashboard!$C$9*B540*Dashboard!$C$11*(1-F540)</f>
        <v>59898.395402492679</v>
      </c>
      <c r="H540" s="8">
        <f>Dashboard!$C$20*A540^2</f>
        <v>231555.19999999998</v>
      </c>
      <c r="I540" s="8">
        <f t="shared" si="40"/>
        <v>291453.59540249268</v>
      </c>
      <c r="J540" s="8">
        <f>Dashboard!$C$13*A540</f>
        <v>107600</v>
      </c>
      <c r="K540" s="8">
        <f>Dashboard!$C$14*A540</f>
        <v>161400</v>
      </c>
      <c r="L540" s="8">
        <f>Dashboard!$C$21-K540</f>
        <v>1338600</v>
      </c>
      <c r="M540" s="8">
        <f t="shared" si="41"/>
        <v>939546.40459750732</v>
      </c>
      <c r="N540" s="8">
        <f t="shared" si="42"/>
        <v>269000</v>
      </c>
      <c r="O540" s="8">
        <f>Dashboard!$C$15*(Dashboard!$C$16*EXP(-Dashboard!$C$16*A540)*E540-(1-EXP(-Dashboard!$C$16*A540))*Dashboard!$C$17/Dashboard!$C$19*E540*(1-E540))</f>
        <v>-1.9909056986405899E-2</v>
      </c>
      <c r="P540" s="8">
        <f>Dashboard!$C$9*B540*Dashboard!$C$11*(-Dashboard!$C$12*(1-F540)-O540)+2*Dashboard!$C$20*A540</f>
        <v>66327.091606225498</v>
      </c>
      <c r="Q540" s="8">
        <f>-P540-Dashboard!$C$13-Dashboard!$C$14</f>
        <v>-116327.0916062255</v>
      </c>
    </row>
    <row r="541" spans="1:17" x14ac:dyDescent="0.25">
      <c r="A541" s="5">
        <f>(541-2)/100</f>
        <v>5.39</v>
      </c>
      <c r="B541" s="5">
        <f>Dashboard!$C$10*EXP(-Dashboard!$C$12*A541)</f>
        <v>3.0320297312521307E-2</v>
      </c>
      <c r="C541" s="5">
        <f>Dashboard!$C$17*A541</f>
        <v>4312</v>
      </c>
      <c r="D541" s="5">
        <f>Dashboard!$C$15*(1-EXP(-Dashboard!$C$16*A541))</f>
        <v>0.74596609458062035</v>
      </c>
      <c r="E541" s="5">
        <f>1/(1+EXP(MIN(700,MAX(-700,(C541-Dashboard!$C$18)/Dashboard!$C$19))))</f>
        <v>2.0768445726109235E-2</v>
      </c>
      <c r="F541" s="5">
        <f t="shared" si="39"/>
        <v>1.5492556348815282E-2</v>
      </c>
      <c r="G541" s="8">
        <f>Dashboard!$C$9*B541*Dashboard!$C$11*(1-F541)</f>
        <v>59701.116795788475</v>
      </c>
      <c r="H541" s="8">
        <f>Dashboard!$C$20*A541^2</f>
        <v>232416.79999999996</v>
      </c>
      <c r="I541" s="8">
        <f t="shared" si="40"/>
        <v>292117.91679578845</v>
      </c>
      <c r="J541" s="8">
        <f>Dashboard!$C$13*A541</f>
        <v>107800</v>
      </c>
      <c r="K541" s="8">
        <f>Dashboard!$C$14*A541</f>
        <v>161700</v>
      </c>
      <c r="L541" s="8">
        <f>Dashboard!$C$21-K541</f>
        <v>1338300</v>
      </c>
      <c r="M541" s="8">
        <f t="shared" si="41"/>
        <v>938382.08320421155</v>
      </c>
      <c r="N541" s="8">
        <f t="shared" si="42"/>
        <v>269500</v>
      </c>
      <c r="O541" s="8">
        <f>Dashboard!$C$15*(Dashboard!$C$16*EXP(-Dashboard!$C$16*A541)*E541-(1-EXP(-Dashboard!$C$16*A541))*Dashboard!$C$17/Dashboard!$C$19*E541*(1-E541))</f>
        <v>-1.9666633261465578E-2</v>
      </c>
      <c r="P541" s="8">
        <f>Dashboard!$C$9*B541*Dashboard!$C$11*(-Dashboard!$C$12*(1-F541)-O541)+2*Dashboard!$C$20*A541</f>
        <v>66537.205456721946</v>
      </c>
      <c r="Q541" s="8">
        <f>-P541-Dashboard!$C$13-Dashboard!$C$14</f>
        <v>-116537.20545672195</v>
      </c>
    </row>
    <row r="542" spans="1:17" x14ac:dyDescent="0.25">
      <c r="A542" s="5">
        <f>(542-2)/100</f>
        <v>5.4</v>
      </c>
      <c r="B542" s="5">
        <f>Dashboard!$C$10*EXP(-Dashboard!$C$12*A542)</f>
        <v>3.0214361767274173E-2</v>
      </c>
      <c r="C542" s="5">
        <f>Dashboard!$C$17*A542</f>
        <v>4320</v>
      </c>
      <c r="D542" s="5">
        <f>Dashboard!$C$15*(1-EXP(-Dashboard!$C$16*A542))</f>
        <v>0.74623558980820026</v>
      </c>
      <c r="E542" s="5">
        <f>1/(1+EXP(MIN(700,MAX(-700,(C542-Dashboard!$C$18)/Dashboard!$C$19))))</f>
        <v>2.04990097819817E-2</v>
      </c>
      <c r="F542" s="5">
        <f t="shared" si="39"/>
        <v>1.529709065514118E-2</v>
      </c>
      <c r="G542" s="8">
        <f>Dashboard!$C$9*B542*Dashboard!$C$11*(1-F542)</f>
        <v>59504.339872465891</v>
      </c>
      <c r="H542" s="8">
        <f>Dashboard!$C$20*A542^2</f>
        <v>233280.00000000003</v>
      </c>
      <c r="I542" s="8">
        <f t="shared" si="40"/>
        <v>292784.33987246593</v>
      </c>
      <c r="J542" s="8">
        <f>Dashboard!$C$13*A542</f>
        <v>108000</v>
      </c>
      <c r="K542" s="8">
        <f>Dashboard!$C$14*A542</f>
        <v>162000</v>
      </c>
      <c r="L542" s="8">
        <f>Dashboard!$C$21-K542</f>
        <v>1338000</v>
      </c>
      <c r="M542" s="8">
        <f t="shared" si="41"/>
        <v>937215.66012753407</v>
      </c>
      <c r="N542" s="8">
        <f t="shared" si="42"/>
        <v>270000</v>
      </c>
      <c r="O542" s="8">
        <f>Dashboard!$C$15*(Dashboard!$C$16*EXP(-Dashboard!$C$16*A542)*E542-(1-EXP(-Dashboard!$C$16*A542))*Dashboard!$C$17/Dashboard!$C$19*E542*(1-E542))</f>
        <v>-1.9426962006998678E-2</v>
      </c>
      <c r="P542" s="8">
        <f>Dashboard!$C$9*B542*Dashboard!$C$11*(-Dashboard!$C$12*(1-F542)-O542)+2*Dashboard!$C$20*A542</f>
        <v>66747.427560874028</v>
      </c>
      <c r="Q542" s="8">
        <f>-P542-Dashboard!$C$13-Dashboard!$C$14</f>
        <v>-116747.42756087403</v>
      </c>
    </row>
    <row r="543" spans="1:17" x14ac:dyDescent="0.25">
      <c r="A543" s="5">
        <f>(543-2)/100</f>
        <v>5.41</v>
      </c>
      <c r="B543" s="5">
        <f>Dashboard!$C$10*EXP(-Dashboard!$C$12*A543)</f>
        <v>3.0108796348336533E-2</v>
      </c>
      <c r="C543" s="5">
        <f>Dashboard!$C$17*A543</f>
        <v>4328</v>
      </c>
      <c r="D543" s="5">
        <f>Dashboard!$C$15*(1-EXP(-Dashboard!$C$16*A543))</f>
        <v>0.74650374092272509</v>
      </c>
      <c r="E543" s="5">
        <f>1/(1+EXP(MIN(700,MAX(-700,(C543-Dashboard!$C$18)/Dashboard!$C$19))))</f>
        <v>2.0232997095785403E-2</v>
      </c>
      <c r="F543" s="5">
        <f t="shared" si="39"/>
        <v>1.5104008022082435E-2</v>
      </c>
      <c r="G543" s="8">
        <f>Dashboard!$C$9*B543*Dashboard!$C$11*(1-F543)</f>
        <v>59308.065693512021</v>
      </c>
      <c r="H543" s="8">
        <f>Dashboard!$C$20*A543^2</f>
        <v>234144.80000000002</v>
      </c>
      <c r="I543" s="8">
        <f t="shared" si="40"/>
        <v>293452.86569351202</v>
      </c>
      <c r="J543" s="8">
        <f>Dashboard!$C$13*A543</f>
        <v>108200</v>
      </c>
      <c r="K543" s="8">
        <f>Dashboard!$C$14*A543</f>
        <v>162300</v>
      </c>
      <c r="L543" s="8">
        <f>Dashboard!$C$21-K543</f>
        <v>1337700</v>
      </c>
      <c r="M543" s="8">
        <f t="shared" si="41"/>
        <v>936047.13430648798</v>
      </c>
      <c r="N543" s="8">
        <f t="shared" si="42"/>
        <v>270500</v>
      </c>
      <c r="O543" s="8">
        <f>Dashboard!$C$15*(Dashboard!$C$16*EXP(-Dashboard!$C$16*A543)*E543-(1-EXP(-Dashboard!$C$16*A543))*Dashboard!$C$17/Dashboard!$C$19*E543*(1-E543))</f>
        <v>-1.919001673490962E-2</v>
      </c>
      <c r="P543" s="8">
        <f>Dashboard!$C$9*B543*Dashboard!$C$11*(-Dashboard!$C$12*(1-F543)-O543)+2*Dashboard!$C$20*A543</f>
        <v>66957.753618855917</v>
      </c>
      <c r="Q543" s="8">
        <f>-P543-Dashboard!$C$13-Dashboard!$C$14</f>
        <v>-116957.75361885592</v>
      </c>
    </row>
    <row r="544" spans="1:17" x14ac:dyDescent="0.25">
      <c r="A544" s="5">
        <f>(544-2)/100</f>
        <v>5.42</v>
      </c>
      <c r="B544" s="5">
        <f>Dashboard!$C$10*EXP(-Dashboard!$C$12*A544)</f>
        <v>3.0003599762530676E-2</v>
      </c>
      <c r="C544" s="5">
        <f>Dashboard!$C$17*A544</f>
        <v>4336</v>
      </c>
      <c r="D544" s="5">
        <f>Dashboard!$C$15*(1-EXP(-Dashboard!$C$16*A544))</f>
        <v>0.74677055462798658</v>
      </c>
      <c r="E544" s="5">
        <f>1/(1+EXP(MIN(700,MAX(-700,(C544-Dashboard!$C$18)/Dashboard!$C$19))))</f>
        <v>1.9970366037158495E-2</v>
      </c>
      <c r="F544" s="5">
        <f t="shared" si="39"/>
        <v>1.4913281321692756E-2</v>
      </c>
      <c r="G544" s="8">
        <f>Dashboard!$C$9*B544*Dashboard!$C$11*(1-F544)</f>
        <v>59112.295277217156</v>
      </c>
      <c r="H544" s="8">
        <f>Dashboard!$C$20*A544^2</f>
        <v>235011.20000000001</v>
      </c>
      <c r="I544" s="8">
        <f t="shared" si="40"/>
        <v>294123.49527721718</v>
      </c>
      <c r="J544" s="8">
        <f>Dashboard!$C$13*A544</f>
        <v>108400</v>
      </c>
      <c r="K544" s="8">
        <f>Dashboard!$C$14*A544</f>
        <v>162600</v>
      </c>
      <c r="L544" s="8">
        <f>Dashboard!$C$21-K544</f>
        <v>1337400</v>
      </c>
      <c r="M544" s="8">
        <f t="shared" si="41"/>
        <v>934876.50472278288</v>
      </c>
      <c r="N544" s="8">
        <f t="shared" si="42"/>
        <v>271000</v>
      </c>
      <c r="O544" s="8">
        <f>Dashboard!$C$15*(Dashboard!$C$16*EXP(-Dashboard!$C$16*A544)*E544-(1-EXP(-Dashboard!$C$16*A544))*Dashboard!$C$17/Dashboard!$C$19*E544*(1-E544))</f>
        <v>-1.8955771092494224E-2</v>
      </c>
      <c r="P544" s="8">
        <f>Dashboard!$C$9*B544*Dashboard!$C$11*(-Dashboard!$C$12*(1-F544)-O544)+2*Dashboard!$C$20*A544</f>
        <v>67168.179391072685</v>
      </c>
      <c r="Q544" s="8">
        <f>-P544-Dashboard!$C$13-Dashboard!$C$14</f>
        <v>-117168.17939107268</v>
      </c>
    </row>
    <row r="545" spans="1:17" x14ac:dyDescent="0.25">
      <c r="A545" s="5">
        <f>(545-2)/100</f>
        <v>5.43</v>
      </c>
      <c r="B545" s="5">
        <f>Dashboard!$C$10*EXP(-Dashboard!$C$12*A545)</f>
        <v>2.9898770721197111E-2</v>
      </c>
      <c r="C545" s="5">
        <f>Dashboard!$C$17*A545</f>
        <v>4344</v>
      </c>
      <c r="D545" s="5">
        <f>Dashboard!$C$15*(1-EXP(-Dashboard!$C$16*A545))</f>
        <v>0.74703603759434145</v>
      </c>
      <c r="E545" s="5">
        <f>1/(1+EXP(MIN(700,MAX(-700,(C545-Dashboard!$C$18)/Dashboard!$C$19))))</f>
        <v>1.9711075433901003E-2</v>
      </c>
      <c r="F545" s="5">
        <f t="shared" si="39"/>
        <v>1.4724883688864571E-2</v>
      </c>
      <c r="G545" s="8">
        <f>Dashboard!$C$9*B545*Dashboard!$C$11*(1-F545)</f>
        <v>58917.029599774905</v>
      </c>
      <c r="H545" s="8">
        <f>Dashboard!$C$20*A545^2</f>
        <v>235879.19999999998</v>
      </c>
      <c r="I545" s="8">
        <f t="shared" si="40"/>
        <v>294796.22959977487</v>
      </c>
      <c r="J545" s="8">
        <f>Dashboard!$C$13*A545</f>
        <v>108600</v>
      </c>
      <c r="K545" s="8">
        <f>Dashboard!$C$14*A545</f>
        <v>162900</v>
      </c>
      <c r="L545" s="8">
        <f>Dashboard!$C$21-K545</f>
        <v>1337100</v>
      </c>
      <c r="M545" s="8">
        <f t="shared" si="41"/>
        <v>933703.77040022518</v>
      </c>
      <c r="N545" s="8">
        <f t="shared" si="42"/>
        <v>271500</v>
      </c>
      <c r="O545" s="8">
        <f>Dashboard!$C$15*(Dashboard!$C$16*EXP(-Dashboard!$C$16*A545)*E545-(1-EXP(-Dashboard!$C$16*A545))*Dashboard!$C$17/Dashboard!$C$19*E545*(1-E545))</f>
        <v>-1.872419886516247E-2</v>
      </c>
      <c r="P545" s="8">
        <f>Dashboard!$C$9*B545*Dashboard!$C$11*(-Dashboard!$C$12*(1-F545)-O545)+2*Dashboard!$C$20*A545</f>
        <v>67378.700697693974</v>
      </c>
      <c r="Q545" s="8">
        <f>-P545-Dashboard!$C$13-Dashboard!$C$14</f>
        <v>-117378.70069769397</v>
      </c>
    </row>
    <row r="546" spans="1:17" x14ac:dyDescent="0.25">
      <c r="A546" s="5">
        <f>(546-2)/100</f>
        <v>5.44</v>
      </c>
      <c r="B546" s="5">
        <f>Dashboard!$C$10*EXP(-Dashboard!$C$12*A546)</f>
        <v>2.9794307940178767E-2</v>
      </c>
      <c r="C546" s="5">
        <f>Dashboard!$C$17*A546</f>
        <v>4352</v>
      </c>
      <c r="D546" s="5">
        <f>Dashboard!$C$15*(1-EXP(-Dashboard!$C$16*A546))</f>
        <v>0.74730019645887769</v>
      </c>
      <c r="E546" s="5">
        <f>1/(1+EXP(MIN(700,MAX(-700,(C546-Dashboard!$C$18)/Dashboard!$C$19))))</f>
        <v>1.9455084568193035E-2</v>
      </c>
      <c r="F546" s="5">
        <f t="shared" si="39"/>
        <v>1.4538788519934735E-2</v>
      </c>
      <c r="G546" s="8">
        <f>Dashboard!$C$9*B546*Dashboard!$C$11*(1-F546)</f>
        <v>58722.269595877391</v>
      </c>
      <c r="H546" s="8">
        <f>Dashboard!$C$20*A546^2</f>
        <v>236748.80000000005</v>
      </c>
      <c r="I546" s="8">
        <f t="shared" si="40"/>
        <v>295471.06959587743</v>
      </c>
      <c r="J546" s="8">
        <f>Dashboard!$C$13*A546</f>
        <v>108800.00000000001</v>
      </c>
      <c r="K546" s="8">
        <f>Dashboard!$C$14*A546</f>
        <v>163200</v>
      </c>
      <c r="L546" s="8">
        <f>Dashboard!$C$21-K546</f>
        <v>1336800</v>
      </c>
      <c r="M546" s="8">
        <f t="shared" si="41"/>
        <v>932528.93040412257</v>
      </c>
      <c r="N546" s="8">
        <f t="shared" si="42"/>
        <v>272000</v>
      </c>
      <c r="O546" s="8">
        <f>Dashboard!$C$15*(Dashboard!$C$16*EXP(-Dashboard!$C$16*A546)*E546-(1-EXP(-Dashboard!$C$16*A546))*Dashboard!$C$17/Dashboard!$C$19*E546*(1-E546))</f>
        <v>-1.8495273979037261E-2</v>
      </c>
      <c r="P546" s="8">
        <f>Dashboard!$C$9*B546*Dashboard!$C$11*(-Dashboard!$C$12*(1-F546)-O546)+2*Dashboard!$C$20*A546</f>
        <v>67589.313418181744</v>
      </c>
      <c r="Q546" s="8">
        <f>-P546-Dashboard!$C$13-Dashboard!$C$14</f>
        <v>-117589.31341818174</v>
      </c>
    </row>
    <row r="547" spans="1:17" x14ac:dyDescent="0.25">
      <c r="A547" s="5">
        <f>(547-2)/100</f>
        <v>5.45</v>
      </c>
      <c r="B547" s="5">
        <f>Dashboard!$C$10*EXP(-Dashboard!$C$12*A547)</f>
        <v>2.9690210139805273E-2</v>
      </c>
      <c r="C547" s="5">
        <f>Dashboard!$C$17*A547</f>
        <v>4360</v>
      </c>
      <c r="D547" s="5">
        <f>Dashboard!$C$15*(1-EXP(-Dashboard!$C$16*A547))</f>
        <v>0.74756303782558053</v>
      </c>
      <c r="E547" s="5">
        <f>1/(1+EXP(MIN(700,MAX(-700,(C547-Dashboard!$C$18)/Dashboard!$C$19))))</f>
        <v>1.920235317280922E-2</v>
      </c>
      <c r="F547" s="5">
        <f t="shared" si="39"/>
        <v>1.4354969471264935E-2</v>
      </c>
      <c r="G547" s="8">
        <f>Dashboard!$C$9*B547*Dashboard!$C$11*(1-F547)</f>
        <v>58528.016159305858</v>
      </c>
      <c r="H547" s="8">
        <f>Dashboard!$C$20*A547^2</f>
        <v>237620</v>
      </c>
      <c r="I547" s="8">
        <f t="shared" si="40"/>
        <v>296148.01615930587</v>
      </c>
      <c r="J547" s="8">
        <f>Dashboard!$C$13*A547</f>
        <v>109000</v>
      </c>
      <c r="K547" s="8">
        <f>Dashboard!$C$14*A547</f>
        <v>163500</v>
      </c>
      <c r="L547" s="8">
        <f>Dashboard!$C$21-K547</f>
        <v>1336500</v>
      </c>
      <c r="M547" s="8">
        <f t="shared" si="41"/>
        <v>931351.98384069419</v>
      </c>
      <c r="N547" s="8">
        <f t="shared" si="42"/>
        <v>272500</v>
      </c>
      <c r="O547" s="8">
        <f>Dashboard!$C$15*(Dashboard!$C$16*EXP(-Dashboard!$C$16*A547)*E547-(1-EXP(-Dashboard!$C$16*A547))*Dashboard!$C$17/Dashboard!$C$19*E547*(1-E547))</f>
        <v>-1.8268970503432531E-2</v>
      </c>
      <c r="P547" s="8">
        <f>Dashboard!$C$9*B547*Dashboard!$C$11*(-Dashboard!$C$12*(1-F547)-O547)+2*Dashboard!$C$20*A547</f>
        <v>67800.013490812591</v>
      </c>
      <c r="Q547" s="8">
        <f>-P547-Dashboard!$C$13-Dashboard!$C$14</f>
        <v>-117800.01349081259</v>
      </c>
    </row>
    <row r="548" spans="1:17" x14ac:dyDescent="0.25">
      <c r="A548" s="5">
        <f>(548-2)/100</f>
        <v>5.46</v>
      </c>
      <c r="B548" s="5">
        <f>Dashboard!$C$10*EXP(-Dashboard!$C$12*A548)</f>
        <v>2.9586476044877286E-2</v>
      </c>
      <c r="C548" s="5">
        <f>Dashboard!$C$17*A548</f>
        <v>4368</v>
      </c>
      <c r="D548" s="5">
        <f>Dashboard!$C$15*(1-EXP(-Dashboard!$C$16*A548))</f>
        <v>0.74782456826549804</v>
      </c>
      <c r="E548" s="5">
        <f>1/(1+EXP(MIN(700,MAX(-700,(C548-Dashboard!$C$18)/Dashboard!$C$19))))</f>
        <v>1.8952841427330513E-2</v>
      </c>
      <c r="F548" s="5">
        <f t="shared" si="39"/>
        <v>1.4173400457797886E-2</v>
      </c>
      <c r="G548" s="8">
        <f>Dashboard!$C$9*B548*Dashboard!$C$11*(1-F548)</f>
        <v>58334.270143516391</v>
      </c>
      <c r="H548" s="8">
        <f>Dashboard!$C$20*A548^2</f>
        <v>238492.79999999999</v>
      </c>
      <c r="I548" s="8">
        <f t="shared" si="40"/>
        <v>296827.07014351641</v>
      </c>
      <c r="J548" s="8">
        <f>Dashboard!$C$13*A548</f>
        <v>109200</v>
      </c>
      <c r="K548" s="8">
        <f>Dashboard!$C$14*A548</f>
        <v>163800</v>
      </c>
      <c r="L548" s="8">
        <f>Dashboard!$C$21-K548</f>
        <v>1336200</v>
      </c>
      <c r="M548" s="8">
        <f t="shared" si="41"/>
        <v>930172.92985648359</v>
      </c>
      <c r="N548" s="8">
        <f t="shared" si="42"/>
        <v>273000</v>
      </c>
      <c r="O548" s="8">
        <f>Dashboard!$C$15*(Dashboard!$C$16*EXP(-Dashboard!$C$16*A548)*E548-(1-EXP(-Dashboard!$C$16*A548))*Dashboard!$C$17/Dashboard!$C$19*E548*(1-E548))</f>
        <v>-1.8045262653213653E-2</v>
      </c>
      <c r="P548" s="8">
        <f>Dashboard!$C$9*B548*Dashboard!$C$11*(-Dashboard!$C$12*(1-F548)-O548)+2*Dashboard!$C$20*A548</f>
        <v>68010.796912194914</v>
      </c>
      <c r="Q548" s="8">
        <f>-P548-Dashboard!$C$13-Dashboard!$C$14</f>
        <v>-118010.79691219491</v>
      </c>
    </row>
    <row r="549" spans="1:17" x14ac:dyDescent="0.25">
      <c r="A549" s="5">
        <f>(549-2)/100</f>
        <v>5.47</v>
      </c>
      <c r="B549" s="5">
        <f>Dashboard!$C$10*EXP(-Dashboard!$C$12*A549)</f>
        <v>2.9483104384650821E-2</v>
      </c>
      <c r="C549" s="5">
        <f>Dashboard!$C$17*A549</f>
        <v>4376</v>
      </c>
      <c r="D549" s="5">
        <f>Dashboard!$C$15*(1-EXP(-Dashboard!$C$16*A549))</f>
        <v>0.74808479431690467</v>
      </c>
      <c r="E549" s="5">
        <f>1/(1+EXP(MIN(700,MAX(-700,(C549-Dashboard!$C$18)/Dashboard!$C$19))))</f>
        <v>1.8706509954354602E-2</v>
      </c>
      <c r="F549" s="5">
        <f t="shared" si="39"/>
        <v>1.3994055651590492E-2</v>
      </c>
      <c r="G549" s="8">
        <f>Dashboard!$C$9*B549*Dashboard!$C$11*(1-F549)</f>
        <v>58141.032362220729</v>
      </c>
      <c r="H549" s="8">
        <f>Dashboard!$C$20*A549^2</f>
        <v>239367.19999999998</v>
      </c>
      <c r="I549" s="8">
        <f t="shared" si="40"/>
        <v>297508.2323622207</v>
      </c>
      <c r="J549" s="8">
        <f>Dashboard!$C$13*A549</f>
        <v>109400</v>
      </c>
      <c r="K549" s="8">
        <f>Dashboard!$C$14*A549</f>
        <v>164100</v>
      </c>
      <c r="L549" s="8">
        <f>Dashboard!$C$21-K549</f>
        <v>1335900</v>
      </c>
      <c r="M549" s="8">
        <f t="shared" si="41"/>
        <v>928991.76763777924</v>
      </c>
      <c r="N549" s="8">
        <f t="shared" si="42"/>
        <v>273500</v>
      </c>
      <c r="O549" s="8">
        <f>Dashboard!$C$15*(Dashboard!$C$16*EXP(-Dashboard!$C$16*A549)*E549-(1-EXP(-Dashboard!$C$16*A549))*Dashboard!$C$17/Dashboard!$C$19*E549*(1-E549))</f>
        <v>-1.782412479104303E-2</v>
      </c>
      <c r="P549" s="8">
        <f>Dashboard!$C$9*B549*Dashboard!$C$11*(-Dashboard!$C$12*(1-F549)-O549)+2*Dashboard!$C$20*A549</f>
        <v>68221.659736781468</v>
      </c>
      <c r="Q549" s="8">
        <f>-P549-Dashboard!$C$13-Dashboard!$C$14</f>
        <v>-118221.65973678147</v>
      </c>
    </row>
    <row r="550" spans="1:17" x14ac:dyDescent="0.25">
      <c r="A550" s="5">
        <f>(550-2)/100</f>
        <v>5.48</v>
      </c>
      <c r="B550" s="5">
        <f>Dashboard!$C$10*EXP(-Dashboard!$C$12*A550)</f>
        <v>2.9380093892821771E-2</v>
      </c>
      <c r="C550" s="5">
        <f>Dashboard!$C$17*A550</f>
        <v>4384</v>
      </c>
      <c r="D550" s="5">
        <f>Dashboard!$C$15*(1-EXP(-Dashboard!$C$16*A550))</f>
        <v>0.74834372248546532</v>
      </c>
      <c r="E550" s="5">
        <f>1/(1+EXP(MIN(700,MAX(-700,(C550-Dashboard!$C$18)/Dashboard!$C$19))))</f>
        <v>1.8463319815706033E-2</v>
      </c>
      <c r="F550" s="5">
        <f t="shared" si="39"/>
        <v>1.3816909480325108E-2</v>
      </c>
      <c r="G550" s="8">
        <f>Dashboard!$C$9*B550*Dashboard!$C$11*(1-F550)</f>
        <v>57948.303589962394</v>
      </c>
      <c r="H550" s="8">
        <f>Dashboard!$C$20*A550^2</f>
        <v>240243.20000000004</v>
      </c>
      <c r="I550" s="8">
        <f t="shared" si="40"/>
        <v>298191.50358996243</v>
      </c>
      <c r="J550" s="8">
        <f>Dashboard!$C$13*A550</f>
        <v>109600.00000000001</v>
      </c>
      <c r="K550" s="8">
        <f>Dashboard!$C$14*A550</f>
        <v>164400</v>
      </c>
      <c r="L550" s="8">
        <f>Dashboard!$C$21-K550</f>
        <v>1335600</v>
      </c>
      <c r="M550" s="8">
        <f t="shared" si="41"/>
        <v>927808.49641003762</v>
      </c>
      <c r="N550" s="8">
        <f t="shared" si="42"/>
        <v>274000</v>
      </c>
      <c r="O550" s="8">
        <f>Dashboard!$C$15*(Dashboard!$C$16*EXP(-Dashboard!$C$16*A550)*E550-(1-EXP(-Dashboard!$C$16*A550))*Dashboard!$C$17/Dashboard!$C$19*E550*(1-E550))</f>
        <v>-1.7605531429513748E-2</v>
      </c>
      <c r="P550" s="8">
        <f>Dashboard!$C$9*B550*Dashboard!$C$11*(-Dashboard!$C$12*(1-F550)-O550)+2*Dashboard!$C$20*A550</f>
        <v>68432.598076377442</v>
      </c>
      <c r="Q550" s="8">
        <f>-P550-Dashboard!$C$13-Dashboard!$C$14</f>
        <v>-118432.59807637744</v>
      </c>
    </row>
    <row r="551" spans="1:17" x14ac:dyDescent="0.25">
      <c r="A551" s="5">
        <f>(551-2)/100</f>
        <v>5.49</v>
      </c>
      <c r="B551" s="5">
        <f>Dashboard!$C$10*EXP(-Dashboard!$C$12*A551)</f>
        <v>2.9277443307510306E-2</v>
      </c>
      <c r="C551" s="5">
        <f>Dashboard!$C$17*A551</f>
        <v>4392</v>
      </c>
      <c r="D551" s="5">
        <f>Dashboard!$C$15*(1-EXP(-Dashboard!$C$16*A551))</f>
        <v>0.74860135924439763</v>
      </c>
      <c r="E551" s="5">
        <f>1/(1+EXP(MIN(700,MAX(-700,(C551-Dashboard!$C$18)/Dashboard!$C$19))))</f>
        <v>1.8223232508647238E-2</v>
      </c>
      <c r="F551" s="5">
        <f t="shared" ref="F551:F614" si="43">D551*E551</f>
        <v>1.3641936625800016E-2</v>
      </c>
      <c r="G551" s="8">
        <f>Dashboard!$C$9*B551*Dashboard!$C$11*(1-F551)</f>
        <v>57756.084562687589</v>
      </c>
      <c r="H551" s="8">
        <f>Dashboard!$C$20*A551^2</f>
        <v>241120.80000000002</v>
      </c>
      <c r="I551" s="8">
        <f t="shared" ref="I551:I614" si="44">G551+H551</f>
        <v>298876.8845626876</v>
      </c>
      <c r="J551" s="8">
        <f>Dashboard!$C$13*A551</f>
        <v>109800</v>
      </c>
      <c r="K551" s="8">
        <f>Dashboard!$C$14*A551</f>
        <v>164700</v>
      </c>
      <c r="L551" s="8">
        <f>Dashboard!$C$21-K551</f>
        <v>1335300</v>
      </c>
      <c r="M551" s="8">
        <f t="shared" ref="M551:M614" si="45">L551-I551-J551</f>
        <v>926623.1154373124</v>
      </c>
      <c r="N551" s="8">
        <f t="shared" ref="N551:N614" si="46">J551+K551</f>
        <v>274500</v>
      </c>
      <c r="O551" s="8">
        <f>Dashboard!$C$15*(Dashboard!$C$16*EXP(-Dashboard!$C$16*A551)*E551-(1-EXP(-Dashboard!$C$16*A551))*Dashboard!$C$17/Dashboard!$C$19*E551*(1-E551))</f>
        <v>-1.7389457233174224E-2</v>
      </c>
      <c r="P551" s="8">
        <f>Dashboard!$C$9*B551*Dashboard!$C$11*(-Dashboard!$C$12*(1-F551)-O551)+2*Dashboard!$C$20*A551</f>
        <v>68643.608099644611</v>
      </c>
      <c r="Q551" s="8">
        <f>-P551-Dashboard!$C$13-Dashboard!$C$14</f>
        <v>-118643.60809964461</v>
      </c>
    </row>
    <row r="552" spans="1:17" x14ac:dyDescent="0.25">
      <c r="A552" s="5">
        <f>(552-2)/100</f>
        <v>5.5</v>
      </c>
      <c r="B552" s="5">
        <f>Dashboard!$C$10*EXP(-Dashboard!$C$12*A552)</f>
        <v>2.9175151371245486E-2</v>
      </c>
      <c r="C552" s="5">
        <f>Dashboard!$C$17*A552</f>
        <v>4400</v>
      </c>
      <c r="D552" s="5">
        <f>Dashboard!$C$15*(1-EXP(-Dashboard!$C$16*A552))</f>
        <v>0.74885771103463394</v>
      </c>
      <c r="E552" s="5">
        <f>1/(1+EXP(MIN(700,MAX(-700,(C552-Dashboard!$C$18)/Dashboard!$C$19))))</f>
        <v>1.7986209962091559E-2</v>
      </c>
      <c r="F552" s="5">
        <f t="shared" si="43"/>
        <v>1.3469112022400215E-2</v>
      </c>
      <c r="G552" s="8">
        <f>Dashboard!$C$9*B552*Dashboard!$C$11*(1-F552)</f>
        <v>57564.375978311393</v>
      </c>
      <c r="H552" s="8">
        <f>Dashboard!$C$20*A552^2</f>
        <v>242000</v>
      </c>
      <c r="I552" s="8">
        <f t="shared" si="44"/>
        <v>299564.37597831141</v>
      </c>
      <c r="J552" s="8">
        <f>Dashboard!$C$13*A552</f>
        <v>110000</v>
      </c>
      <c r="K552" s="8">
        <f>Dashboard!$C$14*A552</f>
        <v>165000</v>
      </c>
      <c r="L552" s="8">
        <f>Dashboard!$C$21-K552</f>
        <v>1335000</v>
      </c>
      <c r="M552" s="8">
        <f t="shared" si="45"/>
        <v>925435.62402168859</v>
      </c>
      <c r="N552" s="8">
        <f t="shared" si="46"/>
        <v>275000</v>
      </c>
      <c r="O552" s="8">
        <f>Dashboard!$C$15*(Dashboard!$C$16*EXP(-Dashboard!$C$16*A552)*E552-(1-EXP(-Dashboard!$C$16*A552))*Dashboard!$C$17/Dashboard!$C$19*E552*(1-E552))</f>
        <v>-1.7175877020446675E-2</v>
      </c>
      <c r="P552" s="8">
        <f>Dashboard!$C$9*B552*Dashboard!$C$11*(-Dashboard!$C$12*(1-F552)-O552)+2*Dashboard!$C$20*A552</f>
        <v>68854.686031601872</v>
      </c>
      <c r="Q552" s="8">
        <f>-P552-Dashboard!$C$13-Dashboard!$C$14</f>
        <v>-118854.68603160187</v>
      </c>
    </row>
    <row r="553" spans="1:17" x14ac:dyDescent="0.25">
      <c r="A553" s="5">
        <f>(553-2)/100</f>
        <v>5.51</v>
      </c>
      <c r="B553" s="5">
        <f>Dashboard!$C$10*EXP(-Dashboard!$C$12*A553)</f>
        <v>2.9073216830949794E-2</v>
      </c>
      <c r="C553" s="5">
        <f>Dashboard!$C$17*A553</f>
        <v>4408</v>
      </c>
      <c r="D553" s="5">
        <f>Dashboard!$C$15*(1-EXP(-Dashboard!$C$16*A553))</f>
        <v>0.74911278426498262</v>
      </c>
      <c r="E553" s="5">
        <f>1/(1+EXP(MIN(700,MAX(-700,(C553-Dashboard!$C$18)/Dashboard!$C$19))))</f>
        <v>1.7752214532819218E-2</v>
      </c>
      <c r="F553" s="5">
        <f t="shared" si="43"/>
        <v>1.3298410855549492E-2</v>
      </c>
      <c r="G553" s="8">
        <f>Dashboard!$C$9*B553*Dashboard!$C$11*(1-F553)</f>
        <v>57373.178497278692</v>
      </c>
      <c r="H553" s="8">
        <f>Dashboard!$C$20*A553^2</f>
        <v>242880.8</v>
      </c>
      <c r="I553" s="8">
        <f t="shared" si="44"/>
        <v>300253.9784972787</v>
      </c>
      <c r="J553" s="8">
        <f>Dashboard!$C$13*A553</f>
        <v>110200</v>
      </c>
      <c r="K553" s="8">
        <f>Dashboard!$C$14*A553</f>
        <v>165300</v>
      </c>
      <c r="L553" s="8">
        <f>Dashboard!$C$21-K553</f>
        <v>1334700</v>
      </c>
      <c r="M553" s="8">
        <f t="shared" si="45"/>
        <v>924246.02150272136</v>
      </c>
      <c r="N553" s="8">
        <f t="shared" si="46"/>
        <v>275500</v>
      </c>
      <c r="O553" s="8">
        <f>Dashboard!$C$15*(Dashboard!$C$16*EXP(-Dashboard!$C$16*A553)*E553-(1-EXP(-Dashboard!$C$16*A553))*Dashboard!$C$17/Dashboard!$C$19*E553*(1-E553))</f>
        <v>-1.6964765765442001E-2</v>
      </c>
      <c r="P553" s="8">
        <f>Dashboard!$C$9*B553*Dashboard!$C$11*(-Dashboard!$C$12*(1-F553)-O553)+2*Dashboard!$C$20*A553</f>
        <v>69065.828153122391</v>
      </c>
      <c r="Q553" s="8">
        <f>-P553-Dashboard!$C$13-Dashboard!$C$14</f>
        <v>-119065.82815312239</v>
      </c>
    </row>
    <row r="554" spans="1:17" x14ac:dyDescent="0.25">
      <c r="A554" s="5">
        <f>(554-2)/100</f>
        <v>5.52</v>
      </c>
      <c r="B554" s="5">
        <f>Dashboard!$C$10*EXP(-Dashboard!$C$12*A554)</f>
        <v>2.8971638437923858E-2</v>
      </c>
      <c r="C554" s="5">
        <f>Dashboard!$C$17*A554</f>
        <v>4416</v>
      </c>
      <c r="D554" s="5">
        <f>Dashboard!$C$15*(1-EXP(-Dashboard!$C$16*A554))</f>
        <v>0.74936658531228739</v>
      </c>
      <c r="E554" s="5">
        <f>1/(1+EXP(MIN(700,MAX(-700,(C554-Dashboard!$C$18)/Dashboard!$C$19))))</f>
        <v>1.7521209001697444E-2</v>
      </c>
      <c r="F554" s="5">
        <f t="shared" si="43"/>
        <v>1.3129808560144925E-2</v>
      </c>
      <c r="G554" s="8">
        <f>Dashboard!$C$9*B554*Dashboard!$C$11*(1-F554)</f>
        <v>57182.492743120369</v>
      </c>
      <c r="H554" s="8">
        <f>Dashboard!$C$20*A554^2</f>
        <v>243763.19999999995</v>
      </c>
      <c r="I554" s="8">
        <f t="shared" si="44"/>
        <v>300945.69274312031</v>
      </c>
      <c r="J554" s="8">
        <f>Dashboard!$C$13*A554</f>
        <v>110399.99999999999</v>
      </c>
      <c r="K554" s="8">
        <f>Dashboard!$C$14*A554</f>
        <v>165600</v>
      </c>
      <c r="L554" s="8">
        <f>Dashboard!$C$21-K554</f>
        <v>1334400</v>
      </c>
      <c r="M554" s="8">
        <f t="shared" si="45"/>
        <v>923054.30725687975</v>
      </c>
      <c r="N554" s="8">
        <f t="shared" si="46"/>
        <v>276000</v>
      </c>
      <c r="O554" s="8">
        <f>Dashboard!$C$15*(Dashboard!$C$16*EXP(-Dashboard!$C$16*A554)*E554-(1-EXP(-Dashboard!$C$16*A554))*Dashboard!$C$17/Dashboard!$C$19*E554*(1-E554))</f>
        <v>-1.6756098599673953E-2</v>
      </c>
      <c r="P554" s="8">
        <f>Dashboard!$C$9*B554*Dashboard!$C$11*(-Dashboard!$C$12*(1-F554)-O554)+2*Dashboard!$C$20*A554</f>
        <v>69277.03080042779</v>
      </c>
      <c r="Q554" s="8">
        <f>-P554-Dashboard!$C$13-Dashboard!$C$14</f>
        <v>-119277.03080042779</v>
      </c>
    </row>
    <row r="555" spans="1:17" x14ac:dyDescent="0.25">
      <c r="A555" s="5">
        <f>(555-2)/100</f>
        <v>5.53</v>
      </c>
      <c r="B555" s="5">
        <f>Dashboard!$C$10*EXP(-Dashboard!$C$12*A555)</f>
        <v>2.8870414947831071E-2</v>
      </c>
      <c r="C555" s="5">
        <f>Dashboard!$C$17*A555</f>
        <v>4424</v>
      </c>
      <c r="D555" s="5">
        <f>Dashboard!$C$15*(1-EXP(-Dashboard!$C$16*A555))</f>
        <v>0.74961912052158797</v>
      </c>
      <c r="E555" s="5">
        <f>1/(1+EXP(MIN(700,MAX(-700,(C555-Dashboard!$C$18)/Dashboard!$C$19))))</f>
        <v>1.7293156569905425E-2</v>
      </c>
      <c r="F555" s="5">
        <f t="shared" si="43"/>
        <v>1.2963280818974627E-2</v>
      </c>
      <c r="G555" s="8">
        <f>Dashboard!$C$9*B555*Dashboard!$C$11*(1-F555)</f>
        <v>56992.319303004027</v>
      </c>
      <c r="H555" s="8">
        <f>Dashboard!$C$20*A555^2</f>
        <v>244647.20000000004</v>
      </c>
      <c r="I555" s="8">
        <f t="shared" si="44"/>
        <v>301639.51930300408</v>
      </c>
      <c r="J555" s="8">
        <f>Dashboard!$C$13*A555</f>
        <v>110600</v>
      </c>
      <c r="K555" s="8">
        <f>Dashboard!$C$14*A555</f>
        <v>165900</v>
      </c>
      <c r="L555" s="8">
        <f>Dashboard!$C$21-K555</f>
        <v>1334100</v>
      </c>
      <c r="M555" s="8">
        <f t="shared" si="45"/>
        <v>921860.48069699598</v>
      </c>
      <c r="N555" s="8">
        <f t="shared" si="46"/>
        <v>276500</v>
      </c>
      <c r="O555" s="8">
        <f>Dashboard!$C$15*(Dashboard!$C$16*EXP(-Dashboard!$C$16*A555)*E555-(1-EXP(-Dashboard!$C$16*A555))*Dashboard!$C$17/Dashboard!$C$19*E555*(1-E555))</f>
        <v>-1.6549850813675073E-2</v>
      </c>
      <c r="P555" s="8">
        <f>Dashboard!$C$9*B555*Dashboard!$C$11*(-Dashboard!$C$12*(1-F555)-O555)+2*Dashboard!$C$20*A555</f>
        <v>69488.290364579589</v>
      </c>
      <c r="Q555" s="8">
        <f>-P555-Dashboard!$C$13-Dashboard!$C$14</f>
        <v>-119488.29036457959</v>
      </c>
    </row>
    <row r="556" spans="1:17" x14ac:dyDescent="0.25">
      <c r="A556" s="5">
        <f>(556-2)/100</f>
        <v>5.54</v>
      </c>
      <c r="B556" s="5">
        <f>Dashboard!$C$10*EXP(-Dashboard!$C$12*A556)</f>
        <v>2.876954512068244E-2</v>
      </c>
      <c r="C556" s="5">
        <f>Dashboard!$C$17*A556</f>
        <v>4432</v>
      </c>
      <c r="D556" s="5">
        <f>Dashboard!$C$15*(1-EXP(-Dashboard!$C$16*A556))</f>
        <v>0.7498703962062776</v>
      </c>
      <c r="E556" s="5">
        <f>1/(1+EXP(MIN(700,MAX(-700,(C556-Dashboard!$C$18)/Dashboard!$C$19))))</f>
        <v>1.7068020855165476E-2</v>
      </c>
      <c r="F556" s="5">
        <f t="shared" si="43"/>
        <v>1.2798803561119945E-2</v>
      </c>
      <c r="G556" s="8">
        <f>Dashboard!$C$9*B556*Dashboard!$C$11*(1-F556)</f>
        <v>56802.65872828009</v>
      </c>
      <c r="H556" s="8">
        <f>Dashboard!$C$20*A556^2</f>
        <v>245532.80000000002</v>
      </c>
      <c r="I556" s="8">
        <f t="shared" si="44"/>
        <v>302335.45872828009</v>
      </c>
      <c r="J556" s="8">
        <f>Dashboard!$C$13*A556</f>
        <v>110800</v>
      </c>
      <c r="K556" s="8">
        <f>Dashboard!$C$14*A556</f>
        <v>166200</v>
      </c>
      <c r="L556" s="8">
        <f>Dashboard!$C$21-K556</f>
        <v>1333800</v>
      </c>
      <c r="M556" s="8">
        <f t="shared" si="45"/>
        <v>920664.54127171985</v>
      </c>
      <c r="N556" s="8">
        <f t="shared" si="46"/>
        <v>277000</v>
      </c>
      <c r="O556" s="8">
        <f>Dashboard!$C$15*(Dashboard!$C$16*EXP(-Dashboard!$C$16*A556)*E556-(1-EXP(-Dashboard!$C$16*A556))*Dashboard!$C$17/Dashboard!$C$19*E556*(1-E556))</f>
        <v>-1.6345997858517224E-2</v>
      </c>
      <c r="P556" s="8">
        <f>Dashboard!$C$9*B556*Dashboard!$C$11*(-Dashboard!$C$12*(1-F556)-O556)+2*Dashboard!$C$20*A556</f>
        <v>69699.603290968342</v>
      </c>
      <c r="Q556" s="8">
        <f>-P556-Dashboard!$C$13-Dashboard!$C$14</f>
        <v>-119699.60329096834</v>
      </c>
    </row>
    <row r="557" spans="1:17" x14ac:dyDescent="0.25">
      <c r="A557" s="5">
        <f>(557-2)/100</f>
        <v>5.55</v>
      </c>
      <c r="B557" s="5">
        <f>Dashboard!$C$10*EXP(-Dashboard!$C$12*A557)</f>
        <v>2.8669027720821295E-2</v>
      </c>
      <c r="C557" s="5">
        <f>Dashboard!$C$17*A557</f>
        <v>4440</v>
      </c>
      <c r="D557" s="5">
        <f>Dashboard!$C$15*(1-EXP(-Dashboard!$C$16*A557))</f>
        <v>0.75012041864826129</v>
      </c>
      <c r="E557" s="5">
        <f>1/(1+EXP(MIN(700,MAX(-700,(C557-Dashboard!$C$18)/Dashboard!$C$19))))</f>
        <v>1.6845765887980899E-2</v>
      </c>
      <c r="F557" s="5">
        <f t="shared" si="43"/>
        <v>1.2636352960342831E-2</v>
      </c>
      <c r="G557" s="8">
        <f>Dashboard!$C$9*B557*Dashboard!$C$11*(1-F557)</f>
        <v>56613.511535022284</v>
      </c>
      <c r="H557" s="8">
        <f>Dashboard!$C$20*A557^2</f>
        <v>246420</v>
      </c>
      <c r="I557" s="8">
        <f t="shared" si="44"/>
        <v>303033.51153502229</v>
      </c>
      <c r="J557" s="8">
        <f>Dashboard!$C$13*A557</f>
        <v>111000</v>
      </c>
      <c r="K557" s="8">
        <f>Dashboard!$C$14*A557</f>
        <v>166500</v>
      </c>
      <c r="L557" s="8">
        <f>Dashboard!$C$21-K557</f>
        <v>1333500</v>
      </c>
      <c r="M557" s="8">
        <f t="shared" si="45"/>
        <v>919466.48846497771</v>
      </c>
      <c r="N557" s="8">
        <f t="shared" si="46"/>
        <v>277500</v>
      </c>
      <c r="O557" s="8">
        <f>Dashboard!$C$15*(Dashboard!$C$16*EXP(-Dashboard!$C$16*A557)*E557-(1-EXP(-Dashboard!$C$16*A557))*Dashboard!$C$17/Dashboard!$C$19*E557*(1-E557))</f>
        <v>-1.6144515347239055E-2</v>
      </c>
      <c r="P557" s="8">
        <f>Dashboard!$C$9*B557*Dashboard!$C$11*(-Dashboard!$C$12*(1-F557)-O557)+2*Dashboard!$C$20*A557</f>
        <v>69910.966078800644</v>
      </c>
      <c r="Q557" s="8">
        <f>-P557-Dashboard!$C$13-Dashboard!$C$14</f>
        <v>-119910.96607880064</v>
      </c>
    </row>
    <row r="558" spans="1:17" x14ac:dyDescent="0.25">
      <c r="A558" s="5">
        <f>(558-2)/100</f>
        <v>5.56</v>
      </c>
      <c r="B558" s="5">
        <f>Dashboard!$C$10*EXP(-Dashboard!$C$12*A558)</f>
        <v>2.8568861516908253E-2</v>
      </c>
      <c r="C558" s="5">
        <f>Dashboard!$C$17*A558</f>
        <v>4448</v>
      </c>
      <c r="D558" s="5">
        <f>Dashboard!$C$15*(1-EXP(-Dashboard!$C$16*A558))</f>
        <v>0.75036919409811342</v>
      </c>
      <c r="E558" s="5">
        <f>1/(1+EXP(MIN(700,MAX(-700,(C558-Dashboard!$C$18)/Dashboard!$C$19))))</f>
        <v>1.6626356107881622E-2</v>
      </c>
      <c r="F558" s="5">
        <f t="shared" si="43"/>
        <v>1.2475905433459378E-2</v>
      </c>
      <c r="G558" s="8">
        <f>Dashboard!$C$9*B558*Dashboard!$C$11*(1-F558)</f>
        <v>56424.878204563414</v>
      </c>
      <c r="H558" s="8">
        <f>Dashboard!$C$20*A558^2</f>
        <v>247308.79999999996</v>
      </c>
      <c r="I558" s="8">
        <f t="shared" si="44"/>
        <v>303733.67820456339</v>
      </c>
      <c r="J558" s="8">
        <f>Dashboard!$C$13*A558</f>
        <v>111199.99999999999</v>
      </c>
      <c r="K558" s="8">
        <f>Dashboard!$C$14*A558</f>
        <v>166800</v>
      </c>
      <c r="L558" s="8">
        <f>Dashboard!$C$21-K558</f>
        <v>1333200</v>
      </c>
      <c r="M558" s="8">
        <f t="shared" si="45"/>
        <v>918266.32179543655</v>
      </c>
      <c r="N558" s="8">
        <f t="shared" si="46"/>
        <v>278000</v>
      </c>
      <c r="O558" s="8">
        <f>Dashboard!$C$15*(Dashboard!$C$16*EXP(-Dashboard!$C$16*A558)*E558-(1-EXP(-Dashboard!$C$16*A558))*Dashboard!$C$17/Dashboard!$C$19*E558*(1-E558))</f>
        <v>-1.5945379056182939E-2</v>
      </c>
      <c r="P558" s="8">
        <f>Dashboard!$C$9*B558*Dashboard!$C$11*(-Dashboard!$C$12*(1-F558)-O558)+2*Dashboard!$C$20*A558</f>
        <v>70122.375280584209</v>
      </c>
      <c r="Q558" s="8">
        <f>-P558-Dashboard!$C$13-Dashboard!$C$14</f>
        <v>-120122.37528058421</v>
      </c>
    </row>
    <row r="559" spans="1:17" x14ac:dyDescent="0.25">
      <c r="A559" s="5">
        <f>(559-2)/100</f>
        <v>5.57</v>
      </c>
      <c r="B559" s="5">
        <f>Dashboard!$C$10*EXP(-Dashboard!$C$12*A559)</f>
        <v>2.8469045281906039E-2</v>
      </c>
      <c r="C559" s="5">
        <f>Dashboard!$C$17*A559</f>
        <v>4456</v>
      </c>
      <c r="D559" s="5">
        <f>Dashboard!$C$15*(1-EXP(-Dashboard!$C$16*A559))</f>
        <v>0.750616728775233</v>
      </c>
      <c r="E559" s="5">
        <f>1/(1+EXP(MIN(700,MAX(-700,(C559-Dashboard!$C$18)/Dashboard!$C$19))))</f>
        <v>1.6409756359678594E-2</v>
      </c>
      <c r="F559" s="5">
        <f t="shared" si="43"/>
        <v>1.2317437638700522E-2</v>
      </c>
      <c r="G559" s="8">
        <f>Dashboard!$C$9*B559*Dashboard!$C$11*(1-F559)</f>
        <v>56236.759184025635</v>
      </c>
      <c r="H559" s="8">
        <f>Dashboard!$C$20*A559^2</f>
        <v>248199.2</v>
      </c>
      <c r="I559" s="8">
        <f t="shared" si="44"/>
        <v>304435.95918402565</v>
      </c>
      <c r="J559" s="8">
        <f>Dashboard!$C$13*A559</f>
        <v>111400</v>
      </c>
      <c r="K559" s="8">
        <f>Dashboard!$C$14*A559</f>
        <v>167100</v>
      </c>
      <c r="L559" s="8">
        <f>Dashboard!$C$21-K559</f>
        <v>1332900</v>
      </c>
      <c r="M559" s="8">
        <f t="shared" si="45"/>
        <v>917064.04081597435</v>
      </c>
      <c r="N559" s="8">
        <f t="shared" si="46"/>
        <v>278500</v>
      </c>
      <c r="O559" s="8">
        <f>Dashboard!$C$15*(Dashboard!$C$16*EXP(-Dashboard!$C$16*A559)*E559-(1-EXP(-Dashboard!$C$16*A559))*Dashboard!$C$17/Dashboard!$C$19*E559*(1-E559))</f>
        <v>-1.5748564926244039E-2</v>
      </c>
      <c r="P559" s="8">
        <f>Dashboard!$C$9*B559*Dashboard!$C$11*(-Dashboard!$C$12*(1-F559)-O559)+2*Dashboard!$C$20*A559</f>
        <v>70333.82750161158</v>
      </c>
      <c r="Q559" s="8">
        <f>-P559-Dashboard!$C$13-Dashboard!$C$14</f>
        <v>-120333.82750161158</v>
      </c>
    </row>
    <row r="560" spans="1:17" x14ac:dyDescent="0.25">
      <c r="A560" s="5">
        <f>(560-2)/100</f>
        <v>5.58</v>
      </c>
      <c r="B560" s="5">
        <f>Dashboard!$C$10*EXP(-Dashboard!$C$12*A560)</f>
        <v>2.8369577793064552E-2</v>
      </c>
      <c r="C560" s="5">
        <f>Dashboard!$C$17*A560</f>
        <v>4464</v>
      </c>
      <c r="D560" s="5">
        <f>Dashboard!$C$15*(1-EXP(-Dashboard!$C$16*A560))</f>
        <v>0.75086302886799994</v>
      </c>
      <c r="E560" s="5">
        <f>1/(1+EXP(MIN(700,MAX(-700,(C560-Dashboard!$C$18)/Dashboard!$C$19))))</f>
        <v>1.6195931889727483E-2</v>
      </c>
      <c r="F560" s="5">
        <f t="shared" si="43"/>
        <v>1.2160926474060607E-2</v>
      </c>
      <c r="G560" s="8">
        <f>Dashboard!$C$9*B560*Dashboard!$C$11*(1-F560)</f>
        <v>56049.154886845892</v>
      </c>
      <c r="H560" s="8">
        <f>Dashboard!$C$20*A560^2</f>
        <v>249091.20000000001</v>
      </c>
      <c r="I560" s="8">
        <f t="shared" si="44"/>
        <v>305140.35488684592</v>
      </c>
      <c r="J560" s="8">
        <f>Dashboard!$C$13*A560</f>
        <v>111600</v>
      </c>
      <c r="K560" s="8">
        <f>Dashboard!$C$14*A560</f>
        <v>167400</v>
      </c>
      <c r="L560" s="8">
        <f>Dashboard!$C$21-K560</f>
        <v>1332600</v>
      </c>
      <c r="M560" s="8">
        <f t="shared" si="45"/>
        <v>915859.64511315408</v>
      </c>
      <c r="N560" s="8">
        <f t="shared" si="46"/>
        <v>279000</v>
      </c>
      <c r="O560" s="8">
        <f>Dashboard!$C$15*(Dashboard!$C$16*EXP(-Dashboard!$C$16*A560)*E560-(1-EXP(-Dashboard!$C$16*A560))*Dashboard!$C$17/Dashboard!$C$19*E560*(1-E560))</f>
        <v>-1.5554049064033626E-2</v>
      </c>
      <c r="P560" s="8">
        <f>Dashboard!$C$9*B560*Dashboard!$C$11*(-Dashboard!$C$12*(1-F560)-O560)+2*Dashboard!$C$20*A560</f>
        <v>70545.319399442422</v>
      </c>
      <c r="Q560" s="8">
        <f>-P560-Dashboard!$C$13-Dashboard!$C$14</f>
        <v>-120545.31939944242</v>
      </c>
    </row>
    <row r="561" spans="1:17" x14ac:dyDescent="0.25">
      <c r="A561" s="5">
        <f>(561-2)/100</f>
        <v>5.59</v>
      </c>
      <c r="B561" s="5">
        <f>Dashboard!$C$10*EXP(-Dashboard!$C$12*A561)</f>
        <v>2.8270457831905793E-2</v>
      </c>
      <c r="C561" s="5">
        <f>Dashboard!$C$17*A561</f>
        <v>4472</v>
      </c>
      <c r="D561" s="5">
        <f>Dashboard!$C$15*(1-EXP(-Dashboard!$C$16*A561))</f>
        <v>0.7511081005339294</v>
      </c>
      <c r="E561" s="5">
        <f>1/(1+EXP(MIN(700,MAX(-700,(C561-Dashboard!$C$18)/Dashboard!$C$19))))</f>
        <v>1.5984848342202582E-2</v>
      </c>
      <c r="F561" s="5">
        <f t="shared" si="43"/>
        <v>1.2006349075634712E-2</v>
      </c>
      <c r="G561" s="8">
        <f>Dashboard!$C$9*B561*Dashboard!$C$11*(1-F561)</f>
        <v>55862.065693295845</v>
      </c>
      <c r="H561" s="8">
        <f>Dashboard!$C$20*A561^2</f>
        <v>249984.8</v>
      </c>
      <c r="I561" s="8">
        <f t="shared" si="44"/>
        <v>305846.86569329584</v>
      </c>
      <c r="J561" s="8">
        <f>Dashboard!$C$13*A561</f>
        <v>111800</v>
      </c>
      <c r="K561" s="8">
        <f>Dashboard!$C$14*A561</f>
        <v>167700</v>
      </c>
      <c r="L561" s="8">
        <f>Dashboard!$C$21-K561</f>
        <v>1332300</v>
      </c>
      <c r="M561" s="8">
        <f t="shared" si="45"/>
        <v>914653.13430670416</v>
      </c>
      <c r="N561" s="8">
        <f t="shared" si="46"/>
        <v>279500</v>
      </c>
      <c r="O561" s="8">
        <f>Dashboard!$C$15*(Dashboard!$C$16*EXP(-Dashboard!$C$16*A561)*E561-(1-EXP(-Dashboard!$C$16*A561))*Dashboard!$C$17/Dashboard!$C$19*E561*(1-E561))</f>
        <v>-1.5361807742959184E-2</v>
      </c>
      <c r="P561" s="8">
        <f>Dashboard!$C$9*B561*Dashboard!$C$11*(-Dashboard!$C$12*(1-F561)-O561)+2*Dashboard!$C$20*A561</f>
        <v>70756.847683384796</v>
      </c>
      <c r="Q561" s="8">
        <f>-P561-Dashboard!$C$13-Dashboard!$C$14</f>
        <v>-120756.8476833848</v>
      </c>
    </row>
    <row r="562" spans="1:17" x14ac:dyDescent="0.25">
      <c r="A562" s="5">
        <f>(562-2)/100</f>
        <v>5.6</v>
      </c>
      <c r="B562" s="5">
        <f>Dashboard!$C$10*EXP(-Dashboard!$C$12*A562)</f>
        <v>2.8171684184209008E-2</v>
      </c>
      <c r="C562" s="5">
        <f>Dashboard!$C$17*A562</f>
        <v>4480</v>
      </c>
      <c r="D562" s="5">
        <f>Dashboard!$C$15*(1-EXP(-Dashboard!$C$16*A562))</f>
        <v>0.75135194989982568</v>
      </c>
      <c r="E562" s="5">
        <f>1/(1+EXP(MIN(700,MAX(-700,(C562-Dashboard!$C$18)/Dashboard!$C$19))))</f>
        <v>1.5776471755381879E-2</v>
      </c>
      <c r="F562" s="5">
        <f t="shared" si="43"/>
        <v>1.1853682815945701E-2</v>
      </c>
      <c r="G562" s="8">
        <f>Dashboard!$C$9*B562*Dashboard!$C$11*(1-F562)</f>
        <v>55675.491950996802</v>
      </c>
      <c r="H562" s="8">
        <f>Dashboard!$C$20*A562^2</f>
        <v>250879.99999999997</v>
      </c>
      <c r="I562" s="8">
        <f t="shared" si="44"/>
        <v>306555.4919509968</v>
      </c>
      <c r="J562" s="8">
        <f>Dashboard!$C$13*A562</f>
        <v>112000</v>
      </c>
      <c r="K562" s="8">
        <f>Dashboard!$C$14*A562</f>
        <v>168000</v>
      </c>
      <c r="L562" s="8">
        <f>Dashboard!$C$21-K562</f>
        <v>1332000</v>
      </c>
      <c r="M562" s="8">
        <f t="shared" si="45"/>
        <v>913444.5080490032</v>
      </c>
      <c r="N562" s="8">
        <f t="shared" si="46"/>
        <v>280000</v>
      </c>
      <c r="O562" s="8">
        <f>Dashboard!$C$15*(Dashboard!$C$16*EXP(-Dashboard!$C$16*A562)*E562-(1-EXP(-Dashboard!$C$16*A562))*Dashboard!$C$17/Dashboard!$C$19*E562*(1-E562))</f>
        <v>-1.5171817404223671E-2</v>
      </c>
      <c r="P562" s="8">
        <f>Dashboard!$C$9*B562*Dashboard!$C$11*(-Dashboard!$C$12*(1-F562)-O562)+2*Dashboard!$C$20*A562</f>
        <v>70968.409113975678</v>
      </c>
      <c r="Q562" s="8">
        <f>-P562-Dashboard!$C$13-Dashboard!$C$14</f>
        <v>-120968.40911397568</v>
      </c>
    </row>
    <row r="563" spans="1:17" x14ac:dyDescent="0.25">
      <c r="A563" s="5">
        <f>(563-2)/100</f>
        <v>5.61</v>
      </c>
      <c r="B563" s="5">
        <f>Dashboard!$C$10*EXP(-Dashboard!$C$12*A563)</f>
        <v>2.807325563999576E-2</v>
      </c>
      <c r="C563" s="5">
        <f>Dashboard!$C$17*A563</f>
        <v>4488</v>
      </c>
      <c r="D563" s="5">
        <f>Dashboard!$C$15*(1-EXP(-Dashboard!$C$16*A563))</f>
        <v>0.75159458306193572</v>
      </c>
      <c r="E563" s="5">
        <f>1/(1+EXP(MIN(700,MAX(-700,(C563-Dashboard!$C$18)/Dashboard!$C$19))))</f>
        <v>1.557076855794365E-2</v>
      </c>
      <c r="F563" s="5">
        <f t="shared" si="43"/>
        <v>1.1702905302261556E-2</v>
      </c>
      <c r="G563" s="8">
        <f>Dashboard!$C$9*B563*Dashboard!$C$11*(1-F563)</f>
        <v>55489.433975429412</v>
      </c>
      <c r="H563" s="8">
        <f>Dashboard!$C$20*A563^2</f>
        <v>251776.80000000005</v>
      </c>
      <c r="I563" s="8">
        <f t="shared" si="44"/>
        <v>307266.23397542944</v>
      </c>
      <c r="J563" s="8">
        <f>Dashboard!$C$13*A563</f>
        <v>112200</v>
      </c>
      <c r="K563" s="8">
        <f>Dashboard!$C$14*A563</f>
        <v>168300</v>
      </c>
      <c r="L563" s="8">
        <f>Dashboard!$C$21-K563</f>
        <v>1331700</v>
      </c>
      <c r="M563" s="8">
        <f t="shared" si="45"/>
        <v>912233.76602457056</v>
      </c>
      <c r="N563" s="8">
        <f t="shared" si="46"/>
        <v>280500</v>
      </c>
      <c r="O563" s="8">
        <f>Dashboard!$C$15*(Dashboard!$C$16*EXP(-Dashboard!$C$16*A563)*E563-(1-EXP(-Dashboard!$C$16*A563))*Dashboard!$C$17/Dashboard!$C$19*E563*(1-E563))</f>
        <v>-1.4984054657745993E-2</v>
      </c>
      <c r="P563" s="8">
        <f>Dashboard!$C$9*B563*Dashboard!$C$11*(-Dashboard!$C$12*(1-F563)-O563)+2*Dashboard!$C$20*A563</f>
        <v>71180.000502460854</v>
      </c>
      <c r="Q563" s="8">
        <f>-P563-Dashboard!$C$13-Dashboard!$C$14</f>
        <v>-121180.00050246085</v>
      </c>
    </row>
    <row r="564" spans="1:17" x14ac:dyDescent="0.25">
      <c r="A564" s="5">
        <f>(564-2)/100</f>
        <v>5.62</v>
      </c>
      <c r="B564" s="5">
        <f>Dashboard!$C$10*EXP(-Dashboard!$C$12*A564)</f>
        <v>2.7975170993515177E-2</v>
      </c>
      <c r="C564" s="5">
        <f>Dashboard!$C$17*A564</f>
        <v>4496</v>
      </c>
      <c r="D564" s="5">
        <f>Dashboard!$C$15*(1-EXP(-Dashboard!$C$16*A564))</f>
        <v>0.75183600608610124</v>
      </c>
      <c r="E564" s="5">
        <f>1/(1+EXP(MIN(700,MAX(-700,(C564-Dashboard!$C$18)/Dashboard!$C$19))))</f>
        <v>1.5367705565275549E-2</v>
      </c>
      <c r="F564" s="5">
        <f t="shared" si="43"/>
        <v>1.155399437490392E-2</v>
      </c>
      <c r="G564" s="8">
        <f>Dashboard!$C$9*B564*Dashboard!$C$11*(1-F564)</f>
        <v>55303.892050438248</v>
      </c>
      <c r="H564" s="8">
        <f>Dashboard!$C$20*A564^2</f>
        <v>252675.20000000001</v>
      </c>
      <c r="I564" s="8">
        <f t="shared" si="44"/>
        <v>307979.09205043828</v>
      </c>
      <c r="J564" s="8">
        <f>Dashboard!$C$13*A564</f>
        <v>112400</v>
      </c>
      <c r="K564" s="8">
        <f>Dashboard!$C$14*A564</f>
        <v>168600</v>
      </c>
      <c r="L564" s="8">
        <f>Dashboard!$C$21-K564</f>
        <v>1331400</v>
      </c>
      <c r="M564" s="8">
        <f t="shared" si="45"/>
        <v>911020.90794956172</v>
      </c>
      <c r="N564" s="8">
        <f t="shared" si="46"/>
        <v>281000</v>
      </c>
      <c r="O564" s="8">
        <f>Dashboard!$C$15*(Dashboard!$C$16*EXP(-Dashboard!$C$16*A564)*E564-(1-EXP(-Dashboard!$C$16*A564))*Dashboard!$C$17/Dashboard!$C$19*E564*(1-E564))</f>
        <v>-1.4798496283005134E-2</v>
      </c>
      <c r="P564" s="8">
        <f>Dashboard!$C$9*B564*Dashboard!$C$11*(-Dashboard!$C$12*(1-F564)-O564)+2*Dashboard!$C$20*A564</f>
        <v>71391.618710274546</v>
      </c>
      <c r="Q564" s="8">
        <f>-P564-Dashboard!$C$13-Dashboard!$C$14</f>
        <v>-121391.61871027455</v>
      </c>
    </row>
    <row r="565" spans="1:17" x14ac:dyDescent="0.25">
      <c r="A565" s="5">
        <f>(565-2)/100</f>
        <v>5.63</v>
      </c>
      <c r="B565" s="5">
        <f>Dashboard!$C$10*EXP(-Dashboard!$C$12*A565)</f>
        <v>2.7877429043229093E-2</v>
      </c>
      <c r="C565" s="5">
        <f>Dashboard!$C$17*A565</f>
        <v>4504</v>
      </c>
      <c r="D565" s="5">
        <f>Dashboard!$C$15*(1-EXP(-Dashboard!$C$16*A565))</f>
        <v>0.75207622500791027</v>
      </c>
      <c r="E565" s="5">
        <f>1/(1+EXP(MIN(700,MAX(-700,(C565-Dashboard!$C$18)/Dashboard!$C$19))))</f>
        <v>1.5167249975796885E-2</v>
      </c>
      <c r="F565" s="5">
        <f t="shared" si="43"/>
        <v>1.1406928105548639E-2</v>
      </c>
      <c r="G565" s="8">
        <f>Dashboard!$C$9*B565*Dashboard!$C$11*(1-F565)</f>
        <v>55118.866428730886</v>
      </c>
      <c r="H565" s="8">
        <f>Dashboard!$C$20*A565^2</f>
        <v>253575.19999999998</v>
      </c>
      <c r="I565" s="8">
        <f t="shared" si="44"/>
        <v>308694.06642873085</v>
      </c>
      <c r="J565" s="8">
        <f>Dashboard!$C$13*A565</f>
        <v>112600</v>
      </c>
      <c r="K565" s="8">
        <f>Dashboard!$C$14*A565</f>
        <v>168900</v>
      </c>
      <c r="L565" s="8">
        <f>Dashboard!$C$21-K565</f>
        <v>1331100</v>
      </c>
      <c r="M565" s="8">
        <f t="shared" si="45"/>
        <v>909805.93357126915</v>
      </c>
      <c r="N565" s="8">
        <f t="shared" si="46"/>
        <v>281500</v>
      </c>
      <c r="O565" s="8">
        <f>Dashboard!$C$15*(Dashboard!$C$16*EXP(-Dashboard!$C$16*A565)*E565-(1-EXP(-Dashboard!$C$16*A565))*Dashboard!$C$17/Dashboard!$C$19*E565*(1-E565))</f>
        <v>-1.4615119229810018E-2</v>
      </c>
      <c r="P565" s="8">
        <f>Dashboard!$C$9*B565*Dashboard!$C$11*(-Dashboard!$C$12*(1-F565)-O565)+2*Dashboard!$C$20*A565</f>
        <v>71603.260648518917</v>
      </c>
      <c r="Q565" s="8">
        <f>-P565-Dashboard!$C$13-Dashboard!$C$14</f>
        <v>-121603.26064851892</v>
      </c>
    </row>
    <row r="566" spans="1:17" x14ac:dyDescent="0.25">
      <c r="A566" s="5">
        <f>(566-2)/100</f>
        <v>5.64</v>
      </c>
      <c r="B566" s="5">
        <f>Dashboard!$C$10*EXP(-Dashboard!$C$12*A566)</f>
        <v>2.7780028591797408E-2</v>
      </c>
      <c r="C566" s="5">
        <f>Dashboard!$C$17*A566</f>
        <v>4512</v>
      </c>
      <c r="D566" s="5">
        <f>Dashboard!$C$15*(1-EXP(-Dashboard!$C$16*A566))</f>
        <v>0.75231524583284859</v>
      </c>
      <c r="E566" s="5">
        <f>1/(1+EXP(MIN(700,MAX(-700,(C566-Dashboard!$C$18)/Dashboard!$C$19))))</f>
        <v>1.4969369367294472E-2</v>
      </c>
      <c r="F566" s="5">
        <f t="shared" si="43"/>
        <v>1.1261684795518855E-2</v>
      </c>
      <c r="G566" s="8">
        <f>Dashboard!$C$9*B566*Dashboard!$C$11*(1-F566)</f>
        <v>54934.357332372172</v>
      </c>
      <c r="H566" s="8">
        <f>Dashboard!$C$20*A566^2</f>
        <v>254476.79999999996</v>
      </c>
      <c r="I566" s="8">
        <f t="shared" si="44"/>
        <v>309411.15733237215</v>
      </c>
      <c r="J566" s="8">
        <f>Dashboard!$C$13*A566</f>
        <v>112800</v>
      </c>
      <c r="K566" s="8">
        <f>Dashboard!$C$14*A566</f>
        <v>169200</v>
      </c>
      <c r="L566" s="8">
        <f>Dashboard!$C$21-K566</f>
        <v>1330800</v>
      </c>
      <c r="M566" s="8">
        <f t="shared" si="45"/>
        <v>908588.84266762785</v>
      </c>
      <c r="N566" s="8">
        <f t="shared" si="46"/>
        <v>282000</v>
      </c>
      <c r="O566" s="8">
        <f>Dashboard!$C$15*(Dashboard!$C$16*EXP(-Dashboard!$C$16*A566)*E566-(1-EXP(-Dashboard!$C$16*A566))*Dashboard!$C$17/Dashboard!$C$19*E566*(1-E566))</f>
        <v>-1.4433900618997221E-2</v>
      </c>
      <c r="P566" s="8">
        <f>Dashboard!$C$9*B566*Dashboard!$C$11*(-Dashboard!$C$12*(1-F566)-O566)+2*Dashboard!$C$20*A566</f>
        <v>71814.923277443551</v>
      </c>
      <c r="Q566" s="8">
        <f>-P566-Dashboard!$C$13-Dashboard!$C$14</f>
        <v>-121814.92327744355</v>
      </c>
    </row>
    <row r="567" spans="1:17" x14ac:dyDescent="0.25">
      <c r="A567" s="5">
        <f>(567-2)/100</f>
        <v>5.65</v>
      </c>
      <c r="B567" s="5">
        <f>Dashboard!$C$10*EXP(-Dashboard!$C$12*A567)</f>
        <v>2.7682968446063355E-2</v>
      </c>
      <c r="C567" s="5">
        <f>Dashboard!$C$17*A567</f>
        <v>4520</v>
      </c>
      <c r="D567" s="5">
        <f>Dashboard!$C$15*(1-EXP(-Dashboard!$C$16*A567))</f>
        <v>0.75255307453644904</v>
      </c>
      <c r="E567" s="5">
        <f>1/(1+EXP(MIN(700,MAX(-700,(C567-Dashboard!$C$18)/Dashboard!$C$19))))</f>
        <v>1.4774031693273055E-2</v>
      </c>
      <c r="F567" s="5">
        <f t="shared" si="43"/>
        <v>1.1118242974071577E-2</v>
      </c>
      <c r="G567" s="8">
        <f>Dashboard!$C$9*B567*Dashboard!$C$11*(1-F567)</f>
        <v>54750.364953272932</v>
      </c>
      <c r="H567" s="8">
        <f>Dashboard!$C$20*A567^2</f>
        <v>255380.00000000003</v>
      </c>
      <c r="I567" s="8">
        <f t="shared" si="44"/>
        <v>310130.36495327298</v>
      </c>
      <c r="J567" s="8">
        <f>Dashboard!$C$13*A567</f>
        <v>113000</v>
      </c>
      <c r="K567" s="8">
        <f>Dashboard!$C$14*A567</f>
        <v>169500</v>
      </c>
      <c r="L567" s="8">
        <f>Dashboard!$C$21-K567</f>
        <v>1330500</v>
      </c>
      <c r="M567" s="8">
        <f t="shared" si="45"/>
        <v>907369.63504672702</v>
      </c>
      <c r="N567" s="8">
        <f t="shared" si="46"/>
        <v>282500</v>
      </c>
      <c r="O567" s="8">
        <f>Dashboard!$C$15*(Dashboard!$C$16*EXP(-Dashboard!$C$16*A567)*E567-(1-EXP(-Dashboard!$C$16*A567))*Dashboard!$C$17/Dashboard!$C$19*E567*(1-E567))</f>
        <v>-1.4254817743058742E-2</v>
      </c>
      <c r="P567" s="8">
        <f>Dashboard!$C$9*B567*Dashboard!$C$11*(-Dashboard!$C$12*(1-F567)-O567)+2*Dashboard!$C$20*A567</f>
        <v>72026.60360592544</v>
      </c>
      <c r="Q567" s="8">
        <f>-P567-Dashboard!$C$13-Dashboard!$C$14</f>
        <v>-122026.60360592544</v>
      </c>
    </row>
    <row r="568" spans="1:17" x14ac:dyDescent="0.25">
      <c r="A568" s="5">
        <f>(568-2)/100</f>
        <v>5.66</v>
      </c>
      <c r="B568" s="5">
        <f>Dashboard!$C$10*EXP(-Dashboard!$C$12*A568)</f>
        <v>2.7586247417038964E-2</v>
      </c>
      <c r="C568" s="5">
        <f>Dashboard!$C$17*A568</f>
        <v>4528</v>
      </c>
      <c r="D568" s="5">
        <f>Dashboard!$C$15*(1-EXP(-Dashboard!$C$16*A568))</f>
        <v>0.75278971706444175</v>
      </c>
      <c r="E568" s="5">
        <f>1/(1+EXP(MIN(700,MAX(-700,(C568-Dashboard!$C$18)/Dashboard!$C$19))))</f>
        <v>1.458120527932056E-2</v>
      </c>
      <c r="F568" s="5">
        <f t="shared" si="43"/>
        <v>1.0976581396678269E-2</v>
      </c>
      <c r="G568" s="8">
        <f>Dashboard!$C$9*B568*Dashboard!$C$11*(1-F568)</f>
        <v>54566.889453673859</v>
      </c>
      <c r="H568" s="8">
        <f>Dashboard!$C$20*A568^2</f>
        <v>256284.80000000002</v>
      </c>
      <c r="I568" s="8">
        <f t="shared" si="44"/>
        <v>310851.6894536739</v>
      </c>
      <c r="J568" s="8">
        <f>Dashboard!$C$13*A568</f>
        <v>113200</v>
      </c>
      <c r="K568" s="8">
        <f>Dashboard!$C$14*A568</f>
        <v>169800</v>
      </c>
      <c r="L568" s="8">
        <f>Dashboard!$C$21-K568</f>
        <v>1330200</v>
      </c>
      <c r="M568" s="8">
        <f t="shared" si="45"/>
        <v>906148.3105463261</v>
      </c>
      <c r="N568" s="8">
        <f t="shared" si="46"/>
        <v>283000</v>
      </c>
      <c r="O568" s="8">
        <f>Dashboard!$C$15*(Dashboard!$C$16*EXP(-Dashboard!$C$16*A568)*E568-(1-EXP(-Dashboard!$C$16*A568))*Dashboard!$C$17/Dashboard!$C$19*E568*(1-E568))</f>
        <v>-1.4077848066701754E-2</v>
      </c>
      <c r="P568" s="8">
        <f>Dashboard!$C$9*B568*Dashboard!$C$11*(-Dashboard!$C$12*(1-F568)-O568)+2*Dashboard!$C$20*A568</f>
        <v>72238.298690949188</v>
      </c>
      <c r="Q568" s="8">
        <f>-P568-Dashboard!$C$13-Dashboard!$C$14</f>
        <v>-122238.29869094919</v>
      </c>
    </row>
    <row r="569" spans="1:17" x14ac:dyDescent="0.25">
      <c r="A569" s="5">
        <f>(569-2)/100</f>
        <v>5.67</v>
      </c>
      <c r="B569" s="5">
        <f>Dashboard!$C$10*EXP(-Dashboard!$C$12*A569)</f>
        <v>2.7489864319890391E-2</v>
      </c>
      <c r="C569" s="5">
        <f>Dashboard!$C$17*A569</f>
        <v>4536</v>
      </c>
      <c r="D569" s="5">
        <f>Dashboard!$C$15*(1-EXP(-Dashboard!$C$16*A569))</f>
        <v>0.75302517933290225</v>
      </c>
      <c r="E569" s="5">
        <f>1/(1+EXP(MIN(700,MAX(-700,(C569-Dashboard!$C$18)/Dashboard!$C$19))))</f>
        <v>1.4390858819488926E-2</v>
      </c>
      <c r="F569" s="5">
        <f t="shared" si="43"/>
        <v>1.0836679043300126E-2</v>
      </c>
      <c r="G569" s="8">
        <f>Dashboard!$C$9*B569*Dashboard!$C$11*(1-F569)</f>
        <v>54383.930966623739</v>
      </c>
      <c r="H569" s="8">
        <f>Dashboard!$C$20*A569^2</f>
        <v>257191.19999999998</v>
      </c>
      <c r="I569" s="8">
        <f t="shared" si="44"/>
        <v>311575.13096662372</v>
      </c>
      <c r="J569" s="8">
        <f>Dashboard!$C$13*A569</f>
        <v>113400</v>
      </c>
      <c r="K569" s="8">
        <f>Dashboard!$C$14*A569</f>
        <v>170100</v>
      </c>
      <c r="L569" s="8">
        <f>Dashboard!$C$21-K569</f>
        <v>1329900</v>
      </c>
      <c r="M569" s="8">
        <f t="shared" si="45"/>
        <v>904924.86903337622</v>
      </c>
      <c r="N569" s="8">
        <f t="shared" si="46"/>
        <v>283500</v>
      </c>
      <c r="O569" s="8">
        <f>Dashboard!$C$15*(Dashboard!$C$16*EXP(-Dashboard!$C$16*A569)*E569-(1-EXP(-Dashboard!$C$16*A569))*Dashboard!$C$17/Dashboard!$C$19*E569*(1-E569))</f>
        <v>-1.3902969227342335E-2</v>
      </c>
      <c r="P569" s="8">
        <f>Dashboard!$C$9*B569*Dashboard!$C$11*(-Dashboard!$C$12*(1-F569)-O569)+2*Dashboard!$C$20*A569</f>
        <v>72450.005637088194</v>
      </c>
      <c r="Q569" s="8">
        <f>-P569-Dashboard!$C$13-Dashboard!$C$14</f>
        <v>-122450.00563708819</v>
      </c>
    </row>
    <row r="570" spans="1:17" x14ac:dyDescent="0.25">
      <c r="A570" s="5">
        <f>(570-2)/100</f>
        <v>5.68</v>
      </c>
      <c r="B570" s="5">
        <f>Dashboard!$C$10*EXP(-Dashboard!$C$12*A570)</f>
        <v>2.7393817973923512E-2</v>
      </c>
      <c r="C570" s="5">
        <f>Dashboard!$C$17*A570</f>
        <v>4544</v>
      </c>
      <c r="D570" s="5">
        <f>Dashboard!$C$15*(1-EXP(-Dashboard!$C$16*A570))</f>
        <v>0.75325946722839943</v>
      </c>
      <c r="E570" s="5">
        <f>1/(1+EXP(MIN(700,MAX(-700,(C570-Dashboard!$C$18)/Dashboard!$C$19))))</f>
        <v>1.4202961372691125E-2</v>
      </c>
      <c r="F570" s="5">
        <f t="shared" si="43"/>
        <v>1.0698515116658853E-2</v>
      </c>
      <c r="G570" s="8">
        <f>Dashboard!$C$9*B570*Dashboard!$C$11*(1-F570)</f>
        <v>54201.489596452979</v>
      </c>
      <c r="H570" s="8">
        <f>Dashboard!$C$20*A570^2</f>
        <v>258099.19999999998</v>
      </c>
      <c r="I570" s="8">
        <f t="shared" si="44"/>
        <v>312300.68959645298</v>
      </c>
      <c r="J570" s="8">
        <f>Dashboard!$C$13*A570</f>
        <v>113600</v>
      </c>
      <c r="K570" s="8">
        <f>Dashboard!$C$14*A570</f>
        <v>170400</v>
      </c>
      <c r="L570" s="8">
        <f>Dashboard!$C$21-K570</f>
        <v>1329600</v>
      </c>
      <c r="M570" s="8">
        <f t="shared" si="45"/>
        <v>903699.31040354702</v>
      </c>
      <c r="N570" s="8">
        <f t="shared" si="46"/>
        <v>284000</v>
      </c>
      <c r="O570" s="8">
        <f>Dashboard!$C$15*(Dashboard!$C$16*EXP(-Dashboard!$C$16*A570)*E570-(1-EXP(-Dashboard!$C$16*A570))*Dashboard!$C$17/Dashboard!$C$19*E570*(1-E570))</f>
        <v>-1.3730159035535367E-2</v>
      </c>
      <c r="P570" s="8">
        <f>Dashboard!$C$9*B570*Dashboard!$C$11*(-Dashboard!$C$12*(1-F570)-O570)+2*Dashboard!$C$20*A570</f>
        <v>72661.721595986412</v>
      </c>
      <c r="Q570" s="8">
        <f>-P570-Dashboard!$C$13-Dashboard!$C$14</f>
        <v>-122661.72159598641</v>
      </c>
    </row>
    <row r="571" spans="1:17" x14ac:dyDescent="0.25">
      <c r="A571" s="5">
        <f>(571-2)/100</f>
        <v>5.69</v>
      </c>
      <c r="B571" s="5">
        <f>Dashboard!$C$10*EXP(-Dashboard!$C$12*A571)</f>
        <v>2.7298107202569366E-2</v>
      </c>
      <c r="C571" s="5">
        <f>Dashboard!$C$17*A571</f>
        <v>4552</v>
      </c>
      <c r="D571" s="5">
        <f>Dashboard!$C$15*(1-EXP(-Dashboard!$C$16*A571))</f>
        <v>0.75349258660814289</v>
      </c>
      <c r="E571" s="5">
        <f>1/(1+EXP(MIN(700,MAX(-700,(C571-Dashboard!$C$18)/Dashboard!$C$19))))</f>
        <v>1.401748235911471E-2</v>
      </c>
      <c r="F571" s="5">
        <f t="shared" si="43"/>
        <v>1.0562069040503356E-2</v>
      </c>
      <c r="G571" s="8">
        <f>Dashboard!$C$9*B571*Dashboard!$C$11*(1-F571)</f>
        <v>54019.565419241531</v>
      </c>
      <c r="H571" s="8">
        <f>Dashboard!$C$20*A571^2</f>
        <v>259008.80000000002</v>
      </c>
      <c r="I571" s="8">
        <f t="shared" si="44"/>
        <v>313028.36541924154</v>
      </c>
      <c r="J571" s="8">
        <f>Dashboard!$C$13*A571</f>
        <v>113800.00000000001</v>
      </c>
      <c r="K571" s="8">
        <f>Dashboard!$C$14*A571</f>
        <v>170700</v>
      </c>
      <c r="L571" s="8">
        <f>Dashboard!$C$21-K571</f>
        <v>1329300</v>
      </c>
      <c r="M571" s="8">
        <f t="shared" si="45"/>
        <v>902471.6345807584</v>
      </c>
      <c r="N571" s="8">
        <f t="shared" si="46"/>
        <v>284500</v>
      </c>
      <c r="O571" s="8">
        <f>Dashboard!$C$15*(Dashboard!$C$16*EXP(-Dashboard!$C$16*A571)*E571-(1-EXP(-Dashboard!$C$16*A571))*Dashboard!$C$17/Dashboard!$C$19*E571*(1-E571))</f>
        <v>-1.3559395475342257E-2</v>
      </c>
      <c r="P571" s="8">
        <f>Dashboard!$C$9*B571*Dashboard!$C$11*(-Dashboard!$C$12*(1-F571)-O571)+2*Dashboard!$C$20*A571</f>
        <v>72873.443765841323</v>
      </c>
      <c r="Q571" s="8">
        <f>-P571-Dashboard!$C$13-Dashboard!$C$14</f>
        <v>-122873.44376584132</v>
      </c>
    </row>
    <row r="572" spans="1:17" x14ac:dyDescent="0.25">
      <c r="A572" s="5">
        <f>(572-2)/100</f>
        <v>5.7</v>
      </c>
      <c r="B572" s="5">
        <f>Dashboard!$C$10*EXP(-Dashboard!$C$12*A572)</f>
        <v>2.720273083336984E-2</v>
      </c>
      <c r="C572" s="5">
        <f>Dashboard!$C$17*A572</f>
        <v>4560</v>
      </c>
      <c r="D572" s="5">
        <f>Dashboard!$C$15*(1-EXP(-Dashboard!$C$16*A572))</f>
        <v>0.75372454330012928</v>
      </c>
      <c r="E572" s="5">
        <f>1/(1+EXP(MIN(700,MAX(-700,(C572-Dashboard!$C$18)/Dashboard!$C$19))))</f>
        <v>1.3834391556652479E-2</v>
      </c>
      <c r="F572" s="5">
        <f t="shared" si="43"/>
        <v>1.0427320457873054E-2</v>
      </c>
      <c r="G572" s="8">
        <f>Dashboard!$C$9*B572*Dashboard!$C$11*(1-F572)</f>
        <v>53838.158483282052</v>
      </c>
      <c r="H572" s="8">
        <f>Dashboard!$C$20*A572^2</f>
        <v>259920.00000000003</v>
      </c>
      <c r="I572" s="8">
        <f t="shared" si="44"/>
        <v>313758.15848328208</v>
      </c>
      <c r="J572" s="8">
        <f>Dashboard!$C$13*A572</f>
        <v>114000</v>
      </c>
      <c r="K572" s="8">
        <f>Dashboard!$C$14*A572</f>
        <v>171000</v>
      </c>
      <c r="L572" s="8">
        <f>Dashboard!$C$21-K572</f>
        <v>1329000</v>
      </c>
      <c r="M572" s="8">
        <f t="shared" si="45"/>
        <v>901241.84151671792</v>
      </c>
      <c r="N572" s="8">
        <f t="shared" si="46"/>
        <v>285000</v>
      </c>
      <c r="O572" s="8">
        <f>Dashboard!$C$15*(Dashboard!$C$16*EXP(-Dashboard!$C$16*A572)*E572-(1-EXP(-Dashboard!$C$16*A572))*Dashboard!$C$17/Dashboard!$C$19*E572*(1-E572))</f>
        <v>-1.3390656704638397E-2</v>
      </c>
      <c r="P572" s="8">
        <f>Dashboard!$C$9*B572*Dashboard!$C$11*(-Dashboard!$C$12*(1-F572)-O572)+2*Dashboard!$C$20*A572</f>
        <v>73085.169390887953</v>
      </c>
      <c r="Q572" s="8">
        <f>-P572-Dashboard!$C$13-Dashboard!$C$14</f>
        <v>-123085.16939088795</v>
      </c>
    </row>
    <row r="573" spans="1:17" x14ac:dyDescent="0.25">
      <c r="A573" s="5">
        <f>(573-2)/100</f>
        <v>5.71</v>
      </c>
      <c r="B573" s="5">
        <f>Dashboard!$C$10*EXP(-Dashboard!$C$12*A573)</f>
        <v>2.7107687697963186E-2</v>
      </c>
      <c r="C573" s="5">
        <f>Dashboard!$C$17*A573</f>
        <v>4568</v>
      </c>
      <c r="D573" s="5">
        <f>Dashboard!$C$15*(1-EXP(-Dashboard!$C$16*A573))</f>
        <v>0.75395534310328793</v>
      </c>
      <c r="E573" s="5">
        <f>1/(1+EXP(MIN(700,MAX(-700,(C573-Dashboard!$C$18)/Dashboard!$C$19))))</f>
        <v>1.3653659097350888E-2</v>
      </c>
      <c r="F573" s="5">
        <f t="shared" si="43"/>
        <v>1.0294249229358517E-2</v>
      </c>
      <c r="G573" s="8">
        <f>Dashboard!$C$9*B573*Dashboard!$C$11*(1-F573)</f>
        <v>53657.268809537476</v>
      </c>
      <c r="H573" s="8">
        <f>Dashboard!$C$20*A573^2</f>
        <v>260832.80000000002</v>
      </c>
      <c r="I573" s="8">
        <f t="shared" si="44"/>
        <v>314490.06880953751</v>
      </c>
      <c r="J573" s="8">
        <f>Dashboard!$C$13*A573</f>
        <v>114200</v>
      </c>
      <c r="K573" s="8">
        <f>Dashboard!$C$14*A573</f>
        <v>171300</v>
      </c>
      <c r="L573" s="8">
        <f>Dashboard!$C$21-K573</f>
        <v>1328700</v>
      </c>
      <c r="M573" s="8">
        <f t="shared" si="45"/>
        <v>900009.93119046255</v>
      </c>
      <c r="N573" s="8">
        <f t="shared" si="46"/>
        <v>285500</v>
      </c>
      <c r="O573" s="8">
        <f>Dashboard!$C$15*(Dashboard!$C$16*EXP(-Dashboard!$C$16*A573)*E573-(1-EXP(-Dashboard!$C$16*A573))*Dashboard!$C$17/Dashboard!$C$19*E573*(1-E573))</f>
        <v>-1.3223921055362492E-2</v>
      </c>
      <c r="P573" s="8">
        <f>Dashboard!$C$9*B573*Dashboard!$C$11*(-Dashboard!$C$12*(1-F573)-O573)+2*Dashboard!$C$20*A573</f>
        <v>73296.89576088445</v>
      </c>
      <c r="Q573" s="8">
        <f>-P573-Dashboard!$C$13-Dashboard!$C$14</f>
        <v>-123296.89576088445</v>
      </c>
    </row>
    <row r="574" spans="1:17" x14ac:dyDescent="0.25">
      <c r="A574" s="5">
        <f>(574-2)/100</f>
        <v>5.72</v>
      </c>
      <c r="B574" s="5">
        <f>Dashboard!$C$10*EXP(-Dashboard!$C$12*A574)</f>
        <v>2.7012976632069825E-2</v>
      </c>
      <c r="C574" s="5">
        <f>Dashboard!$C$17*A574</f>
        <v>4576</v>
      </c>
      <c r="D574" s="5">
        <f>Dashboard!$C$15*(1-EXP(-Dashboard!$C$16*A574))</f>
        <v>0.75418499178762621</v>
      </c>
      <c r="E574" s="5">
        <f>1/(1+EXP(MIN(700,MAX(-700,(C574-Dashboard!$C$18)/Dashboard!$C$19))))</f>
        <v>1.3475255463876387E-2</v>
      </c>
      <c r="F574" s="5">
        <f t="shared" si="43"/>
        <v>1.0162835431359778E-2</v>
      </c>
      <c r="G574" s="8">
        <f>Dashboard!$C$9*B574*Dashboard!$C$11*(1-F574)</f>
        <v>53476.896392093862</v>
      </c>
      <c r="H574" s="8">
        <f>Dashboard!$C$20*A574^2</f>
        <v>261747.19999999995</v>
      </c>
      <c r="I574" s="8">
        <f t="shared" si="44"/>
        <v>315224.09639209381</v>
      </c>
      <c r="J574" s="8">
        <f>Dashboard!$C$13*A574</f>
        <v>114400</v>
      </c>
      <c r="K574" s="8">
        <f>Dashboard!$C$14*A574</f>
        <v>171600</v>
      </c>
      <c r="L574" s="8">
        <f>Dashboard!$C$21-K574</f>
        <v>1328400</v>
      </c>
      <c r="M574" s="8">
        <f t="shared" si="45"/>
        <v>898775.90360790619</v>
      </c>
      <c r="N574" s="8">
        <f t="shared" si="46"/>
        <v>286000</v>
      </c>
      <c r="O574" s="8">
        <f>Dashboard!$C$15*(Dashboard!$C$16*EXP(-Dashboard!$C$16*A574)*E574-(1-EXP(-Dashboard!$C$16*A574))*Dashboard!$C$17/Dashboard!$C$19*E574*(1-E574))</f>
        <v>-1.305916703370916E-2</v>
      </c>
      <c r="P574" s="8">
        <f>Dashboard!$C$9*B574*Dashboard!$C$11*(-Dashboard!$C$12*(1-F574)-O574)+2*Dashboard!$C$20*A574</f>
        <v>73508.620210598921</v>
      </c>
      <c r="Q574" s="8">
        <f>-P574-Dashboard!$C$13-Dashboard!$C$14</f>
        <v>-123508.62021059892</v>
      </c>
    </row>
    <row r="575" spans="1:17" x14ac:dyDescent="0.25">
      <c r="A575" s="5">
        <f>(575-2)/100</f>
        <v>5.73</v>
      </c>
      <c r="B575" s="5">
        <f>Dashboard!$C$10*EXP(-Dashboard!$C$12*A575)</f>
        <v>2.6918596475477997E-2</v>
      </c>
      <c r="C575" s="5">
        <f>Dashboard!$C$17*A575</f>
        <v>4584</v>
      </c>
      <c r="D575" s="5">
        <f>Dashboard!$C$15*(1-EXP(-Dashboard!$C$16*A575))</f>
        <v>0.75441349509437283</v>
      </c>
      <c r="E575" s="5">
        <f>1/(1+EXP(MIN(700,MAX(-700,(C575-Dashboard!$C$18)/Dashboard!$C$19))))</f>
        <v>1.3299151486000317E-2</v>
      </c>
      <c r="F575" s="5">
        <f t="shared" si="43"/>
        <v>1.0033059354343021E-2</v>
      </c>
      <c r="G575" s="8">
        <f>Dashboard!$C$9*B575*Dashboard!$C$11*(1-F575)</f>
        <v>53297.041198607832</v>
      </c>
      <c r="H575" s="8">
        <f>Dashboard!$C$20*A575^2</f>
        <v>262663.2</v>
      </c>
      <c r="I575" s="8">
        <f t="shared" si="44"/>
        <v>315960.24119860784</v>
      </c>
      <c r="J575" s="8">
        <f>Dashboard!$C$13*A575</f>
        <v>114600.00000000001</v>
      </c>
      <c r="K575" s="8">
        <f>Dashboard!$C$14*A575</f>
        <v>171900</v>
      </c>
      <c r="L575" s="8">
        <f>Dashboard!$C$21-K575</f>
        <v>1328100</v>
      </c>
      <c r="M575" s="8">
        <f t="shared" si="45"/>
        <v>897539.75880139216</v>
      </c>
      <c r="N575" s="8">
        <f t="shared" si="46"/>
        <v>286500</v>
      </c>
      <c r="O575" s="8">
        <f>Dashboard!$C$15*(Dashboard!$C$16*EXP(-Dashboard!$C$16*A575)*E575-(1-EXP(-Dashboard!$C$16*A575))*Dashboard!$C$17/Dashboard!$C$19*E575*(1-E575))</f>
        <v>-1.2896373320266824E-2</v>
      </c>
      <c r="P575" s="8">
        <f>Dashboard!$C$9*B575*Dashboard!$C$11*(-Dashboard!$C$12*(1-F575)-O575)+2*Dashboard!$C$20*A575</f>
        <v>73720.340119298024</v>
      </c>
      <c r="Q575" s="8">
        <f>-P575-Dashboard!$C$13-Dashboard!$C$14</f>
        <v>-123720.34011929802</v>
      </c>
    </row>
    <row r="576" spans="1:17" x14ac:dyDescent="0.25">
      <c r="A576" s="5">
        <f>(576-2)/100</f>
        <v>5.74</v>
      </c>
      <c r="B576" s="5">
        <f>Dashboard!$C$10*EXP(-Dashboard!$C$12*A576)</f>
        <v>2.6824546072029633E-2</v>
      </c>
      <c r="C576" s="5">
        <f>Dashboard!$C$17*A576</f>
        <v>4592</v>
      </c>
      <c r="D576" s="5">
        <f>Dashboard!$C$15*(1-EXP(-Dashboard!$C$16*A576))</f>
        <v>0.75464085873612252</v>
      </c>
      <c r="E576" s="5">
        <f>1/(1+EXP(MIN(700,MAX(-700,(C576-Dashboard!$C$18)/Dashboard!$C$19))))</f>
        <v>1.3125318337102799E-2</v>
      </c>
      <c r="F576" s="5">
        <f t="shared" si="43"/>
        <v>9.9049015010962329E-3</v>
      </c>
      <c r="G576" s="8">
        <f>Dashboard!$C$9*B576*Dashboard!$C$11*(1-F576)</f>
        <v>53117.703170749119</v>
      </c>
      <c r="H576" s="8">
        <f>Dashboard!$C$20*A576^2</f>
        <v>263580.79999999999</v>
      </c>
      <c r="I576" s="8">
        <f t="shared" si="44"/>
        <v>316698.50317074911</v>
      </c>
      <c r="J576" s="8">
        <f>Dashboard!$C$13*A576</f>
        <v>114800</v>
      </c>
      <c r="K576" s="8">
        <f>Dashboard!$C$14*A576</f>
        <v>172200</v>
      </c>
      <c r="L576" s="8">
        <f>Dashboard!$C$21-K576</f>
        <v>1327800</v>
      </c>
      <c r="M576" s="8">
        <f t="shared" si="45"/>
        <v>896301.49682925083</v>
      </c>
      <c r="N576" s="8">
        <f t="shared" si="46"/>
        <v>287000</v>
      </c>
      <c r="O576" s="8">
        <f>Dashboard!$C$15*(Dashboard!$C$16*EXP(-Dashboard!$C$16*A576)*E576-(1-EXP(-Dashboard!$C$16*A576))*Dashboard!$C$17/Dashboard!$C$19*E576*(1-E576))</f>
        <v>-1.2735518770102589E-2</v>
      </c>
      <c r="P576" s="8">
        <f>Dashboard!$C$9*B576*Dashboard!$C$11*(-Dashboard!$C$12*(1-F576)-O576)+2*Dashboard!$C$20*A576</f>
        <v>73932.052910237442</v>
      </c>
      <c r="Q576" s="8">
        <f>-P576-Dashboard!$C$13-Dashboard!$C$14</f>
        <v>-123932.05291023744</v>
      </c>
    </row>
    <row r="577" spans="1:17" x14ac:dyDescent="0.25">
      <c r="A577" s="5">
        <f>(577-2)/100</f>
        <v>5.75</v>
      </c>
      <c r="B577" s="5">
        <f>Dashboard!$C$10*EXP(-Dashboard!$C$12*A577)</f>
        <v>2.6730824269606091E-2</v>
      </c>
      <c r="C577" s="5">
        <f>Dashboard!$C$17*A577</f>
        <v>4600</v>
      </c>
      <c r="D577" s="5">
        <f>Dashboard!$C$15*(1-EXP(-Dashboard!$C$16*A577))</f>
        <v>0.75486708839697814</v>
      </c>
      <c r="E577" s="5">
        <f>1/(1+EXP(MIN(700,MAX(-700,(C577-Dashboard!$C$18)/Dashboard!$C$19))))</f>
        <v>1.2953727530695871E-2</v>
      </c>
      <c r="F577" s="5">
        <f t="shared" si="43"/>
        <v>9.7783425849841694E-3</v>
      </c>
      <c r="G577" s="8">
        <f>Dashboard!$C$9*B577*Dashboard!$C$11*(1-F577)</f>
        <v>52938.882224637746</v>
      </c>
      <c r="H577" s="8">
        <f>Dashboard!$C$20*A577^2</f>
        <v>264500</v>
      </c>
      <c r="I577" s="8">
        <f t="shared" si="44"/>
        <v>317438.88222463772</v>
      </c>
      <c r="J577" s="8">
        <f>Dashboard!$C$13*A577</f>
        <v>115000</v>
      </c>
      <c r="K577" s="8">
        <f>Dashboard!$C$14*A577</f>
        <v>172500</v>
      </c>
      <c r="L577" s="8">
        <f>Dashboard!$C$21-K577</f>
        <v>1327500</v>
      </c>
      <c r="M577" s="8">
        <f t="shared" si="45"/>
        <v>895061.11777536222</v>
      </c>
      <c r="N577" s="8">
        <f t="shared" si="46"/>
        <v>287500</v>
      </c>
      <c r="O577" s="8">
        <f>Dashboard!$C$15*(Dashboard!$C$16*EXP(-Dashboard!$C$16*A577)*E577-(1-EXP(-Dashboard!$C$16*A577))*Dashboard!$C$17/Dashboard!$C$19*E577*(1-E577))</f>
        <v>-1.2576582412795715E-2</v>
      </c>
      <c r="P577" s="8">
        <f>Dashboard!$C$9*B577*Dashboard!$C$11*(-Dashboard!$C$12*(1-F577)-O577)+2*Dashboard!$C$20*A577</f>
        <v>74143.756050154101</v>
      </c>
      <c r="Q577" s="8">
        <f>-P577-Dashboard!$C$13-Dashboard!$C$14</f>
        <v>-124143.7560501541</v>
      </c>
    </row>
    <row r="578" spans="1:17" x14ac:dyDescent="0.25">
      <c r="A578" s="5">
        <f>(578-2)/100</f>
        <v>5.76</v>
      </c>
      <c r="B578" s="5">
        <f>Dashboard!$C$10*EXP(-Dashboard!$C$12*A578)</f>
        <v>2.6637429920114121E-2</v>
      </c>
      <c r="C578" s="5">
        <f>Dashboard!$C$17*A578</f>
        <v>4608</v>
      </c>
      <c r="D578" s="5">
        <f>Dashboard!$C$15*(1-EXP(-Dashboard!$C$16*A578))</f>
        <v>0.75509218973269299</v>
      </c>
      <c r="E578" s="5">
        <f>1/(1+EXP(MIN(700,MAX(-700,(C578-Dashboard!$C$18)/Dashboard!$C$19))))</f>
        <v>1.278435091696632E-2</v>
      </c>
      <c r="F578" s="5">
        <f t="shared" si="43"/>
        <v>9.6533635282032605E-3</v>
      </c>
      <c r="G578" s="8">
        <f>Dashboard!$C$9*B578*Dashboard!$C$11*(1-F578)</f>
        <v>52760.578251276442</v>
      </c>
      <c r="H578" s="8">
        <f>Dashboard!$C$20*A578^2</f>
        <v>265420.79999999999</v>
      </c>
      <c r="I578" s="8">
        <f t="shared" si="44"/>
        <v>318181.37825127644</v>
      </c>
      <c r="J578" s="8">
        <f>Dashboard!$C$13*A578</f>
        <v>115200</v>
      </c>
      <c r="K578" s="8">
        <f>Dashboard!$C$14*A578</f>
        <v>172800</v>
      </c>
      <c r="L578" s="8">
        <f>Dashboard!$C$21-K578</f>
        <v>1327200</v>
      </c>
      <c r="M578" s="8">
        <f t="shared" si="45"/>
        <v>893818.62174872356</v>
      </c>
      <c r="N578" s="8">
        <f t="shared" si="46"/>
        <v>288000</v>
      </c>
      <c r="O578" s="8">
        <f>Dashboard!$C$15*(Dashboard!$C$16*EXP(-Dashboard!$C$16*A578)*E578-(1-EXP(-Dashboard!$C$16*A578))*Dashboard!$C$17/Dashboard!$C$19*E578*(1-E578))</f>
        <v>-1.2419543452421326E-2</v>
      </c>
      <c r="P578" s="8">
        <f>Dashboard!$C$9*B578*Dashboard!$C$11*(-Dashboard!$C$12*(1-F578)-O578)+2*Dashboard!$C$20*A578</f>
        <v>74355.447048760616</v>
      </c>
      <c r="Q578" s="8">
        <f>-P578-Dashboard!$C$13-Dashboard!$C$14</f>
        <v>-124355.44704876062</v>
      </c>
    </row>
    <row r="579" spans="1:17" x14ac:dyDescent="0.25">
      <c r="A579" s="5">
        <f>(579-2)/100</f>
        <v>5.77</v>
      </c>
      <c r="B579" s="5">
        <f>Dashboard!$C$10*EXP(-Dashboard!$C$12*A579)</f>
        <v>2.6544361879471789E-2</v>
      </c>
      <c r="C579" s="5">
        <f>Dashboard!$C$17*A579</f>
        <v>4616</v>
      </c>
      <c r="D579" s="5">
        <f>Dashboard!$C$15*(1-EXP(-Dashboard!$C$16*A579))</f>
        <v>0.75531616837081228</v>
      </c>
      <c r="E579" s="5">
        <f>1/(1+EXP(MIN(700,MAX(-700,(C579-Dashboard!$C$18)/Dashboard!$C$19))))</f>
        <v>1.261716067933869E-2</v>
      </c>
      <c r="F579" s="5">
        <f t="shared" si="43"/>
        <v>9.5299454600369735E-3</v>
      </c>
      <c r="G579" s="8">
        <f>Dashboard!$C$9*B579*Dashboard!$C$11*(1-F579)</f>
        <v>52582.791116977874</v>
      </c>
      <c r="H579" s="8">
        <f>Dashboard!$C$20*A579^2</f>
        <v>266343.19999999995</v>
      </c>
      <c r="I579" s="8">
        <f t="shared" si="44"/>
        <v>318925.99111697782</v>
      </c>
      <c r="J579" s="8">
        <f>Dashboard!$C$13*A579</f>
        <v>115399.99999999999</v>
      </c>
      <c r="K579" s="8">
        <f>Dashboard!$C$14*A579</f>
        <v>173100</v>
      </c>
      <c r="L579" s="8">
        <f>Dashboard!$C$21-K579</f>
        <v>1326900</v>
      </c>
      <c r="M579" s="8">
        <f t="shared" si="45"/>
        <v>892574.00888302224</v>
      </c>
      <c r="N579" s="8">
        <f t="shared" si="46"/>
        <v>288500</v>
      </c>
      <c r="O579" s="8">
        <f>Dashboard!$C$15*(Dashboard!$C$16*EXP(-Dashboard!$C$16*A579)*E579-(1-EXP(-Dashboard!$C$16*A579))*Dashboard!$C$17/Dashboard!$C$19*E579*(1-E579))</f>
        <v>-1.2264381267486147E-2</v>
      </c>
      <c r="P579" s="8">
        <f>Dashboard!$C$9*B579*Dashboard!$C$11*(-Dashboard!$C$12*(1-F579)-O579)+2*Dashboard!$C$20*A579</f>
        <v>74567.12345824168</v>
      </c>
      <c r="Q579" s="8">
        <f>-P579-Dashboard!$C$13-Dashboard!$C$14</f>
        <v>-124567.12345824168</v>
      </c>
    </row>
    <row r="580" spans="1:17" x14ac:dyDescent="0.25">
      <c r="A580" s="5">
        <f>(580-2)/100</f>
        <v>5.78</v>
      </c>
      <c r="B580" s="5">
        <f>Dashboard!$C$10*EXP(-Dashboard!$C$12*A580)</f>
        <v>2.6451619007594414E-2</v>
      </c>
      <c r="C580" s="5">
        <f>Dashboard!$C$17*A580</f>
        <v>4624</v>
      </c>
      <c r="D580" s="5">
        <f>Dashboard!$C$15*(1-EXP(-Dashboard!$C$16*A580))</f>
        <v>0.75553902991081356</v>
      </c>
      <c r="E580" s="5">
        <f>1/(1+EXP(MIN(700,MAX(-700,(C580-Dashboard!$C$18)/Dashboard!$C$19))))</f>
        <v>1.24521293310586E-2</v>
      </c>
      <c r="F580" s="5">
        <f t="shared" si="43"/>
        <v>9.4080697151120024E-3</v>
      </c>
      <c r="G580" s="8">
        <f>Dashboard!$C$9*B580*Dashboard!$C$11*(1-F580)</f>
        <v>52405.520663786767</v>
      </c>
      <c r="H580" s="8">
        <f>Dashboard!$C$20*A580^2</f>
        <v>267267.20000000001</v>
      </c>
      <c r="I580" s="8">
        <f t="shared" si="44"/>
        <v>319672.72066378675</v>
      </c>
      <c r="J580" s="8">
        <f>Dashboard!$C$13*A580</f>
        <v>115600</v>
      </c>
      <c r="K580" s="8">
        <f>Dashboard!$C$14*A580</f>
        <v>173400</v>
      </c>
      <c r="L580" s="8">
        <f>Dashboard!$C$21-K580</f>
        <v>1326600</v>
      </c>
      <c r="M580" s="8">
        <f t="shared" si="45"/>
        <v>891327.27933621325</v>
      </c>
      <c r="N580" s="8">
        <f t="shared" si="46"/>
        <v>289000</v>
      </c>
      <c r="O580" s="8">
        <f>Dashboard!$C$15*(Dashboard!$C$16*EXP(-Dashboard!$C$16*A580)*E580-(1-EXP(-Dashboard!$C$16*A580))*Dashboard!$C$17/Dashboard!$C$19*E580*(1-E580))</f>
        <v>-1.2111075410817648E-2</v>
      </c>
      <c r="P580" s="8">
        <f>Dashboard!$C$9*B580*Dashboard!$C$11*(-Dashboard!$C$12*(1-F580)-O580)+2*Dashboard!$C$20*A580</f>
        <v>74778.782872753014</v>
      </c>
      <c r="Q580" s="8">
        <f>-P580-Dashboard!$C$13-Dashboard!$C$14</f>
        <v>-124778.78287275301</v>
      </c>
    </row>
    <row r="581" spans="1:17" x14ac:dyDescent="0.25">
      <c r="A581" s="5">
        <f>(581-2)/100</f>
        <v>5.79</v>
      </c>
      <c r="B581" s="5">
        <f>Dashboard!$C$10*EXP(-Dashboard!$C$12*A581)</f>
        <v>2.635920016838067E-2</v>
      </c>
      <c r="C581" s="5">
        <f>Dashboard!$C$17*A581</f>
        <v>4632</v>
      </c>
      <c r="D581" s="5">
        <f>Dashboard!$C$15*(1-EXP(-Dashboard!$C$16*A581))</f>
        <v>0.75576077992424695</v>
      </c>
      <c r="E581" s="5">
        <f>1/(1+EXP(MIN(700,MAX(-700,(C581-Dashboard!$C$18)/Dashboard!$C$19))))</f>
        <v>1.2289229711796777E-2</v>
      </c>
      <c r="F581" s="5">
        <f t="shared" si="43"/>
        <v>9.2877178316557608E-3</v>
      </c>
      <c r="G581" s="8">
        <f>Dashboard!$C$9*B581*Dashboard!$C$11*(1-F581)</f>
        <v>52228.766709897238</v>
      </c>
      <c r="H581" s="8">
        <f>Dashboard!$C$20*A581^2</f>
        <v>268192.8</v>
      </c>
      <c r="I581" s="8">
        <f t="shared" si="44"/>
        <v>320421.56670989725</v>
      </c>
      <c r="J581" s="8">
        <f>Dashboard!$C$13*A581</f>
        <v>115800</v>
      </c>
      <c r="K581" s="8">
        <f>Dashboard!$C$14*A581</f>
        <v>173700</v>
      </c>
      <c r="L581" s="8">
        <f>Dashboard!$C$21-K581</f>
        <v>1326300</v>
      </c>
      <c r="M581" s="8">
        <f t="shared" si="45"/>
        <v>890078.43329010275</v>
      </c>
      <c r="N581" s="8">
        <f t="shared" si="46"/>
        <v>289500</v>
      </c>
      <c r="O581" s="8">
        <f>Dashboard!$C$15*(Dashboard!$C$16*EXP(-Dashboard!$C$16*A581)*E581-(1-EXP(-Dashboard!$C$16*A581))*Dashboard!$C$17/Dashboard!$C$19*E581*(1-E581))</f>
        <v>-1.1959605609408092E-2</v>
      </c>
      <c r="P581" s="8">
        <f>Dashboard!$C$9*B581*Dashboard!$C$11*(-Dashboard!$C$12*(1-F581)-O581)+2*Dashboard!$C$20*A581</f>
        <v>74990.422927922526</v>
      </c>
      <c r="Q581" s="8">
        <f>-P581-Dashboard!$C$13-Dashboard!$C$14</f>
        <v>-124990.42292792253</v>
      </c>
    </row>
    <row r="582" spans="1:17" x14ac:dyDescent="0.25">
      <c r="A582" s="5">
        <f>(582-2)/100</f>
        <v>5.8</v>
      </c>
      <c r="B582" s="5">
        <f>Dashboard!$C$10*EXP(-Dashboard!$C$12*A582)</f>
        <v>2.6267104229698624E-2</v>
      </c>
      <c r="C582" s="5">
        <f>Dashboard!$C$17*A582</f>
        <v>4640</v>
      </c>
      <c r="D582" s="5">
        <f>Dashboard!$C$15*(1-EXP(-Dashboard!$C$16*A582))</f>
        <v>0.75598142395487422</v>
      </c>
      <c r="E582" s="5">
        <f>1/(1+EXP(MIN(700,MAX(-700,(C582-Dashboard!$C$18)/Dashboard!$C$19))))</f>
        <v>1.2128434984274237E-2</v>
      </c>
      <c r="F582" s="5">
        <f t="shared" si="43"/>
        <v>9.1688715497557499E-3</v>
      </c>
      <c r="G582" s="8">
        <f>Dashboard!$C$9*B582*Dashboard!$C$11*(1-F582)</f>
        <v>52052.529050064943</v>
      </c>
      <c r="H582" s="8">
        <f>Dashboard!$C$20*A582^2</f>
        <v>269120</v>
      </c>
      <c r="I582" s="8">
        <f t="shared" si="44"/>
        <v>321172.52905006497</v>
      </c>
      <c r="J582" s="8">
        <f>Dashboard!$C$13*A582</f>
        <v>116000</v>
      </c>
      <c r="K582" s="8">
        <f>Dashboard!$C$14*A582</f>
        <v>174000</v>
      </c>
      <c r="L582" s="8">
        <f>Dashboard!$C$21-K582</f>
        <v>1326000</v>
      </c>
      <c r="M582" s="8">
        <f t="shared" si="45"/>
        <v>888827.47094993503</v>
      </c>
      <c r="N582" s="8">
        <f t="shared" si="46"/>
        <v>290000</v>
      </c>
      <c r="O582" s="8">
        <f>Dashboard!$C$15*(Dashboard!$C$16*EXP(-Dashboard!$C$16*A582)*E582-(1-EXP(-Dashboard!$C$16*A582))*Dashboard!$C$17/Dashboard!$C$19*E582*(1-E582))</f>
        <v>-1.180995176421535E-2</v>
      </c>
      <c r="P582" s="8">
        <f>Dashboard!$C$9*B582*Dashboard!$C$11*(-Dashboard!$C$12*(1-F582)-O582)+2*Dashboard!$C$20*A582</f>
        <v>75202.041300353987</v>
      </c>
      <c r="Q582" s="8">
        <f>-P582-Dashboard!$C$13-Dashboard!$C$14</f>
        <v>-125202.04130035399</v>
      </c>
    </row>
    <row r="583" spans="1:17" x14ac:dyDescent="0.25">
      <c r="A583" s="5">
        <f>(583-2)/100</f>
        <v>5.81</v>
      </c>
      <c r="B583" s="5">
        <f>Dashboard!$C$10*EXP(-Dashboard!$C$12*A583)</f>
        <v>2.617533006337186E-2</v>
      </c>
      <c r="C583" s="5">
        <f>Dashboard!$C$17*A583</f>
        <v>4648</v>
      </c>
      <c r="D583" s="5">
        <f>Dashboard!$C$15*(1-EXP(-Dashboard!$C$16*A583))</f>
        <v>0.75620096751880783</v>
      </c>
      <c r="E583" s="5">
        <f>1/(1+EXP(MIN(700,MAX(-700,(C583-Dashboard!$C$18)/Dashboard!$C$19))))</f>
        <v>1.1969718630908706E-2</v>
      </c>
      <c r="F583" s="5">
        <f t="shared" si="43"/>
        <v>9.051512809621064E-3</v>
      </c>
      <c r="G583" s="8">
        <f>Dashboard!$C$9*B583*Dashboard!$C$11*(1-F583)</f>
        <v>51876.807456014387</v>
      </c>
      <c r="H583" s="8">
        <f>Dashboard!$C$20*A583^2</f>
        <v>270048.8</v>
      </c>
      <c r="I583" s="8">
        <f t="shared" si="44"/>
        <v>321925.60745601438</v>
      </c>
      <c r="J583" s="8">
        <f>Dashboard!$C$13*A583</f>
        <v>116199.99999999999</v>
      </c>
      <c r="K583" s="8">
        <f>Dashboard!$C$14*A583</f>
        <v>174300</v>
      </c>
      <c r="L583" s="8">
        <f>Dashboard!$C$21-K583</f>
        <v>1325700</v>
      </c>
      <c r="M583" s="8">
        <f t="shared" si="45"/>
        <v>887574.39254398562</v>
      </c>
      <c r="N583" s="8">
        <f t="shared" si="46"/>
        <v>290500</v>
      </c>
      <c r="O583" s="8">
        <f>Dashboard!$C$15*(Dashboard!$C$16*EXP(-Dashboard!$C$16*A583)*E583-(1-EXP(-Dashboard!$C$16*A583))*Dashboard!$C$17/Dashboard!$C$19*E583*(1-E583))</f>
        <v>-1.1662093949921494E-2</v>
      </c>
      <c r="P583" s="8">
        <f>Dashboard!$C$9*B583*Dashboard!$C$11*(-Dashboard!$C$12*(1-F583)-O583)+2*Dashboard!$C$20*A583</f>
        <v>75413.635707133464</v>
      </c>
      <c r="Q583" s="8">
        <f>-P583-Dashboard!$C$13-Dashboard!$C$14</f>
        <v>-125413.63570713346</v>
      </c>
    </row>
    <row r="584" spans="1:17" x14ac:dyDescent="0.25">
      <c r="A584" s="5">
        <f>(584-2)/100</f>
        <v>5.82</v>
      </c>
      <c r="B584" s="5">
        <f>Dashboard!$C$10*EXP(-Dashboard!$C$12*A584)</f>
        <v>2.6083876545165696E-2</v>
      </c>
      <c r="C584" s="5">
        <f>Dashboard!$C$17*A584</f>
        <v>4656</v>
      </c>
      <c r="D584" s="5">
        <f>Dashboard!$C$15*(1-EXP(-Dashboard!$C$16*A584))</f>
        <v>0.75641941610464825</v>
      </c>
      <c r="E584" s="5">
        <f>1/(1+EXP(MIN(700,MAX(-700,(C584-Dashboard!$C$18)/Dashboard!$C$19))))</f>
        <v>1.1813054450482622E-2</v>
      </c>
      <c r="F584" s="5">
        <f t="shared" si="43"/>
        <v>8.9356237498464802E-3</v>
      </c>
      <c r="G584" s="8">
        <f>Dashboard!$C$9*B584*Dashboard!$C$11*(1-F584)</f>
        <v>51701.601676841296</v>
      </c>
      <c r="H584" s="8">
        <f>Dashboard!$C$20*A584^2</f>
        <v>270979.20000000007</v>
      </c>
      <c r="I584" s="8">
        <f t="shared" si="44"/>
        <v>322680.80167684134</v>
      </c>
      <c r="J584" s="8">
        <f>Dashboard!$C$13*A584</f>
        <v>116400</v>
      </c>
      <c r="K584" s="8">
        <f>Dashboard!$C$14*A584</f>
        <v>174600</v>
      </c>
      <c r="L584" s="8">
        <f>Dashboard!$C$21-K584</f>
        <v>1325400</v>
      </c>
      <c r="M584" s="8">
        <f t="shared" si="45"/>
        <v>886319.19832315866</v>
      </c>
      <c r="N584" s="8">
        <f t="shared" si="46"/>
        <v>291000</v>
      </c>
      <c r="O584" s="8">
        <f>Dashboard!$C$15*(Dashboard!$C$16*EXP(-Dashboard!$C$16*A584)*E584-(1-EXP(-Dashboard!$C$16*A584))*Dashboard!$C$17/Dashboard!$C$19*E584*(1-E584))</f>
        <v>-1.1516012414650882E-2</v>
      </c>
      <c r="P584" s="8">
        <f>Dashboard!$C$9*B584*Dashboard!$C$11*(-Dashboard!$C$12*(1-F584)-O584)+2*Dashboard!$C$20*A584</f>
        <v>75625.203905338247</v>
      </c>
      <c r="Q584" s="8">
        <f>-P584-Dashboard!$C$13-Dashboard!$C$14</f>
        <v>-125625.20390533825</v>
      </c>
    </row>
    <row r="585" spans="1:17" x14ac:dyDescent="0.25">
      <c r="A585" s="5">
        <f>(585-2)/100</f>
        <v>5.83</v>
      </c>
      <c r="B585" s="5">
        <f>Dashboard!$C$10*EXP(-Dashboard!$C$12*A585)</f>
        <v>2.5992742554773404E-2</v>
      </c>
      <c r="C585" s="5">
        <f>Dashboard!$C$17*A585</f>
        <v>4664</v>
      </c>
      <c r="D585" s="5">
        <f>Dashboard!$C$15*(1-EXP(-Dashboard!$C$16*A585))</f>
        <v>0.75663677517362127</v>
      </c>
      <c r="E585" s="5">
        <f>1/(1+EXP(MIN(700,MAX(-700,(C585-Dashboard!$C$18)/Dashboard!$C$19))))</f>
        <v>1.1658416554833096E-2</v>
      </c>
      <c r="F585" s="5">
        <f t="shared" si="43"/>
        <v>8.8211867056796726E-3</v>
      </c>
      <c r="G585" s="8">
        <f>Dashboard!$C$9*B585*Dashboard!$C$11*(1-F585)</f>
        <v>51526.911439410163</v>
      </c>
      <c r="H585" s="8">
        <f>Dashboard!$C$20*A585^2</f>
        <v>271911.2</v>
      </c>
      <c r="I585" s="8">
        <f t="shared" si="44"/>
        <v>323438.11143941019</v>
      </c>
      <c r="J585" s="8">
        <f>Dashboard!$C$13*A585</f>
        <v>116600</v>
      </c>
      <c r="K585" s="8">
        <f>Dashboard!$C$14*A585</f>
        <v>174900</v>
      </c>
      <c r="L585" s="8">
        <f>Dashboard!$C$21-K585</f>
        <v>1325100</v>
      </c>
      <c r="M585" s="8">
        <f t="shared" si="45"/>
        <v>885061.88856058987</v>
      </c>
      <c r="N585" s="8">
        <f t="shared" si="46"/>
        <v>291500</v>
      </c>
      <c r="O585" s="8">
        <f>Dashboard!$C$15*(Dashboard!$C$16*EXP(-Dashboard!$C$16*A585)*E585-(1-EXP(-Dashboard!$C$16*A585))*Dashboard!$C$17/Dashboard!$C$19*E585*(1-E585))</f>
        <v>-1.1371687579649136E-2</v>
      </c>
      <c r="P585" s="8">
        <f>Dashboard!$C$9*B585*Dashboard!$C$11*(-Dashboard!$C$12*(1-F585)-O585)+2*Dashboard!$C$20*A585</f>
        <v>75836.743691548705</v>
      </c>
      <c r="Q585" s="8">
        <f>-P585-Dashboard!$C$13-Dashboard!$C$14</f>
        <v>-125836.74369154871</v>
      </c>
    </row>
    <row r="586" spans="1:17" x14ac:dyDescent="0.25">
      <c r="A586" s="5">
        <f>(586-2)/100</f>
        <v>5.84</v>
      </c>
      <c r="B586" s="5">
        <f>Dashboard!$C$10*EXP(-Dashboard!$C$12*A586)</f>
        <v>2.5901926975802438E-2</v>
      </c>
      <c r="C586" s="5">
        <f>Dashboard!$C$17*A586</f>
        <v>4672</v>
      </c>
      <c r="D586" s="5">
        <f>Dashboard!$C$15*(1-EXP(-Dashboard!$C$16*A586))</f>
        <v>0.75685305015971527</v>
      </c>
      <c r="E586" s="5">
        <f>1/(1+EXP(MIN(700,MAX(-700,(C586-Dashboard!$C$18)/Dashboard!$C$19))))</f>
        <v>1.1505779365563873E-2</v>
      </c>
      <c r="F586" s="5">
        <f t="shared" si="43"/>
        <v>8.7081842072917314E-3</v>
      </c>
      <c r="G586" s="8">
        <f>Dashboard!$C$9*B586*Dashboard!$C$11*(1-F586)</f>
        <v>51352.736448746662</v>
      </c>
      <c r="H586" s="8">
        <f>Dashboard!$C$20*A586^2</f>
        <v>272844.79999999999</v>
      </c>
      <c r="I586" s="8">
        <f t="shared" si="44"/>
        <v>324197.53644874663</v>
      </c>
      <c r="J586" s="8">
        <f>Dashboard!$C$13*A586</f>
        <v>116800</v>
      </c>
      <c r="K586" s="8">
        <f>Dashboard!$C$14*A586</f>
        <v>175200</v>
      </c>
      <c r="L586" s="8">
        <f>Dashboard!$C$21-K586</f>
        <v>1324800</v>
      </c>
      <c r="M586" s="8">
        <f t="shared" si="45"/>
        <v>883802.46355125331</v>
      </c>
      <c r="N586" s="8">
        <f t="shared" si="46"/>
        <v>292000</v>
      </c>
      <c r="O586" s="8">
        <f>Dashboard!$C$15*(Dashboard!$C$16*EXP(-Dashboard!$C$16*A586)*E586-(1-EXP(-Dashboard!$C$16*A586))*Dashboard!$C$17/Dashboard!$C$19*E586*(1-E586))</f>
        <v>-1.1229100038924241E-2</v>
      </c>
      <c r="P586" s="8">
        <f>Dashboard!$C$9*B586*Dashboard!$C$11*(-Dashboard!$C$12*(1-F586)-O586)+2*Dashboard!$C$20*A586</f>
        <v>76048.25290136307</v>
      </c>
      <c r="Q586" s="8">
        <f>-P586-Dashboard!$C$13-Dashboard!$C$14</f>
        <v>-126048.25290136307</v>
      </c>
    </row>
    <row r="587" spans="1:17" x14ac:dyDescent="0.25">
      <c r="A587" s="5">
        <f>(587-2)/100</f>
        <v>5.85</v>
      </c>
      <c r="B587" s="5">
        <f>Dashboard!$C$10*EXP(-Dashboard!$C$12*A587)</f>
        <v>2.5811428695760849E-2</v>
      </c>
      <c r="C587" s="5">
        <f>Dashboard!$C$17*A587</f>
        <v>4680</v>
      </c>
      <c r="D587" s="5">
        <f>Dashboard!$C$15*(1-EXP(-Dashboard!$C$16*A587))</f>
        <v>0.75706824646981596</v>
      </c>
      <c r="E587" s="5">
        <f>1/(1+EXP(MIN(700,MAX(-700,(C587-Dashboard!$C$18)/Dashboard!$C$19))))</f>
        <v>1.1355117610779624E-2</v>
      </c>
      <c r="F587" s="5">
        <f t="shared" si="43"/>
        <v>8.5965989780514562E-3</v>
      </c>
      <c r="G587" s="8">
        <f>Dashboard!$C$9*B587*Dashboard!$C$11*(1-F587)</f>
        <v>51179.076388425652</v>
      </c>
      <c r="H587" s="8">
        <f>Dashboard!$C$20*A587^2</f>
        <v>273780</v>
      </c>
      <c r="I587" s="8">
        <f t="shared" si="44"/>
        <v>324959.07638842566</v>
      </c>
      <c r="J587" s="8">
        <f>Dashboard!$C$13*A587</f>
        <v>117000</v>
      </c>
      <c r="K587" s="8">
        <f>Dashboard!$C$14*A587</f>
        <v>175500</v>
      </c>
      <c r="L587" s="8">
        <f>Dashboard!$C$21-K587</f>
        <v>1324500</v>
      </c>
      <c r="M587" s="8">
        <f t="shared" si="45"/>
        <v>882540.92361157434</v>
      </c>
      <c r="N587" s="8">
        <f t="shared" si="46"/>
        <v>292500</v>
      </c>
      <c r="O587" s="8">
        <f>Dashboard!$C$15*(Dashboard!$C$16*EXP(-Dashboard!$C$16*A587)*E587-(1-EXP(-Dashboard!$C$16*A587))*Dashboard!$C$17/Dashboard!$C$19*E587*(1-E587))</f>
        <v>-1.1088230558851178E-2</v>
      </c>
      <c r="P587" s="8">
        <f>Dashboard!$C$9*B587*Dashboard!$C$11*(-Dashboard!$C$12*(1-F587)-O587)+2*Dashboard!$C$20*A587</f>
        <v>76259.729408914907</v>
      </c>
      <c r="Q587" s="8">
        <f>-P587-Dashboard!$C$13-Dashboard!$C$14</f>
        <v>-126259.72940891491</v>
      </c>
    </row>
    <row r="588" spans="1:17" x14ac:dyDescent="0.25">
      <c r="A588" s="5">
        <f>(588-2)/100</f>
        <v>5.86</v>
      </c>
      <c r="B588" s="5">
        <f>Dashboard!$C$10*EXP(-Dashboard!$C$12*A588)</f>
        <v>2.5721246606043548E-2</v>
      </c>
      <c r="C588" s="5">
        <f>Dashboard!$C$17*A588</f>
        <v>4688</v>
      </c>
      <c r="D588" s="5">
        <f>Dashboard!$C$15*(1-EXP(-Dashboard!$C$16*A588))</f>
        <v>0.75728236948384231</v>
      </c>
      <c r="E588" s="5">
        <f>1/(1+EXP(MIN(700,MAX(-700,(C588-Dashboard!$C$18)/Dashboard!$C$19))))</f>
        <v>1.1206406321842867E-2</v>
      </c>
      <c r="F588" s="5">
        <f t="shared" si="43"/>
        <v>8.4864139328038758E-3</v>
      </c>
      <c r="G588" s="8">
        <f>Dashboard!$C$9*B588*Dashboard!$C$11*(1-F588)</f>
        <v>51005.93092095387</v>
      </c>
      <c r="H588" s="8">
        <f>Dashboard!$C$20*A588^2</f>
        <v>274716.80000000005</v>
      </c>
      <c r="I588" s="8">
        <f t="shared" si="44"/>
        <v>325722.73092095391</v>
      </c>
      <c r="J588" s="8">
        <f>Dashboard!$C$13*A588</f>
        <v>117200</v>
      </c>
      <c r="K588" s="8">
        <f>Dashboard!$C$14*A588</f>
        <v>175800</v>
      </c>
      <c r="L588" s="8">
        <f>Dashboard!$C$21-K588</f>
        <v>1324200</v>
      </c>
      <c r="M588" s="8">
        <f t="shared" si="45"/>
        <v>881277.26907904609</v>
      </c>
      <c r="N588" s="8">
        <f t="shared" si="46"/>
        <v>293000</v>
      </c>
      <c r="O588" s="8">
        <f>Dashboard!$C$15*(Dashboard!$C$16*EXP(-Dashboard!$C$16*A588)*E588-(1-EXP(-Dashboard!$C$16*A588))*Dashboard!$C$17/Dashboard!$C$19*E588*(1-E588))</f>
        <v>-1.0949060077741496E-2</v>
      </c>
      <c r="P588" s="8">
        <f>Dashboard!$C$9*B588*Dashboard!$C$11*(-Dashboard!$C$12*(1-F588)-O588)+2*Dashboard!$C$20*A588</f>
        <v>76471.171126394096</v>
      </c>
      <c r="Q588" s="8">
        <f>-P588-Dashboard!$C$13-Dashboard!$C$14</f>
        <v>-126471.1711263941</v>
      </c>
    </row>
    <row r="589" spans="1:17" x14ac:dyDescent="0.25">
      <c r="A589" s="5">
        <f>(589-2)/100</f>
        <v>5.87</v>
      </c>
      <c r="B589" s="5">
        <f>Dashboard!$C$10*EXP(-Dashboard!$C$12*A589)</f>
        <v>2.563137960191883E-2</v>
      </c>
      <c r="C589" s="5">
        <f>Dashboard!$C$17*A589</f>
        <v>4696</v>
      </c>
      <c r="D589" s="5">
        <f>Dashboard!$C$15*(1-EXP(-Dashboard!$C$16*A589))</f>
        <v>0.75749542455488106</v>
      </c>
      <c r="E589" s="5">
        <f>1/(1+EXP(MIN(700,MAX(-700,(C589-Dashboard!$C$18)/Dashboard!$C$19))))</f>
        <v>1.1059620830153508E-2</v>
      </c>
      <c r="F589" s="5">
        <f t="shared" si="43"/>
        <v>8.3776121761531368E-3</v>
      </c>
      <c r="G589" s="8">
        <f>Dashboard!$C$9*B589*Dashboard!$C$11*(1-F589)</f>
        <v>50833.299688148385</v>
      </c>
      <c r="H589" s="8">
        <f>Dashboard!$C$20*A589^2</f>
        <v>275655.2</v>
      </c>
      <c r="I589" s="8">
        <f t="shared" si="44"/>
        <v>326488.49968814838</v>
      </c>
      <c r="J589" s="8">
        <f>Dashboard!$C$13*A589</f>
        <v>117400</v>
      </c>
      <c r="K589" s="8">
        <f>Dashboard!$C$14*A589</f>
        <v>176100</v>
      </c>
      <c r="L589" s="8">
        <f>Dashboard!$C$21-K589</f>
        <v>1323900</v>
      </c>
      <c r="M589" s="8">
        <f t="shared" si="45"/>
        <v>880011.50031185162</v>
      </c>
      <c r="N589" s="8">
        <f t="shared" si="46"/>
        <v>293500</v>
      </c>
      <c r="O589" s="8">
        <f>Dashboard!$C$15*(Dashboard!$C$16*EXP(-Dashboard!$C$16*A589)*E589-(1-EXP(-Dashboard!$C$16*A589))*Dashboard!$C$17/Dashboard!$C$19*E589*(1-E589))</f>
        <v>-1.0811569705378906E-2</v>
      </c>
      <c r="P589" s="8">
        <f>Dashboard!$C$9*B589*Dashboard!$C$11*(-Dashboard!$C$12*(1-F589)-O589)+2*Dashboard!$C$20*A589</f>
        <v>76682.576003570415</v>
      </c>
      <c r="Q589" s="8">
        <f>-P589-Dashboard!$C$13-Dashboard!$C$14</f>
        <v>-126682.57600357042</v>
      </c>
    </row>
    <row r="590" spans="1:17" x14ac:dyDescent="0.25">
      <c r="A590" s="5">
        <f>(590-2)/100</f>
        <v>5.88</v>
      </c>
      <c r="B590" s="5">
        <f>Dashboard!$C$10*EXP(-Dashboard!$C$12*A590)</f>
        <v>2.5541826582514766E-2</v>
      </c>
      <c r="C590" s="5">
        <f>Dashboard!$C$17*A590</f>
        <v>4704</v>
      </c>
      <c r="D590" s="5">
        <f>Dashboard!$C$15*(1-EXP(-Dashboard!$C$16*A590))</f>
        <v>0.75770741700931976</v>
      </c>
      <c r="E590" s="5">
        <f>1/(1+EXP(MIN(700,MAX(-700,(C590-Dashboard!$C$18)/Dashboard!$C$19))))</f>
        <v>1.0914736763951324E-2</v>
      </c>
      <c r="F590" s="5">
        <f t="shared" si="43"/>
        <v>8.2701770007502194E-3</v>
      </c>
      <c r="G590" s="8">
        <f>Dashboard!$C$9*B590*Dashboard!$C$11*(1-F590)</f>
        <v>50661.182311509801</v>
      </c>
      <c r="H590" s="8">
        <f>Dashboard!$C$20*A590^2</f>
        <v>276595.19999999995</v>
      </c>
      <c r="I590" s="8">
        <f t="shared" si="44"/>
        <v>327256.38231150975</v>
      </c>
      <c r="J590" s="8">
        <f>Dashboard!$C$13*A590</f>
        <v>117600</v>
      </c>
      <c r="K590" s="8">
        <f>Dashboard!$C$14*A590</f>
        <v>176400</v>
      </c>
      <c r="L590" s="8">
        <f>Dashboard!$C$21-K590</f>
        <v>1323600</v>
      </c>
      <c r="M590" s="8">
        <f t="shared" si="45"/>
        <v>878743.61768849031</v>
      </c>
      <c r="N590" s="8">
        <f t="shared" si="46"/>
        <v>294000</v>
      </c>
      <c r="O590" s="8">
        <f>Dashboard!$C$15*(Dashboard!$C$16*EXP(-Dashboard!$C$16*A590)*E590-(1-EXP(-Dashboard!$C$16*A590))*Dashboard!$C$17/Dashboard!$C$19*E590*(1-E590))</f>
        <v>-1.0675740722522239E-2</v>
      </c>
      <c r="P590" s="8">
        <f>Dashboard!$C$9*B590*Dashboard!$C$11*(-Dashboard!$C$12*(1-F590)-O590)+2*Dashboard!$C$20*A590</f>
        <v>76893.942027320678</v>
      </c>
      <c r="Q590" s="8">
        <f>-P590-Dashboard!$C$13-Dashboard!$C$14</f>
        <v>-126893.94202732068</v>
      </c>
    </row>
    <row r="591" spans="1:17" x14ac:dyDescent="0.25">
      <c r="A591" s="5">
        <f>(591-2)/100</f>
        <v>5.89</v>
      </c>
      <c r="B591" s="5">
        <f>Dashboard!$C$10*EXP(-Dashboard!$C$12*A591)</f>
        <v>2.5452586450805743E-2</v>
      </c>
      <c r="C591" s="5">
        <f>Dashboard!$C$17*A591</f>
        <v>4712</v>
      </c>
      <c r="D591" s="5">
        <f>Dashboard!$C$15*(1-EXP(-Dashboard!$C$16*A591))</f>
        <v>0.757918352146981</v>
      </c>
      <c r="E591" s="5">
        <f>1/(1+EXP(MIN(700,MAX(-700,(C591-Dashboard!$C$18)/Dashboard!$C$19))))</f>
        <v>1.0771730045141625E-2</v>
      </c>
      <c r="F591" s="5">
        <f t="shared" si="43"/>
        <v>8.1640918855858651E-3</v>
      </c>
      <c r="G591" s="8">
        <f>Dashboard!$C$9*B591*Dashboard!$C$11*(1-F591)</f>
        <v>50489.578392591095</v>
      </c>
      <c r="H591" s="8">
        <f>Dashboard!$C$20*A591^2</f>
        <v>277536.8</v>
      </c>
      <c r="I591" s="8">
        <f t="shared" si="44"/>
        <v>328026.37839259108</v>
      </c>
      <c r="J591" s="8">
        <f>Dashboard!$C$13*A591</f>
        <v>117800</v>
      </c>
      <c r="K591" s="8">
        <f>Dashboard!$C$14*A591</f>
        <v>176700</v>
      </c>
      <c r="L591" s="8">
        <f>Dashboard!$C$21-K591</f>
        <v>1323300</v>
      </c>
      <c r="M591" s="8">
        <f t="shared" si="45"/>
        <v>877473.62160740886</v>
      </c>
      <c r="N591" s="8">
        <f t="shared" si="46"/>
        <v>294500</v>
      </c>
      <c r="O591" s="8">
        <f>Dashboard!$C$15*(Dashboard!$C$16*EXP(-Dashboard!$C$16*A591)*E591-(1-EXP(-Dashboard!$C$16*A591))*Dashboard!$C$17/Dashboard!$C$19*E591*(1-E591))</f>
        <v>-1.0541554580377087E-2</v>
      </c>
      <c r="P591" s="8">
        <f>Dashboard!$C$9*B591*Dashboard!$C$11*(-Dashboard!$C$12*(1-F591)-O591)+2*Dashboard!$C$20*A591</f>
        <v>77105.267221158982</v>
      </c>
      <c r="Q591" s="8">
        <f>-P591-Dashboard!$C$13-Dashboard!$C$14</f>
        <v>-127105.26722115898</v>
      </c>
    </row>
    <row r="592" spans="1:17" x14ac:dyDescent="0.25">
      <c r="A592" s="5">
        <f>(592-2)/100</f>
        <v>5.9</v>
      </c>
      <c r="B592" s="5">
        <f>Dashboard!$C$10*EXP(-Dashboard!$C$12*A592)</f>
        <v>2.536365811359902E-2</v>
      </c>
      <c r="C592" s="5">
        <f>Dashboard!$C$17*A592</f>
        <v>4720</v>
      </c>
      <c r="D592" s="5">
        <f>Dashboard!$C$15*(1-EXP(-Dashboard!$C$16*A592))</f>
        <v>0.75812823524125417</v>
      </c>
      <c r="E592" s="5">
        <f>1/(1+EXP(MIN(700,MAX(-700,(C592-Dashboard!$C$18)/Dashboard!$C$19))))</f>
        <v>1.0630576886143987E-2</v>
      </c>
      <c r="F592" s="5">
        <f t="shared" si="43"/>
        <v>8.0593404942888077E-3</v>
      </c>
      <c r="G592" s="8">
        <f>Dashboard!$C$9*B592*Dashboard!$C$11*(1-F592)</f>
        <v>50318.487513361586</v>
      </c>
      <c r="H592" s="8">
        <f>Dashboard!$C$20*A592^2</f>
        <v>278480</v>
      </c>
      <c r="I592" s="8">
        <f t="shared" si="44"/>
        <v>328798.48751336162</v>
      </c>
      <c r="J592" s="8">
        <f>Dashboard!$C$13*A592</f>
        <v>118000</v>
      </c>
      <c r="K592" s="8">
        <f>Dashboard!$C$14*A592</f>
        <v>177000</v>
      </c>
      <c r="L592" s="8">
        <f>Dashboard!$C$21-K592</f>
        <v>1323000</v>
      </c>
      <c r="M592" s="8">
        <f t="shared" si="45"/>
        <v>876201.51248663838</v>
      </c>
      <c r="N592" s="8">
        <f t="shared" si="46"/>
        <v>295000</v>
      </c>
      <c r="O592" s="8">
        <f>Dashboard!$C$15*(Dashboard!$C$16*EXP(-Dashboard!$C$16*A592)*E592-(1-EXP(-Dashboard!$C$16*A592))*Dashboard!$C$17/Dashboard!$C$19*E592*(1-E592))</f>
        <v>-1.0408992900037018E-2</v>
      </c>
      <c r="P592" s="8">
        <f>Dashboard!$C$9*B592*Dashboard!$C$11*(-Dashboard!$C$12*(1-F592)-O592)+2*Dashboard!$C$20*A592</f>
        <v>77316.549644770275</v>
      </c>
      <c r="Q592" s="8">
        <f>-P592-Dashboard!$C$13-Dashboard!$C$14</f>
        <v>-127316.54964477028</v>
      </c>
    </row>
    <row r="593" spans="1:17" x14ac:dyDescent="0.25">
      <c r="A593" s="5">
        <f>(593-2)/100</f>
        <v>5.91</v>
      </c>
      <c r="B593" s="5">
        <f>Dashboard!$C$10*EXP(-Dashboard!$C$12*A593)</f>
        <v>2.5275040481521377E-2</v>
      </c>
      <c r="C593" s="5">
        <f>Dashboard!$C$17*A593</f>
        <v>4728</v>
      </c>
      <c r="D593" s="5">
        <f>Dashboard!$C$15*(1-EXP(-Dashboard!$C$16*A593))</f>
        <v>0.75833707153922747</v>
      </c>
      <c r="E593" s="5">
        <f>1/(1+EXP(MIN(700,MAX(-700,(C593-Dashboard!$C$18)/Dashboard!$C$19))))</f>
        <v>1.0491253786764559E-2</v>
      </c>
      <c r="F593" s="5">
        <f t="shared" si="43"/>
        <v>7.9559066734298661E-3</v>
      </c>
      <c r="G593" s="8">
        <f>Dashboard!$C$9*B593*Dashboard!$C$11*(1-F593)</f>
        <v>50147.909236566462</v>
      </c>
      <c r="H593" s="8">
        <f>Dashboard!$C$20*A593^2</f>
        <v>279424.8</v>
      </c>
      <c r="I593" s="8">
        <f t="shared" si="44"/>
        <v>329572.70923656644</v>
      </c>
      <c r="J593" s="8">
        <f>Dashboard!$C$13*A593</f>
        <v>118200</v>
      </c>
      <c r="K593" s="8">
        <f>Dashboard!$C$14*A593</f>
        <v>177300</v>
      </c>
      <c r="L593" s="8">
        <f>Dashboard!$C$21-K593</f>
        <v>1322700</v>
      </c>
      <c r="M593" s="8">
        <f t="shared" si="45"/>
        <v>874927.29076343356</v>
      </c>
      <c r="N593" s="8">
        <f t="shared" si="46"/>
        <v>295500</v>
      </c>
      <c r="O593" s="8">
        <f>Dashboard!$C$15*(Dashboard!$C$16*EXP(-Dashboard!$C$16*A593)*E593-(1-EXP(-Dashboard!$C$16*A593))*Dashboard!$C$17/Dashboard!$C$19*E593*(1-E593))</f>
        <v>-1.027803747189591E-2</v>
      </c>
      <c r="P593" s="8">
        <f>Dashboard!$C$9*B593*Dashboard!$C$11*(-Dashboard!$C$12*(1-F593)-O593)+2*Dashboard!$C$20*A593</f>
        <v>77527.78739354726</v>
      </c>
      <c r="Q593" s="8">
        <f>-P593-Dashboard!$C$13-Dashboard!$C$14</f>
        <v>-127527.78739354726</v>
      </c>
    </row>
    <row r="594" spans="1:17" x14ac:dyDescent="0.25">
      <c r="A594" s="5">
        <f>(594-2)/100</f>
        <v>5.92</v>
      </c>
      <c r="B594" s="5">
        <f>Dashboard!$C$10*EXP(-Dashboard!$C$12*A594)</f>
        <v>2.5186732469005692E-2</v>
      </c>
      <c r="C594" s="5">
        <f>Dashboard!$C$17*A594</f>
        <v>4736</v>
      </c>
      <c r="D594" s="5">
        <f>Dashboard!$C$15*(1-EXP(-Dashboard!$C$16*A594))</f>
        <v>0.75854486626181938</v>
      </c>
      <c r="E594" s="5">
        <f>1/(1+EXP(MIN(700,MAX(-700,(C594-Dashboard!$C$18)/Dashboard!$C$19))))</f>
        <v>1.0353737531091752E-2</v>
      </c>
      <c r="F594" s="5">
        <f t="shared" si="43"/>
        <v>7.8537744508319733E-3</v>
      </c>
      <c r="G594" s="8">
        <f>Dashboard!$C$9*B594*Dashboard!$C$11*(1-F594)</f>
        <v>49977.843106081345</v>
      </c>
      <c r="H594" s="8">
        <f>Dashboard!$C$20*A594^2</f>
        <v>280371.20000000001</v>
      </c>
      <c r="I594" s="8">
        <f t="shared" si="44"/>
        <v>330349.04310608137</v>
      </c>
      <c r="J594" s="8">
        <f>Dashboard!$C$13*A594</f>
        <v>118400</v>
      </c>
      <c r="K594" s="8">
        <f>Dashboard!$C$14*A594</f>
        <v>177600</v>
      </c>
      <c r="L594" s="8">
        <f>Dashboard!$C$21-K594</f>
        <v>1322400</v>
      </c>
      <c r="M594" s="8">
        <f t="shared" si="45"/>
        <v>873650.95689391857</v>
      </c>
      <c r="N594" s="8">
        <f t="shared" si="46"/>
        <v>296000</v>
      </c>
      <c r="O594" s="8">
        <f>Dashboard!$C$15*(Dashboard!$C$16*EXP(-Dashboard!$C$16*A594)*E594-(1-EXP(-Dashboard!$C$16*A594))*Dashboard!$C$17/Dashboard!$C$19*E594*(1-E594))</f>
        <v>-1.0148670255032173E-2</v>
      </c>
      <c r="P594" s="8">
        <f>Dashboard!$C$9*B594*Dashboard!$C$11*(-Dashboard!$C$12*(1-F594)-O594)+2*Dashboard!$C$20*A594</f>
        <v>77738.978598130838</v>
      </c>
      <c r="Q594" s="8">
        <f>-P594-Dashboard!$C$13-Dashboard!$C$14</f>
        <v>-127738.97859813084</v>
      </c>
    </row>
    <row r="595" spans="1:17" x14ac:dyDescent="0.25">
      <c r="A595" s="5">
        <f>(595-2)/100</f>
        <v>5.93</v>
      </c>
      <c r="B595" s="5">
        <f>Dashboard!$C$10*EXP(-Dashboard!$C$12*A595)</f>
        <v>2.5098732994277728E-2</v>
      </c>
      <c r="C595" s="5">
        <f>Dashboard!$C$17*A595</f>
        <v>4744</v>
      </c>
      <c r="D595" s="5">
        <f>Dashboard!$C$15*(1-EXP(-Dashboard!$C$16*A595))</f>
        <v>0.75875162460390877</v>
      </c>
      <c r="E595" s="5">
        <f>1/(1+EXP(MIN(700,MAX(-700,(C595-Dashboard!$C$18)/Dashboard!$C$19))))</f>
        <v>1.0218005184415598E-2</v>
      </c>
      <c r="F595" s="5">
        <f t="shared" si="43"/>
        <v>7.752928033886497E-3</v>
      </c>
      <c r="G595" s="8">
        <f>Dashboard!$C$9*B595*Dashboard!$C$11*(1-F595)</f>
        <v>49808.288647262721</v>
      </c>
      <c r="H595" s="8">
        <f>Dashboard!$C$20*A595^2</f>
        <v>281319.19999999995</v>
      </c>
      <c r="I595" s="8">
        <f t="shared" si="44"/>
        <v>331127.48864726268</v>
      </c>
      <c r="J595" s="8">
        <f>Dashboard!$C$13*A595</f>
        <v>118600</v>
      </c>
      <c r="K595" s="8">
        <f>Dashboard!$C$14*A595</f>
        <v>177900</v>
      </c>
      <c r="L595" s="8">
        <f>Dashboard!$C$21-K595</f>
        <v>1322100</v>
      </c>
      <c r="M595" s="8">
        <f t="shared" si="45"/>
        <v>872372.51135273732</v>
      </c>
      <c r="N595" s="8">
        <f t="shared" si="46"/>
        <v>296500</v>
      </c>
      <c r="O595" s="8">
        <f>Dashboard!$C$15*(Dashboard!$C$16*EXP(-Dashboard!$C$16*A595)*E595-(1-EXP(-Dashboard!$C$16*A595))*Dashboard!$C$17/Dashboard!$C$19*E595*(1-E595))</f>
        <v>-1.0020873376566132E-2</v>
      </c>
      <c r="P595" s="8">
        <f>Dashboard!$C$9*B595*Dashboard!$C$11*(-Dashboard!$C$12*(1-F595)-O595)+2*Dashboard!$C$20*A595</f>
        <v>77950.121423953853</v>
      </c>
      <c r="Q595" s="8">
        <f>-P595-Dashboard!$C$13-Dashboard!$C$14</f>
        <v>-127950.12142395385</v>
      </c>
    </row>
    <row r="596" spans="1:17" x14ac:dyDescent="0.25">
      <c r="A596" s="5">
        <f>(596-2)/100</f>
        <v>5.94</v>
      </c>
      <c r="B596" s="5">
        <f>Dashboard!$C$10*EXP(-Dashboard!$C$12*A596)</f>
        <v>2.50110409793428E-2</v>
      </c>
      <c r="C596" s="5">
        <f>Dashboard!$C$17*A596</f>
        <v>4752</v>
      </c>
      <c r="D596" s="5">
        <f>Dashboard!$C$15*(1-EXP(-Dashboard!$C$16*A596))</f>
        <v>0.75895735173446477</v>
      </c>
      <c r="E596" s="5">
        <f>1/(1+EXP(MIN(700,MAX(-700,(C596-Dashboard!$C$18)/Dashboard!$C$19))))</f>
        <v>1.0084034090170932E-2</v>
      </c>
      <c r="F596" s="5">
        <f t="shared" si="43"/>
        <v>7.6533518078761931E-3</v>
      </c>
      <c r="G596" s="8">
        <f>Dashboard!$C$9*B596*Dashboard!$C$11*(1-F596)</f>
        <v>49639.245367293363</v>
      </c>
      <c r="H596" s="8">
        <f>Dashboard!$C$20*A596^2</f>
        <v>282268.80000000005</v>
      </c>
      <c r="I596" s="8">
        <f t="shared" si="44"/>
        <v>331908.04536729341</v>
      </c>
      <c r="J596" s="8">
        <f>Dashboard!$C$13*A596</f>
        <v>118800.00000000001</v>
      </c>
      <c r="K596" s="8">
        <f>Dashboard!$C$14*A596</f>
        <v>178200</v>
      </c>
      <c r="L596" s="8">
        <f>Dashboard!$C$21-K596</f>
        <v>1321800</v>
      </c>
      <c r="M596" s="8">
        <f t="shared" si="45"/>
        <v>871091.95463270659</v>
      </c>
      <c r="N596" s="8">
        <f t="shared" si="46"/>
        <v>297000</v>
      </c>
      <c r="O596" s="8">
        <f>Dashboard!$C$15*(Dashboard!$C$16*EXP(-Dashboard!$C$16*A596)*E596-(1-EXP(-Dashboard!$C$16*A596))*Dashboard!$C$17/Dashboard!$C$19*E596*(1-E596))</f>
        <v>-9.8946291309917229E-3</v>
      </c>
      <c r="P596" s="8">
        <f>Dashboard!$C$9*B596*Dashboard!$C$11*(-Dashboard!$C$12*(1-F596)-O596)+2*Dashboard!$C$20*A596</f>
        <v>78161.214070788585</v>
      </c>
      <c r="Q596" s="8">
        <f>-P596-Dashboard!$C$13-Dashboard!$C$14</f>
        <v>-128161.21407078858</v>
      </c>
    </row>
    <row r="597" spans="1:17" x14ac:dyDescent="0.25">
      <c r="A597" s="5">
        <f>(597-2)/100</f>
        <v>5.95</v>
      </c>
      <c r="B597" s="5">
        <f>Dashboard!$C$10*EXP(-Dashboard!$C$12*A597)</f>
        <v>2.4923655349972648E-2</v>
      </c>
      <c r="C597" s="5">
        <f>Dashboard!$C$17*A597</f>
        <v>4760</v>
      </c>
      <c r="D597" s="5">
        <f>Dashboard!$C$15*(1-EXP(-Dashboard!$C$16*A597))</f>
        <v>0.75916205279667659</v>
      </c>
      <c r="E597" s="5">
        <f>1/(1+EXP(MIN(700,MAX(-700,(C597-Dashboard!$C$18)/Dashboard!$C$19))))</f>
        <v>9.9518018669043241E-3</v>
      </c>
      <c r="F597" s="5">
        <f t="shared" si="43"/>
        <v>7.5550303343048849E-3</v>
      </c>
      <c r="G597" s="8">
        <f>Dashboard!$C$9*B597*Dashboard!$C$11*(1-F597)</f>
        <v>49470.712755523688</v>
      </c>
      <c r="H597" s="8">
        <f>Dashboard!$C$20*A597^2</f>
        <v>283220</v>
      </c>
      <c r="I597" s="8">
        <f t="shared" si="44"/>
        <v>332690.71275552368</v>
      </c>
      <c r="J597" s="8">
        <f>Dashboard!$C$13*A597</f>
        <v>119000</v>
      </c>
      <c r="K597" s="8">
        <f>Dashboard!$C$14*A597</f>
        <v>178500</v>
      </c>
      <c r="L597" s="8">
        <f>Dashboard!$C$21-K597</f>
        <v>1321500</v>
      </c>
      <c r="M597" s="8">
        <f t="shared" si="45"/>
        <v>869809.28724447638</v>
      </c>
      <c r="N597" s="8">
        <f t="shared" si="46"/>
        <v>297500</v>
      </c>
      <c r="O597" s="8">
        <f>Dashboard!$C$15*(Dashboard!$C$16*EXP(-Dashboard!$C$16*A597)*E597-(1-EXP(-Dashboard!$C$16*A597))*Dashboard!$C$17/Dashboard!$C$19*E597*(1-E597))</f>
        <v>-9.7699199794832881E-3</v>
      </c>
      <c r="P597" s="8">
        <f>Dashboard!$C$9*B597*Dashboard!$C$11*(-Dashboard!$C$12*(1-F597)-O597)+2*Dashboard!$C$20*A597</f>
        <v>78372.254772297616</v>
      </c>
      <c r="Q597" s="8">
        <f>-P597-Dashboard!$C$13-Dashboard!$C$14</f>
        <v>-128372.25477229762</v>
      </c>
    </row>
    <row r="598" spans="1:17" x14ac:dyDescent="0.25">
      <c r="A598" s="5">
        <f>(598-2)/100</f>
        <v>5.96</v>
      </c>
      <c r="B598" s="5">
        <f>Dashboard!$C$10*EXP(-Dashboard!$C$12*A598)</f>
        <v>2.4836575035692206E-2</v>
      </c>
      <c r="C598" s="5">
        <f>Dashboard!$C$17*A598</f>
        <v>4768</v>
      </c>
      <c r="D598" s="5">
        <f>Dashboard!$C$15*(1-EXP(-Dashboard!$C$16*A598))</f>
        <v>0.75936573290808118</v>
      </c>
      <c r="E598" s="5">
        <f>1/(1+EXP(MIN(700,MAX(-700,(C598-Dashboard!$C$18)/Dashboard!$C$19))))</f>
        <v>9.8212864052649694E-3</v>
      </c>
      <c r="F598" s="5">
        <f t="shared" si="43"/>
        <v>7.4579483492342074E-3</v>
      </c>
      <c r="G598" s="8">
        <f>Dashboard!$C$9*B598*Dashboard!$C$11*(1-F598)</f>
        <v>49302.690283808261</v>
      </c>
      <c r="H598" s="8">
        <f>Dashboard!$C$20*A598^2</f>
        <v>284172.79999999999</v>
      </c>
      <c r="I598" s="8">
        <f t="shared" si="44"/>
        <v>333475.49028380826</v>
      </c>
      <c r="J598" s="8">
        <f>Dashboard!$C$13*A598</f>
        <v>119200</v>
      </c>
      <c r="K598" s="8">
        <f>Dashboard!$C$14*A598</f>
        <v>178800</v>
      </c>
      <c r="L598" s="8">
        <f>Dashboard!$C$21-K598</f>
        <v>1321200</v>
      </c>
      <c r="M598" s="8">
        <f t="shared" si="45"/>
        <v>868524.50971619179</v>
      </c>
      <c r="N598" s="8">
        <f t="shared" si="46"/>
        <v>298000</v>
      </c>
      <c r="O598" s="8">
        <f>Dashboard!$C$15*(Dashboard!$C$16*EXP(-Dashboard!$C$16*A598)*E598-(1-EXP(-Dashboard!$C$16*A598))*Dashboard!$C$17/Dashboard!$C$19*E598*(1-E598))</f>
        <v>-9.6467285491787236E-3</v>
      </c>
      <c r="P598" s="8">
        <f>Dashboard!$C$9*B598*Dashboard!$C$11*(-Dashboard!$C$12*(1-F598)-O598)+2*Dashboard!$C$20*A598</f>
        <v>78583.241795588372</v>
      </c>
      <c r="Q598" s="8">
        <f>-P598-Dashboard!$C$13-Dashboard!$C$14</f>
        <v>-128583.24179558837</v>
      </c>
    </row>
    <row r="599" spans="1:17" x14ac:dyDescent="0.25">
      <c r="A599" s="5">
        <f>(599-2)/100</f>
        <v>5.97</v>
      </c>
      <c r="B599" s="5">
        <f>Dashboard!$C$10*EXP(-Dashboard!$C$12*A599)</f>
        <v>2.4749798969766541E-2</v>
      </c>
      <c r="C599" s="5">
        <f>Dashboard!$C$17*A599</f>
        <v>4776</v>
      </c>
      <c r="D599" s="5">
        <f>Dashboard!$C$15*(1-EXP(-Dashboard!$C$16*A599))</f>
        <v>0.75956839716069224</v>
      </c>
      <c r="E599" s="5">
        <f>1/(1+EXP(MIN(700,MAX(-700,(C599-Dashboard!$C$18)/Dashboard!$C$19))))</f>
        <v>9.6924658650196453E-3</v>
      </c>
      <c r="F599" s="5">
        <f t="shared" si="43"/>
        <v>7.362090761627694E-3</v>
      </c>
      <c r="G599" s="8">
        <f>Dashboard!$C$9*B599*Dashboard!$C$11*(1-F599)</f>
        <v>49135.177406838156</v>
      </c>
      <c r="H599" s="8">
        <f>Dashboard!$C$20*A599^2</f>
        <v>285127.19999999995</v>
      </c>
      <c r="I599" s="8">
        <f t="shared" si="44"/>
        <v>334262.37740683812</v>
      </c>
      <c r="J599" s="8">
        <f>Dashboard!$C$13*A599</f>
        <v>119400</v>
      </c>
      <c r="K599" s="8">
        <f>Dashboard!$C$14*A599</f>
        <v>179100</v>
      </c>
      <c r="L599" s="8">
        <f>Dashboard!$C$21-K599</f>
        <v>1320900</v>
      </c>
      <c r="M599" s="8">
        <f t="shared" si="45"/>
        <v>867237.62259316188</v>
      </c>
      <c r="N599" s="8">
        <f t="shared" si="46"/>
        <v>298500</v>
      </c>
      <c r="O599" s="8">
        <f>Dashboard!$C$15*(Dashboard!$C$16*EXP(-Dashboard!$C$16*A599)*E599-(1-EXP(-Dashboard!$C$16*A599))*Dashboard!$C$17/Dashboard!$C$19*E599*(1-E599))</f>
        <v>-9.525037632439913E-3</v>
      </c>
      <c r="P599" s="8">
        <f>Dashboard!$C$9*B599*Dashboard!$C$11*(-Dashboard!$C$12*(1-F599)-O599)+2*Dashboard!$C$20*A599</f>
        <v>78794.173440771337</v>
      </c>
      <c r="Q599" s="8">
        <f>-P599-Dashboard!$C$13-Dashboard!$C$14</f>
        <v>-128794.17344077134</v>
      </c>
    </row>
    <row r="600" spans="1:17" x14ac:dyDescent="0.25">
      <c r="A600" s="5">
        <f>(600-2)/100</f>
        <v>5.98</v>
      </c>
      <c r="B600" s="5">
        <f>Dashboard!$C$10*EXP(-Dashboard!$C$12*A600)</f>
        <v>2.4663326089187743E-2</v>
      </c>
      <c r="C600" s="5">
        <f>Dashboard!$C$17*A600</f>
        <v>4784</v>
      </c>
      <c r="D600" s="5">
        <f>Dashboard!$C$15*(1-EXP(-Dashboard!$C$16*A600))</f>
        <v>0.75977005062112657</v>
      </c>
      <c r="E600" s="5">
        <f>1/(1+EXP(MIN(700,MAX(-700,(C600-Dashboard!$C$18)/Dashboard!$C$19))))</f>
        <v>9.5653186720916755E-3</v>
      </c>
      <c r="F600" s="5">
        <f t="shared" si="43"/>
        <v>7.2674426517022996E-3</v>
      </c>
      <c r="G600" s="8">
        <f>Dashboard!$C$9*B600*Dashboard!$C$11*(1-F600)</f>
        <v>48968.173562468677</v>
      </c>
      <c r="H600" s="8">
        <f>Dashboard!$C$20*A600^2</f>
        <v>286083.20000000001</v>
      </c>
      <c r="I600" s="8">
        <f t="shared" si="44"/>
        <v>335051.37356246868</v>
      </c>
      <c r="J600" s="8">
        <f>Dashboard!$C$13*A600</f>
        <v>119600.00000000001</v>
      </c>
      <c r="K600" s="8">
        <f>Dashboard!$C$14*A600</f>
        <v>179400</v>
      </c>
      <c r="L600" s="8">
        <f>Dashboard!$C$21-K600</f>
        <v>1320600</v>
      </c>
      <c r="M600" s="8">
        <f t="shared" si="45"/>
        <v>865948.62643753132</v>
      </c>
      <c r="N600" s="8">
        <f t="shared" si="46"/>
        <v>299000</v>
      </c>
      <c r="O600" s="8">
        <f>Dashboard!$C$15*(Dashboard!$C$16*EXP(-Dashboard!$C$16*A600)*E600-(1-EXP(-Dashboard!$C$16*A600))*Dashboard!$C$17/Dashboard!$C$19*E600*(1-E600))</f>
        <v>-9.4048301860912998E-3</v>
      </c>
      <c r="P600" s="8">
        <f>Dashboard!$C$9*B600*Dashboard!$C$11*(-Dashboard!$C$12*(1-F600)-O600)+2*Dashboard!$C$20*A600</f>
        <v>79005.048040521971</v>
      </c>
      <c r="Q600" s="8">
        <f>-P600-Dashboard!$C$13-Dashboard!$C$14</f>
        <v>-129005.04804052197</v>
      </c>
    </row>
    <row r="601" spans="1:17" x14ac:dyDescent="0.25">
      <c r="A601" s="5">
        <f>(601-2)/100</f>
        <v>5.99</v>
      </c>
      <c r="B601" s="5">
        <f>Dashboard!$C$10*EXP(-Dashboard!$C$12*A601)</f>
        <v>2.4577155334661972E-2</v>
      </c>
      <c r="C601" s="5">
        <f>Dashboard!$C$17*A601</f>
        <v>4792</v>
      </c>
      <c r="D601" s="5">
        <f>Dashboard!$C$15*(1-EXP(-Dashboard!$C$16*A601))</f>
        <v>0.75997069833073105</v>
      </c>
      <c r="E601" s="5">
        <f>1/(1+EXP(MIN(700,MAX(-700,(C601-Dashboard!$C$18)/Dashboard!$C$19))))</f>
        <v>9.4398235156240313E-3</v>
      </c>
      <c r="F601" s="5">
        <f t="shared" si="43"/>
        <v>7.1739892692876516E-3</v>
      </c>
      <c r="G601" s="8">
        <f>Dashboard!$C$9*B601*Dashboard!$C$11*(1-F601)</f>
        <v>48801.678172042972</v>
      </c>
      <c r="H601" s="8">
        <f>Dashboard!$C$20*A601^2</f>
        <v>287040.80000000005</v>
      </c>
      <c r="I601" s="8">
        <f t="shared" si="44"/>
        <v>335842.47817204299</v>
      </c>
      <c r="J601" s="8">
        <f>Dashboard!$C$13*A601</f>
        <v>119800</v>
      </c>
      <c r="K601" s="8">
        <f>Dashboard!$C$14*A601</f>
        <v>179700</v>
      </c>
      <c r="L601" s="8">
        <f>Dashboard!$C$21-K601</f>
        <v>1320300</v>
      </c>
      <c r="M601" s="8">
        <f t="shared" si="45"/>
        <v>864657.52182795701</v>
      </c>
      <c r="N601" s="8">
        <f t="shared" si="46"/>
        <v>299500</v>
      </c>
      <c r="O601" s="8">
        <f>Dashboard!$C$15*(Dashboard!$C$16*EXP(-Dashboard!$C$16*A601)*E601-(1-EXP(-Dashboard!$C$16*A601))*Dashboard!$C$17/Dashboard!$C$19*E601*(1-E601))</f>
        <v>-9.2860893306376743E-3</v>
      </c>
      <c r="P601" s="8">
        <f>Dashboard!$C$9*B601*Dashboard!$C$11*(-Dashboard!$C$12*(1-F601)-O601)+2*Dashboard!$C$20*A601</f>
        <v>79215.863959646216</v>
      </c>
      <c r="Q601" s="8">
        <f>-P601-Dashboard!$C$13-Dashboard!$C$14</f>
        <v>-129215.86395964622</v>
      </c>
    </row>
    <row r="602" spans="1:17" x14ac:dyDescent="0.25">
      <c r="A602" s="5">
        <f>(602-2)/100</f>
        <v>6</v>
      </c>
      <c r="B602" s="5">
        <f>Dashboard!$C$10*EXP(-Dashboard!$C$12*A602)</f>
        <v>2.4491285650596391E-2</v>
      </c>
      <c r="C602" s="5">
        <f>Dashboard!$C$17*A602</f>
        <v>4800</v>
      </c>
      <c r="D602" s="5">
        <f>Dashboard!$C$15*(1-EXP(-Dashboard!$C$16*A602))</f>
        <v>0.76017034530570893</v>
      </c>
      <c r="E602" s="5">
        <f>1/(1+EXP(MIN(700,MAX(-700,(C602-Dashboard!$C$18)/Dashboard!$C$19))))</f>
        <v>9.3159593450666857E-3</v>
      </c>
      <c r="F602" s="5">
        <f t="shared" si="43"/>
        <v>7.081716032193288E-3</v>
      </c>
      <c r="G602" s="8">
        <f>Dashboard!$C$9*B602*Dashboard!$C$11*(1-F602)</f>
        <v>48635.690640711073</v>
      </c>
      <c r="H602" s="8">
        <f>Dashboard!$C$20*A602^2</f>
        <v>288000</v>
      </c>
      <c r="I602" s="8">
        <f t="shared" si="44"/>
        <v>336635.69064071105</v>
      </c>
      <c r="J602" s="8">
        <f>Dashboard!$C$13*A602</f>
        <v>120000</v>
      </c>
      <c r="K602" s="8">
        <f>Dashboard!$C$14*A602</f>
        <v>180000</v>
      </c>
      <c r="L602" s="8">
        <f>Dashboard!$C$21-K602</f>
        <v>1320000</v>
      </c>
      <c r="M602" s="8">
        <f t="shared" si="45"/>
        <v>863364.30935928901</v>
      </c>
      <c r="N602" s="8">
        <f t="shared" si="46"/>
        <v>300000</v>
      </c>
      <c r="O602" s="8">
        <f>Dashboard!$C$15*(Dashboard!$C$16*EXP(-Dashboard!$C$16*A602)*E602-(1-EXP(-Dashboard!$C$16*A602))*Dashboard!$C$17/Dashboard!$C$19*E602*(1-E602))</f>
        <v>-9.1687983494620606E-3</v>
      </c>
      <c r="P602" s="8">
        <f>Dashboard!$C$9*B602*Dashboard!$C$11*(-Dashboard!$C$12*(1-F602)-O602)+2*Dashboard!$C$20*A602</f>
        <v>79426.619594649907</v>
      </c>
      <c r="Q602" s="8">
        <f>-P602-Dashboard!$C$13-Dashboard!$C$14</f>
        <v>-129426.61959464991</v>
      </c>
    </row>
    <row r="603" spans="1:17" x14ac:dyDescent="0.25">
      <c r="A603" s="5">
        <f>(603-2)/100</f>
        <v>6.01</v>
      </c>
      <c r="B603" s="5">
        <f>Dashboard!$C$10*EXP(-Dashboard!$C$12*A603)</f>
        <v>2.4405715985086288E-2</v>
      </c>
      <c r="C603" s="5">
        <f>Dashboard!$C$17*A603</f>
        <v>4808</v>
      </c>
      <c r="D603" s="5">
        <f>Dashboard!$C$15*(1-EXP(-Dashboard!$C$16*A603))</f>
        <v>0.76036899653724488</v>
      </c>
      <c r="E603" s="5">
        <f>1/(1+EXP(MIN(700,MAX(-700,(C603-Dashboard!$C$18)/Dashboard!$C$19))))</f>
        <v>9.193705367288094E-3</v>
      </c>
      <c r="F603" s="5">
        <f t="shared" si="43"/>
        <v>6.9906085245839307E-3</v>
      </c>
      <c r="G603" s="8">
        <f>Dashboard!$C$9*B603*Dashboard!$C$11*(1-F603)</f>
        <v>48470.210357744741</v>
      </c>
      <c r="H603" s="8">
        <f>Dashboard!$C$20*A603^2</f>
        <v>288960.8</v>
      </c>
      <c r="I603" s="8">
        <f t="shared" si="44"/>
        <v>337431.01035774476</v>
      </c>
      <c r="J603" s="8">
        <f>Dashboard!$C$13*A603</f>
        <v>120200</v>
      </c>
      <c r="K603" s="8">
        <f>Dashboard!$C$14*A603</f>
        <v>180300</v>
      </c>
      <c r="L603" s="8">
        <f>Dashboard!$C$21-K603</f>
        <v>1319700</v>
      </c>
      <c r="M603" s="8">
        <f t="shared" si="45"/>
        <v>862068.98964225524</v>
      </c>
      <c r="N603" s="8">
        <f t="shared" si="46"/>
        <v>300500</v>
      </c>
      <c r="O603" s="8">
        <f>Dashboard!$C$15*(Dashboard!$C$16*EXP(-Dashboard!$C$16*A603)*E603-(1-EXP(-Dashboard!$C$16*A603))*Dashboard!$C$17/Dashboard!$C$19*E603*(1-E603))</f>
        <v>-9.0529406880045342E-3</v>
      </c>
      <c r="P603" s="8">
        <f>Dashboard!$C$9*B603*Dashboard!$C$11*(-Dashboard!$C$12*(1-F603)-O603)+2*Dashboard!$C$20*A603</f>
        <v>79637.313373311888</v>
      </c>
      <c r="Q603" s="8">
        <f>-P603-Dashboard!$C$13-Dashboard!$C$14</f>
        <v>-129637.31337331189</v>
      </c>
    </row>
    <row r="604" spans="1:17" x14ac:dyDescent="0.25">
      <c r="A604" s="5">
        <f>(604-2)/100</f>
        <v>6.02</v>
      </c>
      <c r="B604" s="5">
        <f>Dashboard!$C$10*EXP(-Dashboard!$C$12*A604)</f>
        <v>2.4320445289902213E-2</v>
      </c>
      <c r="C604" s="5">
        <f>Dashboard!$C$17*A604</f>
        <v>4816</v>
      </c>
      <c r="D604" s="5">
        <f>Dashboard!$C$15*(1-EXP(-Dashboard!$C$16*A604))</f>
        <v>0.76056665699163029</v>
      </c>
      <c r="E604" s="5">
        <f>1/(1+EXP(MIN(700,MAX(-700,(C604-Dashboard!$C$18)/Dashboard!$C$19))))</f>
        <v>9.0730410437109589E-3</v>
      </c>
      <c r="F604" s="5">
        <f t="shared" si="43"/>
        <v>6.9006524953630962E-3</v>
      </c>
      <c r="G604" s="8">
        <f>Dashboard!$C$9*B604*Dashboard!$C$11*(1-F604)</f>
        <v>48305.236696848209</v>
      </c>
      <c r="H604" s="8">
        <f>Dashboard!$C$20*A604^2</f>
        <v>289923.19999999995</v>
      </c>
      <c r="I604" s="8">
        <f t="shared" si="44"/>
        <v>338228.43669684813</v>
      </c>
      <c r="J604" s="8">
        <f>Dashboard!$C$13*A604</f>
        <v>120399.99999999999</v>
      </c>
      <c r="K604" s="8">
        <f>Dashboard!$C$14*A604</f>
        <v>180600</v>
      </c>
      <c r="L604" s="8">
        <f>Dashboard!$C$21-K604</f>
        <v>1319400</v>
      </c>
      <c r="M604" s="8">
        <f t="shared" si="45"/>
        <v>860771.56330315187</v>
      </c>
      <c r="N604" s="8">
        <f t="shared" si="46"/>
        <v>301000</v>
      </c>
      <c r="O604" s="8">
        <f>Dashboard!$C$15*(Dashboard!$C$16*EXP(-Dashboard!$C$16*A604)*E604-(1-EXP(-Dashboard!$C$16*A604))*Dashboard!$C$17/Dashboard!$C$19*E604*(1-E604))</f>
        <v>-8.9384999529228733E-3</v>
      </c>
      <c r="P604" s="8">
        <f>Dashboard!$C$9*B604*Dashboard!$C$11*(-Dashboard!$C$12*(1-F604)-O604)+2*Dashboard!$C$20*A604</f>
        <v>79847.943754260836</v>
      </c>
      <c r="Q604" s="8">
        <f>-P604-Dashboard!$C$13-Dashboard!$C$14</f>
        <v>-129847.94375426084</v>
      </c>
    </row>
    <row r="605" spans="1:17" x14ac:dyDescent="0.25">
      <c r="A605" s="5">
        <f>(605-2)/100</f>
        <v>6.03</v>
      </c>
      <c r="B605" s="5">
        <f>Dashboard!$C$10*EXP(-Dashboard!$C$12*A605)</f>
        <v>2.4235472520477062E-2</v>
      </c>
      <c r="C605" s="5">
        <f>Dashboard!$C$17*A605</f>
        <v>4824</v>
      </c>
      <c r="D605" s="5">
        <f>Dashboard!$C$15*(1-EXP(-Dashboard!$C$16*A605))</f>
        <v>0.76076333161038667</v>
      </c>
      <c r="E605" s="5">
        <f>1/(1+EXP(MIN(700,MAX(-700,(C605-Dashboard!$C$18)/Dashboard!$C$19))))</f>
        <v>8.9539460874722941E-3</v>
      </c>
      <c r="F605" s="5">
        <f t="shared" si="43"/>
        <v>6.8118338565652092E-3</v>
      </c>
      <c r="G605" s="8">
        <f>Dashboard!$C$9*B605*Dashboard!$C$11*(1-F605)</f>
        <v>48140.769016464437</v>
      </c>
      <c r="H605" s="8">
        <f>Dashboard!$C$20*A605^2</f>
        <v>290887.2</v>
      </c>
      <c r="I605" s="8">
        <f t="shared" si="44"/>
        <v>339027.96901646443</v>
      </c>
      <c r="J605" s="8">
        <f>Dashboard!$C$13*A605</f>
        <v>120600</v>
      </c>
      <c r="K605" s="8">
        <f>Dashboard!$C$14*A605</f>
        <v>180900</v>
      </c>
      <c r="L605" s="8">
        <f>Dashboard!$C$21-K605</f>
        <v>1319100</v>
      </c>
      <c r="M605" s="8">
        <f t="shared" si="45"/>
        <v>859472.03098353557</v>
      </c>
      <c r="N605" s="8">
        <f t="shared" si="46"/>
        <v>301500</v>
      </c>
      <c r="O605" s="8">
        <f>Dashboard!$C$15*(Dashboard!$C$16*EXP(-Dashboard!$C$16*A605)*E605-(1-EXP(-Dashboard!$C$16*A605))*Dashboard!$C$17/Dashboard!$C$19*E605*(1-E605))</f>
        <v>-8.8254599112359607E-3</v>
      </c>
      <c r="P605" s="8">
        <f>Dashboard!$C$9*B605*Dashboard!$C$11*(-Dashboard!$C$12*(1-F605)-O605)+2*Dashboard!$C$20*A605</f>
        <v>80058.509226556111</v>
      </c>
      <c r="Q605" s="8">
        <f>-P605-Dashboard!$C$13-Dashboard!$C$14</f>
        <v>-130058.50922655611</v>
      </c>
    </row>
    <row r="606" spans="1:17" x14ac:dyDescent="0.25">
      <c r="A606" s="5">
        <f>(606-2)/100</f>
        <v>6.04</v>
      </c>
      <c r="B606" s="5">
        <f>Dashboard!$C$10*EXP(-Dashboard!$C$12*A606)</f>
        <v>2.4150796635893364E-2</v>
      </c>
      <c r="C606" s="5">
        <f>Dashboard!$C$17*A606</f>
        <v>4832</v>
      </c>
      <c r="D606" s="5">
        <f>Dashboard!$C$15*(1-EXP(-Dashboard!$C$16*A606))</f>
        <v>0.76095902531038961</v>
      </c>
      <c r="E606" s="5">
        <f>1/(1+EXP(MIN(700,MAX(-700,(C606-Dashboard!$C$18)/Dashboard!$C$19))))</f>
        <v>8.8364004606077216E-3</v>
      </c>
      <c r="F606" s="5">
        <f t="shared" si="43"/>
        <v>6.7241386817563295E-3</v>
      </c>
      <c r="G606" s="8">
        <f>Dashboard!$C$9*B606*Dashboard!$C$11*(1-F606)</f>
        <v>47976.806660077447</v>
      </c>
      <c r="H606" s="8">
        <f>Dashboard!$C$20*A606^2</f>
        <v>291852.79999999999</v>
      </c>
      <c r="I606" s="8">
        <f t="shared" si="44"/>
        <v>339829.60666007746</v>
      </c>
      <c r="J606" s="8">
        <f>Dashboard!$C$13*A606</f>
        <v>120800</v>
      </c>
      <c r="K606" s="8">
        <f>Dashboard!$C$14*A606</f>
        <v>181200</v>
      </c>
      <c r="L606" s="8">
        <f>Dashboard!$C$21-K606</f>
        <v>1318800</v>
      </c>
      <c r="M606" s="8">
        <f t="shared" si="45"/>
        <v>858170.39333992254</v>
      </c>
      <c r="N606" s="8">
        <f t="shared" si="46"/>
        <v>302000</v>
      </c>
      <c r="O606" s="8">
        <f>Dashboard!$C$15*(Dashboard!$C$16*EXP(-Dashboard!$C$16*A606)*E606-(1-EXP(-Dashboard!$C$16*A606))*Dashboard!$C$17/Dashboard!$C$19*E606*(1-E606))</f>
        <v>-8.7138044894506331E-3</v>
      </c>
      <c r="P606" s="8">
        <f>Dashboard!$C$9*B606*Dashboard!$C$11*(-Dashboard!$C$12*(1-F606)-O606)+2*Dashboard!$C$20*A606</f>
        <v>80269.008309272205</v>
      </c>
      <c r="Q606" s="8">
        <f>-P606-Dashboard!$C$13-Dashboard!$C$14</f>
        <v>-130269.00830927221</v>
      </c>
    </row>
    <row r="607" spans="1:17" x14ac:dyDescent="0.25">
      <c r="A607" s="5">
        <f>(607-2)/100</f>
        <v>6.05</v>
      </c>
      <c r="B607" s="5">
        <f>Dashboard!$C$10*EXP(-Dashboard!$C$12*A607)</f>
        <v>2.4066416598870471E-2</v>
      </c>
      <c r="C607" s="5">
        <f>Dashboard!$C$17*A607</f>
        <v>4840</v>
      </c>
      <c r="D607" s="5">
        <f>Dashboard!$C$15*(1-EXP(-Dashboard!$C$16*A607))</f>
        <v>0.76115374298399208</v>
      </c>
      <c r="E607" s="5">
        <f>1/(1+EXP(MIN(700,MAX(-700,(C607-Dashboard!$C$18)/Dashboard!$C$19))))</f>
        <v>8.7203843712600516E-3</v>
      </c>
      <c r="F607" s="5">
        <f t="shared" si="43"/>
        <v>6.6375532044436946E-3</v>
      </c>
      <c r="G607" s="8">
        <f>Dashboard!$C$9*B607*Dashboard!$C$11*(1-F607)</f>
        <v>47813.348956510323</v>
      </c>
      <c r="H607" s="8">
        <f>Dashboard!$C$20*A607^2</f>
        <v>292820</v>
      </c>
      <c r="I607" s="8">
        <f t="shared" si="44"/>
        <v>340633.34895651031</v>
      </c>
      <c r="J607" s="8">
        <f>Dashboard!$C$13*A607</f>
        <v>121000</v>
      </c>
      <c r="K607" s="8">
        <f>Dashboard!$C$14*A607</f>
        <v>181500</v>
      </c>
      <c r="L607" s="8">
        <f>Dashboard!$C$21-K607</f>
        <v>1318500</v>
      </c>
      <c r="M607" s="8">
        <f t="shared" si="45"/>
        <v>856866.65104348969</v>
      </c>
      <c r="N607" s="8">
        <f t="shared" si="46"/>
        <v>302500</v>
      </c>
      <c r="O607" s="8">
        <f>Dashboard!$C$15*(Dashboard!$C$16*EXP(-Dashboard!$C$16*A607)*E607-(1-EXP(-Dashboard!$C$16*A607))*Dashboard!$C$17/Dashboard!$C$19*E607*(1-E607))</f>
        <v>-8.6035177726728369E-3</v>
      </c>
      <c r="P607" s="8">
        <f>Dashboard!$C$9*B607*Dashboard!$C$11*(-Dashboard!$C$12*(1-F607)-O607)+2*Dashboard!$C$20*A607</f>
        <v>80479.439551087242</v>
      </c>
      <c r="Q607" s="8">
        <f>-P607-Dashboard!$C$13-Dashboard!$C$14</f>
        <v>-130479.43955108724</v>
      </c>
    </row>
    <row r="608" spans="1:17" x14ac:dyDescent="0.25">
      <c r="A608" s="5">
        <f>(608-2)/100</f>
        <v>6.06</v>
      </c>
      <c r="B608" s="5">
        <f>Dashboard!$C$10*EXP(-Dashboard!$C$12*A608)</f>
        <v>2.3982331375751866E-2</v>
      </c>
      <c r="C608" s="5">
        <f>Dashboard!$C$17*A608</f>
        <v>4848</v>
      </c>
      <c r="D608" s="5">
        <f>Dashboard!$C$15*(1-EXP(-Dashboard!$C$16*A608))</f>
        <v>0.76134748949914588</v>
      </c>
      <c r="E608" s="5">
        <f>1/(1+EXP(MIN(700,MAX(-700,(C608-Dashboard!$C$18)/Dashboard!$C$19))))</f>
        <v>8.6058782709122084E-3</v>
      </c>
      <c r="F608" s="5">
        <f t="shared" si="43"/>
        <v>6.5520638164942606E-3</v>
      </c>
      <c r="G608" s="8">
        <f>Dashboard!$C$9*B608*Dashboard!$C$11*(1-F608)</f>
        <v>47650.395220219252</v>
      </c>
      <c r="H608" s="8">
        <f>Dashboard!$C$20*A608^2</f>
        <v>293788.79999999999</v>
      </c>
      <c r="I608" s="8">
        <f t="shared" si="44"/>
        <v>341439.19522021926</v>
      </c>
      <c r="J608" s="8">
        <f>Dashboard!$C$13*A608</f>
        <v>121199.99999999999</v>
      </c>
      <c r="K608" s="8">
        <f>Dashboard!$C$14*A608</f>
        <v>181800</v>
      </c>
      <c r="L608" s="8">
        <f>Dashboard!$C$21-K608</f>
        <v>1318200</v>
      </c>
      <c r="M608" s="8">
        <f t="shared" si="45"/>
        <v>855560.8047797808</v>
      </c>
      <c r="N608" s="8">
        <f t="shared" si="46"/>
        <v>303000</v>
      </c>
      <c r="O608" s="8">
        <f>Dashboard!$C$15*(Dashboard!$C$16*EXP(-Dashboard!$C$16*A608)*E608-(1-EXP(-Dashboard!$C$16*A608))*Dashboard!$C$17/Dashboard!$C$19*E608*(1-E608))</f>
        <v>-8.494584003703929E-3</v>
      </c>
      <c r="P608" s="8">
        <f>Dashboard!$C$9*B608*Dashboard!$C$11*(-Dashboard!$C$12*(1-F608)-O608)+2*Dashboard!$C$20*A608</f>
        <v>80689.801529875243</v>
      </c>
      <c r="Q608" s="8">
        <f>-P608-Dashboard!$C$13-Dashboard!$C$14</f>
        <v>-130689.80152987524</v>
      </c>
    </row>
    <row r="609" spans="1:17" x14ac:dyDescent="0.25">
      <c r="A609" s="5">
        <f>(609-2)/100</f>
        <v>6.07</v>
      </c>
      <c r="B609" s="5">
        <f>Dashboard!$C$10*EXP(-Dashboard!$C$12*A609)</f>
        <v>2.3898539936492505E-2</v>
      </c>
      <c r="C609" s="5">
        <f>Dashboard!$C$17*A609</f>
        <v>4856</v>
      </c>
      <c r="D609" s="5">
        <f>Dashboard!$C$15*(1-EXP(-Dashboard!$C$16*A609))</f>
        <v>0.76154026969952393</v>
      </c>
      <c r="E609" s="5">
        <f>1/(1+EXP(MIN(700,MAX(-700,(C609-Dashboard!$C$18)/Dashboard!$C$19))))</f>
        <v>8.4928628516443526E-3</v>
      </c>
      <c r="F609" s="5">
        <f t="shared" si="43"/>
        <v>6.4676570665623085E-3</v>
      </c>
      <c r="G609" s="8">
        <f>Dashboard!$C$9*B609*Dashboard!$C$11*(1-F609)</f>
        <v>47487.944751583454</v>
      </c>
      <c r="H609" s="8">
        <f>Dashboard!$C$20*A609^2</f>
        <v>294759.2</v>
      </c>
      <c r="I609" s="8">
        <f t="shared" si="44"/>
        <v>342247.14475158346</v>
      </c>
      <c r="J609" s="8">
        <f>Dashboard!$C$13*A609</f>
        <v>121400</v>
      </c>
      <c r="K609" s="8">
        <f>Dashboard!$C$14*A609</f>
        <v>182100</v>
      </c>
      <c r="L609" s="8">
        <f>Dashboard!$C$21-K609</f>
        <v>1317900</v>
      </c>
      <c r="M609" s="8">
        <f t="shared" si="45"/>
        <v>854252.85524841654</v>
      </c>
      <c r="N609" s="8">
        <f t="shared" si="46"/>
        <v>303500</v>
      </c>
      <c r="O609" s="8">
        <f>Dashboard!$C$15*(Dashboard!$C$16*EXP(-Dashboard!$C$16*A609)*E609-(1-EXP(-Dashboard!$C$16*A609))*Dashboard!$C$17/Dashboard!$C$19*E609*(1-E609))</f>
        <v>-8.3869875821227791E-3</v>
      </c>
      <c r="P609" s="8">
        <f>Dashboard!$C$9*B609*Dashboard!$C$11*(-Dashboard!$C$12*(1-F609)-O609)+2*Dashboard!$C$20*A609</f>
        <v>80900.092852302245</v>
      </c>
      <c r="Q609" s="8">
        <f>-P609-Dashboard!$C$13-Dashboard!$C$14</f>
        <v>-130900.09285230224</v>
      </c>
    </row>
    <row r="610" spans="1:17" x14ac:dyDescent="0.25">
      <c r="A610" s="5">
        <f>(610-2)/100</f>
        <v>6.08</v>
      </c>
      <c r="B610" s="5">
        <f>Dashboard!$C$10*EXP(-Dashboard!$C$12*A610)</f>
        <v>2.381504125464624E-2</v>
      </c>
      <c r="C610" s="5">
        <f>Dashboard!$C$17*A610</f>
        <v>4864</v>
      </c>
      <c r="D610" s="5">
        <f>Dashboard!$C$15*(1-EXP(-Dashboard!$C$16*A610))</f>
        <v>0.76173208840464135</v>
      </c>
      <c r="E610" s="5">
        <f>1/(1+EXP(MIN(700,MAX(-700,(C610-Dashboard!$C$18)/Dashboard!$C$19))))</f>
        <v>8.381319043415273E-3</v>
      </c>
      <c r="F610" s="5">
        <f t="shared" si="43"/>
        <v>6.3843196585263067E-3</v>
      </c>
      <c r="G610" s="8">
        <f>Dashboard!$C$9*B610*Dashboard!$C$11*(1-F610)</f>
        <v>47325.996837191175</v>
      </c>
      <c r="H610" s="8">
        <f>Dashboard!$C$20*A610^2</f>
        <v>295731.20000000001</v>
      </c>
      <c r="I610" s="8">
        <f t="shared" si="44"/>
        <v>343057.19683719118</v>
      </c>
      <c r="J610" s="8">
        <f>Dashboard!$C$13*A610</f>
        <v>121600</v>
      </c>
      <c r="K610" s="8">
        <f>Dashboard!$C$14*A610</f>
        <v>182400</v>
      </c>
      <c r="L610" s="8">
        <f>Dashboard!$C$21-K610</f>
        <v>1317600</v>
      </c>
      <c r="M610" s="8">
        <f t="shared" si="45"/>
        <v>852942.80316280876</v>
      </c>
      <c r="N610" s="8">
        <f t="shared" si="46"/>
        <v>304000</v>
      </c>
      <c r="O610" s="8">
        <f>Dashboard!$C$15*(Dashboard!$C$16*EXP(-Dashboard!$C$16*A610)*E610-(1-EXP(-Dashboard!$C$16*A610))*Dashboard!$C$17/Dashboard!$C$19*E610*(1-E610))</f>
        <v>-8.2807130633544418E-3</v>
      </c>
      <c r="P610" s="8">
        <f>Dashboard!$C$9*B610*Dashboard!$C$11*(-Dashboard!$C$12*(1-F610)-O610)+2*Dashboard!$C$20*A610</f>
        <v>81110.312153426436</v>
      </c>
      <c r="Q610" s="8">
        <f>-P610-Dashboard!$C$13-Dashboard!$C$14</f>
        <v>-131110.31215342644</v>
      </c>
    </row>
    <row r="611" spans="1:17" x14ac:dyDescent="0.25">
      <c r="A611" s="5">
        <f>(611-2)/100</f>
        <v>6.09</v>
      </c>
      <c r="B611" s="5">
        <f>Dashboard!$C$10*EXP(-Dashboard!$C$12*A611)</f>
        <v>2.373183430735314E-2</v>
      </c>
      <c r="C611" s="5">
        <f>Dashboard!$C$17*A611</f>
        <v>4872</v>
      </c>
      <c r="D611" s="5">
        <f>Dashboard!$C$15*(1-EXP(-Dashboard!$C$16*A611))</f>
        <v>0.76192295040997582</v>
      </c>
      <c r="E611" s="5">
        <f>1/(1+EXP(MIN(700,MAX(-700,(C611-Dashboard!$C$18)/Dashboard!$C$19))))</f>
        <v>8.2712280113680578E-3</v>
      </c>
      <c r="F611" s="5">
        <f t="shared" si="43"/>
        <v>6.3020384499351875E-3</v>
      </c>
      <c r="G611" s="8">
        <f>Dashboard!$C$9*B611*Dashboard!$C$11*(1-F611)</f>
        <v>47164.550750121423</v>
      </c>
      <c r="H611" s="8">
        <f>Dashboard!$C$20*A611^2</f>
        <v>296704.8</v>
      </c>
      <c r="I611" s="8">
        <f t="shared" si="44"/>
        <v>343869.3507501214</v>
      </c>
      <c r="J611" s="8">
        <f>Dashboard!$C$13*A611</f>
        <v>121800</v>
      </c>
      <c r="K611" s="8">
        <f>Dashboard!$C$14*A611</f>
        <v>182700</v>
      </c>
      <c r="L611" s="8">
        <f>Dashboard!$C$21-K611</f>
        <v>1317300</v>
      </c>
      <c r="M611" s="8">
        <f t="shared" si="45"/>
        <v>851630.6492498786</v>
      </c>
      <c r="N611" s="8">
        <f t="shared" si="46"/>
        <v>304500</v>
      </c>
      <c r="O611" s="8">
        <f>Dashboard!$C$15*(Dashboard!$C$16*EXP(-Dashboard!$C$16*A611)*E611-(1-EXP(-Dashboard!$C$16*A611))*Dashboard!$C$17/Dashboard!$C$19*E611*(1-E611))</f>
        <v>-8.1757451577261914E-3</v>
      </c>
      <c r="P611" s="8">
        <f>Dashboard!$C$9*B611*Dashboard!$C$11*(-Dashboard!$C$12*(1-F611)-O611)+2*Dashboard!$C$20*A611</f>
        <v>81320.458096302114</v>
      </c>
      <c r="Q611" s="8">
        <f>-P611-Dashboard!$C$13-Dashboard!$C$14</f>
        <v>-131320.45809630211</v>
      </c>
    </row>
    <row r="612" spans="1:17" x14ac:dyDescent="0.25">
      <c r="A612" s="5">
        <f>(612-2)/100</f>
        <v>6.1</v>
      </c>
      <c r="B612" s="5">
        <f>Dashboard!$C$10*EXP(-Dashboard!$C$12*A612)</f>
        <v>2.364891807532709E-2</v>
      </c>
      <c r="C612" s="5">
        <f>Dashboard!$C$17*A612</f>
        <v>4880</v>
      </c>
      <c r="D612" s="5">
        <f>Dashboard!$C$15*(1-EXP(-Dashboard!$C$16*A612))</f>
        <v>0.76211286048708726</v>
      </c>
      <c r="E612" s="5">
        <f>1/(1+EXP(MIN(700,MAX(-700,(C612-Dashboard!$C$18)/Dashboard!$C$19))))</f>
        <v>8.1625711531598966E-3</v>
      </c>
      <c r="F612" s="5">
        <f t="shared" si="43"/>
        <v>6.2208004504640717E-3</v>
      </c>
      <c r="G612" s="8">
        <f>Dashboard!$C$9*B612*Dashboard!$C$11*(1-F612)</f>
        <v>47003.605750222217</v>
      </c>
      <c r="H612" s="8">
        <f>Dashboard!$C$20*A612^2</f>
        <v>297679.99999999994</v>
      </c>
      <c r="I612" s="8">
        <f t="shared" si="44"/>
        <v>344683.60575022217</v>
      </c>
      <c r="J612" s="8">
        <f>Dashboard!$C$13*A612</f>
        <v>122000</v>
      </c>
      <c r="K612" s="8">
        <f>Dashboard!$C$14*A612</f>
        <v>183000</v>
      </c>
      <c r="L612" s="8">
        <f>Dashboard!$C$21-K612</f>
        <v>1317000</v>
      </c>
      <c r="M612" s="8">
        <f t="shared" si="45"/>
        <v>850316.39424977778</v>
      </c>
      <c r="N612" s="8">
        <f t="shared" si="46"/>
        <v>305000</v>
      </c>
      <c r="O612" s="8">
        <f>Dashboard!$C$15*(Dashboard!$C$16*EXP(-Dashboard!$C$16*A612)*E612-(1-EXP(-Dashboard!$C$16*A612))*Dashboard!$C$17/Dashboard!$C$19*E612*(1-E612))</f>
        <v>-8.0720687295114772E-3</v>
      </c>
      <c r="P612" s="8">
        <f>Dashboard!$C$9*B612*Dashboard!$C$11*(-Dashboard!$C$12*(1-F612)-O612)+2*Dashboard!$C$20*A612</f>
        <v>81530.529371587472</v>
      </c>
      <c r="Q612" s="8">
        <f>-P612-Dashboard!$C$13-Dashboard!$C$14</f>
        <v>-131530.52937158747</v>
      </c>
    </row>
    <row r="613" spans="1:17" x14ac:dyDescent="0.25">
      <c r="A613" s="5">
        <f>(613-2)/100</f>
        <v>6.11</v>
      </c>
      <c r="B613" s="5">
        <f>Dashboard!$C$10*EXP(-Dashboard!$C$12*A613)</f>
        <v>2.356629154284319E-2</v>
      </c>
      <c r="C613" s="5">
        <f>Dashboard!$C$17*A613</f>
        <v>4888</v>
      </c>
      <c r="D613" s="5">
        <f>Dashboard!$C$15*(1-EXP(-Dashboard!$C$16*A613))</f>
        <v>0.76230182338373775</v>
      </c>
      <c r="E613" s="5">
        <f>1/(1+EXP(MIN(700,MAX(-700,(C613-Dashboard!$C$18)/Dashboard!$C$19))))</f>
        <v>8.055330096316057E-3</v>
      </c>
      <c r="F613" s="5">
        <f t="shared" si="43"/>
        <v>6.14059282037963E-3</v>
      </c>
      <c r="G613" s="8">
        <f>Dashboard!$C$9*B613*Dashboard!$C$11*(1-F613)</f>
        <v>46843.161084384476</v>
      </c>
      <c r="H613" s="8">
        <f>Dashboard!$C$20*A613^2</f>
        <v>298656.80000000005</v>
      </c>
      <c r="I613" s="8">
        <f t="shared" si="44"/>
        <v>345499.96108438453</v>
      </c>
      <c r="J613" s="8">
        <f>Dashboard!$C$13*A613</f>
        <v>122200</v>
      </c>
      <c r="K613" s="8">
        <f>Dashboard!$C$14*A613</f>
        <v>183300</v>
      </c>
      <c r="L613" s="8">
        <f>Dashboard!$C$21-K613</f>
        <v>1316700</v>
      </c>
      <c r="M613" s="8">
        <f t="shared" si="45"/>
        <v>849000.03891561553</v>
      </c>
      <c r="N613" s="8">
        <f t="shared" si="46"/>
        <v>305500</v>
      </c>
      <c r="O613" s="8">
        <f>Dashboard!$C$15*(Dashboard!$C$16*EXP(-Dashboard!$C$16*A613)*E613-(1-EXP(-Dashboard!$C$16*A613))*Dashboard!$C$17/Dashboard!$C$19*E613*(1-E613))</f>
        <v>-7.9696687959625971E-3</v>
      </c>
      <c r="P613" s="8">
        <f>Dashboard!$C$9*B613*Dashboard!$C$11*(-Dashboard!$C$12*(1-F613)-O613)+2*Dashboard!$C$20*A613</f>
        <v>81740.52469715655</v>
      </c>
      <c r="Q613" s="8">
        <f>-P613-Dashboard!$C$13-Dashboard!$C$14</f>
        <v>-131740.52469715656</v>
      </c>
    </row>
    <row r="614" spans="1:17" x14ac:dyDescent="0.25">
      <c r="A614" s="5">
        <f>(614-2)/100</f>
        <v>6.12</v>
      </c>
      <c r="B614" s="5">
        <f>Dashboard!$C$10*EXP(-Dashboard!$C$12*A614)</f>
        <v>2.3483953697725397E-2</v>
      </c>
      <c r="C614" s="5">
        <f>Dashboard!$C$17*A614</f>
        <v>4896</v>
      </c>
      <c r="D614" s="5">
        <f>Dashboard!$C$15*(1-EXP(-Dashboard!$C$16*A614))</f>
        <v>0.76248984382400931</v>
      </c>
      <c r="E614" s="5">
        <f>1/(1+EXP(MIN(700,MAX(-700,(C614-Dashboard!$C$18)/Dashboard!$C$19))))</f>
        <v>7.9494866956080195E-3</v>
      </c>
      <c r="F614" s="5">
        <f t="shared" si="43"/>
        <v>6.0614028690151988E-3</v>
      </c>
      <c r="G614" s="8">
        <f>Dashboard!$C$9*B614*Dashboard!$C$11*(1-F614)</f>
        <v>46683.215986812364</v>
      </c>
      <c r="H614" s="8">
        <f>Dashboard!$C$20*A614^2</f>
        <v>299635.20000000001</v>
      </c>
      <c r="I614" s="8">
        <f t="shared" si="44"/>
        <v>346318.41598681238</v>
      </c>
      <c r="J614" s="8">
        <f>Dashboard!$C$13*A614</f>
        <v>122400</v>
      </c>
      <c r="K614" s="8">
        <f>Dashboard!$C$14*A614</f>
        <v>183600</v>
      </c>
      <c r="L614" s="8">
        <f>Dashboard!$C$21-K614</f>
        <v>1316400</v>
      </c>
      <c r="M614" s="8">
        <f t="shared" si="45"/>
        <v>847681.58401318756</v>
      </c>
      <c r="N614" s="8">
        <f t="shared" si="46"/>
        <v>306000</v>
      </c>
      <c r="O614" s="8">
        <f>Dashboard!$C$15*(Dashboard!$C$16*EXP(-Dashboard!$C$16*A614)*E614-(1-EXP(-Dashboard!$C$16*A614))*Dashboard!$C$17/Dashboard!$C$19*E614*(1-E614))</f>
        <v>-7.8685305263327138E-3</v>
      </c>
      <c r="P614" s="8">
        <f>Dashboard!$C$9*B614*Dashboard!$C$11*(-Dashboard!$C$12*(1-F614)-O614)+2*Dashboard!$C$20*A614</f>
        <v>81950.442817714749</v>
      </c>
      <c r="Q614" s="8">
        <f>-P614-Dashboard!$C$13-Dashboard!$C$14</f>
        <v>-131950.44281771476</v>
      </c>
    </row>
    <row r="615" spans="1:17" x14ac:dyDescent="0.25">
      <c r="A615" s="5">
        <f>(615-2)/100</f>
        <v>6.13</v>
      </c>
      <c r="B615" s="5">
        <f>Dashboard!$C$10*EXP(-Dashboard!$C$12*A615)</f>
        <v>2.3401903531334076E-2</v>
      </c>
      <c r="C615" s="5">
        <f>Dashboard!$C$17*A615</f>
        <v>4904</v>
      </c>
      <c r="D615" s="5">
        <f>Dashboard!$C$15*(1-EXP(-Dashboard!$C$16*A615))</f>
        <v>0.76267692650842278</v>
      </c>
      <c r="E615" s="5">
        <f>1/(1+EXP(MIN(700,MAX(-700,(C615-Dashboard!$C$18)/Dashboard!$C$19))))</f>
        <v>7.8450230304556341E-3</v>
      </c>
      <c r="F615" s="5">
        <f t="shared" ref="F615:F678" si="47">D615*E615</f>
        <v>5.9832180532556961E-3</v>
      </c>
      <c r="G615" s="8">
        <f>Dashboard!$C$9*B615*Dashboard!$C$11*(1-F615)</f>
        <v>46523.769679289697</v>
      </c>
      <c r="H615" s="8">
        <f>Dashboard!$C$20*A615^2</f>
        <v>300615.2</v>
      </c>
      <c r="I615" s="8">
        <f t="shared" ref="I615:I678" si="48">G615+H615</f>
        <v>347138.96967928973</v>
      </c>
      <c r="J615" s="8">
        <f>Dashboard!$C$13*A615</f>
        <v>122600</v>
      </c>
      <c r="K615" s="8">
        <f>Dashboard!$C$14*A615</f>
        <v>183900</v>
      </c>
      <c r="L615" s="8">
        <f>Dashboard!$C$21-K615</f>
        <v>1316100</v>
      </c>
      <c r="M615" s="8">
        <f t="shared" ref="M615:M678" si="49">L615-I615-J615</f>
        <v>846361.03032071027</v>
      </c>
      <c r="N615" s="8">
        <f t="shared" ref="N615:N678" si="50">J615+K615</f>
        <v>306500</v>
      </c>
      <c r="O615" s="8">
        <f>Dashboard!$C$15*(Dashboard!$C$16*EXP(-Dashboard!$C$16*A615)*E615-(1-EXP(-Dashboard!$C$16*A615))*Dashboard!$C$17/Dashboard!$C$19*E615*(1-E615))</f>
        <v>-7.7686392408878166E-3</v>
      </c>
      <c r="P615" s="8">
        <f>Dashboard!$C$9*B615*Dashboard!$C$11*(-Dashboard!$C$12*(1-F615)-O615)+2*Dashboard!$C$20*A615</f>
        <v>82160.282504418603</v>
      </c>
      <c r="Q615" s="8">
        <f>-P615-Dashboard!$C$13-Dashboard!$C$14</f>
        <v>-132160.2825044186</v>
      </c>
    </row>
    <row r="616" spans="1:17" x14ac:dyDescent="0.25">
      <c r="A616" s="5">
        <f>(616-2)/100</f>
        <v>6.14</v>
      </c>
      <c r="B616" s="5">
        <f>Dashboard!$C$10*EXP(-Dashboard!$C$12*A616)</f>
        <v>2.3320140038553656E-2</v>
      </c>
      <c r="C616" s="5">
        <f>Dashboard!$C$17*A616</f>
        <v>4912</v>
      </c>
      <c r="D616" s="5">
        <f>Dashboard!$C$15*(1-EXP(-Dashboard!$C$16*A616))</f>
        <v>0.76286307611405502</v>
      </c>
      <c r="E616" s="5">
        <f>1/(1+EXP(MIN(700,MAX(-700,(C616-Dashboard!$C$18)/Dashboard!$C$19))))</f>
        <v>7.7419214023532598E-3</v>
      </c>
      <c r="F616" s="5">
        <f t="shared" si="47"/>
        <v>5.9060259760324463E-3</v>
      </c>
      <c r="G616" s="8">
        <f>Dashboard!$C$9*B616*Dashboard!$C$11*(1-F616)</f>
        <v>46364.821371442486</v>
      </c>
      <c r="H616" s="8">
        <f>Dashboard!$C$20*A616^2</f>
        <v>301596.79999999999</v>
      </c>
      <c r="I616" s="8">
        <f t="shared" si="48"/>
        <v>347961.62137144245</v>
      </c>
      <c r="J616" s="8">
        <f>Dashboard!$C$13*A616</f>
        <v>122800</v>
      </c>
      <c r="K616" s="8">
        <f>Dashboard!$C$14*A616</f>
        <v>184200</v>
      </c>
      <c r="L616" s="8">
        <f>Dashboard!$C$21-K616</f>
        <v>1315800</v>
      </c>
      <c r="M616" s="8">
        <f t="shared" si="49"/>
        <v>845038.37862855755</v>
      </c>
      <c r="N616" s="8">
        <f t="shared" si="50"/>
        <v>307000</v>
      </c>
      <c r="O616" s="8">
        <f>Dashboard!$C$15*(Dashboard!$C$16*EXP(-Dashboard!$C$16*A616)*E616-(1-EXP(-Dashboard!$C$16*A616))*Dashboard!$C$17/Dashboard!$C$19*E616*(1-E616))</f>
        <v>-7.6699804099092488E-3</v>
      </c>
      <c r="P616" s="8">
        <f>Dashboard!$C$9*B616*Dashboard!$C$11*(-Dashboard!$C$12*(1-F616)-O616)+2*Dashboard!$C$20*A616</f>
        <v>82370.042554499218</v>
      </c>
      <c r="Q616" s="8">
        <f>-P616-Dashboard!$C$13-Dashboard!$C$14</f>
        <v>-132370.04255449923</v>
      </c>
    </row>
    <row r="617" spans="1:17" x14ac:dyDescent="0.25">
      <c r="A617" s="5">
        <f>(617-2)/100</f>
        <v>6.15</v>
      </c>
      <c r="B617" s="5">
        <f>Dashboard!$C$10*EXP(-Dashboard!$C$12*A617)</f>
        <v>2.3238662217780322E-2</v>
      </c>
      <c r="C617" s="5">
        <f>Dashboard!$C$17*A617</f>
        <v>4920</v>
      </c>
      <c r="D617" s="5">
        <f>Dashboard!$C$15*(1-EXP(-Dashboard!$C$16*A617))</f>
        <v>0.76304829729465595</v>
      </c>
      <c r="E617" s="5">
        <f>1/(1+EXP(MIN(700,MAX(-700,(C617-Dashboard!$C$18)/Dashboard!$C$19))))</f>
        <v>7.6401643323199498E-3</v>
      </c>
      <c r="F617" s="5">
        <f t="shared" si="47"/>
        <v>5.8298143848280999E-3</v>
      </c>
      <c r="G617" s="8">
        <f>Dashboard!$C$9*B617*Dashboard!$C$11*(1-F617)</f>
        <v>46206.370260997886</v>
      </c>
      <c r="H617" s="8">
        <f>Dashboard!$C$20*A617^2</f>
        <v>302580.00000000006</v>
      </c>
      <c r="I617" s="8">
        <f t="shared" si="48"/>
        <v>348786.37026099797</v>
      </c>
      <c r="J617" s="8">
        <f>Dashboard!$C$13*A617</f>
        <v>123000</v>
      </c>
      <c r="K617" s="8">
        <f>Dashboard!$C$14*A617</f>
        <v>184500</v>
      </c>
      <c r="L617" s="8">
        <f>Dashboard!$C$21-K617</f>
        <v>1315500</v>
      </c>
      <c r="M617" s="8">
        <f t="shared" si="49"/>
        <v>843713.62973900209</v>
      </c>
      <c r="N617" s="8">
        <f t="shared" si="50"/>
        <v>307500</v>
      </c>
      <c r="O617" s="8">
        <f>Dashboard!$C$15*(Dashboard!$C$16*EXP(-Dashboard!$C$16*A617)*E617-(1-EXP(-Dashboard!$C$16*A617))*Dashboard!$C$17/Dashboard!$C$19*E617*(1-E617))</f>
        <v>-7.5725396526875252E-3</v>
      </c>
      <c r="P617" s="8">
        <f>Dashboard!$C$9*B617*Dashboard!$C$11*(-Dashboard!$C$12*(1-F617)-O617)+2*Dashboard!$C$20*A617</f>
        <v>82579.721790889846</v>
      </c>
      <c r="Q617" s="8">
        <f>-P617-Dashboard!$C$13-Dashboard!$C$14</f>
        <v>-132579.72179088986</v>
      </c>
    </row>
    <row r="618" spans="1:17" x14ac:dyDescent="0.25">
      <c r="A618" s="5">
        <f>(618-2)/100</f>
        <v>6.16</v>
      </c>
      <c r="B618" s="5">
        <f>Dashboard!$C$10*EXP(-Dashboard!$C$12*A618)</f>
        <v>2.3157469070909775E-2</v>
      </c>
      <c r="C618" s="5">
        <f>Dashboard!$C$17*A618</f>
        <v>4928</v>
      </c>
      <c r="D618" s="5">
        <f>Dashboard!$C$15*(1-EXP(-Dashboard!$C$16*A618))</f>
        <v>0.76323259468076465</v>
      </c>
      <c r="E618" s="5">
        <f>1/(1+EXP(MIN(700,MAX(-700,(C618-Dashboard!$C$18)/Dashboard!$C$19))))</f>
        <v>7.5397345583733929E-3</v>
      </c>
      <c r="F618" s="5">
        <f t="shared" si="47"/>
        <v>5.7545711701915536E-3</v>
      </c>
      <c r="G618" s="8">
        <f>Dashboard!$C$9*B618*Dashboard!$C$11*(1-F618)</f>
        <v>46048.415534039428</v>
      </c>
      <c r="H618" s="8">
        <f>Dashboard!$C$20*A618^2</f>
        <v>303564.79999999999</v>
      </c>
      <c r="I618" s="8">
        <f t="shared" si="48"/>
        <v>349613.21553403942</v>
      </c>
      <c r="J618" s="8">
        <f>Dashboard!$C$13*A618</f>
        <v>123200</v>
      </c>
      <c r="K618" s="8">
        <f>Dashboard!$C$14*A618</f>
        <v>184800</v>
      </c>
      <c r="L618" s="8">
        <f>Dashboard!$C$21-K618</f>
        <v>1315200</v>
      </c>
      <c r="M618" s="8">
        <f t="shared" si="49"/>
        <v>842386.78446596058</v>
      </c>
      <c r="N618" s="8">
        <f t="shared" si="50"/>
        <v>308000</v>
      </c>
      <c r="O618" s="8">
        <f>Dashboard!$C$15*(Dashboard!$C$16*EXP(-Dashboard!$C$16*A618)*E618-(1-EXP(-Dashboard!$C$16*A618))*Dashboard!$C$17/Dashboard!$C$19*E618*(1-E618))</f>
        <v>-7.4763027365078076E-3</v>
      </c>
      <c r="P618" s="8">
        <f>Dashboard!$C$9*B618*Dashboard!$C$11*(-Dashboard!$C$12*(1-F618)-O618)+2*Dashboard!$C$20*A618</f>
        <v>82789.319061857081</v>
      </c>
      <c r="Q618" s="8">
        <f>-P618-Dashboard!$C$13-Dashboard!$C$14</f>
        <v>-132789.31906185707</v>
      </c>
    </row>
    <row r="619" spans="1:17" x14ac:dyDescent="0.25">
      <c r="A619" s="5">
        <f>(619-2)/100</f>
        <v>6.17</v>
      </c>
      <c r="B619" s="5">
        <f>Dashboard!$C$10*EXP(-Dashboard!$C$12*A619)</f>
        <v>2.3076559603324921E-2</v>
      </c>
      <c r="C619" s="5">
        <f>Dashboard!$C$17*A619</f>
        <v>4936</v>
      </c>
      <c r="D619" s="5">
        <f>Dashboard!$C$15*(1-EXP(-Dashboard!$C$16*A619))</f>
        <v>0.76341597287982543</v>
      </c>
      <c r="E619" s="5">
        <f>1/(1+EXP(MIN(700,MAX(-700,(C619-Dashboard!$C$18)/Dashboard!$C$19))))</f>
        <v>7.4406150330277787E-3</v>
      </c>
      <c r="F619" s="5">
        <f t="shared" si="47"/>
        <v>5.680284364263156E-3</v>
      </c>
      <c r="G619" s="8">
        <f>Dashboard!$C$9*B619*Dashboard!$C$11*(1-F619)</f>
        <v>45890.956365258331</v>
      </c>
      <c r="H619" s="8">
        <f>Dashboard!$C$20*A619^2</f>
        <v>304551.2</v>
      </c>
      <c r="I619" s="8">
        <f t="shared" si="48"/>
        <v>350442.15636525833</v>
      </c>
      <c r="J619" s="8">
        <f>Dashboard!$C$13*A619</f>
        <v>123400</v>
      </c>
      <c r="K619" s="8">
        <f>Dashboard!$C$14*A619</f>
        <v>185100</v>
      </c>
      <c r="L619" s="8">
        <f>Dashboard!$C$21-K619</f>
        <v>1314900</v>
      </c>
      <c r="M619" s="8">
        <f t="shared" si="49"/>
        <v>841057.84363474161</v>
      </c>
      <c r="N619" s="8">
        <f t="shared" si="50"/>
        <v>308500</v>
      </c>
      <c r="O619" s="8">
        <f>Dashboard!$C$15*(Dashboard!$C$16*EXP(-Dashboard!$C$16*A619)*E619-(1-EXP(-Dashboard!$C$16*A619))*Dashboard!$C$17/Dashboard!$C$19*E619*(1-E619))</f>
        <v>-7.3812555756278646E-3</v>
      </c>
      <c r="P619" s="8">
        <f>Dashboard!$C$9*B619*Dashboard!$C$11*(-Dashboard!$C$12*(1-F619)-O619)+2*Dashboard!$C$20*A619</f>
        <v>82998.83324063629</v>
      </c>
      <c r="Q619" s="8">
        <f>-P619-Dashboard!$C$13-Dashboard!$C$14</f>
        <v>-132998.83324063628</v>
      </c>
    </row>
    <row r="620" spans="1:17" x14ac:dyDescent="0.25">
      <c r="A620" s="5">
        <f>(620-2)/100</f>
        <v>6.18</v>
      </c>
      <c r="B620" s="5">
        <f>Dashboard!$C$10*EXP(-Dashboard!$C$12*A620)</f>
        <v>2.2995932823883795E-2</v>
      </c>
      <c r="C620" s="5">
        <f>Dashboard!$C$17*A620</f>
        <v>4944</v>
      </c>
      <c r="D620" s="5">
        <f>Dashboard!$C$15*(1-EXP(-Dashboard!$C$16*A620))</f>
        <v>0.76359843647630277</v>
      </c>
      <c r="E620" s="5">
        <f>1/(1+EXP(MIN(700,MAX(-700,(C620-Dashboard!$C$18)/Dashboard!$C$19))))</f>
        <v>7.3427889208153201E-3</v>
      </c>
      <c r="F620" s="5">
        <f t="shared" si="47"/>
        <v>5.6069421393100966E-3</v>
      </c>
      <c r="G620" s="8">
        <f>Dashboard!$C$9*B620*Dashboard!$C$11*(1-F620)</f>
        <v>45733.991918201631</v>
      </c>
      <c r="H620" s="8">
        <f>Dashboard!$C$20*A620^2</f>
        <v>305539.20000000001</v>
      </c>
      <c r="I620" s="8">
        <f t="shared" si="48"/>
        <v>351273.19191820163</v>
      </c>
      <c r="J620" s="8">
        <f>Dashboard!$C$13*A620</f>
        <v>123600</v>
      </c>
      <c r="K620" s="8">
        <f>Dashboard!$C$14*A620</f>
        <v>185400</v>
      </c>
      <c r="L620" s="8">
        <f>Dashboard!$C$21-K620</f>
        <v>1314600</v>
      </c>
      <c r="M620" s="8">
        <f t="shared" si="49"/>
        <v>839726.80808179837</v>
      </c>
      <c r="N620" s="8">
        <f t="shared" si="50"/>
        <v>309000</v>
      </c>
      <c r="O620" s="8">
        <f>Dashboard!$C$15*(Dashboard!$C$16*EXP(-Dashboard!$C$16*A620)*E620-(1-EXP(-Dashboard!$C$16*A620))*Dashboard!$C$17/Dashboard!$C$19*E620*(1-E620))</f>
        <v>-7.2873842302488105E-3</v>
      </c>
      <c r="P620" s="8">
        <f>Dashboard!$C$9*B620*Dashboard!$C$11*(-Dashboard!$C$12*(1-F620)-O620)+2*Dashboard!$C$20*A620</f>
        <v>83208.263225070696</v>
      </c>
      <c r="Q620" s="8">
        <f>-P620-Dashboard!$C$13-Dashboard!$C$14</f>
        <v>-133208.2632250707</v>
      </c>
    </row>
    <row r="621" spans="1:17" x14ac:dyDescent="0.25">
      <c r="A621" s="5">
        <f>(621-2)/100</f>
        <v>6.19</v>
      </c>
      <c r="B621" s="5">
        <f>Dashboard!$C$10*EXP(-Dashboard!$C$12*A621)</f>
        <v>2.2915587744907324E-2</v>
      </c>
      <c r="C621" s="5">
        <f>Dashboard!$C$17*A621</f>
        <v>4952</v>
      </c>
      <c r="D621" s="5">
        <f>Dashboard!$C$15*(1-EXP(-Dashboard!$C$16*A621))</f>
        <v>0.76377999003179609</v>
      </c>
      <c r="E621" s="5">
        <f>1/(1+EXP(MIN(700,MAX(-700,(C621-Dashboard!$C$18)/Dashboard!$C$19))))</f>
        <v>7.2462395958314291E-3</v>
      </c>
      <c r="F621" s="5">
        <f t="shared" si="47"/>
        <v>5.534532806272135E-3</v>
      </c>
      <c r="G621" s="8">
        <f>Dashboard!$C$9*B621*Dashboard!$C$11*(1-F621)</f>
        <v>45577.521345516252</v>
      </c>
      <c r="H621" s="8">
        <f>Dashboard!$C$20*A621^2</f>
        <v>306528.80000000005</v>
      </c>
      <c r="I621" s="8">
        <f t="shared" si="48"/>
        <v>352106.32134551631</v>
      </c>
      <c r="J621" s="8">
        <f>Dashboard!$C$13*A621</f>
        <v>123800.00000000001</v>
      </c>
      <c r="K621" s="8">
        <f>Dashboard!$C$14*A621</f>
        <v>185700</v>
      </c>
      <c r="L621" s="8">
        <f>Dashboard!$C$21-K621</f>
        <v>1314300</v>
      </c>
      <c r="M621" s="8">
        <f t="shared" si="49"/>
        <v>838393.67865448375</v>
      </c>
      <c r="N621" s="8">
        <f t="shared" si="50"/>
        <v>309500</v>
      </c>
      <c r="O621" s="8">
        <f>Dashboard!$C$15*(Dashboard!$C$16*EXP(-Dashboard!$C$16*A621)*E621-(1-EXP(-Dashboard!$C$16*A621))*Dashboard!$C$17/Dashboard!$C$19*E621*(1-E621))</f>
        <v>-7.1946749054793598E-3</v>
      </c>
      <c r="P621" s="8">
        <f>Dashboard!$C$9*B621*Dashboard!$C$11*(-Dashboard!$C$12*(1-F621)-O621)+2*Dashboard!$C$20*A621</f>
        <v>83417.607937254506</v>
      </c>
      <c r="Q621" s="8">
        <f>-P621-Dashboard!$C$13-Dashboard!$C$14</f>
        <v>-133417.60793725451</v>
      </c>
    </row>
    <row r="622" spans="1:17" x14ac:dyDescent="0.25">
      <c r="A622" s="5">
        <f>(622-2)/100</f>
        <v>6.2</v>
      </c>
      <c r="B622" s="5">
        <f>Dashboard!$C$10*EXP(-Dashboard!$C$12*A622)</f>
        <v>2.2835523382167301E-2</v>
      </c>
      <c r="C622" s="5">
        <f>Dashboard!$C$17*A622</f>
        <v>4960</v>
      </c>
      <c r="D622" s="5">
        <f>Dashboard!$C$15*(1-EXP(-Dashboard!$C$16*A622))</f>
        <v>0.7639606380851538</v>
      </c>
      <c r="E622" s="5">
        <f>1/(1+EXP(MIN(700,MAX(-700,(C622-Dashboard!$C$18)/Dashboard!$C$19))))</f>
        <v>7.1509506393035273E-3</v>
      </c>
      <c r="F622" s="5">
        <f t="shared" si="47"/>
        <v>5.4630448133177615E-3</v>
      </c>
      <c r="G622" s="8">
        <f>Dashboard!$C$9*B622*Dashboard!$C$11*(1-F622)</f>
        <v>45421.543789189906</v>
      </c>
      <c r="H622" s="8">
        <f>Dashboard!$C$20*A622^2</f>
        <v>307520.00000000006</v>
      </c>
      <c r="I622" s="8">
        <f t="shared" si="48"/>
        <v>352941.54378918995</v>
      </c>
      <c r="J622" s="8">
        <f>Dashboard!$C$13*A622</f>
        <v>124000</v>
      </c>
      <c r="K622" s="8">
        <f>Dashboard!$C$14*A622</f>
        <v>186000</v>
      </c>
      <c r="L622" s="8">
        <f>Dashboard!$C$21-K622</f>
        <v>1314000</v>
      </c>
      <c r="M622" s="8">
        <f t="shared" si="49"/>
        <v>837058.45621080999</v>
      </c>
      <c r="N622" s="8">
        <f t="shared" si="50"/>
        <v>310000</v>
      </c>
      <c r="O622" s="8">
        <f>Dashboard!$C$15*(Dashboard!$C$16*EXP(-Dashboard!$C$16*A622)*E622-(1-EXP(-Dashboard!$C$16*A622))*Dashboard!$C$17/Dashboard!$C$19*E622*(1-E622))</f>
        <v>-7.1031139502940339E-3</v>
      </c>
      <c r="P622" s="8">
        <f>Dashboard!$C$9*B622*Dashboard!$C$11*(-Dashboard!$C$12*(1-F622)-O622)+2*Dashboard!$C$20*A622</f>
        <v>83626.866323179813</v>
      </c>
      <c r="Q622" s="8">
        <f>-P622-Dashboard!$C$13-Dashboard!$C$14</f>
        <v>-133626.8663231798</v>
      </c>
    </row>
    <row r="623" spans="1:17" x14ac:dyDescent="0.25">
      <c r="A623" s="5">
        <f>(623-2)/100</f>
        <v>6.21</v>
      </c>
      <c r="B623" s="5">
        <f>Dashboard!$C$10*EXP(-Dashboard!$C$12*A623)</f>
        <v>2.2755738754874272E-2</v>
      </c>
      <c r="C623" s="5">
        <f>Dashboard!$C$17*A623</f>
        <v>4968</v>
      </c>
      <c r="D623" s="5">
        <f>Dashboard!$C$15*(1-EXP(-Dashboard!$C$16*A623))</f>
        <v>0.76414038515258653</v>
      </c>
      <c r="E623" s="5">
        <f>1/(1+EXP(MIN(700,MAX(-700,(C623-Dashboard!$C$18)/Dashboard!$C$19))))</f>
        <v>7.0569058371832572E-3</v>
      </c>
      <c r="F623" s="5">
        <f t="shared" si="47"/>
        <v>5.3924667444107503E-3</v>
      </c>
      <c r="G623" s="8">
        <f>Dashboard!$C$9*B623*Dashboard!$C$11*(1-F623)</f>
        <v>45266.058380788229</v>
      </c>
      <c r="H623" s="8">
        <f>Dashboard!$C$20*A623^2</f>
        <v>308512.8</v>
      </c>
      <c r="I623" s="8">
        <f t="shared" si="48"/>
        <v>353778.85838078824</v>
      </c>
      <c r="J623" s="8">
        <f>Dashboard!$C$13*A623</f>
        <v>124200</v>
      </c>
      <c r="K623" s="8">
        <f>Dashboard!$C$14*A623</f>
        <v>186300</v>
      </c>
      <c r="L623" s="8">
        <f>Dashboard!$C$21-K623</f>
        <v>1313700</v>
      </c>
      <c r="M623" s="8">
        <f t="shared" si="49"/>
        <v>835721.14161921176</v>
      </c>
      <c r="N623" s="8">
        <f t="shared" si="50"/>
        <v>310500</v>
      </c>
      <c r="O623" s="8">
        <f>Dashboard!$C$15*(Dashboard!$C$16*EXP(-Dashboard!$C$16*A623)*E623-(1-EXP(-Dashboard!$C$16*A623))*Dashboard!$C$17/Dashboard!$C$19*E623*(1-E623))</f>
        <v>-7.0126878564858086E-3</v>
      </c>
      <c r="P623" s="8">
        <f>Dashboard!$C$9*B623*Dashboard!$C$11*(-Dashboard!$C$12*(1-F623)-O623)+2*Dashboard!$C$20*A623</f>
        <v>83836.037352387459</v>
      </c>
      <c r="Q623" s="8">
        <f>-P623-Dashboard!$C$13-Dashboard!$C$14</f>
        <v>-133836.03735238744</v>
      </c>
    </row>
    <row r="624" spans="1:17" x14ac:dyDescent="0.25">
      <c r="A624" s="5">
        <f>(624-2)/100</f>
        <v>6.22</v>
      </c>
      <c r="B624" s="5">
        <f>Dashboard!$C$10*EXP(-Dashboard!$C$12*A624)</f>
        <v>2.2676232885665556E-2</v>
      </c>
      <c r="C624" s="5">
        <f>Dashboard!$C$17*A624</f>
        <v>4976</v>
      </c>
      <c r="D624" s="5">
        <f>Dashboard!$C$15*(1-EXP(-Dashboard!$C$16*A624))</f>
        <v>0.76431923572778038</v>
      </c>
      <c r="E624" s="5">
        <f>1/(1+EXP(MIN(700,MAX(-700,(C624-Dashboard!$C$18)/Dashboard!$C$19))))</f>
        <v>6.9640891777620886E-3</v>
      </c>
      <c r="F624" s="5">
        <f t="shared" si="47"/>
        <v>5.3227873178872259E-3</v>
      </c>
      <c r="G624" s="8">
        <f>Dashboard!$C$9*B624*Dashboard!$C$11*(1-F624)</f>
        <v>45111.064241688553</v>
      </c>
      <c r="H624" s="8">
        <f>Dashboard!$C$20*A624^2</f>
        <v>309507.19999999995</v>
      </c>
      <c r="I624" s="8">
        <f t="shared" si="48"/>
        <v>354618.26424168854</v>
      </c>
      <c r="J624" s="8">
        <f>Dashboard!$C$13*A624</f>
        <v>124400</v>
      </c>
      <c r="K624" s="8">
        <f>Dashboard!$C$14*A624</f>
        <v>186600</v>
      </c>
      <c r="L624" s="8">
        <f>Dashboard!$C$21-K624</f>
        <v>1313400</v>
      </c>
      <c r="M624" s="8">
        <f t="shared" si="49"/>
        <v>834381.73575831146</v>
      </c>
      <c r="N624" s="8">
        <f t="shared" si="50"/>
        <v>311000</v>
      </c>
      <c r="O624" s="8">
        <f>Dashboard!$C$15*(Dashboard!$C$16*EXP(-Dashboard!$C$16*A624)*E624-(1-EXP(-Dashboard!$C$16*A624))*Dashboard!$C$17/Dashboard!$C$19*E624*(1-E624))</f>
        <v>-6.9233832576137081E-3</v>
      </c>
      <c r="P624" s="8">
        <f>Dashboard!$C$9*B624*Dashboard!$C$11*(-Dashboard!$C$12*(1-F624)-O624)+2*Dashboard!$C$20*A624</f>
        <v>84045.120017621739</v>
      </c>
      <c r="Q624" s="8">
        <f>-P624-Dashboard!$C$13-Dashboard!$C$14</f>
        <v>-134045.12001762172</v>
      </c>
    </row>
    <row r="625" spans="1:17" x14ac:dyDescent="0.25">
      <c r="A625" s="5">
        <f>(625-2)/100</f>
        <v>6.23</v>
      </c>
      <c r="B625" s="5">
        <f>Dashboard!$C$10*EXP(-Dashboard!$C$12*A625)</f>
        <v>2.2597004800593248E-2</v>
      </c>
      <c r="C625" s="5">
        <f>Dashboard!$C$17*A625</f>
        <v>4984</v>
      </c>
      <c r="D625" s="5">
        <f>Dashboard!$C$15*(1-EXP(-Dashboard!$C$16*A625))</f>
        <v>0.76449719428200913</v>
      </c>
      <c r="E625" s="5">
        <f>1/(1+EXP(MIN(700,MAX(-700,(C625-Dashboard!$C$18)/Dashboard!$C$19))))</f>
        <v>6.8724848493102583E-3</v>
      </c>
      <c r="F625" s="5">
        <f t="shared" si="47"/>
        <v>5.2539953850433089E-3</v>
      </c>
      <c r="G625" s="8">
        <f>Dashboard!$C$9*B625*Dashboard!$C$11*(1-F625)</f>
        <v>44956.560483310255</v>
      </c>
      <c r="H625" s="8">
        <f>Dashboard!$C$20*A625^2</f>
        <v>310503.20000000007</v>
      </c>
      <c r="I625" s="8">
        <f t="shared" si="48"/>
        <v>355459.76048331033</v>
      </c>
      <c r="J625" s="8">
        <f>Dashboard!$C$13*A625</f>
        <v>124600.00000000001</v>
      </c>
      <c r="K625" s="8">
        <f>Dashboard!$C$14*A625</f>
        <v>186900</v>
      </c>
      <c r="L625" s="8">
        <f>Dashboard!$C$21-K625</f>
        <v>1313100</v>
      </c>
      <c r="M625" s="8">
        <f t="shared" si="49"/>
        <v>833040.23951668967</v>
      </c>
      <c r="N625" s="8">
        <f t="shared" si="50"/>
        <v>311500</v>
      </c>
      <c r="O625" s="8">
        <f>Dashboard!$C$15*(Dashboard!$C$16*EXP(-Dashboard!$C$16*A625)*E625-(1-EXP(-Dashboard!$C$16*A625))*Dashboard!$C$17/Dashboard!$C$19*E625*(1-E625))</f>
        <v>-6.8351869279458868E-3</v>
      </c>
      <c r="P625" s="8">
        <f>Dashboard!$C$9*B625*Dashboard!$C$11*(-Dashboard!$C$12*(1-F625)-O625)+2*Dashboard!$C$20*A625</f>
        <v>84254.113334488895</v>
      </c>
      <c r="Q625" s="8">
        <f>-P625-Dashboard!$C$13-Dashboard!$C$14</f>
        <v>-134254.11333448888</v>
      </c>
    </row>
    <row r="626" spans="1:17" x14ac:dyDescent="0.25">
      <c r="A626" s="5">
        <f>(626-2)/100</f>
        <v>6.24</v>
      </c>
      <c r="B626" s="5">
        <f>Dashboard!$C$10*EXP(-Dashboard!$C$12*A626)</f>
        <v>2.2518053529112344E-2</v>
      </c>
      <c r="C626" s="5">
        <f>Dashboard!$C$17*A626</f>
        <v>4992</v>
      </c>
      <c r="D626" s="5">
        <f>Dashboard!$C$15*(1-EXP(-Dashboard!$C$16*A626))</f>
        <v>0.76467426526424576</v>
      </c>
      <c r="E626" s="5">
        <f>1/(1+EXP(MIN(700,MAX(-700,(C626-Dashboard!$C$18)/Dashboard!$C$19))))</f>
        <v>6.782077237738833E-3</v>
      </c>
      <c r="F626" s="5">
        <f t="shared" si="47"/>
        <v>5.1860799287333078E-3</v>
      </c>
      <c r="G626" s="8">
        <f>Dashboard!$C$9*B626*Dashboard!$C$11*(1-F626)</f>
        <v>44802.546207341744</v>
      </c>
      <c r="H626" s="8">
        <f>Dashboard!$C$20*A626^2</f>
        <v>311500.80000000005</v>
      </c>
      <c r="I626" s="8">
        <f t="shared" si="48"/>
        <v>356303.34620734176</v>
      </c>
      <c r="J626" s="8">
        <f>Dashboard!$C$13*A626</f>
        <v>124800</v>
      </c>
      <c r="K626" s="8">
        <f>Dashboard!$C$14*A626</f>
        <v>187200</v>
      </c>
      <c r="L626" s="8">
        <f>Dashboard!$C$21-K626</f>
        <v>1312800</v>
      </c>
      <c r="M626" s="8">
        <f t="shared" si="49"/>
        <v>831696.65379265824</v>
      </c>
      <c r="N626" s="8">
        <f t="shared" si="50"/>
        <v>312000</v>
      </c>
      <c r="O626" s="8">
        <f>Dashboard!$C$15*(Dashboard!$C$16*EXP(-Dashboard!$C$16*A626)*E626-(1-EXP(-Dashboard!$C$16*A626))*Dashboard!$C$17/Dashboard!$C$19*E626*(1-E626))</f>
        <v>-6.7480857813985223E-3</v>
      </c>
      <c r="P626" s="8">
        <f>Dashboard!$C$9*B626*Dashboard!$C$11*(-Dashboard!$C$12*(1-F626)-O626)+2*Dashboard!$C$20*A626</f>
        <v>84463.016341119539</v>
      </c>
      <c r="Q626" s="8">
        <f>-P626-Dashboard!$C$13-Dashboard!$C$14</f>
        <v>-134463.01634111954</v>
      </c>
    </row>
    <row r="627" spans="1:17" x14ac:dyDescent="0.25">
      <c r="A627" s="5">
        <f>(627-2)/100</f>
        <v>6.25</v>
      </c>
      <c r="B627" s="5">
        <f>Dashboard!$C$10*EXP(-Dashboard!$C$12*A627)</f>
        <v>2.243937810406875E-2</v>
      </c>
      <c r="C627" s="5">
        <f>Dashboard!$C$17*A627</f>
        <v>5000</v>
      </c>
      <c r="D627" s="5">
        <f>Dashboard!$C$15*(1-EXP(-Dashboard!$C$16*A627))</f>
        <v>0.76485045310127409</v>
      </c>
      <c r="E627" s="5">
        <f>1/(1+EXP(MIN(700,MAX(-700,(C627-Dashboard!$C$18)/Dashboard!$C$19))))</f>
        <v>6.6928509242848554E-3</v>
      </c>
      <c r="F627" s="5">
        <f t="shared" si="47"/>
        <v>5.1190300619785526E-3</v>
      </c>
      <c r="G627" s="8">
        <f>Dashboard!$C$9*B627*Dashboard!$C$11*(1-F627)</f>
        <v>44649.020505963839</v>
      </c>
      <c r="H627" s="8">
        <f>Dashboard!$C$20*A627^2</f>
        <v>312500</v>
      </c>
      <c r="I627" s="8">
        <f t="shared" si="48"/>
        <v>357149.02050596382</v>
      </c>
      <c r="J627" s="8">
        <f>Dashboard!$C$13*A627</f>
        <v>125000</v>
      </c>
      <c r="K627" s="8">
        <f>Dashboard!$C$14*A627</f>
        <v>187500</v>
      </c>
      <c r="L627" s="8">
        <f>Dashboard!$C$21-K627</f>
        <v>1312500</v>
      </c>
      <c r="M627" s="8">
        <f t="shared" si="49"/>
        <v>830350.97949403618</v>
      </c>
      <c r="N627" s="8">
        <f t="shared" si="50"/>
        <v>312500</v>
      </c>
      <c r="O627" s="8">
        <f>Dashboard!$C$15*(Dashboard!$C$16*EXP(-Dashboard!$C$16*A627)*E627-(1-EXP(-Dashboard!$C$16*A627))*Dashboard!$C$17/Dashboard!$C$19*E627*(1-E627))</f>
        <v>-6.6620668704710662E-3</v>
      </c>
      <c r="P627" s="8">
        <f>Dashboard!$C$9*B627*Dashboard!$C$11*(-Dashboard!$C$12*(1-F627)-O627)+2*Dashboard!$C$20*A627</f>
        <v>84671.828097834834</v>
      </c>
      <c r="Q627" s="8">
        <f>-P627-Dashboard!$C$13-Dashboard!$C$14</f>
        <v>-134671.82809783483</v>
      </c>
    </row>
    <row r="628" spans="1:17" x14ac:dyDescent="0.25">
      <c r="A628" s="5">
        <f>(628-2)/100</f>
        <v>6.26</v>
      </c>
      <c r="B628" s="5">
        <f>Dashboard!$C$10*EXP(-Dashboard!$C$12*A628)</f>
        <v>2.2360977561687548E-2</v>
      </c>
      <c r="C628" s="5">
        <f>Dashboard!$C$17*A628</f>
        <v>5008</v>
      </c>
      <c r="D628" s="5">
        <f>Dashboard!$C$15*(1-EXP(-Dashboard!$C$16*A628))</f>
        <v>0.76502576219779928</v>
      </c>
      <c r="E628" s="5">
        <f>1/(1+EXP(MIN(700,MAX(-700,(C628-Dashboard!$C$18)/Dashboard!$C$19))))</f>
        <v>6.6047906832195089E-3</v>
      </c>
      <c r="F628" s="5">
        <f t="shared" si="47"/>
        <v>5.0528350265869283E-3</v>
      </c>
      <c r="G628" s="8">
        <f>Dashboard!$C$9*B628*Dashboard!$C$11*(1-F628)</f>
        <v>44495.982462070257</v>
      </c>
      <c r="H628" s="8">
        <f>Dashboard!$C$20*A628^2</f>
        <v>313500.79999999999</v>
      </c>
      <c r="I628" s="8">
        <f t="shared" si="48"/>
        <v>357996.78246207023</v>
      </c>
      <c r="J628" s="8">
        <f>Dashboard!$C$13*A628</f>
        <v>125200</v>
      </c>
      <c r="K628" s="8">
        <f>Dashboard!$C$14*A628</f>
        <v>187800</v>
      </c>
      <c r="L628" s="8">
        <f>Dashboard!$C$21-K628</f>
        <v>1312200</v>
      </c>
      <c r="M628" s="8">
        <f t="shared" si="49"/>
        <v>829003.21753792977</v>
      </c>
      <c r="N628" s="8">
        <f t="shared" si="50"/>
        <v>313000</v>
      </c>
      <c r="O628" s="8">
        <f>Dashboard!$C$15*(Dashboard!$C$16*EXP(-Dashboard!$C$16*A628)*E628-(1-EXP(-Dashboard!$C$16*A628))*Dashboard!$C$17/Dashboard!$C$19*E628*(1-E628))</f>
        <v>-6.5771173851783037E-3</v>
      </c>
      <c r="P628" s="8">
        <f>Dashboard!$C$9*B628*Dashboard!$C$11*(-Dashboard!$C$12*(1-F628)-O628)+2*Dashboard!$C$20*A628</f>
        <v>84880.547686816528</v>
      </c>
      <c r="Q628" s="8">
        <f>-P628-Dashboard!$C$13-Dashboard!$C$14</f>
        <v>-134880.54768681654</v>
      </c>
    </row>
    <row r="629" spans="1:17" x14ac:dyDescent="0.25">
      <c r="A629" s="5">
        <f>(629-2)/100</f>
        <v>6.27</v>
      </c>
      <c r="B629" s="5">
        <f>Dashboard!$C$10*EXP(-Dashboard!$C$12*A629)</f>
        <v>2.228285094156111E-2</v>
      </c>
      <c r="C629" s="5">
        <f>Dashboard!$C$17*A629</f>
        <v>5016</v>
      </c>
      <c r="D629" s="5">
        <f>Dashboard!$C$15*(1-EXP(-Dashboard!$C$16*A629))</f>
        <v>0.76520019693655783</v>
      </c>
      <c r="E629" s="5">
        <f>1/(1+EXP(MIN(700,MAX(-700,(C629-Dashboard!$C$18)/Dashboard!$C$19))))</f>
        <v>6.5178814795790732E-3</v>
      </c>
      <c r="F629" s="5">
        <f t="shared" si="47"/>
        <v>4.9874841917830499E-3</v>
      </c>
      <c r="G629" s="8">
        <f>Dashboard!$C$9*B629*Dashboard!$C$11*(1-F629)</f>
        <v>44343.431149484437</v>
      </c>
      <c r="H629" s="8">
        <f>Dashboard!$C$20*A629^2</f>
        <v>314503.19999999995</v>
      </c>
      <c r="I629" s="8">
        <f t="shared" si="48"/>
        <v>358846.63114948437</v>
      </c>
      <c r="J629" s="8">
        <f>Dashboard!$C$13*A629</f>
        <v>125399.99999999999</v>
      </c>
      <c r="K629" s="8">
        <f>Dashboard!$C$14*A629</f>
        <v>188100</v>
      </c>
      <c r="L629" s="8">
        <f>Dashboard!$C$21-K629</f>
        <v>1311900</v>
      </c>
      <c r="M629" s="8">
        <f t="shared" si="49"/>
        <v>827653.36885051569</v>
      </c>
      <c r="N629" s="8">
        <f t="shared" si="50"/>
        <v>313500</v>
      </c>
      <c r="O629" s="8">
        <f>Dashboard!$C$15*(Dashboard!$C$16*EXP(-Dashboard!$C$16*A629)*E629-(1-EXP(-Dashboard!$C$16*A629))*Dashboard!$C$17/Dashboard!$C$19*E629*(1-E629))</f>
        <v>-6.4932246519795421E-3</v>
      </c>
      <c r="P629" s="8">
        <f>Dashboard!$C$9*B629*Dashboard!$C$11*(-Dashboard!$C$12*(1-F629)-O629)+2*Dashboard!$C$20*A629</f>
        <v>85089.174211780715</v>
      </c>
      <c r="Q629" s="8">
        <f>-P629-Dashboard!$C$13-Dashboard!$C$14</f>
        <v>-135089.17421178072</v>
      </c>
    </row>
    <row r="630" spans="1:17" x14ac:dyDescent="0.25">
      <c r="A630" s="5">
        <f>(630-2)/100</f>
        <v>6.28</v>
      </c>
      <c r="B630" s="5">
        <f>Dashboard!$C$10*EXP(-Dashboard!$C$12*A630)</f>
        <v>2.2204997286637346E-2</v>
      </c>
      <c r="C630" s="5">
        <f>Dashboard!$C$17*A630</f>
        <v>5024</v>
      </c>
      <c r="D630" s="5">
        <f>Dashboard!$C$15*(1-EXP(-Dashboard!$C$16*A630))</f>
        <v>0.7653737616784273</v>
      </c>
      <c r="E630" s="5">
        <f>1/(1+EXP(MIN(700,MAX(-700,(C630-Dashboard!$C$18)/Dashboard!$C$19))))</f>
        <v>6.4321084669186346E-3</v>
      </c>
      <c r="F630" s="5">
        <f t="shared" si="47"/>
        <v>4.9229670528491776E-3</v>
      </c>
      <c r="G630" s="8">
        <f>Dashboard!$C$9*B630*Dashboard!$C$11*(1-F630)</f>
        <v>44191.365633173249</v>
      </c>
      <c r="H630" s="8">
        <f>Dashboard!$C$20*A630^2</f>
        <v>315507.20000000001</v>
      </c>
      <c r="I630" s="8">
        <f t="shared" si="48"/>
        <v>359698.56563317328</v>
      </c>
      <c r="J630" s="8">
        <f>Dashboard!$C$13*A630</f>
        <v>125600</v>
      </c>
      <c r="K630" s="8">
        <f>Dashboard!$C$14*A630</f>
        <v>188400</v>
      </c>
      <c r="L630" s="8">
        <f>Dashboard!$C$21-K630</f>
        <v>1311600</v>
      </c>
      <c r="M630" s="8">
        <f t="shared" si="49"/>
        <v>826301.43436682667</v>
      </c>
      <c r="N630" s="8">
        <f t="shared" si="50"/>
        <v>314000</v>
      </c>
      <c r="O630" s="8">
        <f>Dashboard!$C$15*(Dashboard!$C$16*EXP(-Dashboard!$C$16*A630)*E630-(1-EXP(-Dashboard!$C$16*A630))*Dashboard!$C$17/Dashboard!$C$19*E630*(1-E630))</f>
        <v>-6.4103761327053812E-3</v>
      </c>
      <c r="P630" s="8">
        <f>Dashboard!$C$9*B630*Dashboard!$C$11*(-Dashboard!$C$12*(1-F630)-O630)+2*Dashboard!$C$20*A630</f>
        <v>85297.706797655468</v>
      </c>
      <c r="Q630" s="8">
        <f>-P630-Dashboard!$C$13-Dashboard!$C$14</f>
        <v>-135297.70679765547</v>
      </c>
    </row>
    <row r="631" spans="1:17" x14ac:dyDescent="0.25">
      <c r="A631" s="5">
        <f>(631-2)/100</f>
        <v>6.29</v>
      </c>
      <c r="B631" s="5">
        <f>Dashboard!$C$10*EXP(-Dashboard!$C$12*A631)</f>
        <v>2.2127415643208033E-2</v>
      </c>
      <c r="C631" s="5">
        <f>Dashboard!$C$17*A631</f>
        <v>5032</v>
      </c>
      <c r="D631" s="5">
        <f>Dashboard!$C$15*(1-EXP(-Dashboard!$C$16*A631))</f>
        <v>0.7655464607625353</v>
      </c>
      <c r="E631" s="5">
        <f>1/(1+EXP(MIN(700,MAX(-700,(C631-Dashboard!$C$18)/Dashboard!$C$19))))</f>
        <v>6.34745698508846E-3</v>
      </c>
      <c r="F631" s="5">
        <f t="shared" si="47"/>
        <v>4.8592732297769031E-3</v>
      </c>
      <c r="G631" s="8">
        <f>Dashboard!$C$9*B631*Dashboard!$C$11*(1-F631)</f>
        <v>44039.784969457687</v>
      </c>
      <c r="H631" s="8">
        <f>Dashboard!$C$20*A631^2</f>
        <v>316512.80000000005</v>
      </c>
      <c r="I631" s="8">
        <f t="shared" si="48"/>
        <v>360552.5849694577</v>
      </c>
      <c r="J631" s="8">
        <f>Dashboard!$C$13*A631</f>
        <v>125800</v>
      </c>
      <c r="K631" s="8">
        <f>Dashboard!$C$14*A631</f>
        <v>188700</v>
      </c>
      <c r="L631" s="8">
        <f>Dashboard!$C$21-K631</f>
        <v>1311300</v>
      </c>
      <c r="M631" s="8">
        <f t="shared" si="49"/>
        <v>824947.4150305423</v>
      </c>
      <c r="N631" s="8">
        <f t="shared" si="50"/>
        <v>314500</v>
      </c>
      <c r="O631" s="8">
        <f>Dashboard!$C$15*(Dashboard!$C$16*EXP(-Dashboard!$C$16*A631)*E631-(1-EXP(-Dashboard!$C$16*A631))*Dashboard!$C$17/Dashboard!$C$19*E631*(1-E631))</f>
        <v>-6.3285594234825382E-3</v>
      </c>
      <c r="P631" s="8">
        <f>Dashboard!$C$9*B631*Dashboard!$C$11*(-Dashboard!$C$12*(1-F631)-O631)+2*Dashboard!$C$20*A631</f>
        <v>85506.144590262091</v>
      </c>
      <c r="Q631" s="8">
        <f>-P631-Dashboard!$C$13-Dashboard!$C$14</f>
        <v>-135506.14459026209</v>
      </c>
    </row>
    <row r="632" spans="1:17" x14ac:dyDescent="0.25">
      <c r="A632" s="5">
        <f>(632-2)/100</f>
        <v>6.3</v>
      </c>
      <c r="B632" s="5">
        <f>Dashboard!$C$10*EXP(-Dashboard!$C$12*A632)</f>
        <v>2.2050105060897055E-2</v>
      </c>
      <c r="C632" s="5">
        <f>Dashboard!$C$17*A632</f>
        <v>5040</v>
      </c>
      <c r="D632" s="5">
        <f>Dashboard!$C$15*(1-EXP(-Dashboard!$C$16*A632))</f>
        <v>0.76571829850636786</v>
      </c>
      <c r="E632" s="5">
        <f>1/(1+EXP(MIN(700,MAX(-700,(C632-Dashboard!$C$18)/Dashboard!$C$19))))</f>
        <v>6.2639125580328091E-3</v>
      </c>
      <c r="F632" s="5">
        <f t="shared" si="47"/>
        <v>4.7963924659295528E-3</v>
      </c>
      <c r="G632" s="8">
        <f>Dashboard!$C$9*B632*Dashboard!$C$11*(1-F632)</f>
        <v>43888.688206220024</v>
      </c>
      <c r="H632" s="8">
        <f>Dashboard!$C$20*A632^2</f>
        <v>317520</v>
      </c>
      <c r="I632" s="8">
        <f t="shared" si="48"/>
        <v>361408.68820622005</v>
      </c>
      <c r="J632" s="8">
        <f>Dashboard!$C$13*A632</f>
        <v>126000</v>
      </c>
      <c r="K632" s="8">
        <f>Dashboard!$C$14*A632</f>
        <v>189000</v>
      </c>
      <c r="L632" s="8">
        <f>Dashboard!$C$21-K632</f>
        <v>1311000</v>
      </c>
      <c r="M632" s="8">
        <f t="shared" si="49"/>
        <v>823591.31179377995</v>
      </c>
      <c r="N632" s="8">
        <f t="shared" si="50"/>
        <v>315000</v>
      </c>
      <c r="O632" s="8">
        <f>Dashboard!$C$15*(Dashboard!$C$16*EXP(-Dashboard!$C$16*A632)*E632-(1-EXP(-Dashboard!$C$16*A632))*Dashboard!$C$17/Dashboard!$C$19*E632*(1-E632))</f>
        <v>-6.2477622536569362E-3</v>
      </c>
      <c r="P632" s="8">
        <f>Dashboard!$C$9*B632*Dashboard!$C$11*(-Dashboard!$C$12*(1-F632)-O632)+2*Dashboard!$C$20*A632</f>
        <v>85714.486756000275</v>
      </c>
      <c r="Q632" s="8">
        <f>-P632-Dashboard!$C$13-Dashboard!$C$14</f>
        <v>-135714.48675600026</v>
      </c>
    </row>
    <row r="633" spans="1:17" x14ac:dyDescent="0.25">
      <c r="A633" s="5">
        <f>(633-2)/100</f>
        <v>6.31</v>
      </c>
      <c r="B633" s="5">
        <f>Dashboard!$C$10*EXP(-Dashboard!$C$12*A633)</f>
        <v>2.1973064592648806E-2</v>
      </c>
      <c r="C633" s="5">
        <f>Dashboard!$C$17*A633</f>
        <v>5048</v>
      </c>
      <c r="D633" s="5">
        <f>Dashboard!$C$15*(1-EXP(-Dashboard!$C$16*A633))</f>
        <v>0.76588927920587757</v>
      </c>
      <c r="E633" s="5">
        <f>1/(1+EXP(MIN(700,MAX(-700,(C633-Dashboard!$C$18)/Dashboard!$C$19))))</f>
        <v>6.181460891611144E-3</v>
      </c>
      <c r="F633" s="5">
        <f t="shared" si="47"/>
        <v>4.73431462671538E-3</v>
      </c>
      <c r="G633" s="8">
        <f>Dashboard!$C$9*B633*Dashboard!$C$11*(1-F633)</f>
        <v>43738.074383108134</v>
      </c>
      <c r="H633" s="8">
        <f>Dashboard!$C$20*A633^2</f>
        <v>318528.79999999993</v>
      </c>
      <c r="I633" s="8">
        <f t="shared" si="48"/>
        <v>362266.87438310805</v>
      </c>
      <c r="J633" s="8">
        <f>Dashboard!$C$13*A633</f>
        <v>126199.99999999999</v>
      </c>
      <c r="K633" s="8">
        <f>Dashboard!$C$14*A633</f>
        <v>189300</v>
      </c>
      <c r="L633" s="8">
        <f>Dashboard!$C$21-K633</f>
        <v>1310700</v>
      </c>
      <c r="M633" s="8">
        <f t="shared" si="49"/>
        <v>822233.12561689201</v>
      </c>
      <c r="N633" s="8">
        <f t="shared" si="50"/>
        <v>315500</v>
      </c>
      <c r="O633" s="8">
        <f>Dashboard!$C$15*(Dashboard!$C$16*EXP(-Dashboard!$C$16*A633)*E633-(1-EXP(-Dashboard!$C$16*A633))*Dashboard!$C$17/Dashboard!$C$19*E633*(1-E633))</f>
        <v>-6.1679724847155748E-3</v>
      </c>
      <c r="P633" s="8">
        <f>Dashboard!$C$9*B633*Dashboard!$C$11*(-Dashboard!$C$12*(1-F633)-O633)+2*Dashboard!$C$20*A633</f>
        <v>85922.732481536819</v>
      </c>
      <c r="Q633" s="8">
        <f>-P633-Dashboard!$C$13-Dashboard!$C$14</f>
        <v>-135922.7324815368</v>
      </c>
    </row>
    <row r="634" spans="1:17" x14ac:dyDescent="0.25">
      <c r="A634" s="5">
        <f>(634-2)/100</f>
        <v>6.32</v>
      </c>
      <c r="B634" s="5">
        <f>Dashboard!$C$10*EXP(-Dashboard!$C$12*A634)</f>
        <v>2.1896293294716603E-2</v>
      </c>
      <c r="C634" s="5">
        <f>Dashboard!$C$17*A634</f>
        <v>5056</v>
      </c>
      <c r="D634" s="5">
        <f>Dashboard!$C$15*(1-EXP(-Dashboard!$C$16*A634))</f>
        <v>0.76605940713559095</v>
      </c>
      <c r="E634" s="5">
        <f>1/(1+EXP(MIN(700,MAX(-700,(C634-Dashboard!$C$18)/Dashboard!$C$19))))</f>
        <v>6.100087871441613E-3</v>
      </c>
      <c r="F634" s="5">
        <f t="shared" si="47"/>
        <v>4.6730296982715712E-3</v>
      </c>
      <c r="G634" s="8">
        <f>Dashboard!$C$9*B634*Dashboard!$C$11*(1-F634)</f>
        <v>43587.942531736655</v>
      </c>
      <c r="H634" s="8">
        <f>Dashboard!$C$20*A634^2</f>
        <v>319539.20000000007</v>
      </c>
      <c r="I634" s="8">
        <f t="shared" si="48"/>
        <v>363127.14253173675</v>
      </c>
      <c r="J634" s="8">
        <f>Dashboard!$C$13*A634</f>
        <v>126400</v>
      </c>
      <c r="K634" s="8">
        <f>Dashboard!$C$14*A634</f>
        <v>189600</v>
      </c>
      <c r="L634" s="8">
        <f>Dashboard!$C$21-K634</f>
        <v>1310400</v>
      </c>
      <c r="M634" s="8">
        <f t="shared" si="49"/>
        <v>820872.85746826325</v>
      </c>
      <c r="N634" s="8">
        <f t="shared" si="50"/>
        <v>316000</v>
      </c>
      <c r="O634" s="8">
        <f>Dashboard!$C$15*(Dashboard!$C$16*EXP(-Dashboard!$C$16*A634)*E634-(1-EXP(-Dashboard!$C$16*A634))*Dashboard!$C$17/Dashboard!$C$19*E634*(1-E634))</f>
        <v>-6.0891781092074848E-3</v>
      </c>
      <c r="P634" s="8">
        <f>Dashboard!$C$9*B634*Dashboard!$C$11*(-Dashboard!$C$12*(1-F634)-O634)+2*Dashboard!$C$20*A634</f>
        <v>86130.880973498119</v>
      </c>
      <c r="Q634" s="8">
        <f>-P634-Dashboard!$C$13-Dashboard!$C$14</f>
        <v>-136130.8809734981</v>
      </c>
    </row>
    <row r="635" spans="1:17" x14ac:dyDescent="0.25">
      <c r="A635" s="5">
        <f>(635-2)/100</f>
        <v>6.33</v>
      </c>
      <c r="B635" s="5">
        <f>Dashboard!$C$10*EXP(-Dashboard!$C$12*A635)</f>
        <v>2.1819790226651068E-2</v>
      </c>
      <c r="C635" s="5">
        <f>Dashboard!$C$17*A635</f>
        <v>5064</v>
      </c>
      <c r="D635" s="5">
        <f>Dashboard!$C$15*(1-EXP(-Dashboard!$C$16*A635))</f>
        <v>0.7662286865487149</v>
      </c>
      <c r="E635" s="5">
        <f>1/(1+EXP(MIN(700,MAX(-700,(C635-Dashboard!$C$18)/Dashboard!$C$19))))</f>
        <v>6.0197795607666183E-3</v>
      </c>
      <c r="F635" s="5">
        <f t="shared" si="47"/>
        <v>4.6125277861590059E-3</v>
      </c>
      <c r="G635" s="8">
        <f>Dashboard!$C$9*B635*Dashboard!$C$11*(1-F635)</f>
        <v>43438.291675884953</v>
      </c>
      <c r="H635" s="8">
        <f>Dashboard!$C$20*A635^2</f>
        <v>320551.2</v>
      </c>
      <c r="I635" s="8">
        <f t="shared" si="48"/>
        <v>363989.49167588499</v>
      </c>
      <c r="J635" s="8">
        <f>Dashboard!$C$13*A635</f>
        <v>126600</v>
      </c>
      <c r="K635" s="8">
        <f>Dashboard!$C$14*A635</f>
        <v>189900</v>
      </c>
      <c r="L635" s="8">
        <f>Dashboard!$C$21-K635</f>
        <v>1310100</v>
      </c>
      <c r="M635" s="8">
        <f t="shared" si="49"/>
        <v>819510.50832411507</v>
      </c>
      <c r="N635" s="8">
        <f t="shared" si="50"/>
        <v>316500</v>
      </c>
      <c r="O635" s="8">
        <f>Dashboard!$C$15*(Dashboard!$C$16*EXP(-Dashboard!$C$16*A635)*E635-(1-EXP(-Dashboard!$C$16*A635))*Dashboard!$C$17/Dashboard!$C$19*E635*(1-E635))</f>
        <v>-6.0113672496640794E-3</v>
      </c>
      <c r="P635" s="8">
        <f>Dashboard!$C$9*B635*Dashboard!$C$11*(-Dashboard!$C$12*(1-F635)-O635)+2*Dashboard!$C$20*A635</f>
        <v>86338.931458166335</v>
      </c>
      <c r="Q635" s="8">
        <f>-P635-Dashboard!$C$13-Dashboard!$C$14</f>
        <v>-136338.93145816633</v>
      </c>
    </row>
    <row r="636" spans="1:17" x14ac:dyDescent="0.25">
      <c r="A636" s="5">
        <f>(636-2)/100</f>
        <v>6.34</v>
      </c>
      <c r="B636" s="5">
        <f>Dashboard!$C$10*EXP(-Dashboard!$C$12*A636)</f>
        <v>2.1743554451288685E-2</v>
      </c>
      <c r="C636" s="5">
        <f>Dashboard!$C$17*A636</f>
        <v>5072</v>
      </c>
      <c r="D636" s="5">
        <f>Dashboard!$C$15*(1-EXP(-Dashboard!$C$16*A636))</f>
        <v>0.76639712167724361</v>
      </c>
      <c r="E636" s="5">
        <f>1/(1+EXP(MIN(700,MAX(-700,(C636-Dashboard!$C$18)/Dashboard!$C$19))))</f>
        <v>5.9405221983403695E-3</v>
      </c>
      <c r="F636" s="5">
        <f t="shared" si="47"/>
        <v>4.5527991140678304E-3</v>
      </c>
      <c r="G636" s="8">
        <f>Dashboard!$C$9*B636*Dashboard!$C$11*(1-F636)</f>
        <v>43289.120831692344</v>
      </c>
      <c r="H636" s="8">
        <f>Dashboard!$C$20*A636^2</f>
        <v>321564.79999999999</v>
      </c>
      <c r="I636" s="8">
        <f t="shared" si="48"/>
        <v>364853.92083169235</v>
      </c>
      <c r="J636" s="8">
        <f>Dashboard!$C$13*A636</f>
        <v>126800</v>
      </c>
      <c r="K636" s="8">
        <f>Dashboard!$C$14*A636</f>
        <v>190200</v>
      </c>
      <c r="L636" s="8">
        <f>Dashboard!$C$21-K636</f>
        <v>1309800</v>
      </c>
      <c r="M636" s="8">
        <f t="shared" si="49"/>
        <v>818146.07916830759</v>
      </c>
      <c r="N636" s="8">
        <f t="shared" si="50"/>
        <v>317000</v>
      </c>
      <c r="O636" s="8">
        <f>Dashboard!$C$15*(Dashboard!$C$16*EXP(-Dashboard!$C$16*A636)*E636-(1-EXP(-Dashboard!$C$16*A636))*Dashboard!$C$17/Dashboard!$C$19*E636*(1-E636))</f>
        <v>-5.9345281575192699E-3</v>
      </c>
      <c r="P636" s="8">
        <f>Dashboard!$C$9*B636*Dashboard!$C$11*(-Dashboard!$C$12*(1-F636)-O636)+2*Dashboard!$C$20*A636</f>
        <v>86546.883181179131</v>
      </c>
      <c r="Q636" s="8">
        <f>-P636-Dashboard!$C$13-Dashboard!$C$14</f>
        <v>-136546.88318117912</v>
      </c>
    </row>
    <row r="637" spans="1:17" x14ac:dyDescent="0.25">
      <c r="A637" s="5">
        <f>(637-2)/100</f>
        <v>6.35</v>
      </c>
      <c r="B637" s="5">
        <f>Dashboard!$C$10*EXP(-Dashboard!$C$12*A637)</f>
        <v>2.1667585034740235E-2</v>
      </c>
      <c r="C637" s="5">
        <f>Dashboard!$C$17*A637</f>
        <v>5080</v>
      </c>
      <c r="D637" s="5">
        <f>Dashboard!$C$15*(1-EXP(-Dashboard!$C$16*A637))</f>
        <v>0.76656471673206417</v>
      </c>
      <c r="E637" s="5">
        <f>1/(1+EXP(MIN(700,MAX(-700,(C637-Dashboard!$C$18)/Dashboard!$C$19))))</f>
        <v>5.8623021963383308E-3</v>
      </c>
      <c r="F637" s="5">
        <f t="shared" si="47"/>
        <v>4.4938340225338502E-3</v>
      </c>
      <c r="G637" s="8">
        <f>Dashboard!$C$9*B637*Dashboard!$C$11*(1-F637)</f>
        <v>43140.429007849947</v>
      </c>
      <c r="H637" s="8">
        <f>Dashboard!$C$20*A637^2</f>
        <v>322580</v>
      </c>
      <c r="I637" s="8">
        <f t="shared" si="48"/>
        <v>365720.42900784995</v>
      </c>
      <c r="J637" s="8">
        <f>Dashboard!$C$13*A637</f>
        <v>127000</v>
      </c>
      <c r="K637" s="8">
        <f>Dashboard!$C$14*A637</f>
        <v>190500</v>
      </c>
      <c r="L637" s="8">
        <f>Dashboard!$C$21-K637</f>
        <v>1309500</v>
      </c>
      <c r="M637" s="8">
        <f t="shared" si="49"/>
        <v>816779.57099215011</v>
      </c>
      <c r="N637" s="8">
        <f t="shared" si="50"/>
        <v>317500</v>
      </c>
      <c r="O637" s="8">
        <f>Dashboard!$C$15*(Dashboard!$C$16*EXP(-Dashboard!$C$16*A637)*E637-(1-EXP(-Dashboard!$C$16*A637))*Dashboard!$C$17/Dashboard!$C$19*E637*(1-E637))</f>
        <v>-5.8586492120296851E-3</v>
      </c>
      <c r="P637" s="8">
        <f>Dashboard!$C$9*B637*Dashboard!$C$11*(-Dashboard!$C$12*(1-F637)-O637)+2*Dashboard!$C$20*A637</f>
        <v>86754.735407233253</v>
      </c>
      <c r="Q637" s="8">
        <f>-P637-Dashboard!$C$13-Dashboard!$C$14</f>
        <v>-136754.73540723324</v>
      </c>
    </row>
    <row r="638" spans="1:17" x14ac:dyDescent="0.25">
      <c r="A638" s="5">
        <f>(638-2)/100</f>
        <v>6.36</v>
      </c>
      <c r="B638" s="5">
        <f>Dashboard!$C$10*EXP(-Dashboard!$C$12*A638)</f>
        <v>2.1591881046379408E-2</v>
      </c>
      <c r="C638" s="5">
        <f>Dashboard!$C$17*A638</f>
        <v>5088</v>
      </c>
      <c r="D638" s="5">
        <f>Dashboard!$C$15*(1-EXP(-Dashboard!$C$16*A638))</f>
        <v>0.76673147590306145</v>
      </c>
      <c r="E638" s="5">
        <f>1/(1+EXP(MIN(700,MAX(-700,(C638-Dashboard!$C$18)/Dashboard!$C$19))))</f>
        <v>5.785106138288346E-3</v>
      </c>
      <c r="F638" s="5">
        <f t="shared" si="47"/>
        <v>4.4356229676656839E-3</v>
      </c>
      <c r="G638" s="8">
        <f>Dashboard!$C$9*B638*Dashboard!$C$11*(1-F638)</f>
        <v>42992.215205789966</v>
      </c>
      <c r="H638" s="8">
        <f>Dashboard!$C$20*A638^2</f>
        <v>323596.80000000005</v>
      </c>
      <c r="I638" s="8">
        <f t="shared" si="48"/>
        <v>366589.01520579</v>
      </c>
      <c r="J638" s="8">
        <f>Dashboard!$C$13*A638</f>
        <v>127200</v>
      </c>
      <c r="K638" s="8">
        <f>Dashboard!$C$14*A638</f>
        <v>190800</v>
      </c>
      <c r="L638" s="8">
        <f>Dashboard!$C$21-K638</f>
        <v>1309200</v>
      </c>
      <c r="M638" s="8">
        <f t="shared" si="49"/>
        <v>815410.98479420994</v>
      </c>
      <c r="N638" s="8">
        <f t="shared" si="50"/>
        <v>318000</v>
      </c>
      <c r="O638" s="8">
        <f>Dashboard!$C$15*(Dashboard!$C$16*EXP(-Dashboard!$C$16*A638)*E638-(1-EXP(-Dashboard!$C$16*A638))*Dashboard!$C$17/Dashboard!$C$19*E638*(1-E638))</f>
        <v>-5.7837189191952479E-3</v>
      </c>
      <c r="P638" s="8">
        <f>Dashboard!$C$9*B638*Dashboard!$C$11*(-Dashboard!$C$12*(1-F638)-O638)+2*Dashboard!$C$20*A638</f>
        <v>86962.487419791432</v>
      </c>
      <c r="Q638" s="8">
        <f>-P638-Dashboard!$C$13-Dashboard!$C$14</f>
        <v>-136962.48741979143</v>
      </c>
    </row>
    <row r="639" spans="1:17" x14ac:dyDescent="0.25">
      <c r="A639" s="5">
        <f>(639-2)/100</f>
        <v>6.37</v>
      </c>
      <c r="B639" s="5">
        <f>Dashboard!$C$10*EXP(-Dashboard!$C$12*A639)</f>
        <v>2.1516441558831419E-2</v>
      </c>
      <c r="C639" s="5">
        <f>Dashboard!$C$17*A639</f>
        <v>5096</v>
      </c>
      <c r="D639" s="5">
        <f>Dashboard!$C$15*(1-EXP(-Dashboard!$C$16*A639))</f>
        <v>0.76689740335922374</v>
      </c>
      <c r="E639" s="5">
        <f>1/(1+EXP(MIN(700,MAX(-700,(C639-Dashboard!$C$18)/Dashboard!$C$19))))</f>
        <v>5.7089207770233425E-3</v>
      </c>
      <c r="F639" s="5">
        <f t="shared" si="47"/>
        <v>4.378156519882723E-3</v>
      </c>
      <c r="G639" s="8">
        <f>Dashboard!$C$9*B639*Dashboard!$C$11*(1-F639)</f>
        <v>42844.478419871892</v>
      </c>
      <c r="H639" s="8">
        <f>Dashboard!$C$20*A639^2</f>
        <v>324615.2</v>
      </c>
      <c r="I639" s="8">
        <f t="shared" si="48"/>
        <v>367459.6784198719</v>
      </c>
      <c r="J639" s="8">
        <f>Dashboard!$C$13*A639</f>
        <v>127400</v>
      </c>
      <c r="K639" s="8">
        <f>Dashboard!$C$14*A639</f>
        <v>191100</v>
      </c>
      <c r="L639" s="8">
        <f>Dashboard!$C$21-K639</f>
        <v>1308900</v>
      </c>
      <c r="M639" s="8">
        <f t="shared" si="49"/>
        <v>814040.32158012805</v>
      </c>
      <c r="N639" s="8">
        <f t="shared" si="50"/>
        <v>318500</v>
      </c>
      <c r="O639" s="8">
        <f>Dashboard!$C$15*(Dashboard!$C$16*EXP(-Dashboard!$C$16*A639)*E639-(1-EXP(-Dashboard!$C$16*A639))*Dashboard!$C$17/Dashboard!$C$19*E639*(1-E639))</f>
        <v>-5.7097259106804309E-3</v>
      </c>
      <c r="P639" s="8">
        <f>Dashboard!$C$9*B639*Dashboard!$C$11*(-Dashboard!$C$12*(1-F639)-O639)+2*Dashboard!$C$20*A639</f>
        <v>87170.138520793043</v>
      </c>
      <c r="Q639" s="8">
        <f>-P639-Dashboard!$C$13-Dashboard!$C$14</f>
        <v>-137170.13852079306</v>
      </c>
    </row>
    <row r="640" spans="1:17" x14ac:dyDescent="0.25">
      <c r="A640" s="5">
        <f>(640-2)/100</f>
        <v>6.38</v>
      </c>
      <c r="B640" s="5">
        <f>Dashboard!$C$10*EXP(-Dashboard!$C$12*A640)</f>
        <v>2.1441265647961595E-2</v>
      </c>
      <c r="C640" s="5">
        <f>Dashboard!$C$17*A640</f>
        <v>5104</v>
      </c>
      <c r="D640" s="5">
        <f>Dashboard!$C$15*(1-EXP(-Dashboard!$C$16*A640))</f>
        <v>0.76706250324874592</v>
      </c>
      <c r="E640" s="5">
        <f>1/(1+EXP(MIN(700,MAX(-700,(C640-Dashboard!$C$18)/Dashboard!$C$19))))</f>
        <v>5.6337330326555269E-3</v>
      </c>
      <c r="F640" s="5">
        <f t="shared" si="47"/>
        <v>4.3214253626638974E-3</v>
      </c>
      <c r="G640" s="8">
        <f>Dashboard!$C$9*B640*Dashboard!$C$11*(1-F640)</f>
        <v>42697.217637565758</v>
      </c>
      <c r="H640" s="8">
        <f>Dashboard!$C$20*A640^2</f>
        <v>325635.20000000001</v>
      </c>
      <c r="I640" s="8">
        <f t="shared" si="48"/>
        <v>368332.41763756576</v>
      </c>
      <c r="J640" s="8">
        <f>Dashboard!$C$13*A640</f>
        <v>127600</v>
      </c>
      <c r="K640" s="8">
        <f>Dashboard!$C$14*A640</f>
        <v>191400</v>
      </c>
      <c r="L640" s="8">
        <f>Dashboard!$C$21-K640</f>
        <v>1308600</v>
      </c>
      <c r="M640" s="8">
        <f t="shared" si="49"/>
        <v>812667.58236243424</v>
      </c>
      <c r="N640" s="8">
        <f t="shared" si="50"/>
        <v>319000</v>
      </c>
      <c r="O640" s="8">
        <f>Dashboard!$C$15*(Dashboard!$C$16*EXP(-Dashboard!$C$16*A640)*E640-(1-EXP(-Dashboard!$C$16*A640))*Dashboard!$C$17/Dashboard!$C$19*E640*(1-E640))</f>
        <v>-5.6366589427365409E-3</v>
      </c>
      <c r="P640" s="8">
        <f>Dashboard!$C$9*B640*Dashboard!$C$11*(-Dashboard!$C$12*(1-F640)-O640)+2*Dashboard!$C$20*A640</f>
        <v>87377.688030368328</v>
      </c>
      <c r="Q640" s="8">
        <f>-P640-Dashboard!$C$13-Dashboard!$C$14</f>
        <v>-137377.68803036833</v>
      </c>
    </row>
    <row r="641" spans="1:17" x14ac:dyDescent="0.25">
      <c r="A641" s="5">
        <f>(641-2)/100</f>
        <v>6.39</v>
      </c>
      <c r="B641" s="5">
        <f>Dashboard!$C$10*EXP(-Dashboard!$C$12*A641)</f>
        <v>2.1366352392864076E-2</v>
      </c>
      <c r="C641" s="5">
        <f>Dashboard!$C$17*A641</f>
        <v>5112</v>
      </c>
      <c r="D641" s="5">
        <f>Dashboard!$C$15*(1-EXP(-Dashboard!$C$16*A641))</f>
        <v>0.76722677969913367</v>
      </c>
      <c r="E641" s="5">
        <f>1/(1+EXP(MIN(700,MAX(-700,(C641-Dashboard!$C$18)/Dashboard!$C$19))))</f>
        <v>5.5595299905717988E-3</v>
      </c>
      <c r="F641" s="5">
        <f t="shared" si="47"/>
        <v>4.2654202913071562E-3</v>
      </c>
      <c r="G641" s="8">
        <f>Dashboard!$C$9*B641*Dashboard!$C$11*(1-F641)</f>
        <v>42550.431839632663</v>
      </c>
      <c r="H641" s="8">
        <f>Dashboard!$C$20*A641^2</f>
        <v>326656.8</v>
      </c>
      <c r="I641" s="8">
        <f t="shared" si="48"/>
        <v>369207.23183963267</v>
      </c>
      <c r="J641" s="8">
        <f>Dashboard!$C$13*A641</f>
        <v>127800</v>
      </c>
      <c r="K641" s="8">
        <f>Dashboard!$C$14*A641</f>
        <v>191700</v>
      </c>
      <c r="L641" s="8">
        <f>Dashboard!$C$21-K641</f>
        <v>1308300</v>
      </c>
      <c r="M641" s="8">
        <f t="shared" si="49"/>
        <v>811292.76816036738</v>
      </c>
      <c r="N641" s="8">
        <f t="shared" si="50"/>
        <v>319500</v>
      </c>
      <c r="O641" s="8">
        <f>Dashboard!$C$15*(Dashboard!$C$16*EXP(-Dashboard!$C$16*A641)*E641-(1-EXP(-Dashboard!$C$16*A641))*Dashboard!$C$17/Dashboard!$C$19*E641*(1-E641))</f>
        <v>-5.56450689512518E-3</v>
      </c>
      <c r="P641" s="8">
        <f>Dashboard!$C$9*B641*Dashboard!$C$11*(-Dashboard!$C$12*(1-F641)-O641)+2*Dashboard!$C$20*A641</f>
        <v>87585.135286556091</v>
      </c>
      <c r="Q641" s="8">
        <f>-P641-Dashboard!$C$13-Dashboard!$C$14</f>
        <v>-137585.13528655609</v>
      </c>
    </row>
    <row r="642" spans="1:17" x14ac:dyDescent="0.25">
      <c r="A642" s="5">
        <f>(642-2)/100</f>
        <v>6.4</v>
      </c>
      <c r="B642" s="5">
        <f>Dashboard!$C$10*EXP(-Dashboard!$C$12*A642)</f>
        <v>2.1291700875850569E-2</v>
      </c>
      <c r="C642" s="5">
        <f>Dashboard!$C$17*A642</f>
        <v>5120</v>
      </c>
      <c r="D642" s="5">
        <f>Dashboard!$C$15*(1-EXP(-Dashboard!$C$16*A642))</f>
        <v>0.76739023681730711</v>
      </c>
      <c r="E642" s="5">
        <f>1/(1+EXP(MIN(700,MAX(-700,(C642-Dashboard!$C$18)/Dashboard!$C$19))))</f>
        <v>5.4862988994504036E-3</v>
      </c>
      <c r="F642" s="5">
        <f t="shared" si="47"/>
        <v>4.2101322116997767E-3</v>
      </c>
      <c r="G642" s="8">
        <f>Dashboard!$C$9*B642*Dashboard!$C$11*(1-F642)</f>
        <v>42404.120000302551</v>
      </c>
      <c r="H642" s="8">
        <f>Dashboard!$C$20*A642^2</f>
        <v>327680.00000000006</v>
      </c>
      <c r="I642" s="8">
        <f t="shared" si="48"/>
        <v>370084.12000030262</v>
      </c>
      <c r="J642" s="8">
        <f>Dashboard!$C$13*A642</f>
        <v>128000</v>
      </c>
      <c r="K642" s="8">
        <f>Dashboard!$C$14*A642</f>
        <v>192000</v>
      </c>
      <c r="L642" s="8">
        <f>Dashboard!$C$21-K642</f>
        <v>1308000</v>
      </c>
      <c r="M642" s="8">
        <f t="shared" si="49"/>
        <v>809915.87999969744</v>
      </c>
      <c r="N642" s="8">
        <f t="shared" si="50"/>
        <v>320000</v>
      </c>
      <c r="O642" s="8">
        <f>Dashboard!$C$15*(Dashboard!$C$16*EXP(-Dashboard!$C$16*A642)*E642-(1-EXP(-Dashboard!$C$16*A642))*Dashboard!$C$17/Dashboard!$C$19*E642*(1-E642))</f>
        <v>-5.4932587700433086E-3</v>
      </c>
      <c r="P642" s="8">
        <f>Dashboard!$C$9*B642*Dashboard!$C$11*(-Dashboard!$C$12*(1-F642)-O642)+2*Dashboard!$C$20*A642</f>
        <v>87792.479645024912</v>
      </c>
      <c r="Q642" s="8">
        <f>-P642-Dashboard!$C$13-Dashboard!$C$14</f>
        <v>-137792.47964502493</v>
      </c>
    </row>
    <row r="643" spans="1:17" x14ac:dyDescent="0.25">
      <c r="A643" s="5">
        <f>(643-2)/100</f>
        <v>6.41</v>
      </c>
      <c r="B643" s="5">
        <f>Dashboard!$C$10*EXP(-Dashboard!$C$12*A643)</f>
        <v>2.1217310182439043E-2</v>
      </c>
      <c r="C643" s="5">
        <f>Dashboard!$C$17*A643</f>
        <v>5128</v>
      </c>
      <c r="D643" s="5">
        <f>Dashboard!$C$15*(1-EXP(-Dashboard!$C$16*A643))</f>
        <v>0.76755287868970246</v>
      </c>
      <c r="E643" s="5">
        <f>1/(1+EXP(MIN(700,MAX(-700,(C643-Dashboard!$C$18)/Dashboard!$C$19))))</f>
        <v>5.4140271692985475E-3</v>
      </c>
      <c r="F643" s="5">
        <f t="shared" si="47"/>
        <v>4.1555521390993612E-3</v>
      </c>
      <c r="G643" s="8">
        <f>Dashboard!$C$9*B643*Dashboard!$C$11*(1-F643)</f>
        <v>42258.281087448951</v>
      </c>
      <c r="H643" s="8">
        <f>Dashboard!$C$20*A643^2</f>
        <v>328704.80000000005</v>
      </c>
      <c r="I643" s="8">
        <f t="shared" si="48"/>
        <v>370963.08108744898</v>
      </c>
      <c r="J643" s="8">
        <f>Dashboard!$C$13*A643</f>
        <v>128200</v>
      </c>
      <c r="K643" s="8">
        <f>Dashboard!$C$14*A643</f>
        <v>192300</v>
      </c>
      <c r="L643" s="8">
        <f>Dashboard!$C$21-K643</f>
        <v>1307700</v>
      </c>
      <c r="M643" s="8">
        <f t="shared" si="49"/>
        <v>808536.91891255102</v>
      </c>
      <c r="N643" s="8">
        <f t="shared" si="50"/>
        <v>320500</v>
      </c>
      <c r="O643" s="8">
        <f>Dashboard!$C$15*(Dashboard!$C$16*EXP(-Dashboard!$C$16*A643)*E643-(1-EXP(-Dashboard!$C$16*A643))*Dashboard!$C$17/Dashboard!$C$19*E643*(1-E643))</f>
        <v>-5.4229036910500503E-3</v>
      </c>
      <c r="P643" s="8">
        <f>Dashboard!$C$9*B643*Dashboard!$C$11*(-Dashboard!$C$12*(1-F643)-O643)+2*Dashboard!$C$20*A643</f>
        <v>87999.72047879787</v>
      </c>
      <c r="Q643" s="8">
        <f>-P643-Dashboard!$C$13-Dashboard!$C$14</f>
        <v>-137999.72047879786</v>
      </c>
    </row>
    <row r="644" spans="1:17" x14ac:dyDescent="0.25">
      <c r="A644" s="5">
        <f>(644-2)/100</f>
        <v>6.42</v>
      </c>
      <c r="B644" s="5">
        <f>Dashboard!$C$10*EXP(-Dashboard!$C$12*A644)</f>
        <v>2.1143179401342582E-2</v>
      </c>
      <c r="C644" s="5">
        <f>Dashboard!$C$17*A644</f>
        <v>5136</v>
      </c>
      <c r="D644" s="5">
        <f>Dashboard!$C$15*(1-EXP(-Dashboard!$C$16*A644))</f>
        <v>0.76771470938237518</v>
      </c>
      <c r="E644" s="5">
        <f>1/(1+EXP(MIN(700,MAX(-700,(C644-Dashboard!$C$18)/Dashboard!$C$19))))</f>
        <v>5.3427023695108667E-3</v>
      </c>
      <c r="F644" s="5">
        <f t="shared" si="47"/>
        <v>4.1016711969255621E-3</v>
      </c>
      <c r="G644" s="8">
        <f>Dashboard!$C$9*B644*Dashboard!$C$11*(1-F644)</f>
        <v>42112.914062761331</v>
      </c>
      <c r="H644" s="8">
        <f>Dashboard!$C$20*A644^2</f>
        <v>329731.20000000001</v>
      </c>
      <c r="I644" s="8">
        <f t="shared" si="48"/>
        <v>371844.11406276136</v>
      </c>
      <c r="J644" s="8">
        <f>Dashboard!$C$13*A644</f>
        <v>128400</v>
      </c>
      <c r="K644" s="8">
        <f>Dashboard!$C$14*A644</f>
        <v>192600</v>
      </c>
      <c r="L644" s="8">
        <f>Dashboard!$C$21-K644</f>
        <v>1307400</v>
      </c>
      <c r="M644" s="8">
        <f t="shared" si="49"/>
        <v>807155.88593723858</v>
      </c>
      <c r="N644" s="8">
        <f t="shared" si="50"/>
        <v>321000</v>
      </c>
      <c r="O644" s="8">
        <f>Dashboard!$C$15*(Dashboard!$C$16*EXP(-Dashboard!$C$16*A644)*E644-(1-EXP(-Dashboard!$C$16*A644))*Dashboard!$C$17/Dashboard!$C$19*E644*(1-E644))</f>
        <v>-5.3534309019954924E-3</v>
      </c>
      <c r="P644" s="8">
        <f>Dashboard!$C$9*B644*Dashboard!$C$11*(-Dashboard!$C$12*(1-F644)-O644)+2*Dashboard!$C$20*A644</f>
        <v>88206.857177980695</v>
      </c>
      <c r="Q644" s="8">
        <f>-P644-Dashboard!$C$13-Dashboard!$C$14</f>
        <v>-138206.85717798071</v>
      </c>
    </row>
    <row r="645" spans="1:17" x14ac:dyDescent="0.25">
      <c r="A645" s="5">
        <f>(645-2)/100</f>
        <v>6.43</v>
      </c>
      <c r="B645" s="5">
        <f>Dashboard!$C$10*EXP(-Dashboard!$C$12*A645)</f>
        <v>2.1069307624458192E-2</v>
      </c>
      <c r="C645" s="5">
        <f>Dashboard!$C$17*A645</f>
        <v>5144</v>
      </c>
      <c r="D645" s="5">
        <f>Dashboard!$C$15*(1-EXP(-Dashboard!$C$16*A645))</f>
        <v>0.76787573294110079</v>
      </c>
      <c r="E645" s="5">
        <f>1/(1+EXP(MIN(700,MAX(-700,(C645-Dashboard!$C$18)/Dashboard!$C$19))))</f>
        <v>5.2723122269486746E-3</v>
      </c>
      <c r="F645" s="5">
        <f t="shared" si="47"/>
        <v>4.0484806155625412E-3</v>
      </c>
      <c r="G645" s="8">
        <f>Dashboard!$C$9*B645*Dashboard!$C$11*(1-F645)</f>
        <v>41968.0178819145</v>
      </c>
      <c r="H645" s="8">
        <f>Dashboard!$C$20*A645^2</f>
        <v>330759.19999999995</v>
      </c>
      <c r="I645" s="8">
        <f t="shared" si="48"/>
        <v>372727.21788191446</v>
      </c>
      <c r="J645" s="8">
        <f>Dashboard!$C$13*A645</f>
        <v>128600</v>
      </c>
      <c r="K645" s="8">
        <f>Dashboard!$C$14*A645</f>
        <v>192900</v>
      </c>
      <c r="L645" s="8">
        <f>Dashboard!$C$21-K645</f>
        <v>1307100</v>
      </c>
      <c r="M645" s="8">
        <f t="shared" si="49"/>
        <v>805772.78211808554</v>
      </c>
      <c r="N645" s="8">
        <f t="shared" si="50"/>
        <v>321500</v>
      </c>
      <c r="O645" s="8">
        <f>Dashboard!$C$15*(Dashboard!$C$16*EXP(-Dashboard!$C$16*A645)*E645-(1-EXP(-Dashboard!$C$16*A645))*Dashboard!$C$17/Dashboard!$C$19*E645*(1-E645))</f>
        <v>-5.2848297659518623E-3</v>
      </c>
      <c r="P645" s="8">
        <f>Dashboard!$C$9*B645*Dashboard!$C$11*(-Dashboard!$C$12*(1-F645)-O645)+2*Dashboard!$C$20*A645</f>
        <v>88413.889149493392</v>
      </c>
      <c r="Q645" s="8">
        <f>-P645-Dashboard!$C$13-Dashboard!$C$14</f>
        <v>-138413.88914949339</v>
      </c>
    </row>
    <row r="646" spans="1:17" x14ac:dyDescent="0.25">
      <c r="A646" s="5">
        <f>(646-2)/100</f>
        <v>6.44</v>
      </c>
      <c r="B646" s="5">
        <f>Dashboard!$C$10*EXP(-Dashboard!$C$12*A646)</f>
        <v>2.099569394685567E-2</v>
      </c>
      <c r="C646" s="5">
        <f>Dashboard!$C$17*A646</f>
        <v>5152</v>
      </c>
      <c r="D646" s="5">
        <f>Dashboard!$C$15*(1-EXP(-Dashboard!$C$16*A646))</f>
        <v>0.7680359533914769</v>
      </c>
      <c r="E646" s="5">
        <f>1/(1+EXP(MIN(700,MAX(-700,(C646-Dashboard!$C$18)/Dashboard!$C$19))))</f>
        <v>5.2028446240397278E-3</v>
      </c>
      <c r="F646" s="5">
        <f t="shared" si="47"/>
        <v>3.9959717311720726E-3</v>
      </c>
      <c r="G646" s="8">
        <f>Dashboard!$C$9*B646*Dashboard!$C$11*(1-F646)</f>
        <v>41823.591494735389</v>
      </c>
      <c r="H646" s="8">
        <f>Dashboard!$C$20*A646^2</f>
        <v>331788.80000000005</v>
      </c>
      <c r="I646" s="8">
        <f t="shared" si="48"/>
        <v>373612.39149473544</v>
      </c>
      <c r="J646" s="8">
        <f>Dashboard!$C$13*A646</f>
        <v>128800.00000000001</v>
      </c>
      <c r="K646" s="8">
        <f>Dashboard!$C$14*A646</f>
        <v>193200</v>
      </c>
      <c r="L646" s="8">
        <f>Dashboard!$C$21-K646</f>
        <v>1306800</v>
      </c>
      <c r="M646" s="8">
        <f t="shared" si="49"/>
        <v>804387.60850526462</v>
      </c>
      <c r="N646" s="8">
        <f t="shared" si="50"/>
        <v>322000</v>
      </c>
      <c r="O646" s="8">
        <f>Dashboard!$C$15*(Dashboard!$C$16*EXP(-Dashboard!$C$16*A646)*E646-(1-EXP(-Dashboard!$C$16*A646))*Dashboard!$C$17/Dashboard!$C$19*E646*(1-E646))</f>
        <v>-5.2170897641471174E-3</v>
      </c>
      <c r="P646" s="8">
        <f>Dashboard!$C$9*B646*Dashboard!$C$11*(-Dashboard!$C$12*(1-F646)-O646)+2*Dashboard!$C$20*A646</f>
        <v>88620.815816805232</v>
      </c>
      <c r="Q646" s="8">
        <f>-P646-Dashboard!$C$13-Dashboard!$C$14</f>
        <v>-138620.81581680523</v>
      </c>
    </row>
    <row r="647" spans="1:17" x14ac:dyDescent="0.25">
      <c r="A647" s="5">
        <f>(647-2)/100</f>
        <v>6.45</v>
      </c>
      <c r="B647" s="5">
        <f>Dashboard!$C$10*EXP(-Dashboard!$C$12*A647)</f>
        <v>2.0922337466766559E-2</v>
      </c>
      <c r="C647" s="5">
        <f>Dashboard!$C$17*A647</f>
        <v>5160</v>
      </c>
      <c r="D647" s="5">
        <f>Dashboard!$C$15*(1-EXP(-Dashboard!$C$16*A647))</f>
        <v>0.768195374739023</v>
      </c>
      <c r="E647" s="5">
        <f>1/(1+EXP(MIN(700,MAX(-700,(C647-Dashboard!$C$18)/Dashboard!$C$19))))</f>
        <v>5.1342875968984148E-3</v>
      </c>
      <c r="F647" s="5">
        <f t="shared" si="47"/>
        <v>3.9441359845172955E-3</v>
      </c>
      <c r="G647" s="8">
        <f>Dashboard!$C$9*B647*Dashboard!$C$11*(1-F647)</f>
        <v>41679.633845367345</v>
      </c>
      <c r="H647" s="8">
        <f>Dashboard!$C$20*A647^2</f>
        <v>332820</v>
      </c>
      <c r="I647" s="8">
        <f t="shared" si="48"/>
        <v>374499.63384536735</v>
      </c>
      <c r="J647" s="8">
        <f>Dashboard!$C$13*A647</f>
        <v>129000</v>
      </c>
      <c r="K647" s="8">
        <f>Dashboard!$C$14*A647</f>
        <v>193500</v>
      </c>
      <c r="L647" s="8">
        <f>Dashboard!$C$21-K647</f>
        <v>1306500</v>
      </c>
      <c r="M647" s="8">
        <f t="shared" si="49"/>
        <v>803000.36615463265</v>
      </c>
      <c r="N647" s="8">
        <f t="shared" si="50"/>
        <v>322500</v>
      </c>
      <c r="O647" s="8">
        <f>Dashboard!$C$15*(Dashboard!$C$16*EXP(-Dashboard!$C$16*A647)*E647-(1-EXP(-Dashboard!$C$16*A647))*Dashboard!$C$17/Dashboard!$C$19*E647*(1-E647))</f>
        <v>-5.1502004949012916E-3</v>
      </c>
      <c r="P647" s="8">
        <f>Dashboard!$C$9*B647*Dashboard!$C$11*(-Dashboard!$C$12*(1-F647)-O647)+2*Dashboard!$C$20*A647</f>
        <v>88827.636619673096</v>
      </c>
      <c r="Q647" s="8">
        <f>-P647-Dashboard!$C$13-Dashboard!$C$14</f>
        <v>-138827.63661967311</v>
      </c>
    </row>
    <row r="648" spans="1:17" x14ac:dyDescent="0.25">
      <c r="A648" s="5">
        <f>(648-2)/100</f>
        <v>6.46</v>
      </c>
      <c r="B648" s="5">
        <f>Dashboard!$C$10*EXP(-Dashboard!$C$12*A648)</f>
        <v>2.0849237285573054E-2</v>
      </c>
      <c r="C648" s="5">
        <f>Dashboard!$C$17*A648</f>
        <v>5168</v>
      </c>
      <c r="D648" s="5">
        <f>Dashboard!$C$15*(1-EXP(-Dashboard!$C$16*A648))</f>
        <v>0.76835400096928108</v>
      </c>
      <c r="E648" s="5">
        <f>1/(1+EXP(MIN(700,MAX(-700,(C648-Dashboard!$C$18)/Dashboard!$C$19))))</f>
        <v>5.0666293334662542E-3</v>
      </c>
      <c r="F648" s="5">
        <f t="shared" si="47"/>
        <v>3.8929649197971183E-3</v>
      </c>
      <c r="G648" s="8">
        <f>Dashboard!$C$9*B648*Dashboard!$C$11*(1-F648)</f>
        <v>41536.143872431589</v>
      </c>
      <c r="H648" s="8">
        <f>Dashboard!$C$20*A648^2</f>
        <v>333852.79999999999</v>
      </c>
      <c r="I648" s="8">
        <f t="shared" si="48"/>
        <v>375388.94387243158</v>
      </c>
      <c r="J648" s="8">
        <f>Dashboard!$C$13*A648</f>
        <v>129200</v>
      </c>
      <c r="K648" s="8">
        <f>Dashboard!$C$14*A648</f>
        <v>193800</v>
      </c>
      <c r="L648" s="8">
        <f>Dashboard!$C$21-K648</f>
        <v>1306200</v>
      </c>
      <c r="M648" s="8">
        <f t="shared" si="49"/>
        <v>801611.05612756847</v>
      </c>
      <c r="N648" s="8">
        <f t="shared" si="50"/>
        <v>323000</v>
      </c>
      <c r="O648" s="8">
        <f>Dashboard!$C$15*(Dashboard!$C$16*EXP(-Dashboard!$C$16*A648)*E648-(1-EXP(-Dashboard!$C$16*A648))*Dashboard!$C$17/Dashboard!$C$19*E648*(1-E648))</f>
        <v>-5.0841516725658158E-3</v>
      </c>
      <c r="P648" s="8">
        <f>Dashboard!$C$9*B648*Dashboard!$C$11*(-Dashboard!$C$12*(1-F648)-O648)+2*Dashboard!$C$20*A648</f>
        <v>89034.351013883279</v>
      </c>
      <c r="Q648" s="8">
        <f>-P648-Dashboard!$C$13-Dashboard!$C$14</f>
        <v>-139034.35101388328</v>
      </c>
    </row>
    <row r="649" spans="1:17" x14ac:dyDescent="0.25">
      <c r="A649" s="5">
        <f>(649-2)/100</f>
        <v>6.47</v>
      </c>
      <c r="B649" s="5">
        <f>Dashboard!$C$10*EXP(-Dashboard!$C$12*A649)</f>
        <v>2.0776392507797014E-2</v>
      </c>
      <c r="C649" s="5">
        <f>Dashboard!$C$17*A649</f>
        <v>5176</v>
      </c>
      <c r="D649" s="5">
        <f>Dashboard!$C$15*(1-EXP(-Dashboard!$C$16*A649))</f>
        <v>0.76851183604791506</v>
      </c>
      <c r="E649" s="5">
        <f>1/(1+EXP(MIN(700,MAX(-700,(C649-Dashboard!$C$18)/Dashboard!$C$19))))</f>
        <v>4.9998581716724751E-3</v>
      </c>
      <c r="F649" s="5">
        <f t="shared" si="47"/>
        <v>3.8424501834911856E-3</v>
      </c>
      <c r="G649" s="8">
        <f>Dashboard!$C$9*B649*Dashboard!$C$11*(1-F649)</f>
        <v>41393.120509186294</v>
      </c>
      <c r="H649" s="8">
        <f>Dashboard!$C$20*A649^2</f>
        <v>334887.19999999995</v>
      </c>
      <c r="I649" s="8">
        <f t="shared" si="48"/>
        <v>376280.32050918625</v>
      </c>
      <c r="J649" s="8">
        <f>Dashboard!$C$13*A649</f>
        <v>129400</v>
      </c>
      <c r="K649" s="8">
        <f>Dashboard!$C$14*A649</f>
        <v>194100</v>
      </c>
      <c r="L649" s="8">
        <f>Dashboard!$C$21-K649</f>
        <v>1305900</v>
      </c>
      <c r="M649" s="8">
        <f t="shared" si="49"/>
        <v>800219.67949081375</v>
      </c>
      <c r="N649" s="8">
        <f t="shared" si="50"/>
        <v>323500</v>
      </c>
      <c r="O649" s="8">
        <f>Dashboard!$C$15*(Dashboard!$C$16*EXP(-Dashboard!$C$16*A649)*E649-(1-EXP(-Dashboard!$C$16*A649))*Dashboard!$C$17/Dashboard!$C$19*E649*(1-E649))</f>
        <v>-5.0189331264659529E-3</v>
      </c>
      <c r="P649" s="8">
        <f>Dashboard!$C$9*B649*Dashboard!$C$11*(-Dashboard!$C$12*(1-F649)-O649)+2*Dashboard!$C$20*A649</f>
        <v>89240.958470996484</v>
      </c>
      <c r="Q649" s="8">
        <f>-P649-Dashboard!$C$13-Dashboard!$C$14</f>
        <v>-139240.95847099647</v>
      </c>
    </row>
    <row r="650" spans="1:17" x14ac:dyDescent="0.25">
      <c r="A650" s="5">
        <f>(650-2)/100</f>
        <v>6.48</v>
      </c>
      <c r="B650" s="5">
        <f>Dashboard!$C$10*EXP(-Dashboard!$C$12*A650)</f>
        <v>2.0703802241089014E-2</v>
      </c>
      <c r="C650" s="5">
        <f>Dashboard!$C$17*A650</f>
        <v>5184</v>
      </c>
      <c r="D650" s="5">
        <f>Dashboard!$C$15*(1-EXP(-Dashboard!$C$16*A650))</f>
        <v>0.76866888392081034</v>
      </c>
      <c r="E650" s="5">
        <f>1/(1+EXP(MIN(700,MAX(-700,(C650-Dashboard!$C$18)/Dashboard!$C$19))))</f>
        <v>4.9339625976145595E-3</v>
      </c>
      <c r="F650" s="5">
        <f t="shared" si="47"/>
        <v>3.7925835232154059E-3</v>
      </c>
      <c r="G650" s="8">
        <f>Dashboard!$C$9*B650*Dashboard!$C$11*(1-F650)</f>
        <v>41250.5626836831</v>
      </c>
      <c r="H650" s="8">
        <f>Dashboard!$C$20*A650^2</f>
        <v>335923.20000000007</v>
      </c>
      <c r="I650" s="8">
        <f t="shared" si="48"/>
        <v>377173.76268368319</v>
      </c>
      <c r="J650" s="8">
        <f>Dashboard!$C$13*A650</f>
        <v>129600.00000000001</v>
      </c>
      <c r="K650" s="8">
        <f>Dashboard!$C$14*A650</f>
        <v>194400</v>
      </c>
      <c r="L650" s="8">
        <f>Dashboard!$C$21-K650</f>
        <v>1305600</v>
      </c>
      <c r="M650" s="8">
        <f t="shared" si="49"/>
        <v>798826.23731631681</v>
      </c>
      <c r="N650" s="8">
        <f t="shared" si="50"/>
        <v>324000</v>
      </c>
      <c r="O650" s="8">
        <f>Dashboard!$C$15*(Dashboard!$C$16*EXP(-Dashboard!$C$16*A650)*E650-(1-EXP(-Dashboard!$C$16*A650))*Dashboard!$C$17/Dashboard!$C$19*E650*(1-E650))</f>
        <v>-4.9545347998465883E-3</v>
      </c>
      <c r="P650" s="8">
        <f>Dashboard!$C$9*B650*Dashboard!$C$11*(-Dashboard!$C$12*(1-F650)-O650)+2*Dashboard!$C$20*A650</f>
        <v>89447.458478096145</v>
      </c>
      <c r="Q650" s="8">
        <f>-P650-Dashboard!$C$13-Dashboard!$C$14</f>
        <v>-139447.45847809614</v>
      </c>
    </row>
    <row r="651" spans="1:17" x14ac:dyDescent="0.25">
      <c r="A651" s="5">
        <f>(651-2)/100</f>
        <v>6.49</v>
      </c>
      <c r="B651" s="5">
        <f>Dashboard!$C$10*EXP(-Dashboard!$C$12*A651)</f>
        <v>2.0631465596217365E-2</v>
      </c>
      <c r="C651" s="5">
        <f>Dashboard!$C$17*A651</f>
        <v>5192</v>
      </c>
      <c r="D651" s="5">
        <f>Dashboard!$C$15*(1-EXP(-Dashboard!$C$16*A651))</f>
        <v>0.76882514851417183</v>
      </c>
      <c r="E651" s="5">
        <f>1/(1+EXP(MIN(700,MAX(-700,(C651-Dashboard!$C$18)/Dashboard!$C$19))))</f>
        <v>4.8689312437586408E-3</v>
      </c>
      <c r="F651" s="5">
        <f t="shared" si="47"/>
        <v>3.7433567865880284E-3</v>
      </c>
      <c r="G651" s="8">
        <f>Dashboard!$C$9*B651*Dashboard!$C$11*(1-F651)</f>
        <v>41108.469318921023</v>
      </c>
      <c r="H651" s="8">
        <f>Dashboard!$C$20*A651^2</f>
        <v>336960.8</v>
      </c>
      <c r="I651" s="8">
        <f t="shared" si="48"/>
        <v>378069.26931892103</v>
      </c>
      <c r="J651" s="8">
        <f>Dashboard!$C$13*A651</f>
        <v>129800</v>
      </c>
      <c r="K651" s="8">
        <f>Dashboard!$C$14*A651</f>
        <v>194700</v>
      </c>
      <c r="L651" s="8">
        <f>Dashboard!$C$21-K651</f>
        <v>1305300</v>
      </c>
      <c r="M651" s="8">
        <f t="shared" si="49"/>
        <v>797430.73068107897</v>
      </c>
      <c r="N651" s="8">
        <f t="shared" si="50"/>
        <v>324500</v>
      </c>
      <c r="O651" s="8">
        <f>Dashboard!$C$15*(Dashboard!$C$16*EXP(-Dashboard!$C$16*A651)*E651-(1-EXP(-Dashboard!$C$16*A651))*Dashboard!$C$17/Dashboard!$C$19*E651*(1-E651))</f>
        <v>-4.89094674882159E-3</v>
      </c>
      <c r="P651" s="8">
        <f>Dashboard!$C$9*B651*Dashboard!$C$11*(-Dashboard!$C$12*(1-F651)-O651)+2*Dashboard!$C$20*A651</f>
        <v>89653.850537540129</v>
      </c>
      <c r="Q651" s="8">
        <f>-P651-Dashboard!$C$13-Dashboard!$C$14</f>
        <v>-139653.85053754013</v>
      </c>
    </row>
    <row r="652" spans="1:17" x14ac:dyDescent="0.25">
      <c r="A652" s="5">
        <f>(652-2)/100</f>
        <v>6.5</v>
      </c>
      <c r="B652" s="5">
        <f>Dashboard!$C$10*EXP(-Dashboard!$C$12*A652)</f>
        <v>2.0559381687057281E-2</v>
      </c>
      <c r="C652" s="5">
        <f>Dashboard!$C$17*A652</f>
        <v>5200</v>
      </c>
      <c r="D652" s="5">
        <f>Dashboard!$C$15*(1-EXP(-Dashboard!$C$16*A652))</f>
        <v>0.76898063373462244</v>
      </c>
      <c r="E652" s="5">
        <f>1/(1+EXP(MIN(700,MAX(-700,(C652-Dashboard!$C$18)/Dashboard!$C$19))))</f>
        <v>4.8047528871595184E-3</v>
      </c>
      <c r="F652" s="5">
        <f t="shared" si="47"/>
        <v>3.6947619201061835E-3</v>
      </c>
      <c r="G652" s="8">
        <f>Dashboard!$C$9*B652*Dashboard!$C$11*(1-F652)</f>
        <v>40966.839332998024</v>
      </c>
      <c r="H652" s="8">
        <f>Dashboard!$C$20*A652^2</f>
        <v>338000</v>
      </c>
      <c r="I652" s="8">
        <f t="shared" si="48"/>
        <v>378966.83933299803</v>
      </c>
      <c r="J652" s="8">
        <f>Dashboard!$C$13*A652</f>
        <v>130000</v>
      </c>
      <c r="K652" s="8">
        <f>Dashboard!$C$14*A652</f>
        <v>195000</v>
      </c>
      <c r="L652" s="8">
        <f>Dashboard!$C$21-K652</f>
        <v>1305000</v>
      </c>
      <c r="M652" s="8">
        <f t="shared" si="49"/>
        <v>796033.16066700197</v>
      </c>
      <c r="N652" s="8">
        <f t="shared" si="50"/>
        <v>325000</v>
      </c>
      <c r="O652" s="8">
        <f>Dashboard!$C$15*(Dashboard!$C$16*EXP(-Dashboard!$C$16*A652)*E652-(1-EXP(-Dashboard!$C$16*A652))*Dashboard!$C$17/Dashboard!$C$19*E652*(1-E652))</f>
        <v>-4.8281591413268654E-3</v>
      </c>
      <c r="P652" s="8">
        <f>Dashboard!$C$9*B652*Dashboard!$C$11*(-Dashboard!$C$12*(1-F652)-O652)+2*Dashboard!$C$20*A652</f>
        <v>89860.134166715477</v>
      </c>
      <c r="Q652" s="8">
        <f>-P652-Dashboard!$C$13-Dashboard!$C$14</f>
        <v>-139860.13416671549</v>
      </c>
    </row>
    <row r="653" spans="1:17" x14ac:dyDescent="0.25">
      <c r="A653" s="5">
        <f>(653-2)/100</f>
        <v>6.51</v>
      </c>
      <c r="B653" s="5">
        <f>Dashboard!$C$10*EXP(-Dashboard!$C$12*A653)</f>
        <v>2.0487549630579961E-2</v>
      </c>
      <c r="C653" s="5">
        <f>Dashboard!$C$17*A653</f>
        <v>5208</v>
      </c>
      <c r="D653" s="5">
        <f>Dashboard!$C$15*(1-EXP(-Dashboard!$C$16*A653))</f>
        <v>0.7691353434693009</v>
      </c>
      <c r="E653" s="5">
        <f>1/(1+EXP(MIN(700,MAX(-700,(C653-Dashboard!$C$18)/Dashboard!$C$19))))</f>
        <v>4.7414164477001773E-3</v>
      </c>
      <c r="F653" s="5">
        <f t="shared" si="47"/>
        <v>3.6467909680328683E-3</v>
      </c>
      <c r="G653" s="8">
        <f>Dashboard!$C$9*B653*Dashboard!$C$11*(1-F653)</f>
        <v>40825.671639260072</v>
      </c>
      <c r="H653" s="8">
        <f>Dashboard!$C$20*A653^2</f>
        <v>339040.8</v>
      </c>
      <c r="I653" s="8">
        <f t="shared" si="48"/>
        <v>379866.47163926007</v>
      </c>
      <c r="J653" s="8">
        <f>Dashboard!$C$13*A653</f>
        <v>130200</v>
      </c>
      <c r="K653" s="8">
        <f>Dashboard!$C$14*A653</f>
        <v>195300</v>
      </c>
      <c r="L653" s="8">
        <f>Dashboard!$C$21-K653</f>
        <v>1304700</v>
      </c>
      <c r="M653" s="8">
        <f t="shared" si="49"/>
        <v>794633.52836073993</v>
      </c>
      <c r="N653" s="8">
        <f t="shared" si="50"/>
        <v>325500</v>
      </c>
      <c r="O653" s="8">
        <f>Dashboard!$C$15*(Dashboard!$C$16*EXP(-Dashboard!$C$16*A653)*E653-(1-EXP(-Dashboard!$C$16*A653))*Dashboard!$C$17/Dashboard!$C$19*E653*(1-E653))</f>
        <v>-4.766162256077313E-3</v>
      </c>
      <c r="P653" s="8">
        <f>Dashboard!$C$9*B653*Dashboard!$C$11*(-Dashboard!$C$12*(1-F653)-O653)+2*Dashboard!$C$20*A653</f>
        <v>90066.308897796538</v>
      </c>
      <c r="Q653" s="8">
        <f>-P653-Dashboard!$C$13-Dashboard!$C$14</f>
        <v>-140066.30889779655</v>
      </c>
    </row>
    <row r="654" spans="1:17" x14ac:dyDescent="0.25">
      <c r="A654" s="5">
        <f>(654-2)/100</f>
        <v>6.52</v>
      </c>
      <c r="B654" s="5">
        <f>Dashboard!$C$10*EXP(-Dashboard!$C$12*A654)</f>
        <v>2.0415968546841818E-2</v>
      </c>
      <c r="C654" s="5">
        <f>Dashboard!$C$17*A654</f>
        <v>5216</v>
      </c>
      <c r="D654" s="5">
        <f>Dashboard!$C$15*(1-EXP(-Dashboard!$C$16*A654))</f>
        <v>0.76928928158595833</v>
      </c>
      <c r="E654" s="5">
        <f>1/(1+EXP(MIN(700,MAX(-700,(C654-Dashboard!$C$18)/Dashboard!$C$19))))</f>
        <v>4.6789109863507013E-3</v>
      </c>
      <c r="F654" s="5">
        <f t="shared" si="47"/>
        <v>3.5994360712943785E-3</v>
      </c>
      <c r="G654" s="8">
        <f>Dashboard!$C$9*B654*Dashboard!$C$11*(1-F654)</f>
        <v>40684.965146447808</v>
      </c>
      <c r="H654" s="8">
        <f>Dashboard!$C$20*A654^2</f>
        <v>340083.19999999995</v>
      </c>
      <c r="I654" s="8">
        <f t="shared" si="48"/>
        <v>380768.16514644778</v>
      </c>
      <c r="J654" s="8">
        <f>Dashboard!$C$13*A654</f>
        <v>130399.99999999999</v>
      </c>
      <c r="K654" s="8">
        <f>Dashboard!$C$14*A654</f>
        <v>195600</v>
      </c>
      <c r="L654" s="8">
        <f>Dashboard!$C$21-K654</f>
        <v>1304400</v>
      </c>
      <c r="M654" s="8">
        <f t="shared" si="49"/>
        <v>793231.83485355228</v>
      </c>
      <c r="N654" s="8">
        <f t="shared" si="50"/>
        <v>326000</v>
      </c>
      <c r="O654" s="8">
        <f>Dashboard!$C$15*(Dashboard!$C$16*EXP(-Dashboard!$C$16*A654)*E654-(1-EXP(-Dashboard!$C$16*A654))*Dashboard!$C$17/Dashboard!$C$19*E654*(1-E654))</f>
        <v>-4.7049464815278859E-3</v>
      </c>
      <c r="P654" s="8">
        <f>Dashboard!$C$9*B654*Dashboard!$C$11*(-Dashboard!$C$12*(1-F654)-O654)+2*Dashboard!$C$20*A654</f>
        <v>90272.374277506169</v>
      </c>
      <c r="Q654" s="8">
        <f>-P654-Dashboard!$C$13-Dashboard!$C$14</f>
        <v>-140272.37427750617</v>
      </c>
    </row>
    <row r="655" spans="1:17" x14ac:dyDescent="0.25">
      <c r="A655" s="5">
        <f>(655-2)/100</f>
        <v>6.53</v>
      </c>
      <c r="B655" s="5">
        <f>Dashboard!$C$10*EXP(-Dashboard!$C$12*A655)</f>
        <v>2.0344637558973672E-2</v>
      </c>
      <c r="C655" s="5">
        <f>Dashboard!$C$17*A655</f>
        <v>5224</v>
      </c>
      <c r="D655" s="5">
        <f>Dashboard!$C$15*(1-EXP(-Dashboard!$C$16*A655))</f>
        <v>0.76944245193305605</v>
      </c>
      <c r="E655" s="5">
        <f>1/(1+EXP(MIN(700,MAX(-700,(C655-Dashboard!$C$18)/Dashboard!$C$19))))</f>
        <v>4.6172257034463298E-3</v>
      </c>
      <c r="F655" s="5">
        <f t="shared" si="47"/>
        <v>3.5526894663880735E-3</v>
      </c>
      <c r="G655" s="8">
        <f>Dashboard!$C$9*B655*Dashboard!$C$11*(1-F655)</f>
        <v>40544.718758840841</v>
      </c>
      <c r="H655" s="8">
        <f>Dashboard!$C$20*A655^2</f>
        <v>341127.2</v>
      </c>
      <c r="I655" s="8">
        <f t="shared" si="48"/>
        <v>381671.91875884088</v>
      </c>
      <c r="J655" s="8">
        <f>Dashboard!$C$13*A655</f>
        <v>130600</v>
      </c>
      <c r="K655" s="8">
        <f>Dashboard!$C$14*A655</f>
        <v>195900</v>
      </c>
      <c r="L655" s="8">
        <f>Dashboard!$C$21-K655</f>
        <v>1304100</v>
      </c>
      <c r="M655" s="8">
        <f t="shared" si="49"/>
        <v>791828.08124115912</v>
      </c>
      <c r="N655" s="8">
        <f t="shared" si="50"/>
        <v>326500</v>
      </c>
      <c r="O655" s="8">
        <f>Dashboard!$C$15*(Dashboard!$C$16*EXP(-Dashboard!$C$16*A655)*E655-(1-EXP(-Dashboard!$C$16*A655))*Dashboard!$C$17/Dashboard!$C$19*E655*(1-E655))</f>
        <v>-4.6445023148388425E-3</v>
      </c>
      <c r="P655" s="8">
        <f>Dashboard!$C$9*B655*Dashboard!$C$11*(-Dashboard!$C$12*(1-F655)-O655)+2*Dashboard!$C$20*A655</f>
        <v>90478.329866880129</v>
      </c>
      <c r="Q655" s="8">
        <f>-P655-Dashboard!$C$13-Dashboard!$C$14</f>
        <v>-140478.32986688014</v>
      </c>
    </row>
    <row r="656" spans="1:17" x14ac:dyDescent="0.25">
      <c r="A656" s="5">
        <f>(656-2)/100</f>
        <v>6.54</v>
      </c>
      <c r="B656" s="5">
        <f>Dashboard!$C$10*EXP(-Dashboard!$C$12*A656)</f>
        <v>2.0273555793170042E-2</v>
      </c>
      <c r="C656" s="5">
        <f>Dashboard!$C$17*A656</f>
        <v>5232</v>
      </c>
      <c r="D656" s="5">
        <f>Dashboard!$C$15*(1-EXP(-Dashboard!$C$16*A656))</f>
        <v>0.76959485833986063</v>
      </c>
      <c r="E656" s="5">
        <f>1/(1+EXP(MIN(700,MAX(-700,(C656-Dashboard!$C$18)/Dashboard!$C$19))))</f>
        <v>4.5563499369845632E-3</v>
      </c>
      <c r="F656" s="5">
        <f t="shared" si="47"/>
        <v>3.5065434843004678E-3</v>
      </c>
      <c r="G656" s="8">
        <f>Dashboard!$C$9*B656*Dashboard!$C$11*(1-F656)</f>
        <v>40404.9313763998</v>
      </c>
      <c r="H656" s="8">
        <f>Dashboard!$C$20*A656^2</f>
        <v>342172.8</v>
      </c>
      <c r="I656" s="8">
        <f t="shared" si="48"/>
        <v>382577.73137639981</v>
      </c>
      <c r="J656" s="8">
        <f>Dashboard!$C$13*A656</f>
        <v>130800</v>
      </c>
      <c r="K656" s="8">
        <f>Dashboard!$C$14*A656</f>
        <v>196200</v>
      </c>
      <c r="L656" s="8">
        <f>Dashboard!$C$21-K656</f>
        <v>1303800</v>
      </c>
      <c r="M656" s="8">
        <f t="shared" si="49"/>
        <v>790422.26862360025</v>
      </c>
      <c r="N656" s="8">
        <f t="shared" si="50"/>
        <v>327000</v>
      </c>
      <c r="O656" s="8">
        <f>Dashboard!$C$15*(Dashboard!$C$16*EXP(-Dashboard!$C$16*A656)*E656-(1-EXP(-Dashboard!$C$16*A656))*Dashboard!$C$17/Dashboard!$C$19*E656*(1-E656))</f>
        <v>-4.5848203608453977E-3</v>
      </c>
      <c r="P656" s="8">
        <f>Dashboard!$C$9*B656*Dashboard!$C$11*(-Dashboard!$C$12*(1-F656)-O656)+2*Dashboard!$C$20*A656</f>
        <v>90684.175241034594</v>
      </c>
      <c r="Q656" s="8">
        <f>-P656-Dashboard!$C$13-Dashboard!$C$14</f>
        <v>-140684.17524103459</v>
      </c>
    </row>
    <row r="657" spans="1:17" x14ac:dyDescent="0.25">
      <c r="A657" s="5">
        <f>(657-2)/100</f>
        <v>6.55</v>
      </c>
      <c r="B657" s="5">
        <f>Dashboard!$C$10*EXP(-Dashboard!$C$12*A657)</f>
        <v>2.02027223786784E-2</v>
      </c>
      <c r="C657" s="5">
        <f>Dashboard!$C$17*A657</f>
        <v>5240</v>
      </c>
      <c r="D657" s="5">
        <f>Dashboard!$C$15*(1-EXP(-Dashboard!$C$16*A657))</f>
        <v>0.76974650461654004</v>
      </c>
      <c r="E657" s="5">
        <f>1/(1+EXP(MIN(700,MAX(-700,(C657-Dashboard!$C$18)/Dashboard!$C$19))))</f>
        <v>4.4962731609411782E-3</v>
      </c>
      <c r="F657" s="5">
        <f t="shared" si="47"/>
        <v>3.4609905494356339E-3</v>
      </c>
      <c r="G657" s="8">
        <f>Dashboard!$C$9*B657*Dashboard!$C$11*(1-F657)</f>
        <v>40265.601894905849</v>
      </c>
      <c r="H657" s="8">
        <f>Dashboard!$C$20*A657^2</f>
        <v>343219.99999999994</v>
      </c>
      <c r="I657" s="8">
        <f t="shared" si="48"/>
        <v>383485.60189490579</v>
      </c>
      <c r="J657" s="8">
        <f>Dashboard!$C$13*A657</f>
        <v>131000</v>
      </c>
      <c r="K657" s="8">
        <f>Dashboard!$C$14*A657</f>
        <v>196500</v>
      </c>
      <c r="L657" s="8">
        <f>Dashboard!$C$21-K657</f>
        <v>1303500</v>
      </c>
      <c r="M657" s="8">
        <f t="shared" si="49"/>
        <v>789014.39810509421</v>
      </c>
      <c r="N657" s="8">
        <f t="shared" si="50"/>
        <v>327500</v>
      </c>
      <c r="O657" s="8">
        <f>Dashboard!$C$15*(Dashboard!$C$16*EXP(-Dashboard!$C$16*A657)*E657-(1-EXP(-Dashboard!$C$16*A657))*Dashboard!$C$17/Dashboard!$C$19*E657*(1-E657))</f>
        <v>-4.5258913310319256E-3</v>
      </c>
      <c r="P657" s="8">
        <f>Dashboard!$C$9*B657*Dashboard!$C$11*(-Dashboard!$C$12*(1-F657)-O657)+2*Dashboard!$C$20*A657</f>
        <v>90889.909988936764</v>
      </c>
      <c r="Q657" s="8">
        <f>-P657-Dashboard!$C$13-Dashboard!$C$14</f>
        <v>-140889.90998893676</v>
      </c>
    </row>
    <row r="658" spans="1:17" x14ac:dyDescent="0.25">
      <c r="A658" s="5">
        <f>(658-2)/100</f>
        <v>6.56</v>
      </c>
      <c r="B658" s="5">
        <f>Dashboard!$C$10*EXP(-Dashboard!$C$12*A658)</f>
        <v>2.0132136447788541E-2</v>
      </c>
      <c r="C658" s="5">
        <f>Dashboard!$C$17*A658</f>
        <v>5248</v>
      </c>
      <c r="D658" s="5">
        <f>Dashboard!$C$15*(1-EXP(-Dashboard!$C$16*A658))</f>
        <v>0.7698973945542591</v>
      </c>
      <c r="E658" s="5">
        <f>1/(1+EXP(MIN(700,MAX(-700,(C658-Dashboard!$C$18)/Dashboard!$C$19))))</f>
        <v>4.4369849836049359E-3</v>
      </c>
      <c r="F658" s="5">
        <f t="shared" si="47"/>
        <v>3.4160231785538122E-3</v>
      </c>
      <c r="G658" s="8">
        <f>Dashboard!$C$9*B658*Dashboard!$C$11*(1-F658)</f>
        <v>40126.729206098171</v>
      </c>
      <c r="H658" s="8">
        <f>Dashboard!$C$20*A658^2</f>
        <v>344268.79999999993</v>
      </c>
      <c r="I658" s="8">
        <f t="shared" si="48"/>
        <v>384395.52920609812</v>
      </c>
      <c r="J658" s="8">
        <f>Dashboard!$C$13*A658</f>
        <v>131200</v>
      </c>
      <c r="K658" s="8">
        <f>Dashboard!$C$14*A658</f>
        <v>196800</v>
      </c>
      <c r="L658" s="8">
        <f>Dashboard!$C$21-K658</f>
        <v>1303200</v>
      </c>
      <c r="M658" s="8">
        <f t="shared" si="49"/>
        <v>787604.47079390194</v>
      </c>
      <c r="N658" s="8">
        <f t="shared" si="50"/>
        <v>328000</v>
      </c>
      <c r="O658" s="8">
        <f>Dashboard!$C$15*(Dashboard!$C$16*EXP(-Dashboard!$C$16*A658)*E658-(1-EXP(-Dashboard!$C$16*A658))*Dashboard!$C$17/Dashboard!$C$19*E658*(1-E658))</f>
        <v>-4.4677060425108283E-3</v>
      </c>
      <c r="P658" s="8">
        <f>Dashboard!$C$9*B658*Dashboard!$C$11*(-Dashboard!$C$12*(1-F658)-O658)+2*Dashboard!$C$20*A658</f>
        <v>91095.53371317852</v>
      </c>
      <c r="Q658" s="8">
        <f>-P658-Dashboard!$C$13-Dashboard!$C$14</f>
        <v>-141095.53371317853</v>
      </c>
    </row>
    <row r="659" spans="1:17" x14ac:dyDescent="0.25">
      <c r="A659" s="5">
        <f>(659-2)/100</f>
        <v>6.57</v>
      </c>
      <c r="B659" s="5">
        <f>Dashboard!$C$10*EXP(-Dashboard!$C$12*A659)</f>
        <v>2.0061797135821915E-2</v>
      </c>
      <c r="C659" s="5">
        <f>Dashboard!$C$17*A659</f>
        <v>5256</v>
      </c>
      <c r="D659" s="5">
        <f>Dashboard!$C$15*(1-EXP(-Dashboard!$C$16*A659))</f>
        <v>0.7700475319252742</v>
      </c>
      <c r="E659" s="5">
        <f>1/(1+EXP(MIN(700,MAX(-700,(C659-Dashboard!$C$18)/Dashboard!$C$19))))</f>
        <v>4.3784751459308522E-3</v>
      </c>
      <c r="F659" s="5">
        <f t="shared" si="47"/>
        <v>3.3716339797202075E-3</v>
      </c>
      <c r="G659" s="8">
        <f>Dashboard!$C$9*B659*Dashboard!$C$11*(1-F659)</f>
        <v>39988.312197809049</v>
      </c>
      <c r="H659" s="8">
        <f>Dashboard!$C$20*A659^2</f>
        <v>345319.2</v>
      </c>
      <c r="I659" s="8">
        <f t="shared" si="48"/>
        <v>385307.51219780906</v>
      </c>
      <c r="J659" s="8">
        <f>Dashboard!$C$13*A659</f>
        <v>131400</v>
      </c>
      <c r="K659" s="8">
        <f>Dashboard!$C$14*A659</f>
        <v>197100</v>
      </c>
      <c r="L659" s="8">
        <f>Dashboard!$C$21-K659</f>
        <v>1302900</v>
      </c>
      <c r="M659" s="8">
        <f t="shared" si="49"/>
        <v>786192.48780219094</v>
      </c>
      <c r="N659" s="8">
        <f t="shared" si="50"/>
        <v>328500</v>
      </c>
      <c r="O659" s="8">
        <f>Dashboard!$C$15*(Dashboard!$C$16*EXP(-Dashboard!$C$16*A659)*E659-(1-EXP(-Dashboard!$C$16*A659))*Dashboard!$C$17/Dashboard!$C$19*E659*(1-E659))</f>
        <v>-4.4102554170061979E-3</v>
      </c>
      <c r="P659" s="8">
        <f>Dashboard!$C$9*B659*Dashboard!$C$11*(-Dashboard!$C$12*(1-F659)-O659)+2*Dashboard!$C$20*A659</f>
        <v>91301.04602975311</v>
      </c>
      <c r="Q659" s="8">
        <f>-P659-Dashboard!$C$13-Dashboard!$C$14</f>
        <v>-141301.04602975311</v>
      </c>
    </row>
    <row r="660" spans="1:17" x14ac:dyDescent="0.25">
      <c r="A660" s="5">
        <f>(660-2)/100</f>
        <v>6.58</v>
      </c>
      <c r="B660" s="5">
        <f>Dashboard!$C$10*EXP(-Dashboard!$C$12*A660)</f>
        <v>1.9991703581121095E-2</v>
      </c>
      <c r="C660" s="5">
        <f>Dashboard!$C$17*A660</f>
        <v>5264</v>
      </c>
      <c r="D660" s="5">
        <f>Dashboard!$C$15*(1-EXP(-Dashboard!$C$16*A660))</f>
        <v>0.77019692048302746</v>
      </c>
      <c r="E660" s="5">
        <f>1/(1+EXP(MIN(700,MAX(-700,(C660-Dashboard!$C$18)/Dashboard!$C$19))))</f>
        <v>4.3207335199119167E-3</v>
      </c>
      <c r="F660" s="5">
        <f t="shared" si="47"/>
        <v>3.3278156512639499E-3</v>
      </c>
      <c r="G660" s="8">
        <f>Dashboard!$C$9*B660*Dashboard!$C$11*(1-F660)</f>
        <v>39850.349754096824</v>
      </c>
      <c r="H660" s="8">
        <f>Dashboard!$C$20*A660^2</f>
        <v>346371.2</v>
      </c>
      <c r="I660" s="8">
        <f t="shared" si="48"/>
        <v>386221.54975409684</v>
      </c>
      <c r="J660" s="8">
        <f>Dashboard!$C$13*A660</f>
        <v>131600</v>
      </c>
      <c r="K660" s="8">
        <f>Dashboard!$C$14*A660</f>
        <v>197400</v>
      </c>
      <c r="L660" s="8">
        <f>Dashboard!$C$21-K660</f>
        <v>1302600</v>
      </c>
      <c r="M660" s="8">
        <f t="shared" si="49"/>
        <v>784778.45024590311</v>
      </c>
      <c r="N660" s="8">
        <f t="shared" si="50"/>
        <v>329000</v>
      </c>
      <c r="O660" s="8">
        <f>Dashboard!$C$15*(Dashboard!$C$16*EXP(-Dashboard!$C$16*A660)*E660-(1-EXP(-Dashboard!$C$16*A660))*Dashboard!$C$17/Dashboard!$C$19*E660*(1-E660))</f>
        <v>-4.35353047984247E-3</v>
      </c>
      <c r="P660" s="8">
        <f>Dashboard!$C$9*B660*Dashboard!$C$11*(-Dashboard!$C$12*(1-F660)-O660)+2*Dashboard!$C$20*A660</f>
        <v>91506.446567834893</v>
      </c>
      <c r="Q660" s="8">
        <f>-P660-Dashboard!$C$13-Dashboard!$C$14</f>
        <v>-141506.44656783488</v>
      </c>
    </row>
    <row r="661" spans="1:17" x14ac:dyDescent="0.25">
      <c r="A661" s="5">
        <f>(661-2)/100</f>
        <v>6.59</v>
      </c>
      <c r="B661" s="5">
        <f>Dashboard!$C$10*EXP(-Dashboard!$C$12*A661)</f>
        <v>1.9921854925039138E-2</v>
      </c>
      <c r="C661" s="5">
        <f>Dashboard!$C$17*A661</f>
        <v>5272</v>
      </c>
      <c r="D661" s="5">
        <f>Dashboard!$C$15*(1-EXP(-Dashboard!$C$16*A661))</f>
        <v>0.77034556396224041</v>
      </c>
      <c r="E661" s="5">
        <f>1/(1+EXP(MIN(700,MAX(-700,(C661-Dashboard!$C$18)/Dashboard!$C$19))))</f>
        <v>4.2637501069690241E-3</v>
      </c>
      <c r="F661" s="5">
        <f t="shared" si="47"/>
        <v>3.2845609807471156E-3</v>
      </c>
      <c r="G661" s="8">
        <f>Dashboard!$C$9*B661*Dashboard!$C$11*(1-F661)</f>
        <v>39712.840755376506</v>
      </c>
      <c r="H661" s="8">
        <f>Dashboard!$C$20*A661^2</f>
        <v>347424.8</v>
      </c>
      <c r="I661" s="8">
        <f t="shared" si="48"/>
        <v>387137.64075537649</v>
      </c>
      <c r="J661" s="8">
        <f>Dashboard!$C$13*A661</f>
        <v>131800</v>
      </c>
      <c r="K661" s="8">
        <f>Dashboard!$C$14*A661</f>
        <v>197700</v>
      </c>
      <c r="L661" s="8">
        <f>Dashboard!$C$21-K661</f>
        <v>1302300</v>
      </c>
      <c r="M661" s="8">
        <f t="shared" si="49"/>
        <v>783362.35924462345</v>
      </c>
      <c r="N661" s="8">
        <f t="shared" si="50"/>
        <v>329500</v>
      </c>
      <c r="O661" s="8">
        <f>Dashboard!$C$15*(Dashboard!$C$16*EXP(-Dashboard!$C$16*A661)*E661-(1-EXP(-Dashboard!$C$16*A661))*Dashboard!$C$17/Dashboard!$C$19*E661*(1-E661))</f>
        <v>-4.2975223589380926E-3</v>
      </c>
      <c r="P661" s="8">
        <f>Dashboard!$C$9*B661*Dashboard!$C$11*(-Dashboard!$C$12*(1-F661)-O661)+2*Dashboard!$C$20*A661</f>
        <v>91711.734969561978</v>
      </c>
      <c r="Q661" s="8">
        <f>-P661-Dashboard!$C$13-Dashboard!$C$14</f>
        <v>-141711.73496956198</v>
      </c>
    </row>
    <row r="662" spans="1:17" x14ac:dyDescent="0.25">
      <c r="A662" s="5">
        <f>(662-2)/100</f>
        <v>6.6</v>
      </c>
      <c r="B662" s="5">
        <f>Dashboard!$C$10*EXP(-Dashboard!$C$12*A662)</f>
        <v>1.9852250311929141E-2</v>
      </c>
      <c r="C662" s="5">
        <f>Dashboard!$C$17*A662</f>
        <v>5280</v>
      </c>
      <c r="D662" s="5">
        <f>Dashboard!$C$15*(1-EXP(-Dashboard!$C$16*A662))</f>
        <v>0.77049346607900804</v>
      </c>
      <c r="E662" s="5">
        <f>1/(1+EXP(MIN(700,MAX(-700,(C662-Dashboard!$C$18)/Dashboard!$C$19))))</f>
        <v>4.2075150363590098E-3</v>
      </c>
      <c r="F662" s="5">
        <f t="shared" si="47"/>
        <v>3.2418628439437971E-3</v>
      </c>
      <c r="G662" s="8">
        <f>Dashboard!$C$9*B662*Dashboard!$C$11*(1-F662)</f>
        <v>39575.784078548451</v>
      </c>
      <c r="H662" s="8">
        <f>Dashboard!$C$20*A662^2</f>
        <v>348479.99999999994</v>
      </c>
      <c r="I662" s="8">
        <f t="shared" si="48"/>
        <v>388055.78407854837</v>
      </c>
      <c r="J662" s="8">
        <f>Dashboard!$C$13*A662</f>
        <v>132000</v>
      </c>
      <c r="K662" s="8">
        <f>Dashboard!$C$14*A662</f>
        <v>198000</v>
      </c>
      <c r="L662" s="8">
        <f>Dashboard!$C$21-K662</f>
        <v>1302000</v>
      </c>
      <c r="M662" s="8">
        <f t="shared" si="49"/>
        <v>781944.21592145157</v>
      </c>
      <c r="N662" s="8">
        <f t="shared" si="50"/>
        <v>330000</v>
      </c>
      <c r="O662" s="8">
        <f>Dashboard!$C$15*(Dashboard!$C$16*EXP(-Dashboard!$C$16*A662)*E662-(1-EXP(-Dashboard!$C$16*A662))*Dashboard!$C$17/Dashboard!$C$19*E662*(1-E662))</f>
        <v>-4.2422222838044135E-3</v>
      </c>
      <c r="P662" s="8">
        <f>Dashboard!$C$9*B662*Dashboard!$C$11*(-Dashboard!$C$12*(1-F662)-O662)+2*Dashboard!$C$20*A662</f>
        <v>91916.910889821898</v>
      </c>
      <c r="Q662" s="8">
        <f>-P662-Dashboard!$C$13-Dashboard!$C$14</f>
        <v>-141916.91088982188</v>
      </c>
    </row>
    <row r="663" spans="1:17" x14ac:dyDescent="0.25">
      <c r="A663" s="5">
        <f>(663-2)/100</f>
        <v>6.61</v>
      </c>
      <c r="B663" s="5">
        <f>Dashboard!$C$10*EXP(-Dashboard!$C$12*A663)</f>
        <v>1.9782888889133713E-2</v>
      </c>
      <c r="C663" s="5">
        <f>Dashboard!$C$17*A663</f>
        <v>5288</v>
      </c>
      <c r="D663" s="5">
        <f>Dashboard!$C$15*(1-EXP(-Dashboard!$C$16*A663))</f>
        <v>0.77064063053089082</v>
      </c>
      <c r="E663" s="5">
        <f>1/(1+EXP(MIN(700,MAX(-700,(C663-Dashboard!$C$18)/Dashboard!$C$19))))</f>
        <v>4.1520185636006422E-3</v>
      </c>
      <c r="F663" s="5">
        <f t="shared" si="47"/>
        <v>3.1997142038291625E-3</v>
      </c>
      <c r="G663" s="8">
        <f>Dashboard!$C$9*B663*Dashboard!$C$11*(1-F663)</f>
        <v>39439.178597124752</v>
      </c>
      <c r="H663" s="8">
        <f>Dashboard!$C$20*A663^2</f>
        <v>349536.80000000005</v>
      </c>
      <c r="I663" s="8">
        <f t="shared" si="48"/>
        <v>388975.97859712481</v>
      </c>
      <c r="J663" s="8">
        <f>Dashboard!$C$13*A663</f>
        <v>132200</v>
      </c>
      <c r="K663" s="8">
        <f>Dashboard!$C$14*A663</f>
        <v>198300</v>
      </c>
      <c r="L663" s="8">
        <f>Dashboard!$C$21-K663</f>
        <v>1301700</v>
      </c>
      <c r="M663" s="8">
        <f t="shared" si="49"/>
        <v>780524.02140287519</v>
      </c>
      <c r="N663" s="8">
        <f t="shared" si="50"/>
        <v>330500</v>
      </c>
      <c r="O663" s="8">
        <f>Dashboard!$C$15*(Dashboard!$C$16*EXP(-Dashboard!$C$16*A663)*E663-(1-EXP(-Dashboard!$C$16*A663))*Dashboard!$C$17/Dashboard!$C$19*E663*(1-E663))</f>
        <v>-4.1876215845498537E-3</v>
      </c>
      <c r="P663" s="8">
        <f>Dashboard!$C$9*B663*Dashboard!$C$11*(-Dashboard!$C$12*(1-F663)-O663)+2*Dashboard!$C$20*A663</f>
        <v>92121.973996040106</v>
      </c>
      <c r="Q663" s="8">
        <f>-P663-Dashboard!$C$13-Dashboard!$C$14</f>
        <v>-142121.97399604012</v>
      </c>
    </row>
    <row r="664" spans="1:17" x14ac:dyDescent="0.25">
      <c r="A664" s="5">
        <f>(664-2)/100</f>
        <v>6.62</v>
      </c>
      <c r="B664" s="5">
        <f>Dashboard!$C$10*EXP(-Dashboard!$C$12*A664)</f>
        <v>1.9713769806974576E-2</v>
      </c>
      <c r="C664" s="5">
        <f>Dashboard!$C$17*A664</f>
        <v>5296</v>
      </c>
      <c r="D664" s="5">
        <f>Dashboard!$C$15*(1-EXP(-Dashboard!$C$16*A664))</f>
        <v>0.77078706099700778</v>
      </c>
      <c r="E664" s="5">
        <f>1/(1+EXP(MIN(700,MAX(-700,(C664-Dashboard!$C$18)/Dashboard!$C$19))))</f>
        <v>4.0972510689183776E-3</v>
      </c>
      <c r="F664" s="5">
        <f t="shared" si="47"/>
        <v>3.158108109578445E-3</v>
      </c>
      <c r="G664" s="8">
        <f>Dashboard!$C$9*B664*Dashboard!$C$11*(1-F664)</f>
        <v>39303.023181353616</v>
      </c>
      <c r="H664" s="8">
        <f>Dashboard!$C$20*A664^2</f>
        <v>350595.2</v>
      </c>
      <c r="I664" s="8">
        <f t="shared" si="48"/>
        <v>389898.22318135365</v>
      </c>
      <c r="J664" s="8">
        <f>Dashboard!$C$13*A664</f>
        <v>132400</v>
      </c>
      <c r="K664" s="8">
        <f>Dashboard!$C$14*A664</f>
        <v>198600</v>
      </c>
      <c r="L664" s="8">
        <f>Dashboard!$C$21-K664</f>
        <v>1301400</v>
      </c>
      <c r="M664" s="8">
        <f t="shared" si="49"/>
        <v>779101.77681864635</v>
      </c>
      <c r="N664" s="8">
        <f t="shared" si="50"/>
        <v>331000</v>
      </c>
      <c r="O664" s="8">
        <f>Dashboard!$C$15*(Dashboard!$C$16*EXP(-Dashboard!$C$16*A664)*E664-(1-EXP(-Dashboard!$C$16*A664))*Dashboard!$C$17/Dashboard!$C$19*E664*(1-E664))</f>
        <v>-4.1337116908894906E-3</v>
      </c>
      <c r="P664" s="8">
        <f>Dashboard!$C$9*B664*Dashboard!$C$11*(-Dashboard!$C$12*(1-F664)-O664)+2*Dashboard!$C$20*A664</f>
        <v>92326.923967971423</v>
      </c>
      <c r="Q664" s="8">
        <f>-P664-Dashboard!$C$13-Dashboard!$C$14</f>
        <v>-142326.92396797141</v>
      </c>
    </row>
    <row r="665" spans="1:17" x14ac:dyDescent="0.25">
      <c r="A665" s="5">
        <f>(665-2)/100</f>
        <v>6.63</v>
      </c>
      <c r="B665" s="5">
        <f>Dashboard!$C$10*EXP(-Dashboard!$C$12*A665)</f>
        <v>1.9644892218742091E-2</v>
      </c>
      <c r="C665" s="5">
        <f>Dashboard!$C$17*A665</f>
        <v>5304</v>
      </c>
      <c r="D665" s="5">
        <f>Dashboard!$C$15*(1-EXP(-Dashboard!$C$16*A665))</f>
        <v>0.77093276113812803</v>
      </c>
      <c r="E665" s="5">
        <f>1/(1+EXP(MIN(700,MAX(-700,(C665-Dashboard!$C$18)/Dashboard!$C$19))))</f>
        <v>4.0432030557037207E-3</v>
      </c>
      <c r="F665" s="5">
        <f t="shared" si="47"/>
        <v>3.1170376955757858E-3</v>
      </c>
      <c r="G665" s="8">
        <f>Dashboard!$C$9*B665*Dashboard!$C$11*(1-F665)</f>
        <v>39167.316698341492</v>
      </c>
      <c r="H665" s="8">
        <f>Dashboard!$C$20*A665^2</f>
        <v>351655.19999999995</v>
      </c>
      <c r="I665" s="8">
        <f t="shared" si="48"/>
        <v>390822.51669834147</v>
      </c>
      <c r="J665" s="8">
        <f>Dashboard!$C$13*A665</f>
        <v>132600</v>
      </c>
      <c r="K665" s="8">
        <f>Dashboard!$C$14*A665</f>
        <v>198900</v>
      </c>
      <c r="L665" s="8">
        <f>Dashboard!$C$21-K665</f>
        <v>1301100</v>
      </c>
      <c r="M665" s="8">
        <f t="shared" si="49"/>
        <v>777677.48330165853</v>
      </c>
      <c r="N665" s="8">
        <f t="shared" si="50"/>
        <v>331500</v>
      </c>
      <c r="O665" s="8">
        <f>Dashboard!$C$15*(Dashboard!$C$16*EXP(-Dashboard!$C$16*A665)*E665-(1-EXP(-Dashboard!$C$16*A665))*Dashboard!$C$17/Dashboard!$C$19*E665*(1-E665))</f>
        <v>-4.0804841311601241E-3</v>
      </c>
      <c r="P665" s="8">
        <f>Dashboard!$C$9*B665*Dashboard!$C$11*(-Dashboard!$C$12*(1-F665)-O665)+2*Dashboard!$C$20*A665</f>
        <v>92531.760497494339</v>
      </c>
      <c r="Q665" s="8">
        <f>-P665-Dashboard!$C$13-Dashboard!$C$14</f>
        <v>-142531.76049749434</v>
      </c>
    </row>
    <row r="666" spans="1:17" x14ac:dyDescent="0.25">
      <c r="A666" s="5">
        <f>(666-2)/100</f>
        <v>6.64</v>
      </c>
      <c r="B666" s="5">
        <f>Dashboard!$C$10*EXP(-Dashboard!$C$12*A666)</f>
        <v>1.9576255280684955E-2</v>
      </c>
      <c r="C666" s="5">
        <f>Dashboard!$C$17*A666</f>
        <v>5312</v>
      </c>
      <c r="D666" s="5">
        <f>Dashboard!$C$15*(1-EXP(-Dashboard!$C$16*A666))</f>
        <v>0.77107773459676299</v>
      </c>
      <c r="E666" s="5">
        <f>1/(1+EXP(MIN(700,MAX(-700,(C666-Dashboard!$C$18)/Dashboard!$C$19))))</f>
        <v>3.9898651489941039E-3</v>
      </c>
      <c r="F666" s="5">
        <f t="shared" si="47"/>
        <v>3.07649618043295E-3</v>
      </c>
      <c r="G666" s="8">
        <f>Dashboard!$C$9*B666*Dashboard!$C$11*(1-F666)</f>
        <v>39032.058012173497</v>
      </c>
      <c r="H666" s="8">
        <f>Dashboard!$C$20*A666^2</f>
        <v>352716.79999999999</v>
      </c>
      <c r="I666" s="8">
        <f t="shared" si="48"/>
        <v>391748.8580121735</v>
      </c>
      <c r="J666" s="8">
        <f>Dashboard!$C$13*A666</f>
        <v>132800</v>
      </c>
      <c r="K666" s="8">
        <f>Dashboard!$C$14*A666</f>
        <v>199200</v>
      </c>
      <c r="L666" s="8">
        <f>Dashboard!$C$21-K666</f>
        <v>1300800</v>
      </c>
      <c r="M666" s="8">
        <f t="shared" si="49"/>
        <v>776251.14198782644</v>
      </c>
      <c r="N666" s="8">
        <f t="shared" si="50"/>
        <v>332000</v>
      </c>
      <c r="O666" s="8">
        <f>Dashboard!$C$15*(Dashboard!$C$16*EXP(-Dashboard!$C$16*A666)*E666-(1-EXP(-Dashboard!$C$16*A666))*Dashboard!$C$17/Dashboard!$C$19*E666*(1-E666))</f>
        <v>-4.0279305313410023E-3</v>
      </c>
      <c r="P666" s="8">
        <f>Dashboard!$C$9*B666*Dashboard!$C$11*(-Dashboard!$C$12*(1-F666)-O666)+2*Dashboard!$C$20*A666</f>
        <v>92736.483288408068</v>
      </c>
      <c r="Q666" s="8">
        <f>-P666-Dashboard!$C$13-Dashboard!$C$14</f>
        <v>-142736.48328840808</v>
      </c>
    </row>
    <row r="667" spans="1:17" x14ac:dyDescent="0.25">
      <c r="A667" s="5">
        <f>(667-2)/100</f>
        <v>6.65</v>
      </c>
      <c r="B667" s="5">
        <f>Dashboard!$C$10*EXP(-Dashboard!$C$12*A667)</f>
        <v>1.9507858151999805E-2</v>
      </c>
      <c r="C667" s="5">
        <f>Dashboard!$C$17*A667</f>
        <v>5320</v>
      </c>
      <c r="D667" s="5">
        <f>Dashboard!$C$15*(1-EXP(-Dashboard!$C$16*A667))</f>
        <v>0.77122198499725636</v>
      </c>
      <c r="E667" s="5">
        <f>1/(1+EXP(MIN(700,MAX(-700,(C667-Dashboard!$C$18)/Dashboard!$C$19))))</f>
        <v>3.9372280939690045E-3</v>
      </c>
      <c r="F667" s="5">
        <f t="shared" si="47"/>
        <v>3.0364768660177399E-3</v>
      </c>
      <c r="G667" s="8">
        <f>Dashboard!$C$9*B667*Dashboard!$C$11*(1-F667)</f>
        <v>38897.245984031404</v>
      </c>
      <c r="H667" s="8">
        <f>Dashboard!$C$20*A667^2</f>
        <v>353780.00000000006</v>
      </c>
      <c r="I667" s="8">
        <f t="shared" si="48"/>
        <v>392677.24598403147</v>
      </c>
      <c r="J667" s="8">
        <f>Dashboard!$C$13*A667</f>
        <v>133000</v>
      </c>
      <c r="K667" s="8">
        <f>Dashboard!$C$14*A667</f>
        <v>199500</v>
      </c>
      <c r="L667" s="8">
        <f>Dashboard!$C$21-K667</f>
        <v>1300500</v>
      </c>
      <c r="M667" s="8">
        <f t="shared" si="49"/>
        <v>774822.75401596853</v>
      </c>
      <c r="N667" s="8">
        <f t="shared" si="50"/>
        <v>332500</v>
      </c>
      <c r="O667" s="8">
        <f>Dashboard!$C$15*(Dashboard!$C$16*EXP(-Dashboard!$C$16*A667)*E667-(1-EXP(-Dashboard!$C$16*A667))*Dashboard!$C$17/Dashboard!$C$19*E667*(1-E667))</f>
        <v>-3.9760426140801582E-3</v>
      </c>
      <c r="P667" s="8">
        <f>Dashboard!$C$9*B667*Dashboard!$C$11*(-Dashboard!$C$12*(1-F667)-O667)+2*Dashboard!$C$20*A667</f>
        <v>92941.092056232577</v>
      </c>
      <c r="Q667" s="8">
        <f>-P667-Dashboard!$C$13-Dashboard!$C$14</f>
        <v>-142941.09205623256</v>
      </c>
    </row>
    <row r="668" spans="1:17" x14ac:dyDescent="0.25">
      <c r="A668" s="5">
        <f>(668-2)/100</f>
        <v>6.66</v>
      </c>
      <c r="B668" s="5">
        <f>Dashboard!$C$10*EXP(-Dashboard!$C$12*A668)</f>
        <v>1.9439699994820977E-2</v>
      </c>
      <c r="C668" s="5">
        <f>Dashboard!$C$17*A668</f>
        <v>5328</v>
      </c>
      <c r="D668" s="5">
        <f>Dashboard!$C$15*(1-EXP(-Dashboard!$C$16*A668))</f>
        <v>0.77136551594587577</v>
      </c>
      <c r="E668" s="5">
        <f>1/(1+EXP(MIN(700,MAX(-700,(C668-Dashboard!$C$18)/Dashboard!$C$19))))</f>
        <v>3.8852827544632778E-3</v>
      </c>
      <c r="F668" s="5">
        <f t="shared" si="47"/>
        <v>2.9969731364921795E-3</v>
      </c>
      <c r="G668" s="8">
        <f>Dashboard!$C$9*B668*Dashboard!$C$11*(1-F668)</f>
        <v>38762.879472310065</v>
      </c>
      <c r="H668" s="8">
        <f>Dashboard!$C$20*A668^2</f>
        <v>354844.80000000005</v>
      </c>
      <c r="I668" s="8">
        <f t="shared" si="48"/>
        <v>393607.67947231012</v>
      </c>
      <c r="J668" s="8">
        <f>Dashboard!$C$13*A668</f>
        <v>133200</v>
      </c>
      <c r="K668" s="8">
        <f>Dashboard!$C$14*A668</f>
        <v>199800</v>
      </c>
      <c r="L668" s="8">
        <f>Dashboard!$C$21-K668</f>
        <v>1300200</v>
      </c>
      <c r="M668" s="8">
        <f t="shared" si="49"/>
        <v>773392.32052768988</v>
      </c>
      <c r="N668" s="8">
        <f t="shared" si="50"/>
        <v>333000</v>
      </c>
      <c r="O668" s="8">
        <f>Dashboard!$C$15*(Dashboard!$C$16*EXP(-Dashboard!$C$16*A668)*E668-(1-EXP(-Dashboard!$C$16*A668))*Dashboard!$C$17/Dashboard!$C$19*E668*(1-E668))</f>
        <v>-3.9248121977266143E-3</v>
      </c>
      <c r="P668" s="8">
        <f>Dashboard!$C$9*B668*Dashboard!$C$11*(-Dashboard!$C$12*(1-F668)-O668)+2*Dashboard!$C$20*A668</f>
        <v>93145.586528011117</v>
      </c>
      <c r="Q668" s="8">
        <f>-P668-Dashboard!$C$13-Dashboard!$C$14</f>
        <v>-143145.58652801113</v>
      </c>
    </row>
    <row r="669" spans="1:17" x14ac:dyDescent="0.25">
      <c r="A669" s="5">
        <f>(669-2)/100</f>
        <v>6.67</v>
      </c>
      <c r="B669" s="5">
        <f>Dashboard!$C$10*EXP(-Dashboard!$C$12*A669)</f>
        <v>1.9371779974210183E-2</v>
      </c>
      <c r="C669" s="5">
        <f>Dashboard!$C$17*A669</f>
        <v>5336</v>
      </c>
      <c r="D669" s="5">
        <f>Dashboard!$C$15*(1-EXP(-Dashboard!$C$16*A669))</f>
        <v>0.77150833103090255</v>
      </c>
      <c r="E669" s="5">
        <f>1/(1+EXP(MIN(700,MAX(-700,(C669-Dashboard!$C$18)/Dashboard!$C$19))))</f>
        <v>3.8340201114974476E-3</v>
      </c>
      <c r="F669" s="5">
        <f t="shared" si="47"/>
        <v>2.9579784573603106E-3</v>
      </c>
      <c r="G669" s="8">
        <f>Dashboard!$C$9*B669*Dashboard!$C$11*(1-F669)</f>
        <v>38628.957332731494</v>
      </c>
      <c r="H669" s="8">
        <f>Dashboard!$C$20*A669^2</f>
        <v>355911.2</v>
      </c>
      <c r="I669" s="8">
        <f t="shared" si="48"/>
        <v>394540.15733273153</v>
      </c>
      <c r="J669" s="8">
        <f>Dashboard!$C$13*A669</f>
        <v>133400</v>
      </c>
      <c r="K669" s="8">
        <f>Dashboard!$C$14*A669</f>
        <v>200100</v>
      </c>
      <c r="L669" s="8">
        <f>Dashboard!$C$21-K669</f>
        <v>1299900</v>
      </c>
      <c r="M669" s="8">
        <f t="shared" si="49"/>
        <v>771959.84266726847</v>
      </c>
      <c r="N669" s="8">
        <f t="shared" si="50"/>
        <v>333500</v>
      </c>
      <c r="O669" s="8">
        <f>Dashboard!$C$15*(Dashboard!$C$16*EXP(-Dashboard!$C$16*A669)*E669-(1-EXP(-Dashboard!$C$16*A669))*Dashboard!$C$17/Dashboard!$C$19*E669*(1-E669))</f>
        <v>-3.8742311953683969E-3</v>
      </c>
      <c r="P669" s="8">
        <f>Dashboard!$C$9*B669*Dashboard!$C$11*(-Dashboard!$C$12*(1-F669)-O669)+2*Dashboard!$C$20*A669</f>
        <v>93349.96644211578</v>
      </c>
      <c r="Q669" s="8">
        <f>-P669-Dashboard!$C$13-Dashboard!$C$14</f>
        <v>-143349.96644211578</v>
      </c>
    </row>
    <row r="670" spans="1:17" x14ac:dyDescent="0.25">
      <c r="A670" s="5">
        <f>(670-2)/100</f>
        <v>6.68</v>
      </c>
      <c r="B670" s="5">
        <f>Dashboard!$C$10*EXP(-Dashboard!$C$12*A670)</f>
        <v>1.930409725814632E-2</v>
      </c>
      <c r="C670" s="5">
        <f>Dashboard!$C$17*A670</f>
        <v>5344</v>
      </c>
      <c r="D670" s="5">
        <f>Dashboard!$C$15*(1-EXP(-Dashboard!$C$16*A670))</f>
        <v>0.77165043382272114</v>
      </c>
      <c r="E670" s="5">
        <f>1/(1+EXP(MIN(700,MAX(-700,(C670-Dashboard!$C$18)/Dashboard!$C$19))))</f>
        <v>3.7834312618248273E-3</v>
      </c>
      <c r="F670" s="5">
        <f t="shared" si="47"/>
        <v>2.9194863745255731E-3</v>
      </c>
      <c r="G670" s="8">
        <f>Dashboard!$C$9*B670*Dashboard!$C$11*(1-F670)</f>
        <v>38495.478418457285</v>
      </c>
      <c r="H670" s="8">
        <f>Dashboard!$C$20*A670^2</f>
        <v>356979.20000000001</v>
      </c>
      <c r="I670" s="8">
        <f t="shared" si="48"/>
        <v>395474.67841845728</v>
      </c>
      <c r="J670" s="8">
        <f>Dashboard!$C$13*A670</f>
        <v>133600</v>
      </c>
      <c r="K670" s="8">
        <f>Dashboard!$C$14*A670</f>
        <v>200400</v>
      </c>
      <c r="L670" s="8">
        <f>Dashboard!$C$21-K670</f>
        <v>1299600</v>
      </c>
      <c r="M670" s="8">
        <f t="shared" si="49"/>
        <v>770525.32158154272</v>
      </c>
      <c r="N670" s="8">
        <f t="shared" si="50"/>
        <v>334000</v>
      </c>
      <c r="O670" s="8">
        <f>Dashboard!$C$15*(Dashboard!$C$16*EXP(-Dashboard!$C$16*A670)*E670-(1-EXP(-Dashboard!$C$16*A670))*Dashboard!$C$17/Dashboard!$C$19*E670*(1-E670))</f>
        <v>-3.8242916138764844E-3</v>
      </c>
      <c r="P670" s="8">
        <f>Dashboard!$C$9*B670*Dashboard!$C$11*(-Dashboard!$C$12*(1-F670)-O670)+2*Dashboard!$C$20*A670</f>
        <v>93554.231548055526</v>
      </c>
      <c r="Q670" s="8">
        <f>-P670-Dashboard!$C$13-Dashboard!$C$14</f>
        <v>-143554.23154805554</v>
      </c>
    </row>
    <row r="671" spans="1:17" x14ac:dyDescent="0.25">
      <c r="A671" s="5">
        <f>(671-2)/100</f>
        <v>6.69</v>
      </c>
      <c r="B671" s="5">
        <f>Dashboard!$C$10*EXP(-Dashboard!$C$12*A671)</f>
        <v>1.9236651017515264E-2</v>
      </c>
      <c r="C671" s="5">
        <f>Dashboard!$C$17*A671</f>
        <v>5352</v>
      </c>
      <c r="D671" s="5">
        <f>Dashboard!$C$15*(1-EXP(-Dashboard!$C$16*A671))</f>
        <v>0.77179182787390876</v>
      </c>
      <c r="E671" s="5">
        <f>1/(1+EXP(MIN(700,MAX(-700,(C671-Dashboard!$C$18)/Dashboard!$C$19))))</f>
        <v>3.7335074164953673E-3</v>
      </c>
      <c r="F671" s="5">
        <f t="shared" si="47"/>
        <v>2.8814905133577543E-3</v>
      </c>
      <c r="G671" s="8">
        <f>Dashboard!$C$9*B671*Dashboard!$C$11*(1-F671)</f>
        <v>38362.441580199033</v>
      </c>
      <c r="H671" s="8">
        <f>Dashboard!$C$20*A671^2</f>
        <v>358048.80000000005</v>
      </c>
      <c r="I671" s="8">
        <f t="shared" si="48"/>
        <v>396411.2415801991</v>
      </c>
      <c r="J671" s="8">
        <f>Dashboard!$C$13*A671</f>
        <v>133800</v>
      </c>
      <c r="K671" s="8">
        <f>Dashboard!$C$14*A671</f>
        <v>200700</v>
      </c>
      <c r="L671" s="8">
        <f>Dashboard!$C$21-K671</f>
        <v>1299300</v>
      </c>
      <c r="M671" s="8">
        <f t="shared" si="49"/>
        <v>769088.7584198009</v>
      </c>
      <c r="N671" s="8">
        <f t="shared" si="50"/>
        <v>334500</v>
      </c>
      <c r="O671" s="8">
        <f>Dashboard!$C$15*(Dashboard!$C$16*EXP(-Dashboard!$C$16*A671)*E671-(1-EXP(-Dashboard!$C$16*A671))*Dashboard!$C$17/Dashboard!$C$19*E671*(1-E671))</f>
        <v>-3.7749855529548258E-3</v>
      </c>
      <c r="P671" s="8">
        <f>Dashboard!$C$9*B671*Dashboard!$C$11*(-Dashboard!$C$12*(1-F671)-O671)+2*Dashboard!$C$20*A671</f>
        <v>93758.381606287046</v>
      </c>
      <c r="Q671" s="8">
        <f>-P671-Dashboard!$C$13-Dashboard!$C$14</f>
        <v>-143758.38160628703</v>
      </c>
    </row>
    <row r="672" spans="1:17" x14ac:dyDescent="0.25">
      <c r="A672" s="5">
        <f>(672-2)/100</f>
        <v>6.7</v>
      </c>
      <c r="B672" s="5">
        <f>Dashboard!$C$10*EXP(-Dashboard!$C$12*A672)</f>
        <v>1.9169440426099738E-2</v>
      </c>
      <c r="C672" s="5">
        <f>Dashboard!$C$17*A672</f>
        <v>5360</v>
      </c>
      <c r="D672" s="5">
        <f>Dashboard!$C$15*(1-EXP(-Dashboard!$C$16*A672))</f>
        <v>0.77193251671932406</v>
      </c>
      <c r="E672" s="5">
        <f>1/(1+EXP(MIN(700,MAX(-700,(C672-Dashboard!$C$18)/Dashboard!$C$19))))</f>
        <v>3.684239899435989E-3</v>
      </c>
      <c r="F672" s="5">
        <f t="shared" si="47"/>
        <v>2.8439845777693722E-3</v>
      </c>
      <c r="G672" s="8">
        <f>Dashboard!$C$9*B672*Dashboard!$C$11*(1-F672)</f>
        <v>38229.845666326881</v>
      </c>
      <c r="H672" s="8">
        <f>Dashboard!$C$20*A672^2</f>
        <v>359120</v>
      </c>
      <c r="I672" s="8">
        <f t="shared" si="48"/>
        <v>397349.84566632687</v>
      </c>
      <c r="J672" s="8">
        <f>Dashboard!$C$13*A672</f>
        <v>134000</v>
      </c>
      <c r="K672" s="8">
        <f>Dashboard!$C$14*A672</f>
        <v>201000</v>
      </c>
      <c r="L672" s="8">
        <f>Dashboard!$C$21-K672</f>
        <v>1299000</v>
      </c>
      <c r="M672" s="8">
        <f t="shared" si="49"/>
        <v>767650.15433367318</v>
      </c>
      <c r="N672" s="8">
        <f t="shared" si="50"/>
        <v>335000</v>
      </c>
      <c r="O672" s="8">
        <f>Dashboard!$C$15*(Dashboard!$C$16*EXP(-Dashboard!$C$16*A672)*E672-(1-EXP(-Dashboard!$C$16*A672))*Dashboard!$C$17/Dashboard!$C$19*E672*(1-E672))</f>
        <v>-3.7263052041963882E-3</v>
      </c>
      <c r="P672" s="8">
        <f>Dashboard!$C$9*B672*Dashboard!$C$11*(-Dashboard!$C$12*(1-F672)-O672)+2*Dashboard!$C$20*A672</f>
        <v>93962.416388028214</v>
      </c>
      <c r="Q672" s="8">
        <f>-P672-Dashboard!$C$13-Dashboard!$C$14</f>
        <v>-143962.41638802821</v>
      </c>
    </row>
    <row r="673" spans="1:17" x14ac:dyDescent="0.25">
      <c r="A673" s="5">
        <f>(673-2)/100</f>
        <v>6.71</v>
      </c>
      <c r="B673" s="5">
        <f>Dashboard!$C$10*EXP(-Dashboard!$C$12*A673)</f>
        <v>1.9102464660569141E-2</v>
      </c>
      <c r="C673" s="5">
        <f>Dashboard!$C$17*A673</f>
        <v>5368</v>
      </c>
      <c r="D673" s="5">
        <f>Dashboard!$C$15*(1-EXP(-Dashboard!$C$16*A673))</f>
        <v>0.77207250387619542</v>
      </c>
      <c r="E673" s="5">
        <f>1/(1+EXP(MIN(700,MAX(-700,(C673-Dashboard!$C$18)/Dashboard!$C$19))))</f>
        <v>3.6356201460472919E-3</v>
      </c>
      <c r="F673" s="5">
        <f t="shared" si="47"/>
        <v>2.8069623493014719E-3</v>
      </c>
      <c r="G673" s="8">
        <f>Dashboard!$C$9*B673*Dashboard!$C$11*(1-F673)</f>
        <v>38097.689522976121</v>
      </c>
      <c r="H673" s="8">
        <f>Dashboard!$C$20*A673^2</f>
        <v>360192.8</v>
      </c>
      <c r="I673" s="8">
        <f t="shared" si="48"/>
        <v>398290.4895229761</v>
      </c>
      <c r="J673" s="8">
        <f>Dashboard!$C$13*A673</f>
        <v>134200</v>
      </c>
      <c r="K673" s="8">
        <f>Dashboard!$C$14*A673</f>
        <v>201300</v>
      </c>
      <c r="L673" s="8">
        <f>Dashboard!$C$21-K673</f>
        <v>1298700</v>
      </c>
      <c r="M673" s="8">
        <f t="shared" si="49"/>
        <v>766209.5104770239</v>
      </c>
      <c r="N673" s="8">
        <f t="shared" si="50"/>
        <v>335500</v>
      </c>
      <c r="O673" s="8">
        <f>Dashboard!$C$15*(Dashboard!$C$16*EXP(-Dashboard!$C$16*A673)*E673-(1-EXP(-Dashboard!$C$16*A673))*Dashboard!$C$17/Dashboard!$C$19*E673*(1-E673))</f>
        <v>-3.6782428501453586E-3</v>
      </c>
      <c r="P673" s="8">
        <f>Dashboard!$C$9*B673*Dashboard!$C$11*(-Dashboard!$C$12*(1-F673)-O673)+2*Dashboard!$C$20*A673</f>
        <v>94166.335675074137</v>
      </c>
      <c r="Q673" s="8">
        <f>-P673-Dashboard!$C$13-Dashboard!$C$14</f>
        <v>-144166.33567507414</v>
      </c>
    </row>
    <row r="674" spans="1:17" x14ac:dyDescent="0.25">
      <c r="A674" s="5">
        <f>(674-2)/100</f>
        <v>6.72</v>
      </c>
      <c r="B674" s="5">
        <f>Dashboard!$C$10*EXP(-Dashboard!$C$12*A674)</f>
        <v>1.9035722900469527E-2</v>
      </c>
      <c r="C674" s="5">
        <f>Dashboard!$C$17*A674</f>
        <v>5376</v>
      </c>
      <c r="D674" s="5">
        <f>Dashboard!$C$15*(1-EXP(-Dashboard!$C$16*A674))</f>
        <v>0.77221179284420916</v>
      </c>
      <c r="E674" s="5">
        <f>1/(1+EXP(MIN(700,MAX(-700,(C674-Dashboard!$C$18)/Dashboard!$C$19))))</f>
        <v>3.5876397018165108E-3</v>
      </c>
      <c r="F674" s="5">
        <f t="shared" si="47"/>
        <v>2.7704176862187917E-3</v>
      </c>
      <c r="G674" s="8">
        <f>Dashboard!$C$9*B674*Dashboard!$C$11*(1-F674)</f>
        <v>37965.971994152213</v>
      </c>
      <c r="H674" s="8">
        <f>Dashboard!$C$20*A674^2</f>
        <v>361267.19999999995</v>
      </c>
      <c r="I674" s="8">
        <f t="shared" si="48"/>
        <v>399233.17199415219</v>
      </c>
      <c r="J674" s="8">
        <f>Dashboard!$C$13*A674</f>
        <v>134400</v>
      </c>
      <c r="K674" s="8">
        <f>Dashboard!$C$14*A674</f>
        <v>201600</v>
      </c>
      <c r="L674" s="8">
        <f>Dashboard!$C$21-K674</f>
        <v>1298400</v>
      </c>
      <c r="M674" s="8">
        <f t="shared" si="49"/>
        <v>764766.82800584775</v>
      </c>
      <c r="N674" s="8">
        <f t="shared" si="50"/>
        <v>336000</v>
      </c>
      <c r="O674" s="8">
        <f>Dashboard!$C$15*(Dashboard!$C$16*EXP(-Dashboard!$C$16*A674)*E674-(1-EXP(-Dashboard!$C$16*A674))*Dashboard!$C$17/Dashboard!$C$19*E674*(1-E674))</f>
        <v>-3.6307908633655891E-3</v>
      </c>
      <c r="P674" s="8">
        <f>Dashboard!$C$9*B674*Dashboard!$C$11*(-Dashboard!$C$12*(1-F674)-O674)+2*Dashboard!$C$20*A674</f>
        <v>94370.139259615898</v>
      </c>
      <c r="Q674" s="8">
        <f>-P674-Dashboard!$C$13-Dashboard!$C$14</f>
        <v>-144370.13925961591</v>
      </c>
    </row>
    <row r="675" spans="1:17" x14ac:dyDescent="0.25">
      <c r="A675" s="5">
        <f>(675-2)/100</f>
        <v>6.73</v>
      </c>
      <c r="B675" s="5">
        <f>Dashboard!$C$10*EXP(-Dashboard!$C$12*A675)</f>
        <v>1.8969214328213482E-2</v>
      </c>
      <c r="C675" s="5">
        <f>Dashboard!$C$17*A675</f>
        <v>5384</v>
      </c>
      <c r="D675" s="5">
        <f>Dashboard!$C$15*(1-EXP(-Dashboard!$C$16*A675))</f>
        <v>0.77235038710559678</v>
      </c>
      <c r="E675" s="5">
        <f>1/(1+EXP(MIN(700,MAX(-700,(C675-Dashboard!$C$18)/Dashboard!$C$19))))</f>
        <v>3.5402902209465065E-3</v>
      </c>
      <c r="F675" s="5">
        <f t="shared" si="47"/>
        <v>2.7343445226141929E-3</v>
      </c>
      <c r="G675" s="8">
        <f>Dashboard!$C$9*B675*Dashboard!$C$11*(1-F675)</f>
        <v>37834.69192183367</v>
      </c>
      <c r="H675" s="8">
        <f>Dashboard!$C$20*A675^2</f>
        <v>362343.2</v>
      </c>
      <c r="I675" s="8">
        <f t="shared" si="48"/>
        <v>400177.89192183368</v>
      </c>
      <c r="J675" s="8">
        <f>Dashboard!$C$13*A675</f>
        <v>134600</v>
      </c>
      <c r="K675" s="8">
        <f>Dashboard!$C$14*A675</f>
        <v>201900</v>
      </c>
      <c r="L675" s="8">
        <f>Dashboard!$C$21-K675</f>
        <v>1298100</v>
      </c>
      <c r="M675" s="8">
        <f t="shared" si="49"/>
        <v>763322.10807816638</v>
      </c>
      <c r="N675" s="8">
        <f t="shared" si="50"/>
        <v>336500</v>
      </c>
      <c r="O675" s="8">
        <f>Dashboard!$C$15*(Dashboard!$C$16*EXP(-Dashboard!$C$16*A675)*E675-(1-EXP(-Dashboard!$C$16*A675))*Dashboard!$C$17/Dashboard!$C$19*E675*(1-E675))</f>
        <v>-3.5839417055152714E-3</v>
      </c>
      <c r="P675" s="8">
        <f>Dashboard!$C$9*B675*Dashboard!$C$11*(-Dashboard!$C$12*(1-F675)-O675)+2*Dashboard!$C$20*A675</f>
        <v>94573.8269440617</v>
      </c>
      <c r="Q675" s="8">
        <f>-P675-Dashboard!$C$13-Dashboard!$C$14</f>
        <v>-144573.8269440617</v>
      </c>
    </row>
    <row r="676" spans="1:17" x14ac:dyDescent="0.25">
      <c r="A676" s="5">
        <f>(676-2)/100</f>
        <v>6.74</v>
      </c>
      <c r="B676" s="5">
        <f>Dashboard!$C$10*EXP(-Dashboard!$C$12*A676)</f>
        <v>1.8902938129070179E-2</v>
      </c>
      <c r="C676" s="5">
        <f>Dashboard!$C$17*A676</f>
        <v>5392</v>
      </c>
      <c r="D676" s="5">
        <f>Dashboard!$C$15*(1-EXP(-Dashboard!$C$16*A676))</f>
        <v>0.77248829012522191</v>
      </c>
      <c r="E676" s="5">
        <f>1/(1+EXP(MIN(700,MAX(-700,(C676-Dashboard!$C$18)/Dashboard!$C$19))))</f>
        <v>3.4935634650006616E-3</v>
      </c>
      <c r="F676" s="5">
        <f t="shared" si="47"/>
        <v>2.6987368675223068E-3</v>
      </c>
      <c r="G676" s="8">
        <f>Dashboard!$C$9*B676*Dashboard!$C$11*(1-F676)</f>
        <v>37703.848146073527</v>
      </c>
      <c r="H676" s="8">
        <f>Dashboard!$C$20*A676^2</f>
        <v>363420.80000000005</v>
      </c>
      <c r="I676" s="8">
        <f t="shared" si="48"/>
        <v>401124.64814607357</v>
      </c>
      <c r="J676" s="8">
        <f>Dashboard!$C$13*A676</f>
        <v>134800</v>
      </c>
      <c r="K676" s="8">
        <f>Dashboard!$C$14*A676</f>
        <v>202200</v>
      </c>
      <c r="L676" s="8">
        <f>Dashboard!$C$21-K676</f>
        <v>1297800</v>
      </c>
      <c r="M676" s="8">
        <f t="shared" si="49"/>
        <v>761875.35185392643</v>
      </c>
      <c r="N676" s="8">
        <f t="shared" si="50"/>
        <v>337000</v>
      </c>
      <c r="O676" s="8">
        <f>Dashboard!$C$15*(Dashboard!$C$16*EXP(-Dashboard!$C$16*A676)*E676-(1-EXP(-Dashboard!$C$16*A676))*Dashboard!$C$17/Dashboard!$C$19*E676*(1-E676))</f>
        <v>-3.5376879264279282E-3</v>
      </c>
      <c r="P676" s="8">
        <f>Dashboard!$C$9*B676*Dashboard!$C$11*(-Dashboard!$C$12*(1-F676)-O676)+2*Dashboard!$C$20*A676</f>
        <v>94777.398540860711</v>
      </c>
      <c r="Q676" s="8">
        <f>-P676-Dashboard!$C$13-Dashboard!$C$14</f>
        <v>-144777.39854086071</v>
      </c>
    </row>
    <row r="677" spans="1:17" x14ac:dyDescent="0.25">
      <c r="A677" s="5">
        <f>(677-2)/100</f>
        <v>6.75</v>
      </c>
      <c r="B677" s="5">
        <f>Dashboard!$C$10*EXP(-Dashboard!$C$12*A677)</f>
        <v>1.8836893491155339E-2</v>
      </c>
      <c r="C677" s="5">
        <f>Dashboard!$C$17*A677</f>
        <v>5400</v>
      </c>
      <c r="D677" s="5">
        <f>Dashboard!$C$15*(1-EXP(-Dashboard!$C$16*A677))</f>
        <v>0.77262550535066721</v>
      </c>
      <c r="E677" s="5">
        <f>1/(1+EXP(MIN(700,MAX(-700,(C677-Dashboard!$C$18)/Dashboard!$C$19))))</f>
        <v>3.4474513015635634E-3</v>
      </c>
      <c r="F677" s="5">
        <f t="shared" si="47"/>
        <v>2.6635888040423637E-3</v>
      </c>
      <c r="G677" s="8">
        <f>Dashboard!$C$9*B677*Dashboard!$C$11*(1-F677)</f>
        <v>37573.439505098715</v>
      </c>
      <c r="H677" s="8">
        <f>Dashboard!$C$20*A677^2</f>
        <v>364500</v>
      </c>
      <c r="I677" s="8">
        <f t="shared" si="48"/>
        <v>402073.43950509874</v>
      </c>
      <c r="J677" s="8">
        <f>Dashboard!$C$13*A677</f>
        <v>135000</v>
      </c>
      <c r="K677" s="8">
        <f>Dashboard!$C$14*A677</f>
        <v>202500</v>
      </c>
      <c r="L677" s="8">
        <f>Dashboard!$C$21-K677</f>
        <v>1297500</v>
      </c>
      <c r="M677" s="8">
        <f t="shared" si="49"/>
        <v>760426.56049490126</v>
      </c>
      <c r="N677" s="8">
        <f t="shared" si="50"/>
        <v>337500</v>
      </c>
      <c r="O677" s="8">
        <f>Dashboard!$C$15*(Dashboard!$C$16*EXP(-Dashboard!$C$16*A677)*E677-(1-EXP(-Dashboard!$C$16*A677))*Dashboard!$C$17/Dashboard!$C$19*E677*(1-E677))</f>
        <v>-3.4920221631998074E-3</v>
      </c>
      <c r="P677" s="8">
        <f>Dashboard!$C$9*B677*Dashboard!$C$11*(-Dashboard!$C$12*(1-F677)-O677)+2*Dashboard!$C$20*A677</f>
        <v>94980.853872329346</v>
      </c>
      <c r="Q677" s="8">
        <f>-P677-Dashboard!$C$13-Dashboard!$C$14</f>
        <v>-144980.85387232935</v>
      </c>
    </row>
    <row r="678" spans="1:17" x14ac:dyDescent="0.25">
      <c r="A678" s="5">
        <f>(678-2)/100</f>
        <v>6.76</v>
      </c>
      <c r="B678" s="5">
        <f>Dashboard!$C$10*EXP(-Dashboard!$C$12*A678)</f>
        <v>1.8771079605421327E-2</v>
      </c>
      <c r="C678" s="5">
        <f>Dashboard!$C$17*A678</f>
        <v>5408</v>
      </c>
      <c r="D678" s="5">
        <f>Dashboard!$C$15*(1-EXP(-Dashboard!$C$16*A678))</f>
        <v>0.77276203621232054</v>
      </c>
      <c r="E678" s="5">
        <f>1/(1+EXP(MIN(700,MAX(-700,(C678-Dashboard!$C$18)/Dashboard!$C$19))))</f>
        <v>3.4019457029172643E-3</v>
      </c>
      <c r="F678" s="5">
        <f t="shared" si="47"/>
        <v>2.6288944884700991E-3</v>
      </c>
      <c r="G678" s="8">
        <f>Dashboard!$C$9*B678*Dashboard!$C$11*(1-F678)</f>
        <v>37443.464835407998</v>
      </c>
      <c r="H678" s="8">
        <f>Dashboard!$C$20*A678^2</f>
        <v>365580.79999999993</v>
      </c>
      <c r="I678" s="8">
        <f t="shared" si="48"/>
        <v>403024.26483540796</v>
      </c>
      <c r="J678" s="8">
        <f>Dashboard!$C$13*A678</f>
        <v>135200</v>
      </c>
      <c r="K678" s="8">
        <f>Dashboard!$C$14*A678</f>
        <v>202800</v>
      </c>
      <c r="L678" s="8">
        <f>Dashboard!$C$21-K678</f>
        <v>1297200</v>
      </c>
      <c r="M678" s="8">
        <f t="shared" si="49"/>
        <v>758975.73516459204</v>
      </c>
      <c r="N678" s="8">
        <f t="shared" si="50"/>
        <v>338000</v>
      </c>
      <c r="O678" s="8">
        <f>Dashboard!$C$15*(Dashboard!$C$16*EXP(-Dashboard!$C$16*A678)*E678-(1-EXP(-Dashboard!$C$16*A678))*Dashboard!$C$17/Dashboard!$C$19*E678*(1-E678))</f>
        <v>-3.4469371392836443E-3</v>
      </c>
      <c r="P678" s="8">
        <f>Dashboard!$C$9*B678*Dashboard!$C$11*(-Dashboard!$C$12*(1-F678)-O678)+2*Dashboard!$C$20*A678</f>
        <v>95184.19277047996</v>
      </c>
      <c r="Q678" s="8">
        <f>-P678-Dashboard!$C$13-Dashboard!$C$14</f>
        <v>-145184.19277047995</v>
      </c>
    </row>
    <row r="679" spans="1:17" x14ac:dyDescent="0.25">
      <c r="A679" s="5">
        <f>(679-2)/100</f>
        <v>6.77</v>
      </c>
      <c r="B679" s="5">
        <f>Dashboard!$C$10*EXP(-Dashboard!$C$12*A679)</f>
        <v>1.8705495665647217E-2</v>
      </c>
      <c r="C679" s="5">
        <f>Dashboard!$C$17*A679</f>
        <v>5416</v>
      </c>
      <c r="D679" s="5">
        <f>Dashboard!$C$15*(1-EXP(-Dashboard!$C$16*A679))</f>
        <v>0.77289788612346055</v>
      </c>
      <c r="E679" s="5">
        <f>1/(1+EXP(MIN(700,MAX(-700,(C679-Dashboard!$C$18)/Dashboard!$C$19))))</f>
        <v>3.3570387447329889E-3</v>
      </c>
      <c r="F679" s="5">
        <f t="shared" ref="F679:F742" si="51">D679*E679</f>
        <v>2.5946481494386825E-3</v>
      </c>
      <c r="G679" s="8">
        <f>Dashboard!$C$9*B679*Dashboard!$C$11*(1-F679)</f>
        <v>37313.922971868022</v>
      </c>
      <c r="H679" s="8">
        <f>Dashboard!$C$20*A679^2</f>
        <v>366663.19999999995</v>
      </c>
      <c r="I679" s="8">
        <f t="shared" ref="I679:I742" si="52">G679+H679</f>
        <v>403977.12297186797</v>
      </c>
      <c r="J679" s="8">
        <f>Dashboard!$C$13*A679</f>
        <v>135400</v>
      </c>
      <c r="K679" s="8">
        <f>Dashboard!$C$14*A679</f>
        <v>203100</v>
      </c>
      <c r="L679" s="8">
        <f>Dashboard!$C$21-K679</f>
        <v>1296900</v>
      </c>
      <c r="M679" s="8">
        <f t="shared" ref="M679:M742" si="53">L679-I679-J679</f>
        <v>757522.87702813209</v>
      </c>
      <c r="N679" s="8">
        <f t="shared" ref="N679:N742" si="54">J679+K679</f>
        <v>338500</v>
      </c>
      <c r="O679" s="8">
        <f>Dashboard!$C$15*(Dashboard!$C$16*EXP(-Dashboard!$C$16*A679)*E679-(1-EXP(-Dashboard!$C$16*A679))*Dashboard!$C$17/Dashboard!$C$19*E679*(1-E679))</f>
        <v>-3.4024256635889014E-3</v>
      </c>
      <c r="P679" s="8">
        <f>Dashboard!$C$9*B679*Dashboard!$C$11*(-Dashboard!$C$12*(1-F679)-O679)+2*Dashboard!$C$20*A679</f>
        <v>95387.415076852092</v>
      </c>
      <c r="Q679" s="8">
        <f>-P679-Dashboard!$C$13-Dashboard!$C$14</f>
        <v>-145387.41507685208</v>
      </c>
    </row>
    <row r="680" spans="1:17" x14ac:dyDescent="0.25">
      <c r="A680" s="5">
        <f>(680-2)/100</f>
        <v>6.78</v>
      </c>
      <c r="B680" s="5">
        <f>Dashboard!$C$10*EXP(-Dashboard!$C$12*A680)</f>
        <v>1.8640140868428922E-2</v>
      </c>
      <c r="C680" s="5">
        <f>Dashboard!$C$17*A680</f>
        <v>5424</v>
      </c>
      <c r="D680" s="5">
        <f>Dashboard!$C$15*(1-EXP(-Dashboard!$C$16*A680))</f>
        <v>0.77303305848034221</v>
      </c>
      <c r="E680" s="5">
        <f>1/(1+EXP(MIN(700,MAX(-700,(C680-Dashboard!$C$18)/Dashboard!$C$19))))</f>
        <v>3.3127226047781726E-3</v>
      </c>
      <c r="F680" s="5">
        <f t="shared" si="51"/>
        <v>2.5608440870686366E-3</v>
      </c>
      <c r="G680" s="8">
        <f>Dashboard!$C$9*B680*Dashboard!$C$11*(1-F680)</f>
        <v>37184.812747807766</v>
      </c>
      <c r="H680" s="8">
        <f>Dashboard!$C$20*A680^2</f>
        <v>367747.2</v>
      </c>
      <c r="I680" s="8">
        <f t="shared" si="52"/>
        <v>404932.01274780778</v>
      </c>
      <c r="J680" s="8">
        <f>Dashboard!$C$13*A680</f>
        <v>135600</v>
      </c>
      <c r="K680" s="8">
        <f>Dashboard!$C$14*A680</f>
        <v>203400</v>
      </c>
      <c r="L680" s="8">
        <f>Dashboard!$C$21-K680</f>
        <v>1296600</v>
      </c>
      <c r="M680" s="8">
        <f t="shared" si="53"/>
        <v>756067.98725219222</v>
      </c>
      <c r="N680" s="8">
        <f t="shared" si="54"/>
        <v>339000</v>
      </c>
      <c r="O680" s="8">
        <f>Dashboard!$C$15*(Dashboard!$C$16*EXP(-Dashboard!$C$16*A680)*E680-(1-EXP(-Dashboard!$C$16*A680))*Dashboard!$C$17/Dashboard!$C$19*E680*(1-E680))</f>
        <v>-3.3584806295885051E-3</v>
      </c>
      <c r="P680" s="8">
        <f>Dashboard!$C$9*B680*Dashboard!$C$11*(-Dashboard!$C$12*(1-F680)-O680)+2*Dashboard!$C$20*A680</f>
        <v>95590.52064234612</v>
      </c>
      <c r="Q680" s="8">
        <f>-P680-Dashboard!$C$13-Dashboard!$C$14</f>
        <v>-145590.52064234612</v>
      </c>
    </row>
    <row r="681" spans="1:17" x14ac:dyDescent="0.25">
      <c r="A681" s="5">
        <f>(681-2)/100</f>
        <v>6.79</v>
      </c>
      <c r="B681" s="5">
        <f>Dashboard!$C$10*EXP(-Dashboard!$C$12*A681)</f>
        <v>1.8575014413169364E-2</v>
      </c>
      <c r="C681" s="5">
        <f>Dashboard!$C$17*A681</f>
        <v>5432</v>
      </c>
      <c r="D681" s="5">
        <f>Dashboard!$C$15*(1-EXP(-Dashboard!$C$16*A681))</f>
        <v>0.7731675566622811</v>
      </c>
      <c r="E681" s="5">
        <f>1/(1+EXP(MIN(700,MAX(-700,(C681-Dashboard!$C$18)/Dashboard!$C$19))))</f>
        <v>3.2689895616386192E-3</v>
      </c>
      <c r="F681" s="5">
        <f t="shared" si="51"/>
        <v>2.5274766721266324E-3</v>
      </c>
      <c r="G681" s="8">
        <f>Dashboard!$C$9*B681*Dashboard!$C$11*(1-F681)</f>
        <v>37056.132995111322</v>
      </c>
      <c r="H681" s="8">
        <f>Dashboard!$C$20*A681^2</f>
        <v>368832.80000000005</v>
      </c>
      <c r="I681" s="8">
        <f t="shared" si="52"/>
        <v>405888.93299511139</v>
      </c>
      <c r="J681" s="8">
        <f>Dashboard!$C$13*A681</f>
        <v>135800</v>
      </c>
      <c r="K681" s="8">
        <f>Dashboard!$C$14*A681</f>
        <v>203700</v>
      </c>
      <c r="L681" s="8">
        <f>Dashboard!$C$21-K681</f>
        <v>1296300</v>
      </c>
      <c r="M681" s="8">
        <f t="shared" si="53"/>
        <v>754611.06700488855</v>
      </c>
      <c r="N681" s="8">
        <f t="shared" si="54"/>
        <v>339500</v>
      </c>
      <c r="O681" s="8">
        <f>Dashboard!$C$15*(Dashboard!$C$16*EXP(-Dashboard!$C$16*A681)*E681-(1-EXP(-Dashboard!$C$16*A681))*Dashboard!$C$17/Dashboard!$C$19*E681*(1-E681))</f>
        <v>-3.3150950144320897E-3</v>
      </c>
      <c r="P681" s="8">
        <f>Dashboard!$C$9*B681*Dashboard!$C$11*(-Dashboard!$C$12*(1-F681)-O681)+2*Dashboard!$C$20*A681</f>
        <v>95793.509327059248</v>
      </c>
      <c r="Q681" s="8">
        <f>-P681-Dashboard!$C$13-Dashboard!$C$14</f>
        <v>-145793.50932705926</v>
      </c>
    </row>
    <row r="682" spans="1:17" x14ac:dyDescent="0.25">
      <c r="A682" s="5">
        <f>(682-2)/100</f>
        <v>6.8</v>
      </c>
      <c r="B682" s="5">
        <f>Dashboard!$C$10*EXP(-Dashboard!$C$12*A682)</f>
        <v>1.8510115502068658E-2</v>
      </c>
      <c r="C682" s="5">
        <f>Dashboard!$C$17*A682</f>
        <v>5440</v>
      </c>
      <c r="D682" s="5">
        <f>Dashboard!$C$15*(1-EXP(-Dashboard!$C$16*A682))</f>
        <v>0.7733013840317392</v>
      </c>
      <c r="E682" s="5">
        <f>1/(1+EXP(MIN(700,MAX(-700,(C682-Dashboard!$C$18)/Dashboard!$C$19))))</f>
        <v>3.2258319934556651E-3</v>
      </c>
      <c r="F682" s="5">
        <f t="shared" si="51"/>
        <v>2.4945403451931301E-3</v>
      </c>
      <c r="G682" s="8">
        <f>Dashboard!$C$9*B682*Dashboard!$C$11*(1-F682)</f>
        <v>36927.882544309119</v>
      </c>
      <c r="H682" s="8">
        <f>Dashboard!$C$20*A682^2</f>
        <v>369919.99999999994</v>
      </c>
      <c r="I682" s="8">
        <f t="shared" si="52"/>
        <v>406847.88254430908</v>
      </c>
      <c r="J682" s="8">
        <f>Dashboard!$C$13*A682</f>
        <v>136000</v>
      </c>
      <c r="K682" s="8">
        <f>Dashboard!$C$14*A682</f>
        <v>204000</v>
      </c>
      <c r="L682" s="8">
        <f>Dashboard!$C$21-K682</f>
        <v>1296000</v>
      </c>
      <c r="M682" s="8">
        <f t="shared" si="53"/>
        <v>753152.11745569087</v>
      </c>
      <c r="N682" s="8">
        <f t="shared" si="54"/>
        <v>340000</v>
      </c>
      <c r="O682" s="8">
        <f>Dashboard!$C$15*(Dashboard!$C$16*EXP(-Dashboard!$C$16*A682)*E682-(1-EXP(-Dashboard!$C$16*A682))*Dashboard!$C$17/Dashboard!$C$19*E682*(1-E682))</f>
        <v>-3.2722618780658187E-3</v>
      </c>
      <c r="P682" s="8">
        <f>Dashboard!$C$9*B682*Dashboard!$C$11*(-Dashboard!$C$12*(1-F682)-O682)+2*Dashboard!$C$20*A682</f>
        <v>95996.381000123831</v>
      </c>
      <c r="Q682" s="8">
        <f>-P682-Dashboard!$C$13-Dashboard!$C$14</f>
        <v>-145996.38100012383</v>
      </c>
    </row>
    <row r="683" spans="1:17" x14ac:dyDescent="0.25">
      <c r="A683" s="5">
        <f>(683-2)/100</f>
        <v>6.81</v>
      </c>
      <c r="B683" s="5">
        <f>Dashboard!$C$10*EXP(-Dashboard!$C$12*A683)</f>
        <v>1.8445443340114328E-2</v>
      </c>
      <c r="C683" s="5">
        <f>Dashboard!$C$17*A683</f>
        <v>5448</v>
      </c>
      <c r="D683" s="5">
        <f>Dashboard!$C$15*(1-EXP(-Dashboard!$C$16*A683))</f>
        <v>0.77343454393440747</v>
      </c>
      <c r="E683" s="5">
        <f>1/(1+EXP(MIN(700,MAX(-700,(C683-Dashboard!$C$18)/Dashboard!$C$19))))</f>
        <v>3.1832423766782096E-3</v>
      </c>
      <c r="F683" s="5">
        <f t="shared" si="51"/>
        <v>2.4620296158387902E-3</v>
      </c>
      <c r="G683" s="8">
        <f>Dashboard!$C$9*B683*Dashboard!$C$11*(1-F683)</f>
        <v>36800.060224667381</v>
      </c>
      <c r="H683" s="8">
        <f>Dashboard!$C$20*A683^2</f>
        <v>371008.79999999993</v>
      </c>
      <c r="I683" s="8">
        <f t="shared" si="52"/>
        <v>407808.8602246673</v>
      </c>
      <c r="J683" s="8">
        <f>Dashboard!$C$13*A683</f>
        <v>136200</v>
      </c>
      <c r="K683" s="8">
        <f>Dashboard!$C$14*A683</f>
        <v>204300</v>
      </c>
      <c r="L683" s="8">
        <f>Dashboard!$C$21-K683</f>
        <v>1295700</v>
      </c>
      <c r="M683" s="8">
        <f t="shared" si="53"/>
        <v>751691.13977533276</v>
      </c>
      <c r="N683" s="8">
        <f t="shared" si="54"/>
        <v>340500</v>
      </c>
      <c r="O683" s="8">
        <f>Dashboard!$C$15*(Dashboard!$C$16*EXP(-Dashboard!$C$16*A683)*E683-(1-EXP(-Dashboard!$C$16*A683))*Dashboard!$C$17/Dashboard!$C$19*E683*(1-E683))</f>
        <v>-3.2299743623587993E-3</v>
      </c>
      <c r="P683" s="8">
        <f>Dashboard!$C$9*B683*Dashboard!$C$11*(-Dashboard!$C$12*(1-F683)-O683)+2*Dashboard!$C$20*A683</f>
        <v>96199.135539548239</v>
      </c>
      <c r="Q683" s="8">
        <f>-P683-Dashboard!$C$13-Dashboard!$C$14</f>
        <v>-146199.13553954824</v>
      </c>
    </row>
    <row r="684" spans="1:17" x14ac:dyDescent="0.25">
      <c r="A684" s="5">
        <f>(684-2)/100</f>
        <v>6.82</v>
      </c>
      <c r="B684" s="5">
        <f>Dashboard!$C$10*EXP(-Dashboard!$C$12*A684)</f>
        <v>1.8380997135071568E-2</v>
      </c>
      <c r="C684" s="5">
        <f>Dashboard!$C$17*A684</f>
        <v>5456</v>
      </c>
      <c r="D684" s="5">
        <f>Dashboard!$C$15*(1-EXP(-Dashboard!$C$16*A684))</f>
        <v>0.77356703969929042</v>
      </c>
      <c r="E684" s="5">
        <f>1/(1+EXP(MIN(700,MAX(-700,(C684-Dashboard!$C$18)/Dashboard!$C$19))))</f>
        <v>3.1412132848294273E-3</v>
      </c>
      <c r="F684" s="5">
        <f t="shared" si="51"/>
        <v>2.4299390618095842E-3</v>
      </c>
      <c r="G684" s="8">
        <f>Dashboard!$C$9*B684*Dashboard!$C$11*(1-F684)</f>
        <v>36672.664864276099</v>
      </c>
      <c r="H684" s="8">
        <f>Dashboard!$C$20*A684^2</f>
        <v>372099.20000000007</v>
      </c>
      <c r="I684" s="8">
        <f t="shared" si="52"/>
        <v>408771.86486427614</v>
      </c>
      <c r="J684" s="8">
        <f>Dashboard!$C$13*A684</f>
        <v>136400</v>
      </c>
      <c r="K684" s="8">
        <f>Dashboard!$C$14*A684</f>
        <v>204600</v>
      </c>
      <c r="L684" s="8">
        <f>Dashboard!$C$21-K684</f>
        <v>1295400</v>
      </c>
      <c r="M684" s="8">
        <f t="shared" si="53"/>
        <v>750228.13513572386</v>
      </c>
      <c r="N684" s="8">
        <f t="shared" si="54"/>
        <v>341000</v>
      </c>
      <c r="O684" s="8">
        <f>Dashboard!$C$15*(Dashboard!$C$16*EXP(-Dashboard!$C$16*A684)*E684-(1-EXP(-Dashboard!$C$16*A684))*Dashboard!$C$17/Dashboard!$C$19*E684*(1-E684))</f>
        <v>-3.1882256902360899E-3</v>
      </c>
      <c r="P684" s="8">
        <f>Dashboard!$C$9*B684*Dashboard!$C$11*(-Dashboard!$C$12*(1-F684)-O684)+2*Dashboard!$C$20*A684</f>
        <v>96401.772832059753</v>
      </c>
      <c r="Q684" s="8">
        <f>-P684-Dashboard!$C$13-Dashboard!$C$14</f>
        <v>-146401.77283205977</v>
      </c>
    </row>
    <row r="685" spans="1:17" x14ac:dyDescent="0.25">
      <c r="A685" s="5">
        <f>(685-2)/100</f>
        <v>6.83</v>
      </c>
      <c r="B685" s="5">
        <f>Dashboard!$C$10*EXP(-Dashboard!$C$12*A685)</f>
        <v>1.8316776097473578E-2</v>
      </c>
      <c r="C685" s="5">
        <f>Dashboard!$C$17*A685</f>
        <v>5464</v>
      </c>
      <c r="D685" s="5">
        <f>Dashboard!$C$15*(1-EXP(-Dashboard!$C$16*A685))</f>
        <v>0.77369887463878928</v>
      </c>
      <c r="E685" s="5">
        <f>1/(1+EXP(MIN(700,MAX(-700,(C685-Dashboard!$C$18)/Dashboard!$C$19))))</f>
        <v>3.0997373872880367E-3</v>
      </c>
      <c r="F685" s="5">
        <f t="shared" si="51"/>
        <v>2.3982633282205348E-3</v>
      </c>
      <c r="G685" s="8">
        <f>Dashboard!$C$9*B685*Dashboard!$C$11*(1-F685)</f>
        <v>36545.695290135562</v>
      </c>
      <c r="H685" s="8">
        <f>Dashboard!$C$20*A685^2</f>
        <v>373191.19999999995</v>
      </c>
      <c r="I685" s="8">
        <f t="shared" si="52"/>
        <v>409736.89529013552</v>
      </c>
      <c r="J685" s="8">
        <f>Dashboard!$C$13*A685</f>
        <v>136600</v>
      </c>
      <c r="K685" s="8">
        <f>Dashboard!$C$14*A685</f>
        <v>204900</v>
      </c>
      <c r="L685" s="8">
        <f>Dashboard!$C$21-K685</f>
        <v>1295100</v>
      </c>
      <c r="M685" s="8">
        <f t="shared" si="53"/>
        <v>748763.10470986448</v>
      </c>
      <c r="N685" s="8">
        <f t="shared" si="54"/>
        <v>341500</v>
      </c>
      <c r="O685" s="8">
        <f>Dashboard!$C$15*(Dashboard!$C$16*EXP(-Dashboard!$C$16*A685)*E685-(1-EXP(-Dashboard!$C$16*A685))*Dashboard!$C$17/Dashboard!$C$19*E685*(1-E685))</f>
        <v>-3.1470091648183695E-3</v>
      </c>
      <c r="P685" s="8">
        <f>Dashboard!$C$9*B685*Dashboard!$C$11*(-Dashboard!$C$12*(1-F685)-O685)+2*Dashboard!$C$20*A685</f>
        <v>96604.292772949906</v>
      </c>
      <c r="Q685" s="8">
        <f>-P685-Dashboard!$C$13-Dashboard!$C$14</f>
        <v>-146604.29277294991</v>
      </c>
    </row>
    <row r="686" spans="1:17" x14ac:dyDescent="0.25">
      <c r="A686" s="5">
        <f>(686-2)/100</f>
        <v>6.84</v>
      </c>
      <c r="B686" s="5">
        <f>Dashboard!$C$10*EXP(-Dashboard!$C$12*A686)</f>
        <v>1.8252779440611839E-2</v>
      </c>
      <c r="C686" s="5">
        <f>Dashboard!$C$17*A686</f>
        <v>5472</v>
      </c>
      <c r="D686" s="5">
        <f>Dashboard!$C$15*(1-EXP(-Dashboard!$C$16*A686))</f>
        <v>0.77383005204878419</v>
      </c>
      <c r="E686" s="5">
        <f>1/(1+EXP(MIN(700,MAX(-700,(C686-Dashboard!$C$18)/Dashboard!$C$19))))</f>
        <v>3.0588074480839928E-3</v>
      </c>
      <c r="F686" s="5">
        <f t="shared" si="51"/>
        <v>2.3669971267580451E-3</v>
      </c>
      <c r="G686" s="8">
        <f>Dashboard!$C$9*B686*Dashboard!$C$11*(1-F686)</f>
        <v>36419.150328241121</v>
      </c>
      <c r="H686" s="8">
        <f>Dashboard!$C$20*A686^2</f>
        <v>374284.79999999999</v>
      </c>
      <c r="I686" s="8">
        <f t="shared" si="52"/>
        <v>410703.9503282411</v>
      </c>
      <c r="J686" s="8">
        <f>Dashboard!$C$13*A686</f>
        <v>136800</v>
      </c>
      <c r="K686" s="8">
        <f>Dashboard!$C$14*A686</f>
        <v>205200</v>
      </c>
      <c r="L686" s="8">
        <f>Dashboard!$C$21-K686</f>
        <v>1294800</v>
      </c>
      <c r="M686" s="8">
        <f t="shared" si="53"/>
        <v>747296.0496717589</v>
      </c>
      <c r="N686" s="8">
        <f t="shared" si="54"/>
        <v>342000</v>
      </c>
      <c r="O686" s="8">
        <f>Dashboard!$C$15*(Dashboard!$C$16*EXP(-Dashboard!$C$16*A686)*E686-(1-EXP(-Dashboard!$C$16*A686))*Dashboard!$C$17/Dashboard!$C$19*E686*(1-E686))</f>
        <v>-3.1063181685682577E-3</v>
      </c>
      <c r="P686" s="8">
        <f>Dashboard!$C$9*B686*Dashboard!$C$11*(-Dashboard!$C$12*(1-F686)-O686)+2*Dashboard!$C$20*A686</f>
        <v>96806.695265922084</v>
      </c>
      <c r="Q686" s="8">
        <f>-P686-Dashboard!$C$13-Dashboard!$C$14</f>
        <v>-146806.69526592208</v>
      </c>
    </row>
    <row r="687" spans="1:17" x14ac:dyDescent="0.25">
      <c r="A687" s="5">
        <f>(687-2)/100</f>
        <v>6.85</v>
      </c>
      <c r="B687" s="5">
        <f>Dashboard!$C$10*EXP(-Dashboard!$C$12*A687)</f>
        <v>1.8189006380526503E-2</v>
      </c>
      <c r="C687" s="5">
        <f>Dashboard!$C$17*A687</f>
        <v>5480</v>
      </c>
      <c r="D687" s="5">
        <f>Dashboard!$C$15*(1-EXP(-Dashboard!$C$16*A687))</f>
        <v>0.77396057520871731</v>
      </c>
      <c r="E687" s="5">
        <f>1/(1+EXP(MIN(700,MAX(-700,(C687-Dashboard!$C$18)/Dashboard!$C$19))))</f>
        <v>3.0184163247084241E-3</v>
      </c>
      <c r="F687" s="5">
        <f t="shared" si="51"/>
        <v>2.3361352348907146E-3</v>
      </c>
      <c r="G687" s="8">
        <f>Dashboard!$C$9*B687*Dashboard!$C$11*(1-F687)</f>
        <v>36293.02880366661</v>
      </c>
      <c r="H687" s="8">
        <f>Dashboard!$C$20*A687^2</f>
        <v>375379.99999999994</v>
      </c>
      <c r="I687" s="8">
        <f t="shared" si="52"/>
        <v>411673.02880366653</v>
      </c>
      <c r="J687" s="8">
        <f>Dashboard!$C$13*A687</f>
        <v>137000</v>
      </c>
      <c r="K687" s="8">
        <f>Dashboard!$C$14*A687</f>
        <v>205500</v>
      </c>
      <c r="L687" s="8">
        <f>Dashboard!$C$21-K687</f>
        <v>1294500</v>
      </c>
      <c r="M687" s="8">
        <f t="shared" si="53"/>
        <v>745826.97119633341</v>
      </c>
      <c r="N687" s="8">
        <f t="shared" si="54"/>
        <v>342500</v>
      </c>
      <c r="O687" s="8">
        <f>Dashboard!$C$15*(Dashboard!$C$16*EXP(-Dashboard!$C$16*A687)*E687-(1-EXP(-Dashboard!$C$16*A687))*Dashboard!$C$17/Dashboard!$C$19*E687*(1-E687))</f>
        <v>-3.0661461624433123E-3</v>
      </c>
      <c r="P687" s="8">
        <f>Dashboard!$C$9*B687*Dashboard!$C$11*(-Dashboard!$C$12*(1-F687)-O687)+2*Dashboard!$C$20*A687</f>
        <v>97008.980222941304</v>
      </c>
      <c r="Q687" s="8">
        <f>-P687-Dashboard!$C$13-Dashboard!$C$14</f>
        <v>-147008.98022294132</v>
      </c>
    </row>
    <row r="688" spans="1:17" x14ac:dyDescent="0.25">
      <c r="A688" s="5">
        <f>(688-2)/100</f>
        <v>6.86</v>
      </c>
      <c r="B688" s="5">
        <f>Dashboard!$C$10*EXP(-Dashboard!$C$12*A688)</f>
        <v>1.8125456135996778E-2</v>
      </c>
      <c r="C688" s="5">
        <f>Dashboard!$C$17*A688</f>
        <v>5488</v>
      </c>
      <c r="D688" s="5">
        <f>Dashboard!$C$15*(1-EXP(-Dashboard!$C$16*A688))</f>
        <v>0.77409044738167443</v>
      </c>
      <c r="E688" s="5">
        <f>1/(1+EXP(MIN(700,MAX(-700,(C688-Dashboard!$C$18)/Dashboard!$C$19))))</f>
        <v>2.9785569669376782E-3</v>
      </c>
      <c r="F688" s="5">
        <f t="shared" si="51"/>
        <v>2.3056724950885907E-3</v>
      </c>
      <c r="G688" s="8">
        <f>Dashboard!$C$9*B688*Dashboard!$C$11*(1-F688)</f>
        <v>36167.329540646148</v>
      </c>
      <c r="H688" s="8">
        <f>Dashboard!$C$20*A688^2</f>
        <v>376476.80000000005</v>
      </c>
      <c r="I688" s="8">
        <f t="shared" si="52"/>
        <v>412644.12954064622</v>
      </c>
      <c r="J688" s="8">
        <f>Dashboard!$C$13*A688</f>
        <v>137200</v>
      </c>
      <c r="K688" s="8">
        <f>Dashboard!$C$14*A688</f>
        <v>205800</v>
      </c>
      <c r="L688" s="8">
        <f>Dashboard!$C$21-K688</f>
        <v>1294200</v>
      </c>
      <c r="M688" s="8">
        <f t="shared" si="53"/>
        <v>744355.87045935378</v>
      </c>
      <c r="N688" s="8">
        <f t="shared" si="54"/>
        <v>343000</v>
      </c>
      <c r="O688" s="8">
        <f>Dashboard!$C$15*(Dashboard!$C$16*EXP(-Dashboard!$C$16*A688)*E688-(1-EXP(-Dashboard!$C$16*A688))*Dashboard!$C$17/Dashboard!$C$19*E688*(1-E688))</f>
        <v>-3.0264866850557137E-3</v>
      </c>
      <c r="P688" s="8">
        <f>Dashboard!$C$9*B688*Dashboard!$C$11*(-Dashboard!$C$12*(1-F688)-O688)+2*Dashboard!$C$20*A688</f>
        <v>97211.147564086161</v>
      </c>
      <c r="Q688" s="8">
        <f>-P688-Dashboard!$C$13-Dashboard!$C$14</f>
        <v>-147211.14756408616</v>
      </c>
    </row>
    <row r="689" spans="1:17" x14ac:dyDescent="0.25">
      <c r="A689" s="5">
        <f>(689-2)/100</f>
        <v>6.87</v>
      </c>
      <c r="B689" s="5">
        <f>Dashboard!$C$10*EXP(-Dashboard!$C$12*A689)</f>
        <v>1.8062127928531378E-2</v>
      </c>
      <c r="C689" s="5">
        <f>Dashboard!$C$17*A689</f>
        <v>5496</v>
      </c>
      <c r="D689" s="5">
        <f>Dashboard!$C$15*(1-EXP(-Dashboard!$C$16*A689))</f>
        <v>0.7742196718144666</v>
      </c>
      <c r="E689" s="5">
        <f>1/(1+EXP(MIN(700,MAX(-700,(C689-Dashboard!$C$18)/Dashboard!$C$19))))</f>
        <v>2.9392224156713645E-3</v>
      </c>
      <c r="F689" s="5">
        <f t="shared" si="51"/>
        <v>2.2756038140508074E-3</v>
      </c>
      <c r="G689" s="8">
        <f>Dashboard!$C$9*B689*Dashboard!$C$11*(1-F689)</f>
        <v>36042.051362654674</v>
      </c>
      <c r="H689" s="8">
        <f>Dashboard!$C$20*A689^2</f>
        <v>377575.2</v>
      </c>
      <c r="I689" s="8">
        <f t="shared" si="52"/>
        <v>413617.25136265467</v>
      </c>
      <c r="J689" s="8">
        <f>Dashboard!$C$13*A689</f>
        <v>137400</v>
      </c>
      <c r="K689" s="8">
        <f>Dashboard!$C$14*A689</f>
        <v>206100</v>
      </c>
      <c r="L689" s="8">
        <f>Dashboard!$C$21-K689</f>
        <v>1293900</v>
      </c>
      <c r="M689" s="8">
        <f t="shared" si="53"/>
        <v>742882.74863734539</v>
      </c>
      <c r="N689" s="8">
        <f t="shared" si="54"/>
        <v>343500</v>
      </c>
      <c r="O689" s="8">
        <f>Dashboard!$C$15*(Dashboard!$C$16*EXP(-Dashboard!$C$16*A689)*E689-(1-EXP(-Dashboard!$C$16*A689))*Dashboard!$C$17/Dashboard!$C$19*E689*(1-E689))</f>
        <v>-2.9873333518386745E-3</v>
      </c>
      <c r="P689" s="8">
        <f>Dashboard!$C$9*B689*Dashboard!$C$11*(-Dashboard!$C$12*(1-F689)-O689)+2*Dashboard!$C$20*A689</f>
        <v>97413.197217403023</v>
      </c>
      <c r="Q689" s="8">
        <f>-P689-Dashboard!$C$13-Dashboard!$C$14</f>
        <v>-147413.19721740304</v>
      </c>
    </row>
    <row r="690" spans="1:17" x14ac:dyDescent="0.25">
      <c r="A690" s="5">
        <f>(690-2)/100</f>
        <v>6.88</v>
      </c>
      <c r="B690" s="5">
        <f>Dashboard!$C$10*EXP(-Dashboard!$C$12*A690)</f>
        <v>1.7999020982358983E-2</v>
      </c>
      <c r="C690" s="5">
        <f>Dashboard!$C$17*A690</f>
        <v>5504</v>
      </c>
      <c r="D690" s="5">
        <f>Dashboard!$C$15*(1-EXP(-Dashboard!$C$16*A690))</f>
        <v>0.77434825173771138</v>
      </c>
      <c r="E690" s="5">
        <f>1/(1+EXP(MIN(700,MAX(-700,(C690-Dashboard!$C$18)/Dashboard!$C$19))))</f>
        <v>2.9004058017842002E-3</v>
      </c>
      <c r="F690" s="5">
        <f t="shared" si="51"/>
        <v>2.2459241619415104E-3</v>
      </c>
      <c r="G690" s="8">
        <f>Dashboard!$C$9*B690*Dashboard!$C$11*(1-F690)</f>
        <v>35917.193092486821</v>
      </c>
      <c r="H690" s="8">
        <f>Dashboard!$C$20*A690^2</f>
        <v>378675.19999999995</v>
      </c>
      <c r="I690" s="8">
        <f t="shared" si="52"/>
        <v>414592.39309248677</v>
      </c>
      <c r="J690" s="8">
        <f>Dashboard!$C$13*A690</f>
        <v>137600</v>
      </c>
      <c r="K690" s="8">
        <f>Dashboard!$C$14*A690</f>
        <v>206400</v>
      </c>
      <c r="L690" s="8">
        <f>Dashboard!$C$21-K690</f>
        <v>1293600</v>
      </c>
      <c r="M690" s="8">
        <f t="shared" si="53"/>
        <v>741407.60690751323</v>
      </c>
      <c r="N690" s="8">
        <f t="shared" si="54"/>
        <v>344000</v>
      </c>
      <c r="O690" s="8">
        <f>Dashboard!$C$15*(Dashboard!$C$16*EXP(-Dashboard!$C$16*A690)*E690-(1-EXP(-Dashboard!$C$16*A690))*Dashboard!$C$17/Dashboard!$C$19*E690*(1-E690))</f>
        <v>-2.9486798542195393E-3</v>
      </c>
      <c r="P690" s="8">
        <f>Dashboard!$C$9*B690*Dashboard!$C$11*(-Dashboard!$C$12*(1-F690)-O690)+2*Dashboard!$C$20*A690</f>
        <v>97615.129118762328</v>
      </c>
      <c r="Q690" s="8">
        <f>-P690-Dashboard!$C$13-Dashboard!$C$14</f>
        <v>-147615.12911876233</v>
      </c>
    </row>
    <row r="691" spans="1:17" x14ac:dyDescent="0.25">
      <c r="A691" s="5">
        <f>(691-2)/100</f>
        <v>6.89</v>
      </c>
      <c r="B691" s="5">
        <f>Dashboard!$C$10*EXP(-Dashboard!$C$12*A691)</f>
        <v>1.7936134524418706E-2</v>
      </c>
      <c r="C691" s="5">
        <f>Dashboard!$C$17*A691</f>
        <v>5512</v>
      </c>
      <c r="D691" s="5">
        <f>Dashboard!$C$15*(1-EXP(-Dashboard!$C$16*A691))</f>
        <v>0.77447619036591364</v>
      </c>
      <c r="E691" s="5">
        <f>1/(1+EXP(MIN(700,MAX(-700,(C691-Dashboard!$C$18)/Dashboard!$C$19))))</f>
        <v>2.8621003449915403E-3</v>
      </c>
      <c r="F691" s="5">
        <f t="shared" si="51"/>
        <v>2.2166285716340153E-3</v>
      </c>
      <c r="G691" s="8">
        <f>Dashboard!$C$9*B691*Dashboard!$C$11*(1-F691)</f>
        <v>35792.75355233442</v>
      </c>
      <c r="H691" s="8">
        <f>Dashboard!$C$20*A691^2</f>
        <v>379776.8</v>
      </c>
      <c r="I691" s="8">
        <f t="shared" si="52"/>
        <v>415569.55355233443</v>
      </c>
      <c r="J691" s="8">
        <f>Dashboard!$C$13*A691</f>
        <v>137800</v>
      </c>
      <c r="K691" s="8">
        <f>Dashboard!$C$14*A691</f>
        <v>206700</v>
      </c>
      <c r="L691" s="8">
        <f>Dashboard!$C$21-K691</f>
        <v>1293300</v>
      </c>
      <c r="M691" s="8">
        <f t="shared" si="53"/>
        <v>739930.44644766557</v>
      </c>
      <c r="N691" s="8">
        <f t="shared" si="54"/>
        <v>344500</v>
      </c>
      <c r="O691" s="8">
        <f>Dashboard!$C$15*(Dashboard!$C$16*EXP(-Dashboard!$C$16*A691)*E691-(1-EXP(-Dashboard!$C$16*A691))*Dashboard!$C$17/Dashboard!$C$19*E691*(1-E691))</f>
        <v>-2.9105199587996229E-3</v>
      </c>
      <c r="P691" s="8">
        <f>Dashboard!$C$9*B691*Dashboard!$C$11*(-Dashboard!$C$12*(1-F691)-O691)+2*Dashboard!$C$20*A691</f>
        <v>97816.943211717022</v>
      </c>
      <c r="Q691" s="8">
        <f>-P691-Dashboard!$C$13-Dashboard!$C$14</f>
        <v>-147816.94321171701</v>
      </c>
    </row>
    <row r="692" spans="1:17" x14ac:dyDescent="0.25">
      <c r="A692" s="5">
        <f>(692-2)/100</f>
        <v>6.9</v>
      </c>
      <c r="B692" s="5">
        <f>Dashboard!$C$10*EXP(-Dashboard!$C$12*A692)</f>
        <v>1.7873467784350641E-2</v>
      </c>
      <c r="C692" s="5">
        <f>Dashboard!$C$17*A692</f>
        <v>5520</v>
      </c>
      <c r="D692" s="5">
        <f>Dashboard!$C$15*(1-EXP(-Dashboard!$C$16*A692))</f>
        <v>0.77460349089754565</v>
      </c>
      <c r="E692" s="5">
        <f>1/(1+EXP(MIN(700,MAX(-700,(C692-Dashboard!$C$18)/Dashboard!$C$19))))</f>
        <v>2.8242993527284733E-3</v>
      </c>
      <c r="F692" s="5">
        <f t="shared" si="51"/>
        <v>2.187712137963154E-3</v>
      </c>
      <c r="G692" s="8">
        <f>Dashboard!$C$9*B692*Dashboard!$C$11*(1-F692)</f>
        <v>35668.731563862646</v>
      </c>
      <c r="H692" s="8">
        <f>Dashboard!$C$20*A692^2</f>
        <v>380880.00000000006</v>
      </c>
      <c r="I692" s="8">
        <f t="shared" si="52"/>
        <v>416548.7315638627</v>
      </c>
      <c r="J692" s="8">
        <f>Dashboard!$C$13*A692</f>
        <v>138000</v>
      </c>
      <c r="K692" s="8">
        <f>Dashboard!$C$14*A692</f>
        <v>207000</v>
      </c>
      <c r="L692" s="8">
        <f>Dashboard!$C$21-K692</f>
        <v>1293000</v>
      </c>
      <c r="M692" s="8">
        <f t="shared" si="53"/>
        <v>738451.26843613735</v>
      </c>
      <c r="N692" s="8">
        <f t="shared" si="54"/>
        <v>345000</v>
      </c>
      <c r="O692" s="8">
        <f>Dashboard!$C$15*(Dashboard!$C$16*EXP(-Dashboard!$C$16*A692)*E692-(1-EXP(-Dashboard!$C$16*A692))*Dashboard!$C$17/Dashboard!$C$19*E692*(1-E692))</f>
        <v>-2.8728475065407859E-3</v>
      </c>
      <c r="P692" s="8">
        <f>Dashboard!$C$9*B692*Dashboard!$C$11*(-Dashboard!$C$12*(1-F692)-O692)+2*Dashboard!$C$20*A692</f>
        <v>98018.639447363093</v>
      </c>
      <c r="Q692" s="8">
        <f>-P692-Dashboard!$C$13-Dashboard!$C$14</f>
        <v>-148018.63944736309</v>
      </c>
    </row>
    <row r="693" spans="1:17" x14ac:dyDescent="0.25">
      <c r="A693" s="5">
        <f>(693-2)/100</f>
        <v>6.91</v>
      </c>
      <c r="B693" s="5">
        <f>Dashboard!$C$10*EXP(-Dashboard!$C$12*A693)</f>
        <v>1.7811019994486449E-2</v>
      </c>
      <c r="C693" s="5">
        <f>Dashboard!$C$17*A693</f>
        <v>5528</v>
      </c>
      <c r="D693" s="5">
        <f>Dashboard!$C$15*(1-EXP(-Dashboard!$C$16*A693))</f>
        <v>0.77473015651512744</v>
      </c>
      <c r="E693" s="5">
        <f>1/(1+EXP(MIN(700,MAX(-700,(C693-Dashboard!$C$18)/Dashboard!$C$19))))</f>
        <v>2.7869962190422812E-3</v>
      </c>
      <c r="F693" s="5">
        <f t="shared" si="51"/>
        <v>2.1591700169856947E-3</v>
      </c>
      <c r="G693" s="8">
        <f>Dashboard!$C$9*B693*Dashboard!$C$11*(1-F693)</f>
        <v>35545.12594828484</v>
      </c>
      <c r="H693" s="8">
        <f>Dashboard!$C$20*A693^2</f>
        <v>381984.8</v>
      </c>
      <c r="I693" s="8">
        <f t="shared" si="52"/>
        <v>417529.9259482848</v>
      </c>
      <c r="J693" s="8">
        <f>Dashboard!$C$13*A693</f>
        <v>138200</v>
      </c>
      <c r="K693" s="8">
        <f>Dashboard!$C$14*A693</f>
        <v>207300</v>
      </c>
      <c r="L693" s="8">
        <f>Dashboard!$C$21-K693</f>
        <v>1292700</v>
      </c>
      <c r="M693" s="8">
        <f t="shared" si="53"/>
        <v>736970.0740517152</v>
      </c>
      <c r="N693" s="8">
        <f t="shared" si="54"/>
        <v>345500</v>
      </c>
      <c r="O693" s="8">
        <f>Dashboard!$C$15*(Dashboard!$C$16*EXP(-Dashboard!$C$16*A693)*E693-(1-EXP(-Dashboard!$C$16*A693))*Dashboard!$C$17/Dashboard!$C$19*E693*(1-E693))</f>
        <v>-2.835656411958716E-3</v>
      </c>
      <c r="P693" s="8">
        <f>Dashboard!$C$9*B693*Dashboard!$C$11*(-Dashboard!$C$12*(1-F693)-O693)+2*Dashboard!$C$20*A693</f>
        <v>98220.21778420209</v>
      </c>
      <c r="Q693" s="8">
        <f>-P693-Dashboard!$C$13-Dashboard!$C$14</f>
        <v>-148220.21778420208</v>
      </c>
    </row>
    <row r="694" spans="1:17" x14ac:dyDescent="0.25">
      <c r="A694" s="5">
        <f>(694-2)/100</f>
        <v>6.92</v>
      </c>
      <c r="B694" s="5">
        <f>Dashboard!$C$10*EXP(-Dashboard!$C$12*A694)</f>
        <v>1.7748790389839921E-2</v>
      </c>
      <c r="C694" s="5">
        <f>Dashboard!$C$17*A694</f>
        <v>5536</v>
      </c>
      <c r="D694" s="5">
        <f>Dashboard!$C$15*(1-EXP(-Dashboard!$C$16*A694))</f>
        <v>0.77485619038530595</v>
      </c>
      <c r="E694" s="5">
        <f>1/(1+EXP(MIN(700,MAX(-700,(C694-Dashboard!$C$18)/Dashboard!$C$19))))</f>
        <v>2.7501844234981945E-3</v>
      </c>
      <c r="F694" s="5">
        <f t="shared" si="51"/>
        <v>2.13099742524882E-3</v>
      </c>
      <c r="G694" s="8">
        <f>Dashboard!$C$9*B694*Dashboard!$C$11*(1-F694)</f>
        <v>35421.935526435787</v>
      </c>
      <c r="H694" s="8">
        <f>Dashboard!$C$20*A694^2</f>
        <v>383091.20000000001</v>
      </c>
      <c r="I694" s="8">
        <f t="shared" si="52"/>
        <v>418513.1355264358</v>
      </c>
      <c r="J694" s="8">
        <f>Dashboard!$C$13*A694</f>
        <v>138400</v>
      </c>
      <c r="K694" s="8">
        <f>Dashboard!$C$14*A694</f>
        <v>207600</v>
      </c>
      <c r="L694" s="8">
        <f>Dashboard!$C$21-K694</f>
        <v>1292400</v>
      </c>
      <c r="M694" s="8">
        <f t="shared" si="53"/>
        <v>735486.8644735642</v>
      </c>
      <c r="N694" s="8">
        <f t="shared" si="54"/>
        <v>346000</v>
      </c>
      <c r="O694" s="8">
        <f>Dashboard!$C$15*(Dashboard!$C$16*EXP(-Dashboard!$C$16*A694)*E694-(1-EXP(-Dashboard!$C$16*A694))*Dashboard!$C$17/Dashboard!$C$19*E694*(1-E694))</f>
        <v>-2.7989406623229796E-3</v>
      </c>
      <c r="P694" s="8">
        <f>Dashboard!$C$9*B694*Dashboard!$C$11*(-Dashboard!$C$12*(1-F694)-O694)+2*Dashboard!$C$20*A694</f>
        <v>98421.678188005812</v>
      </c>
      <c r="Q694" s="8">
        <f>-P694-Dashboard!$C$13-Dashboard!$C$14</f>
        <v>-148421.67818800581</v>
      </c>
    </row>
    <row r="695" spans="1:17" x14ac:dyDescent="0.25">
      <c r="A695" s="5">
        <f>(695-2)/100</f>
        <v>6.93</v>
      </c>
      <c r="B695" s="5">
        <f>Dashboard!$C$10*EXP(-Dashboard!$C$12*A695)</f>
        <v>1.7686778208097623E-2</v>
      </c>
      <c r="C695" s="5">
        <f>Dashboard!$C$17*A695</f>
        <v>5544</v>
      </c>
      <c r="D695" s="5">
        <f>Dashboard!$C$15*(1-EXP(-Dashboard!$C$16*A695))</f>
        <v>0.77498159565893443</v>
      </c>
      <c r="E695" s="5">
        <f>1/(1+EXP(MIN(700,MAX(-700,(C695-Dashboard!$C$18)/Dashboard!$C$19))))</f>
        <v>2.7138575300982488E-3</v>
      </c>
      <c r="F695" s="5">
        <f t="shared" si="51"/>
        <v>2.1031896390665554E-3</v>
      </c>
      <c r="G695" s="8">
        <f>Dashboard!$C$9*B695*Dashboard!$C$11*(1-F695)</f>
        <v>35299.159118843767</v>
      </c>
      <c r="H695" s="8">
        <f>Dashboard!$C$20*A695^2</f>
        <v>384199.19999999995</v>
      </c>
      <c r="I695" s="8">
        <f t="shared" si="52"/>
        <v>419498.35911884374</v>
      </c>
      <c r="J695" s="8">
        <f>Dashboard!$C$13*A695</f>
        <v>138600</v>
      </c>
      <c r="K695" s="8">
        <f>Dashboard!$C$14*A695</f>
        <v>207900</v>
      </c>
      <c r="L695" s="8">
        <f>Dashboard!$C$21-K695</f>
        <v>1292100</v>
      </c>
      <c r="M695" s="8">
        <f t="shared" si="53"/>
        <v>734001.64088115632</v>
      </c>
      <c r="N695" s="8">
        <f t="shared" si="54"/>
        <v>346500</v>
      </c>
      <c r="O695" s="8">
        <f>Dashboard!$C$15*(Dashboard!$C$16*EXP(-Dashboard!$C$16*A695)*E695-(1-EXP(-Dashboard!$C$16*A695))*Dashboard!$C$17/Dashboard!$C$19*E695*(1-E695))</f>
        <v>-2.7626943168637778E-3</v>
      </c>
      <c r="P695" s="8">
        <f>Dashboard!$C$9*B695*Dashboard!$C$11*(-Dashboard!$C$12*(1-F695)-O695)+2*Dashboard!$C$20*A695</f>
        <v>98623.020631682972</v>
      </c>
      <c r="Q695" s="8">
        <f>-P695-Dashboard!$C$13-Dashboard!$C$14</f>
        <v>-148623.02063168297</v>
      </c>
    </row>
    <row r="696" spans="1:17" x14ac:dyDescent="0.25">
      <c r="A696" s="5">
        <f>(696-2)/100</f>
        <v>6.94</v>
      </c>
      <c r="B696" s="5">
        <f>Dashboard!$C$10*EXP(-Dashboard!$C$12*A696)</f>
        <v>1.7624982689609544E-2</v>
      </c>
      <c r="C696" s="5">
        <f>Dashboard!$C$17*A696</f>
        <v>5552</v>
      </c>
      <c r="D696" s="5">
        <f>Dashboard!$C$15*(1-EXP(-Dashboard!$C$16*A696))</f>
        <v>0.77510637547115135</v>
      </c>
      <c r="E696" s="5">
        <f>1/(1+EXP(MIN(700,MAX(-700,(C696-Dashboard!$C$18)/Dashboard!$C$19))))</f>
        <v>2.6780091862131168E-3</v>
      </c>
      <c r="F696" s="5">
        <f t="shared" si="51"/>
        <v>2.0757419938040966E-3</v>
      </c>
      <c r="G696" s="8">
        <f>Dashboard!$C$9*B696*Dashboard!$C$11*(1-F696)</f>
        <v>35176.795545801302</v>
      </c>
      <c r="H696" s="8">
        <f>Dashboard!$C$20*A696^2</f>
        <v>385308.80000000005</v>
      </c>
      <c r="I696" s="8">
        <f t="shared" si="52"/>
        <v>420485.59554580133</v>
      </c>
      <c r="J696" s="8">
        <f>Dashboard!$C$13*A696</f>
        <v>138800</v>
      </c>
      <c r="K696" s="8">
        <f>Dashboard!$C$14*A696</f>
        <v>208200</v>
      </c>
      <c r="L696" s="8">
        <f>Dashboard!$C$21-K696</f>
        <v>1291800</v>
      </c>
      <c r="M696" s="8">
        <f t="shared" si="53"/>
        <v>732514.40445419867</v>
      </c>
      <c r="N696" s="8">
        <f t="shared" si="54"/>
        <v>347000</v>
      </c>
      <c r="O696" s="8">
        <f>Dashboard!$C$15*(Dashboard!$C$16*EXP(-Dashboard!$C$16*A696)*E696-(1-EXP(-Dashboard!$C$16*A696))*Dashboard!$C$17/Dashboard!$C$19*E696*(1-E696))</f>
        <v>-2.726911505985443E-3</v>
      </c>
      <c r="P696" s="8">
        <f>Dashboard!$C$9*B696*Dashboard!$C$11*(-Dashboard!$C$12*(1-F696)-O696)+2*Dashboard!$C$20*A696</f>
        <v>98824.245095147722</v>
      </c>
      <c r="Q696" s="8">
        <f>-P696-Dashboard!$C$13-Dashboard!$C$14</f>
        <v>-148824.24509514772</v>
      </c>
    </row>
    <row r="697" spans="1:17" x14ac:dyDescent="0.25">
      <c r="A697" s="5">
        <f>(697-2)/100</f>
        <v>6.95</v>
      </c>
      <c r="B697" s="5">
        <f>Dashboard!$C$10*EXP(-Dashboard!$C$12*A697)</f>
        <v>1.7563403077379813E-2</v>
      </c>
      <c r="C697" s="5">
        <f>Dashboard!$C$17*A697</f>
        <v>5560</v>
      </c>
      <c r="D697" s="5">
        <f>Dashboard!$C$15*(1-EXP(-Dashboard!$C$16*A697))</f>
        <v>0.77523053294145861</v>
      </c>
      <c r="E697" s="5">
        <f>1/(1+EXP(MIN(700,MAX(-700,(C697-Dashboard!$C$18)/Dashboard!$C$19))))</f>
        <v>2.6426331215268144E-3</v>
      </c>
      <c r="F697" s="5">
        <f t="shared" si="51"/>
        <v>2.0486498831699825E-3</v>
      </c>
      <c r="G697" s="8">
        <f>Dashboard!$C$9*B697*Dashboard!$C$11*(1-F697)</f>
        <v>35054.843627434544</v>
      </c>
      <c r="H697" s="8">
        <f>Dashboard!$C$20*A697^2</f>
        <v>386420</v>
      </c>
      <c r="I697" s="8">
        <f t="shared" si="52"/>
        <v>421474.84362743457</v>
      </c>
      <c r="J697" s="8">
        <f>Dashboard!$C$13*A697</f>
        <v>139000</v>
      </c>
      <c r="K697" s="8">
        <f>Dashboard!$C$14*A697</f>
        <v>208500</v>
      </c>
      <c r="L697" s="8">
        <f>Dashboard!$C$21-K697</f>
        <v>1291500</v>
      </c>
      <c r="M697" s="8">
        <f t="shared" si="53"/>
        <v>731025.15637256543</v>
      </c>
      <c r="N697" s="8">
        <f t="shared" si="54"/>
        <v>347500</v>
      </c>
      <c r="O697" s="8">
        <f>Dashboard!$C$15*(Dashboard!$C$16*EXP(-Dashboard!$C$16*A697)*E697-(1-EXP(-Dashboard!$C$16*A697))*Dashboard!$C$17/Dashboard!$C$19*E697*(1-E697))</f>
        <v>-2.6915864304866729E-3</v>
      </c>
      <c r="P697" s="8">
        <f>Dashboard!$C$9*B697*Dashboard!$C$11*(-Dashboard!$C$12*(1-F697)-O697)+2*Dashboard!$C$20*A697</f>
        <v>99025.351565190402</v>
      </c>
      <c r="Q697" s="8">
        <f>-P697-Dashboard!$C$13-Dashboard!$C$14</f>
        <v>-149025.35156519042</v>
      </c>
    </row>
    <row r="698" spans="1:17" x14ac:dyDescent="0.25">
      <c r="A698" s="5">
        <f>(698-2)/100</f>
        <v>6.96</v>
      </c>
      <c r="B698" s="5">
        <f>Dashboard!$C$10*EXP(-Dashboard!$C$12*A698)</f>
        <v>1.7502038617057427E-2</v>
      </c>
      <c r="C698" s="5">
        <f>Dashboard!$C$17*A698</f>
        <v>5568</v>
      </c>
      <c r="D698" s="5">
        <f>Dashboard!$C$15*(1-EXP(-Dashboard!$C$16*A698))</f>
        <v>0.77535407117379918</v>
      </c>
      <c r="E698" s="5">
        <f>1/(1+EXP(MIN(700,MAX(-700,(C698-Dashboard!$C$18)/Dashboard!$C$19))))</f>
        <v>2.6077231469940855E-3</v>
      </c>
      <c r="F698" s="5">
        <f t="shared" si="51"/>
        <v>2.0219087585160158E-3</v>
      </c>
      <c r="G698" s="8">
        <f>Dashboard!$C$9*B698*Dashboard!$C$11*(1-F698)</f>
        <v>34933.302183771426</v>
      </c>
      <c r="H698" s="8">
        <f>Dashboard!$C$20*A698^2</f>
        <v>387532.79999999999</v>
      </c>
      <c r="I698" s="8">
        <f t="shared" si="52"/>
        <v>422466.10218377144</v>
      </c>
      <c r="J698" s="8">
        <f>Dashboard!$C$13*A698</f>
        <v>139200</v>
      </c>
      <c r="K698" s="8">
        <f>Dashboard!$C$14*A698</f>
        <v>208800</v>
      </c>
      <c r="L698" s="8">
        <f>Dashboard!$C$21-K698</f>
        <v>1291200</v>
      </c>
      <c r="M698" s="8">
        <f t="shared" si="53"/>
        <v>729533.89781622856</v>
      </c>
      <c r="N698" s="8">
        <f t="shared" si="54"/>
        <v>348000</v>
      </c>
      <c r="O698" s="8">
        <f>Dashboard!$C$15*(Dashboard!$C$16*EXP(-Dashboard!$C$16*A698)*E698-(1-EXP(-Dashboard!$C$16*A698))*Dashboard!$C$17/Dashboard!$C$19*E698*(1-E698))</f>
        <v>-2.6567133607874717E-3</v>
      </c>
      <c r="P698" s="8">
        <f>Dashboard!$C$9*B698*Dashboard!$C$11*(-Dashboard!$C$12*(1-F698)-O698)+2*Dashboard!$C$20*A698</f>
        <v>99226.340035349916</v>
      </c>
      <c r="Q698" s="8">
        <f>-P698-Dashboard!$C$13-Dashboard!$C$14</f>
        <v>-149226.34003534992</v>
      </c>
    </row>
    <row r="699" spans="1:17" x14ac:dyDescent="0.25">
      <c r="A699" s="5">
        <f>(699-2)/100</f>
        <v>6.97</v>
      </c>
      <c r="B699" s="5">
        <f>Dashboard!$C$10*EXP(-Dashboard!$C$12*A699)</f>
        <v>1.7440888556926961E-2</v>
      </c>
      <c r="C699" s="5">
        <f>Dashboard!$C$17*A699</f>
        <v>5576</v>
      </c>
      <c r="D699" s="5">
        <f>Dashboard!$C$15*(1-EXP(-Dashboard!$C$16*A699))</f>
        <v>0.77547699325663544</v>
      </c>
      <c r="E699" s="5">
        <f>1/(1+EXP(MIN(700,MAX(-700,(C699-Dashboard!$C$18)/Dashboard!$C$19))))</f>
        <v>2.5732731538103686E-3</v>
      </c>
      <c r="F699" s="5">
        <f t="shared" si="51"/>
        <v>1.9955141281448843E-3</v>
      </c>
      <c r="G699" s="8">
        <f>Dashboard!$C$9*B699*Dashboard!$C$11*(1-F699)</f>
        <v>34812.170034808427</v>
      </c>
      <c r="H699" s="8">
        <f>Dashboard!$C$20*A699^2</f>
        <v>388647.2</v>
      </c>
      <c r="I699" s="8">
        <f t="shared" si="52"/>
        <v>423459.37003480841</v>
      </c>
      <c r="J699" s="8">
        <f>Dashboard!$C$13*A699</f>
        <v>139400</v>
      </c>
      <c r="K699" s="8">
        <f>Dashboard!$C$14*A699</f>
        <v>209100</v>
      </c>
      <c r="L699" s="8">
        <f>Dashboard!$C$21-K699</f>
        <v>1290900</v>
      </c>
      <c r="M699" s="8">
        <f t="shared" si="53"/>
        <v>728040.62996519159</v>
      </c>
      <c r="N699" s="8">
        <f t="shared" si="54"/>
        <v>348500</v>
      </c>
      <c r="O699" s="8">
        <f>Dashboard!$C$15*(Dashboard!$C$16*EXP(-Dashboard!$C$16*A699)*E699-(1-EXP(-Dashboard!$C$16*A699))*Dashboard!$C$17/Dashboard!$C$19*E699*(1-E699))</f>
        <v>-2.622286636162801E-3</v>
      </c>
      <c r="P699" s="8">
        <f>Dashboard!$C$9*B699*Dashboard!$C$11*(-Dashboard!$C$12*(1-F699)-O699)+2*Dashboard!$C$20*A699</f>
        <v>99427.210505788316</v>
      </c>
      <c r="Q699" s="8">
        <f>-P699-Dashboard!$C$13-Dashboard!$C$14</f>
        <v>-149427.21050578833</v>
      </c>
    </row>
    <row r="700" spans="1:17" x14ac:dyDescent="0.25">
      <c r="A700" s="5">
        <f>(700-2)/100</f>
        <v>6.98</v>
      </c>
      <c r="B700" s="5">
        <f>Dashboard!$C$10*EXP(-Dashboard!$C$12*A700)</f>
        <v>1.7379952147899416E-2</v>
      </c>
      <c r="C700" s="5">
        <f>Dashboard!$C$17*A700</f>
        <v>5584</v>
      </c>
      <c r="D700" s="5">
        <f>Dashboard!$C$15*(1-EXP(-Dashboard!$C$16*A700))</f>
        <v>0.77559930226302609</v>
      </c>
      <c r="E700" s="5">
        <f>1/(1+EXP(MIN(700,MAX(-700,(C700-Dashboard!$C$18)/Dashboard!$C$19))))</f>
        <v>2.539277112394215E-3</v>
      </c>
      <c r="F700" s="5">
        <f t="shared" si="51"/>
        <v>1.9694615566254246E-3</v>
      </c>
      <c r="G700" s="8">
        <f>Dashboard!$C$9*B700*Dashboard!$C$11*(1-F700)</f>
        <v>34691.446000576281</v>
      </c>
      <c r="H700" s="8">
        <f>Dashboard!$C$20*A700^2</f>
        <v>389763.2</v>
      </c>
      <c r="I700" s="8">
        <f t="shared" si="52"/>
        <v>424454.64600057632</v>
      </c>
      <c r="J700" s="8">
        <f>Dashboard!$C$13*A700</f>
        <v>139600</v>
      </c>
      <c r="K700" s="8">
        <f>Dashboard!$C$14*A700</f>
        <v>209400</v>
      </c>
      <c r="L700" s="8">
        <f>Dashboard!$C$21-K700</f>
        <v>1290600</v>
      </c>
      <c r="M700" s="8">
        <f t="shared" si="53"/>
        <v>726545.35399942368</v>
      </c>
      <c r="N700" s="8">
        <f t="shared" si="54"/>
        <v>349000</v>
      </c>
      <c r="O700" s="8">
        <f>Dashboard!$C$15*(Dashboard!$C$16*EXP(-Dashboard!$C$16*A700)*E700-(1-EXP(-Dashboard!$C$16*A700))*Dashboard!$C$17/Dashboard!$C$19*E700*(1-E700))</f>
        <v>-2.5883006639829537E-3</v>
      </c>
      <c r="P700" s="8">
        <f>Dashboard!$C$9*B700*Dashboard!$C$11*(-Dashboard!$C$12*(1-F700)-O700)+2*Dashboard!$C$20*A700</f>
        <v>99627.962983167105</v>
      </c>
      <c r="Q700" s="8">
        <f>-P700-Dashboard!$C$13-Dashboard!$C$14</f>
        <v>-149627.96298316709</v>
      </c>
    </row>
    <row r="701" spans="1:17" x14ac:dyDescent="0.25">
      <c r="A701" s="5">
        <f>(701-2)/100</f>
        <v>6.99</v>
      </c>
      <c r="B701" s="5">
        <f>Dashboard!$C$10*EXP(-Dashboard!$C$12*A701)</f>
        <v>1.7319228643503031E-2</v>
      </c>
      <c r="C701" s="5">
        <f>Dashboard!$C$17*A701</f>
        <v>5592</v>
      </c>
      <c r="D701" s="5">
        <f>Dashboard!$C$15*(1-EXP(-Dashboard!$C$16*A701))</f>
        <v>0.77572100125070231</v>
      </c>
      <c r="E701" s="5">
        <f>1/(1+EXP(MIN(700,MAX(-700,(C701-Dashboard!$C$18)/Dashboard!$C$19))))</f>
        <v>2.5057290713819953E-3</v>
      </c>
      <c r="F701" s="5">
        <f t="shared" si="51"/>
        <v>1.943746664115434E-3</v>
      </c>
      <c r="G701" s="8">
        <f>Dashboard!$C$9*B701*Dashboard!$C$11*(1-F701)</f>
        <v>34571.128901204342</v>
      </c>
      <c r="H701" s="8">
        <f>Dashboard!$C$20*A701^2</f>
        <v>390880.80000000005</v>
      </c>
      <c r="I701" s="8">
        <f t="shared" si="52"/>
        <v>425451.92890120437</v>
      </c>
      <c r="J701" s="8">
        <f>Dashboard!$C$13*A701</f>
        <v>139800</v>
      </c>
      <c r="K701" s="8">
        <f>Dashboard!$C$14*A701</f>
        <v>209700</v>
      </c>
      <c r="L701" s="8">
        <f>Dashboard!$C$21-K701</f>
        <v>1290300</v>
      </c>
      <c r="M701" s="8">
        <f t="shared" si="53"/>
        <v>725048.07109879563</v>
      </c>
      <c r="N701" s="8">
        <f t="shared" si="54"/>
        <v>349500</v>
      </c>
      <c r="O701" s="8">
        <f>Dashboard!$C$15*(Dashboard!$C$16*EXP(-Dashboard!$C$16*A701)*E701-(1-EXP(-Dashboard!$C$16*A701))*Dashboard!$C$17/Dashboard!$C$19*E701*(1-E701))</f>
        <v>-2.5547499189605958E-3</v>
      </c>
      <c r="P701" s="8">
        <f>Dashboard!$C$9*B701*Dashboard!$C$11*(-Dashboard!$C$12*(1-F701)-O701)+2*Dashboard!$C$20*A701</f>
        <v>99828.597480525379</v>
      </c>
      <c r="Q701" s="8">
        <f>-P701-Dashboard!$C$13-Dashboard!$C$14</f>
        <v>-149828.59748052538</v>
      </c>
    </row>
    <row r="702" spans="1:17" x14ac:dyDescent="0.25">
      <c r="A702" s="5">
        <f>(702-2)/100</f>
        <v>7</v>
      </c>
      <c r="B702" s="5">
        <f>Dashboard!$C$10*EXP(-Dashboard!$C$12*A702)</f>
        <v>1.7258717299874108E-2</v>
      </c>
      <c r="C702" s="5">
        <f>Dashboard!$C$17*A702</f>
        <v>5600</v>
      </c>
      <c r="D702" s="5">
        <f>Dashboard!$C$15*(1-EXP(-Dashboard!$C$16*A702))</f>
        <v>0.77584209326214526</v>
      </c>
      <c r="E702" s="5">
        <f>1/(1+EXP(MIN(700,MAX(-700,(C702-Dashboard!$C$18)/Dashboard!$C$19))))</f>
        <v>2.4726231566347743E-3</v>
      </c>
      <c r="F702" s="5">
        <f t="shared" si="51"/>
        <v>1.9183651256919766E-3</v>
      </c>
      <c r="G702" s="8">
        <f>Dashboard!$C$9*B702*Dashboard!$C$11*(1-F702)</f>
        <v>34451.217556983705</v>
      </c>
      <c r="H702" s="8">
        <f>Dashboard!$C$20*A702^2</f>
        <v>392000</v>
      </c>
      <c r="I702" s="8">
        <f t="shared" si="52"/>
        <v>426451.2175569837</v>
      </c>
      <c r="J702" s="8">
        <f>Dashboard!$C$13*A702</f>
        <v>140000</v>
      </c>
      <c r="K702" s="8">
        <f>Dashboard!$C$14*A702</f>
        <v>210000</v>
      </c>
      <c r="L702" s="8">
        <f>Dashboard!$C$21-K702</f>
        <v>1290000</v>
      </c>
      <c r="M702" s="8">
        <f t="shared" si="53"/>
        <v>723548.7824430163</v>
      </c>
      <c r="N702" s="8">
        <f t="shared" si="54"/>
        <v>350000</v>
      </c>
      <c r="O702" s="8">
        <f>Dashboard!$C$15*(Dashboard!$C$16*EXP(-Dashboard!$C$16*A702)*E702-(1-EXP(-Dashboard!$C$16*A702))*Dashboard!$C$17/Dashboard!$C$19*E702*(1-E702))</f>
        <v>-2.5216289424044914E-3</v>
      </c>
      <c r="P702" s="8">
        <f>Dashboard!$C$9*B702*Dashboard!$C$11*(-Dashboard!$C$12*(1-F702)-O702)+2*Dashboard!$C$20*A702</f>
        <v>100029.11401715998</v>
      </c>
      <c r="Q702" s="8">
        <f>-P702-Dashboard!$C$13-Dashboard!$C$14</f>
        <v>-150029.11401715997</v>
      </c>
    </row>
    <row r="703" spans="1:17" x14ac:dyDescent="0.25">
      <c r="A703" s="5">
        <f>(703-2)/100</f>
        <v>7.01</v>
      </c>
      <c r="B703" s="5">
        <f>Dashboard!$C$10*EXP(-Dashboard!$C$12*A703)</f>
        <v>1.7198417375747933E-2</v>
      </c>
      <c r="C703" s="5">
        <f>Dashboard!$C$17*A703</f>
        <v>5608</v>
      </c>
      <c r="D703" s="5">
        <f>Dashboard!$C$15*(1-EXP(-Dashboard!$C$16*A703))</f>
        <v>0.77596258132466156</v>
      </c>
      <c r="E703" s="5">
        <f>1/(1+EXP(MIN(700,MAX(-700,(C703-Dashboard!$C$18)/Dashboard!$C$19))))</f>
        <v>2.4399535702572506E-3</v>
      </c>
      <c r="F703" s="5">
        <f t="shared" si="51"/>
        <v>1.8933126706891402E-3</v>
      </c>
      <c r="G703" s="8">
        <f>Dashboard!$C$9*B703*Dashboard!$C$11*(1-F703)</f>
        <v>34331.710788429256</v>
      </c>
      <c r="H703" s="8">
        <f>Dashboard!$C$20*A703^2</f>
        <v>393120.8</v>
      </c>
      <c r="I703" s="8">
        <f t="shared" si="52"/>
        <v>427452.51078842924</v>
      </c>
      <c r="J703" s="8">
        <f>Dashboard!$C$13*A703</f>
        <v>140200</v>
      </c>
      <c r="K703" s="8">
        <f>Dashboard!$C$14*A703</f>
        <v>210300</v>
      </c>
      <c r="L703" s="8">
        <f>Dashboard!$C$21-K703</f>
        <v>1289700</v>
      </c>
      <c r="M703" s="8">
        <f t="shared" si="53"/>
        <v>722047.4892115707</v>
      </c>
      <c r="N703" s="8">
        <f t="shared" si="54"/>
        <v>350500</v>
      </c>
      <c r="O703" s="8">
        <f>Dashboard!$C$15*(Dashboard!$C$16*EXP(-Dashboard!$C$16*A703)*E703-(1-EXP(-Dashboard!$C$16*A703))*Dashboard!$C$17/Dashboard!$C$19*E703*(1-E703))</f>
        <v>-2.4889323414799078E-3</v>
      </c>
      <c r="P703" s="8">
        <f>Dashboard!$C$9*B703*Dashboard!$C$11*(-Dashboard!$C$12*(1-F703)-O703)+2*Dashboard!$C$20*A703</f>
        <v>100229.5126185073</v>
      </c>
      <c r="Q703" s="8">
        <f>-P703-Dashboard!$C$13-Dashboard!$C$14</f>
        <v>-150229.51261850732</v>
      </c>
    </row>
    <row r="704" spans="1:17" x14ac:dyDescent="0.25">
      <c r="A704" s="5">
        <f>(704-2)/100</f>
        <v>7.02</v>
      </c>
      <c r="B704" s="5">
        <f>Dashboard!$C$10*EXP(-Dashboard!$C$12*A704)</f>
        <v>1.7138328132449671E-2</v>
      </c>
      <c r="C704" s="5">
        <f>Dashboard!$C$17*A704</f>
        <v>5616</v>
      </c>
      <c r="D704" s="5">
        <f>Dashboard!$C$15*(1-EXP(-Dashboard!$C$16*A704))</f>
        <v>0.77608246845045903</v>
      </c>
      <c r="E704" s="5">
        <f>1/(1+EXP(MIN(700,MAX(-700,(C704-Dashboard!$C$18)/Dashboard!$C$19))))</f>
        <v>2.4077145896285808E-3</v>
      </c>
      <c r="F704" s="5">
        <f t="shared" si="51"/>
        <v>1.868585082043133E-3</v>
      </c>
      <c r="G704" s="8">
        <f>Dashboard!$C$9*B704*Dashboard!$C$11*(1-F704)</f>
        <v>34212.607416340434</v>
      </c>
      <c r="H704" s="8">
        <f>Dashboard!$C$20*A704^2</f>
        <v>394243.19999999995</v>
      </c>
      <c r="I704" s="8">
        <f t="shared" si="52"/>
        <v>428455.80741634039</v>
      </c>
      <c r="J704" s="8">
        <f>Dashboard!$C$13*A704</f>
        <v>140400</v>
      </c>
      <c r="K704" s="8">
        <f>Dashboard!$C$14*A704</f>
        <v>210600</v>
      </c>
      <c r="L704" s="8">
        <f>Dashboard!$C$21-K704</f>
        <v>1289400</v>
      </c>
      <c r="M704" s="8">
        <f t="shared" si="53"/>
        <v>720544.19258365966</v>
      </c>
      <c r="N704" s="8">
        <f t="shared" si="54"/>
        <v>351000</v>
      </c>
      <c r="O704" s="8">
        <f>Dashboard!$C$15*(Dashboard!$C$16*EXP(-Dashboard!$C$16*A704)*E704-(1-EXP(-Dashboard!$C$16*A704))*Dashboard!$C$17/Dashboard!$C$19*E704*(1-E704))</f>
        <v>-2.4566547884756476E-3</v>
      </c>
      <c r="P704" s="8">
        <f>Dashboard!$C$9*B704*Dashboard!$C$11*(-Dashboard!$C$12*(1-F704)-O704)+2*Dashboard!$C$20*A704</f>
        <v>100429.79331602695</v>
      </c>
      <c r="Q704" s="8">
        <f>-P704-Dashboard!$C$13-Dashboard!$C$14</f>
        <v>-150429.79331602695</v>
      </c>
    </row>
    <row r="705" spans="1:17" x14ac:dyDescent="0.25">
      <c r="A705" s="5">
        <f>(705-2)/100</f>
        <v>7.03</v>
      </c>
      <c r="B705" s="5">
        <f>Dashboard!$C$10*EXP(-Dashboard!$C$12*A705)</f>
        <v>1.7078448833885353E-2</v>
      </c>
      <c r="C705" s="5">
        <f>Dashboard!$C$17*A705</f>
        <v>5624</v>
      </c>
      <c r="D705" s="5">
        <f>Dashboard!$C$15*(1-EXP(-Dashboard!$C$16*A705))</f>
        <v>0.77620175763672206</v>
      </c>
      <c r="E705" s="5">
        <f>1/(1+EXP(MIN(700,MAX(-700,(C705-Dashboard!$C$18)/Dashboard!$C$19))))</f>
        <v>2.3759005664449862E-3</v>
      </c>
      <c r="F705" s="5">
        <f t="shared" si="51"/>
        <v>1.8441781956446818E-3</v>
      </c>
      <c r="G705" s="8">
        <f>Dashboard!$C$9*B705*Dashboard!$C$11*(1-F705)</f>
        <v>34093.906261860939</v>
      </c>
      <c r="H705" s="8">
        <f>Dashboard!$C$20*A705^2</f>
        <v>395367.2</v>
      </c>
      <c r="I705" s="8">
        <f t="shared" si="52"/>
        <v>429461.10626186093</v>
      </c>
      <c r="J705" s="8">
        <f>Dashboard!$C$13*A705</f>
        <v>140600</v>
      </c>
      <c r="K705" s="8">
        <f>Dashboard!$C$14*A705</f>
        <v>210900</v>
      </c>
      <c r="L705" s="8">
        <f>Dashboard!$C$21-K705</f>
        <v>1289100</v>
      </c>
      <c r="M705" s="8">
        <f t="shared" si="53"/>
        <v>719038.89373813907</v>
      </c>
      <c r="N705" s="8">
        <f t="shared" si="54"/>
        <v>351500</v>
      </c>
      <c r="O705" s="8">
        <f>Dashboard!$C$15*(Dashboard!$C$16*EXP(-Dashboard!$C$16*A705)*E705-(1-EXP(-Dashboard!$C$16*A705))*Dashboard!$C$17/Dashboard!$C$19*E705*(1-E705))</f>
        <v>-2.424791020077712E-3</v>
      </c>
      <c r="P705" s="8">
        <f>Dashboard!$C$9*B705*Dashboard!$C$11*(-Dashboard!$C$12*(1-F705)-O705)+2*Dashboard!$C$20*A705</f>
        <v>100629.9561470872</v>
      </c>
      <c r="Q705" s="8">
        <f>-P705-Dashboard!$C$13-Dashboard!$C$14</f>
        <v>-150629.95614708721</v>
      </c>
    </row>
    <row r="706" spans="1:17" x14ac:dyDescent="0.25">
      <c r="A706" s="5">
        <f>(706-2)/100</f>
        <v>7.04</v>
      </c>
      <c r="B706" s="5">
        <f>Dashboard!$C$10*EXP(-Dashboard!$C$12*A706)</f>
        <v>1.7018778746532823E-2</v>
      </c>
      <c r="C706" s="5">
        <f>Dashboard!$C$17*A706</f>
        <v>5632</v>
      </c>
      <c r="D706" s="5">
        <f>Dashboard!$C$15*(1-EXP(-Dashboard!$C$16*A706))</f>
        <v>0.77632045186568643</v>
      </c>
      <c r="E706" s="5">
        <f>1/(1+EXP(MIN(700,MAX(-700,(C706-Dashboard!$C$18)/Dashboard!$C$19))))</f>
        <v>2.3445059257740297E-3</v>
      </c>
      <c r="F706" s="5">
        <f t="shared" si="51"/>
        <v>1.8200878996986742E-3</v>
      </c>
      <c r="G706" s="8">
        <f>Dashboard!$C$9*B706*Dashboard!$C$11*(1-F706)</f>
        <v>33975.606146537219</v>
      </c>
      <c r="H706" s="8">
        <f>Dashboard!$C$20*A706^2</f>
        <v>396492.79999999999</v>
      </c>
      <c r="I706" s="8">
        <f t="shared" si="52"/>
        <v>430468.40614653722</v>
      </c>
      <c r="J706" s="8">
        <f>Dashboard!$C$13*A706</f>
        <v>140800</v>
      </c>
      <c r="K706" s="8">
        <f>Dashboard!$C$14*A706</f>
        <v>211200</v>
      </c>
      <c r="L706" s="8">
        <f>Dashboard!$C$21-K706</f>
        <v>1288800</v>
      </c>
      <c r="M706" s="8">
        <f t="shared" si="53"/>
        <v>717531.59385346272</v>
      </c>
      <c r="N706" s="8">
        <f t="shared" si="54"/>
        <v>352000</v>
      </c>
      <c r="O706" s="8">
        <f>Dashboard!$C$15*(Dashboard!$C$16*EXP(-Dashboard!$C$16*A706)*E706-(1-EXP(-Dashboard!$C$16*A706))*Dashboard!$C$17/Dashboard!$C$19*E706*(1-E706))</f>
        <v>-2.3933358366495933E-3</v>
      </c>
      <c r="P706" s="8">
        <f>Dashboard!$C$9*B706*Dashboard!$C$11*(-Dashboard!$C$12*(1-F706)-O706)+2*Dashboard!$C$20*A706</f>
        <v>100830.00115485214</v>
      </c>
      <c r="Q706" s="8">
        <f>-P706-Dashboard!$C$13-Dashboard!$C$14</f>
        <v>-150830.00115485216</v>
      </c>
    </row>
    <row r="707" spans="1:17" x14ac:dyDescent="0.25">
      <c r="A707" s="5">
        <f>(707-2)/100</f>
        <v>7.05</v>
      </c>
      <c r="B707" s="5">
        <f>Dashboard!$C$10*EXP(-Dashboard!$C$12*A707)</f>
        <v>1.6959317139432765E-2</v>
      </c>
      <c r="C707" s="5">
        <f>Dashboard!$C$17*A707</f>
        <v>5640</v>
      </c>
      <c r="D707" s="5">
        <f>Dashboard!$C$15*(1-EXP(-Dashboard!$C$16*A707))</f>
        <v>0.7764385541047143</v>
      </c>
      <c r="E707" s="5">
        <f>1/(1+EXP(MIN(700,MAX(-700,(C707-Dashboard!$C$18)/Dashboard!$C$19))))</f>
        <v>2.3135251651203942E-3</v>
      </c>
      <c r="F707" s="5">
        <f t="shared" si="51"/>
        <v>1.7963101340909492E-3</v>
      </c>
      <c r="G707" s="8">
        <f>Dashboard!$C$9*B707*Dashboard!$C$11*(1-F707)</f>
        <v>33857.705892375881</v>
      </c>
      <c r="H707" s="8">
        <f>Dashboard!$C$20*A707^2</f>
        <v>397620</v>
      </c>
      <c r="I707" s="8">
        <f t="shared" si="52"/>
        <v>431477.7058923759</v>
      </c>
      <c r="J707" s="8">
        <f>Dashboard!$C$13*A707</f>
        <v>141000</v>
      </c>
      <c r="K707" s="8">
        <f>Dashboard!$C$14*A707</f>
        <v>211500</v>
      </c>
      <c r="L707" s="8">
        <f>Dashboard!$C$21-K707</f>
        <v>1288500</v>
      </c>
      <c r="M707" s="8">
        <f t="shared" si="53"/>
        <v>716022.2941076241</v>
      </c>
      <c r="N707" s="8">
        <f t="shared" si="54"/>
        <v>352500</v>
      </c>
      <c r="O707" s="8">
        <f>Dashboard!$C$15*(Dashboard!$C$16*EXP(-Dashboard!$C$16*A707)*E707-(1-EXP(-Dashboard!$C$16*A707))*Dashboard!$C$17/Dashboard!$C$19*E707*(1-E707))</f>
        <v>-2.3622841015191417E-3</v>
      </c>
      <c r="P707" s="8">
        <f>Dashboard!$C$9*B707*Dashboard!$C$11*(-Dashboard!$C$12*(1-F707)-O707)+2*Dashboard!$C$20*A707</f>
        <v>101029.92838817065</v>
      </c>
      <c r="Q707" s="8">
        <f>-P707-Dashboard!$C$13-Dashboard!$C$14</f>
        <v>-151029.92838817067</v>
      </c>
    </row>
    <row r="708" spans="1:17" x14ac:dyDescent="0.25">
      <c r="A708" s="5">
        <f>(708-2)/100</f>
        <v>7.06</v>
      </c>
      <c r="B708" s="5">
        <f>Dashboard!$C$10*EXP(-Dashboard!$C$12*A708)</f>
        <v>1.6900063284179746E-2</v>
      </c>
      <c r="C708" s="5">
        <f>Dashboard!$C$17*A708</f>
        <v>5648</v>
      </c>
      <c r="D708" s="5">
        <f>Dashboard!$C$15*(1-EXP(-Dashboard!$C$16*A708))</f>
        <v>0.77655606730636739</v>
      </c>
      <c r="E708" s="5">
        <f>1/(1+EXP(MIN(700,MAX(-700,(C708-Dashboard!$C$18)/Dashboard!$C$19))))</f>
        <v>2.2829528535030616E-3</v>
      </c>
      <c r="F708" s="5">
        <f t="shared" si="51"/>
        <v>1.772840889762187E-3</v>
      </c>
      <c r="G708" s="8">
        <f>Dashboard!$C$9*B708*Dashboard!$C$11*(1-F708)</f>
        <v>33740.204321899968</v>
      </c>
      <c r="H708" s="8">
        <f>Dashboard!$C$20*A708^2</f>
        <v>398748.8</v>
      </c>
      <c r="I708" s="8">
        <f t="shared" si="52"/>
        <v>432489.00432189996</v>
      </c>
      <c r="J708" s="8">
        <f>Dashboard!$C$13*A708</f>
        <v>141200</v>
      </c>
      <c r="K708" s="8">
        <f>Dashboard!$C$14*A708</f>
        <v>211800</v>
      </c>
      <c r="L708" s="8">
        <f>Dashboard!$C$21-K708</f>
        <v>1288200</v>
      </c>
      <c r="M708" s="8">
        <f t="shared" si="53"/>
        <v>714510.99567810004</v>
      </c>
      <c r="N708" s="8">
        <f t="shared" si="54"/>
        <v>353000</v>
      </c>
      <c r="O708" s="8">
        <f>Dashboard!$C$15*(Dashboard!$C$16*EXP(-Dashboard!$C$16*A708)*E708-(1-EXP(-Dashboard!$C$16*A708))*Dashboard!$C$17/Dashboard!$C$19*E708*(1-E708))</f>
        <v>-2.331630740271999E-3</v>
      </c>
      <c r="P708" s="8">
        <f>Dashboard!$C$9*B708*Dashboard!$C$11*(-Dashboard!$C$12*(1-F708)-O708)+2*Dashboard!$C$20*A708</f>
        <v>101229.73790146688</v>
      </c>
      <c r="Q708" s="8">
        <f>-P708-Dashboard!$C$13-Dashboard!$C$14</f>
        <v>-151229.7379014669</v>
      </c>
    </row>
    <row r="709" spans="1:17" x14ac:dyDescent="0.25">
      <c r="A709" s="5">
        <f>(709-2)/100</f>
        <v>7.07</v>
      </c>
      <c r="B709" s="5">
        <f>Dashboard!$C$10*EXP(-Dashboard!$C$12*A709)</f>
        <v>1.6841016454913284E-2</v>
      </c>
      <c r="C709" s="5">
        <f>Dashboard!$C$17*A709</f>
        <v>5656</v>
      </c>
      <c r="D709" s="5">
        <f>Dashboard!$C$15*(1-EXP(-Dashboard!$C$16*A709))</f>
        <v>0.77667299440848225</v>
      </c>
      <c r="E709" s="5">
        <f>1/(1+EXP(MIN(700,MAX(-700,(C709-Dashboard!$C$18)/Dashboard!$C$19))))</f>
        <v>2.2527836305437782E-3</v>
      </c>
      <c r="F709" s="5">
        <f t="shared" si="51"/>
        <v>1.7496762080888482E-3</v>
      </c>
      <c r="G709" s="8">
        <f>Dashboard!$C$9*B709*Dashboard!$C$11*(1-F709)</f>
        <v>33623.100258204184</v>
      </c>
      <c r="H709" s="8">
        <f>Dashboard!$C$20*A709^2</f>
        <v>399879.2</v>
      </c>
      <c r="I709" s="8">
        <f t="shared" si="52"/>
        <v>433502.30025820422</v>
      </c>
      <c r="J709" s="8">
        <f>Dashboard!$C$13*A709</f>
        <v>141400</v>
      </c>
      <c r="K709" s="8">
        <f>Dashboard!$C$14*A709</f>
        <v>212100</v>
      </c>
      <c r="L709" s="8">
        <f>Dashboard!$C$21-K709</f>
        <v>1287900</v>
      </c>
      <c r="M709" s="8">
        <f t="shared" si="53"/>
        <v>712997.69974179578</v>
      </c>
      <c r="N709" s="8">
        <f t="shared" si="54"/>
        <v>353500</v>
      </c>
      <c r="O709" s="8">
        <f>Dashboard!$C$15*(Dashboard!$C$16*EXP(-Dashboard!$C$16*A709)*E709-(1-EXP(-Dashboard!$C$16*A709))*Dashboard!$C$17/Dashboard!$C$19*E709*(1-E709))</f>
        <v>-2.3013707400515978E-3</v>
      </c>
      <c r="P709" s="8">
        <f>Dashboard!$C$9*B709*Dashboard!$C$11*(-Dashboard!$C$12*(1-F709)-O709)+2*Dashboard!$C$20*A709</f>
        <v>101429.42975463267</v>
      </c>
      <c r="Q709" s="8">
        <f>-P709-Dashboard!$C$13-Dashboard!$C$14</f>
        <v>-151429.42975463267</v>
      </c>
    </row>
    <row r="710" spans="1:17" x14ac:dyDescent="0.25">
      <c r="A710" s="5">
        <f>(710-2)/100</f>
        <v>7.08</v>
      </c>
      <c r="B710" s="5">
        <f>Dashboard!$C$10*EXP(-Dashboard!$C$12*A710)</f>
        <v>1.6782175928309006E-2</v>
      </c>
      <c r="C710" s="5">
        <f>Dashboard!$C$17*A710</f>
        <v>5664</v>
      </c>
      <c r="D710" s="5">
        <f>Dashboard!$C$15*(1-EXP(-Dashboard!$C$16*A710))</f>
        <v>0.77678933833424235</v>
      </c>
      <c r="E710" s="5">
        <f>1/(1+EXP(MIN(700,MAX(-700,(C710-Dashboard!$C$18)/Dashboard!$C$19))))</f>
        <v>2.2230122055666469E-3</v>
      </c>
      <c r="F710" s="5">
        <f t="shared" si="51"/>
        <v>1.7268121802710603E-3</v>
      </c>
      <c r="G710" s="8">
        <f>Dashboard!$C$9*B710*Dashboard!$C$11*(1-F710)</f>
        <v>33506.392525009105</v>
      </c>
      <c r="H710" s="8">
        <f>Dashboard!$C$20*A710^2</f>
        <v>401011.20000000001</v>
      </c>
      <c r="I710" s="8">
        <f t="shared" si="52"/>
        <v>434517.59252500912</v>
      </c>
      <c r="J710" s="8">
        <f>Dashboard!$C$13*A710</f>
        <v>141600</v>
      </c>
      <c r="K710" s="8">
        <f>Dashboard!$C$14*A710</f>
        <v>212400</v>
      </c>
      <c r="L710" s="8">
        <f>Dashboard!$C$21-K710</f>
        <v>1287600</v>
      </c>
      <c r="M710" s="8">
        <f t="shared" si="53"/>
        <v>711482.40747499093</v>
      </c>
      <c r="N710" s="8">
        <f t="shared" si="54"/>
        <v>354000</v>
      </c>
      <c r="O710" s="8">
        <f>Dashboard!$C$15*(Dashboard!$C$16*EXP(-Dashboard!$C$16*A710)*E710-(1-EXP(-Dashboard!$C$16*A710))*Dashboard!$C$17/Dashboard!$C$19*E710*(1-E710))</f>
        <v>-2.2714991488656669E-3</v>
      </c>
      <c r="P710" s="8">
        <f>Dashboard!$C$9*B710*Dashboard!$C$11*(-Dashboard!$C$12*(1-F710)-O710)+2*Dashboard!$C$20*A710</f>
        <v>101629.00401292134</v>
      </c>
      <c r="Q710" s="8">
        <f>-P710-Dashboard!$C$13-Dashboard!$C$14</f>
        <v>-151629.00401292136</v>
      </c>
    </row>
    <row r="711" spans="1:17" x14ac:dyDescent="0.25">
      <c r="A711" s="5">
        <f>(711-2)/100</f>
        <v>7.09</v>
      </c>
      <c r="B711" s="5">
        <f>Dashboard!$C$10*EXP(-Dashboard!$C$12*A711)</f>
        <v>1.6723540983569717E-2</v>
      </c>
      <c r="C711" s="5">
        <f>Dashboard!$C$17*A711</f>
        <v>5672</v>
      </c>
      <c r="D711" s="5">
        <f>Dashboard!$C$15*(1-EXP(-Dashboard!$C$16*A711))</f>
        <v>0.77690510199225193</v>
      </c>
      <c r="E711" s="5">
        <f>1/(1+EXP(MIN(700,MAX(-700,(C711-Dashboard!$C$18)/Dashboard!$C$19))))</f>
        <v>2.1936333567087458E-3</v>
      </c>
      <c r="F711" s="5">
        <f t="shared" si="51"/>
        <v>1.7042449467274141E-3</v>
      </c>
      <c r="G711" s="8">
        <f>Dashboard!$C$9*B711*Dashboard!$C$11*(1-F711)</f>
        <v>33390.079946714162</v>
      </c>
      <c r="H711" s="8">
        <f>Dashboard!$C$20*A711^2</f>
        <v>402144.8</v>
      </c>
      <c r="I711" s="8">
        <f t="shared" si="52"/>
        <v>435534.87994671415</v>
      </c>
      <c r="J711" s="8">
        <f>Dashboard!$C$13*A711</f>
        <v>141800</v>
      </c>
      <c r="K711" s="8">
        <f>Dashboard!$C$14*A711</f>
        <v>212700</v>
      </c>
      <c r="L711" s="8">
        <f>Dashboard!$C$21-K711</f>
        <v>1287300</v>
      </c>
      <c r="M711" s="8">
        <f t="shared" si="53"/>
        <v>709965.12005328585</v>
      </c>
      <c r="N711" s="8">
        <f t="shared" si="54"/>
        <v>354500</v>
      </c>
      <c r="O711" s="8">
        <f>Dashboard!$C$15*(Dashboard!$C$16*EXP(-Dashboard!$C$16*A711)*E711-(1-EXP(-Dashboard!$C$16*A711))*Dashboard!$C$17/Dashboard!$C$19*E711*(1-E711))</f>
        <v>-2.242011074899236E-3</v>
      </c>
      <c r="P711" s="8">
        <f>Dashboard!$C$9*B711*Dashboard!$C$11*(-Dashboard!$C$12*(1-F711)-O711)+2*Dashboard!$C$20*A711</f>
        <v>101828.46074684343</v>
      </c>
      <c r="Q711" s="8">
        <f>-P711-Dashboard!$C$13-Dashboard!$C$14</f>
        <v>-151828.46074684343</v>
      </c>
    </row>
    <row r="712" spans="1:17" x14ac:dyDescent="0.25">
      <c r="A712" s="5">
        <f>(712-2)/100</f>
        <v>7.1</v>
      </c>
      <c r="B712" s="5">
        <f>Dashboard!$C$10*EXP(-Dashboard!$C$12*A712)</f>
        <v>1.66651109024166E-2</v>
      </c>
      <c r="C712" s="5">
        <f>Dashboard!$C$17*A712</f>
        <v>5680</v>
      </c>
      <c r="D712" s="5">
        <f>Dashboard!$C$15*(1-EXP(-Dashboard!$C$16*A712))</f>
        <v>0.77702028827660852</v>
      </c>
      <c r="E712" s="5">
        <f>1/(1+EXP(MIN(700,MAX(-700,(C712-Dashboard!$C$18)/Dashboard!$C$19))))</f>
        <v>2.1646419300416614E-3</v>
      </c>
      <c r="F712" s="5">
        <f t="shared" si="51"/>
        <v>1.6819706964966059E-3</v>
      </c>
      <c r="G712" s="8">
        <f>Dashboard!$C$9*B712*Dashboard!$C$11*(1-F712)</f>
        <v>33274.161348449743</v>
      </c>
      <c r="H712" s="8">
        <f>Dashboard!$C$20*A712^2</f>
        <v>403280</v>
      </c>
      <c r="I712" s="8">
        <f t="shared" si="52"/>
        <v>436554.16134844976</v>
      </c>
      <c r="J712" s="8">
        <f>Dashboard!$C$13*A712</f>
        <v>142000</v>
      </c>
      <c r="K712" s="8">
        <f>Dashboard!$C$14*A712</f>
        <v>213000</v>
      </c>
      <c r="L712" s="8">
        <f>Dashboard!$C$21-K712</f>
        <v>1287000</v>
      </c>
      <c r="M712" s="8">
        <f t="shared" si="53"/>
        <v>708445.83865155024</v>
      </c>
      <c r="N712" s="8">
        <f t="shared" si="54"/>
        <v>355000</v>
      </c>
      <c r="O712" s="8">
        <f>Dashboard!$C$15*(Dashboard!$C$16*EXP(-Dashboard!$C$16*A712)*E712-(1-EXP(-Dashboard!$C$16*A712))*Dashboard!$C$17/Dashboard!$C$19*E712*(1-E712))</f>
        <v>-2.2129016858341288E-3</v>
      </c>
      <c r="P712" s="8">
        <f>Dashboard!$C$9*B712*Dashboard!$C$11*(-Dashboard!$C$12*(1-F712)-O712)+2*Dashboard!$C$20*A712</f>
        <v>102027.80003206374</v>
      </c>
      <c r="Q712" s="8">
        <f>-P712-Dashboard!$C$13-Dashboard!$C$14</f>
        <v>-152027.80003206374</v>
      </c>
    </row>
    <row r="713" spans="1:17" x14ac:dyDescent="0.25">
      <c r="A713" s="5">
        <f>(713-2)/100</f>
        <v>7.11</v>
      </c>
      <c r="B713" s="5">
        <f>Dashboard!$C$10*EXP(-Dashboard!$C$12*A713)</f>
        <v>1.6606884969080436E-2</v>
      </c>
      <c r="C713" s="5">
        <f>Dashboard!$C$17*A713</f>
        <v>5688</v>
      </c>
      <c r="D713" s="5">
        <f>Dashboard!$C$15*(1-EXP(-Dashboard!$C$16*A713))</f>
        <v>0.77713490006697505</v>
      </c>
      <c r="E713" s="5">
        <f>1/(1+EXP(MIN(700,MAX(-700,(C713-Dashboard!$C$18)/Dashboard!$C$19))))</f>
        <v>2.1360328387037822E-3</v>
      </c>
      <c r="F713" s="5">
        <f t="shared" si="51"/>
        <v>1.6599856666458408E-3</v>
      </c>
      <c r="G713" s="8">
        <f>Dashboard!$C$9*B713*Dashboard!$C$11*(1-F713)</f>
        <v>33158.635556128254</v>
      </c>
      <c r="H713" s="8">
        <f>Dashboard!$C$20*A713^2</f>
        <v>404416.80000000005</v>
      </c>
      <c r="I713" s="8">
        <f t="shared" si="52"/>
        <v>437575.43555612827</v>
      </c>
      <c r="J713" s="8">
        <f>Dashboard!$C$13*A713</f>
        <v>142200</v>
      </c>
      <c r="K713" s="8">
        <f>Dashboard!$C$14*A713</f>
        <v>213300</v>
      </c>
      <c r="L713" s="8">
        <f>Dashboard!$C$21-K713</f>
        <v>1286700</v>
      </c>
      <c r="M713" s="8">
        <f t="shared" si="53"/>
        <v>706924.56444387173</v>
      </c>
      <c r="N713" s="8">
        <f t="shared" si="54"/>
        <v>355500</v>
      </c>
      <c r="O713" s="8">
        <f>Dashboard!$C$15*(Dashboard!$C$16*EXP(-Dashboard!$C$16*A713)*E713-(1-EXP(-Dashboard!$C$16*A713))*Dashboard!$C$17/Dashboard!$C$19*E713*(1-E713))</f>
        <v>-2.1841662081748844E-3</v>
      </c>
      <c r="P713" s="8">
        <f>Dashboard!$C$9*B713*Dashboard!$C$11*(-Dashboard!$C$12*(1-F713)-O713)+2*Dashboard!$C$20*A713</f>
        <v>102227.02194930014</v>
      </c>
      <c r="Q713" s="8">
        <f>-P713-Dashboard!$C$13-Dashboard!$C$14</f>
        <v>-152227.02194930014</v>
      </c>
    </row>
    <row r="714" spans="1:17" x14ac:dyDescent="0.25">
      <c r="A714" s="5">
        <f>(714-2)/100</f>
        <v>7.12</v>
      </c>
      <c r="B714" s="5">
        <f>Dashboard!$C$10*EXP(-Dashboard!$C$12*A714)</f>
        <v>1.6548862470292827E-2</v>
      </c>
      <c r="C714" s="5">
        <f>Dashboard!$C$17*A714</f>
        <v>5696</v>
      </c>
      <c r="D714" s="5">
        <f>Dashboard!$C$15*(1-EXP(-Dashboard!$C$16*A714))</f>
        <v>0.77724894022865243</v>
      </c>
      <c r="E714" s="5">
        <f>1/(1+EXP(MIN(700,MAX(-700,(C714-Dashboard!$C$18)/Dashboard!$C$19))))</f>
        <v>2.1078010620432515E-3</v>
      </c>
      <c r="F714" s="5">
        <f t="shared" si="51"/>
        <v>1.6382861416859452E-3</v>
      </c>
      <c r="G714" s="8">
        <f>Dashboard!$C$9*B714*Dashboard!$C$11*(1-F714)</f>
        <v>33043.501396494161</v>
      </c>
      <c r="H714" s="8">
        <f>Dashboard!$C$20*A714^2</f>
        <v>405555.20000000001</v>
      </c>
      <c r="I714" s="8">
        <f t="shared" si="52"/>
        <v>438598.70139649417</v>
      </c>
      <c r="J714" s="8">
        <f>Dashboard!$C$13*A714</f>
        <v>142400</v>
      </c>
      <c r="K714" s="8">
        <f>Dashboard!$C$14*A714</f>
        <v>213600</v>
      </c>
      <c r="L714" s="8">
        <f>Dashboard!$C$21-K714</f>
        <v>1286400</v>
      </c>
      <c r="M714" s="8">
        <f t="shared" si="53"/>
        <v>705401.29860350583</v>
      </c>
      <c r="N714" s="8">
        <f t="shared" si="54"/>
        <v>356000</v>
      </c>
      <c r="O714" s="8">
        <f>Dashboard!$C$15*(Dashboard!$C$16*EXP(-Dashboard!$C$16*A714)*E714-(1-EXP(-Dashboard!$C$16*A714))*Dashboard!$C$17/Dashboard!$C$19*E714*(1-E714))</f>
        <v>-2.1557999265810973E-3</v>
      </c>
      <c r="P714" s="8">
        <f>Dashboard!$C$9*B714*Dashboard!$C$11*(-Dashboard!$C$12*(1-F714)-O714)+2*Dashboard!$C$20*A714</f>
        <v>102426.12658422397</v>
      </c>
      <c r="Q714" s="8">
        <f>-P714-Dashboard!$C$13-Dashboard!$C$14</f>
        <v>-152426.12658422397</v>
      </c>
    </row>
    <row r="715" spans="1:17" x14ac:dyDescent="0.25">
      <c r="A715" s="5">
        <f>(715-2)/100</f>
        <v>7.13</v>
      </c>
      <c r="B715" s="5">
        <f>Dashboard!$C$10*EXP(-Dashboard!$C$12*A715)</f>
        <v>1.649104269527742E-2</v>
      </c>
      <c r="C715" s="5">
        <f>Dashboard!$C$17*A715</f>
        <v>5704</v>
      </c>
      <c r="D715" s="5">
        <f>Dashboard!$C$15*(1-EXP(-Dashboard!$C$16*A715))</f>
        <v>0.77736241161265063</v>
      </c>
      <c r="E715" s="5">
        <f>1/(1+EXP(MIN(700,MAX(-700,(C715-Dashboard!$C$18)/Dashboard!$C$19))))</f>
        <v>2.0799416447714772E-3</v>
      </c>
      <c r="F715" s="5">
        <f t="shared" si="51"/>
        <v>1.6168684529931387E-3</v>
      </c>
      <c r="G715" s="8">
        <f>Dashboard!$C$9*B715*Dashboard!$C$11*(1-F715)</f>
        <v>32928.757697172921</v>
      </c>
      <c r="H715" s="8">
        <f>Dashboard!$C$20*A715^2</f>
        <v>406695.2</v>
      </c>
      <c r="I715" s="8">
        <f t="shared" si="52"/>
        <v>439623.95769717294</v>
      </c>
      <c r="J715" s="8">
        <f>Dashboard!$C$13*A715</f>
        <v>142600</v>
      </c>
      <c r="K715" s="8">
        <f>Dashboard!$C$14*A715</f>
        <v>213900</v>
      </c>
      <c r="L715" s="8">
        <f>Dashboard!$C$21-K715</f>
        <v>1286100</v>
      </c>
      <c r="M715" s="8">
        <f t="shared" si="53"/>
        <v>703876.04230282712</v>
      </c>
      <c r="N715" s="8">
        <f t="shared" si="54"/>
        <v>356500</v>
      </c>
      <c r="O715" s="8">
        <f>Dashboard!$C$15*(Dashboard!$C$16*EXP(-Dashboard!$C$16*A715)*E715-(1-EXP(-Dashboard!$C$16*A715))*Dashboard!$C$17/Dashboard!$C$19*E715*(1-E715))</f>
        <v>-2.1277981832061661E-3</v>
      </c>
      <c r="P715" s="8">
        <f>Dashboard!$C$9*B715*Dashboard!$C$11*(-Dashboard!$C$12*(1-F715)-O715)+2*Dashboard!$C$20*A715</f>
        <v>102625.11402736185</v>
      </c>
      <c r="Q715" s="8">
        <f>-P715-Dashboard!$C$13-Dashboard!$C$14</f>
        <v>-152625.11402736185</v>
      </c>
    </row>
    <row r="716" spans="1:17" x14ac:dyDescent="0.25">
      <c r="A716" s="5">
        <f>(716-2)/100</f>
        <v>7.14</v>
      </c>
      <c r="B716" s="5">
        <f>Dashboard!$C$10*EXP(-Dashboard!$C$12*A716)</f>
        <v>1.6433424935741261E-2</v>
      </c>
      <c r="C716" s="5">
        <f>Dashboard!$C$17*A716</f>
        <v>5712</v>
      </c>
      <c r="D716" s="5">
        <f>Dashboard!$C$15*(1-EXP(-Dashboard!$C$16*A716))</f>
        <v>0.7774753170557599</v>
      </c>
      <c r="E716" s="5">
        <f>1/(1+EXP(MIN(700,MAX(-700,(C716-Dashboard!$C$18)/Dashboard!$C$19))))</f>
        <v>2.0524496961270315E-3</v>
      </c>
      <c r="F716" s="5">
        <f t="shared" si="51"/>
        <v>1.5957289782373618E-3</v>
      </c>
      <c r="G716" s="8">
        <f>Dashboard!$C$9*B716*Dashboard!$C$11*(1-F716)</f>
        <v>32814.403286719222</v>
      </c>
      <c r="H716" s="8">
        <f>Dashboard!$C$20*A716^2</f>
        <v>407836.8</v>
      </c>
      <c r="I716" s="8">
        <f t="shared" si="52"/>
        <v>440651.20328671922</v>
      </c>
      <c r="J716" s="8">
        <f>Dashboard!$C$13*A716</f>
        <v>142800</v>
      </c>
      <c r="K716" s="8">
        <f>Dashboard!$C$14*A716</f>
        <v>214200</v>
      </c>
      <c r="L716" s="8">
        <f>Dashboard!$C$21-K716</f>
        <v>1285800</v>
      </c>
      <c r="M716" s="8">
        <f t="shared" si="53"/>
        <v>702348.79671328072</v>
      </c>
      <c r="N716" s="8">
        <f t="shared" si="54"/>
        <v>357000</v>
      </c>
      <c r="O716" s="8">
        <f>Dashboard!$C$15*(Dashboard!$C$16*EXP(-Dashboard!$C$16*A716)*E716-(1-EXP(-Dashboard!$C$16*A716))*Dashboard!$C$17/Dashboard!$C$19*E716*(1-E716))</f>
        <v>-2.1001563770423719E-3</v>
      </c>
      <c r="P716" s="8">
        <f>Dashboard!$C$9*B716*Dashboard!$C$11*(-Dashboard!$C$12*(1-F716)-O716)+2*Dashboard!$C$20*A716</f>
        <v>102823.98437399916</v>
      </c>
      <c r="Q716" s="8">
        <f>-P716-Dashboard!$C$13-Dashboard!$C$14</f>
        <v>-152823.98437399918</v>
      </c>
    </row>
    <row r="717" spans="1:17" x14ac:dyDescent="0.25">
      <c r="A717" s="5">
        <f>(717-2)/100</f>
        <v>7.15</v>
      </c>
      <c r="B717" s="5">
        <f>Dashboard!$C$10*EXP(-Dashboard!$C$12*A717)</f>
        <v>1.6376008485866053E-2</v>
      </c>
      <c r="C717" s="5">
        <f>Dashboard!$C$17*A717</f>
        <v>5720</v>
      </c>
      <c r="D717" s="5">
        <f>Dashboard!$C$15*(1-EXP(-Dashboard!$C$16*A717))</f>
        <v>0.77758765938062258</v>
      </c>
      <c r="E717" s="5">
        <f>1/(1+EXP(MIN(700,MAX(-700,(C717-Dashboard!$C$18)/Dashboard!$C$19))))</f>
        <v>2.0253203890498819E-3</v>
      </c>
      <c r="F717" s="5">
        <f t="shared" si="51"/>
        <v>1.5748641408171496E-3</v>
      </c>
      <c r="G717" s="8">
        <f>Dashboard!$C$9*B717*Dashboard!$C$11*(1-F717)</f>
        <v>32700.436994663891</v>
      </c>
      <c r="H717" s="8">
        <f>Dashboard!$C$20*A717^2</f>
        <v>408980</v>
      </c>
      <c r="I717" s="8">
        <f t="shared" si="52"/>
        <v>441680.43699466391</v>
      </c>
      <c r="J717" s="8">
        <f>Dashboard!$C$13*A717</f>
        <v>143000</v>
      </c>
      <c r="K717" s="8">
        <f>Dashboard!$C$14*A717</f>
        <v>214500</v>
      </c>
      <c r="L717" s="8">
        <f>Dashboard!$C$21-K717</f>
        <v>1285500</v>
      </c>
      <c r="M717" s="8">
        <f t="shared" si="53"/>
        <v>700819.56300533609</v>
      </c>
      <c r="N717" s="8">
        <f t="shared" si="54"/>
        <v>357500</v>
      </c>
      <c r="O717" s="8">
        <f>Dashboard!$C$15*(Dashboard!$C$16*EXP(-Dashboard!$C$16*A717)*E717-(1-EXP(-Dashboard!$C$16*A717))*Dashboard!$C$17/Dashboard!$C$19*E717*(1-E717))</f>
        <v>-2.0728699632723137E-3</v>
      </c>
      <c r="P717" s="8">
        <f>Dashboard!$C$9*B717*Dashboard!$C$11*(-Dashboard!$C$12*(1-F717)-O717)+2*Dashboard!$C$20*A717</f>
        <v>103022.73772408493</v>
      </c>
      <c r="Q717" s="8">
        <f>-P717-Dashboard!$C$13-Dashboard!$C$14</f>
        <v>-153022.73772408493</v>
      </c>
    </row>
    <row r="718" spans="1:17" x14ac:dyDescent="0.25">
      <c r="A718" s="5">
        <f>(718-2)/100</f>
        <v>7.16</v>
      </c>
      <c r="B718" s="5">
        <f>Dashboard!$C$10*EXP(-Dashboard!$C$12*A718)</f>
        <v>1.6318792642299598E-2</v>
      </c>
      <c r="C718" s="5">
        <f>Dashboard!$C$17*A718</f>
        <v>5728</v>
      </c>
      <c r="D718" s="5">
        <f>Dashboard!$C$15*(1-EXP(-Dashboard!$C$16*A718))</f>
        <v>0.77769944139580238</v>
      </c>
      <c r="E718" s="5">
        <f>1/(1+EXP(MIN(700,MAX(-700,(C718-Dashboard!$C$18)/Dashboard!$C$19))))</f>
        <v>1.9985489593657888E-3</v>
      </c>
      <c r="F718" s="5">
        <f t="shared" si="51"/>
        <v>1.5542704093009362E-3</v>
      </c>
      <c r="G718" s="8">
        <f>Dashboard!$C$9*B718*Dashboard!$C$11*(1-F718)</f>
        <v>32586.857651560309</v>
      </c>
      <c r="H718" s="8">
        <f>Dashboard!$C$20*A718^2</f>
        <v>410124.79999999999</v>
      </c>
      <c r="I718" s="8">
        <f t="shared" si="52"/>
        <v>442711.65765156032</v>
      </c>
      <c r="J718" s="8">
        <f>Dashboard!$C$13*A718</f>
        <v>143200</v>
      </c>
      <c r="K718" s="8">
        <f>Dashboard!$C$14*A718</f>
        <v>214800</v>
      </c>
      <c r="L718" s="8">
        <f>Dashboard!$C$21-K718</f>
        <v>1285200</v>
      </c>
      <c r="M718" s="8">
        <f t="shared" si="53"/>
        <v>699288.34234843962</v>
      </c>
      <c r="N718" s="8">
        <f t="shared" si="54"/>
        <v>358000</v>
      </c>
      <c r="O718" s="8">
        <f>Dashboard!$C$15*(Dashboard!$C$16*EXP(-Dashboard!$C$16*A718)*E718-(1-EXP(-Dashboard!$C$16*A718))*Dashboard!$C$17/Dashboard!$C$19*E718*(1-E718))</f>
        <v>-2.0459344526266255E-3</v>
      </c>
      <c r="P718" s="8">
        <f>Dashboard!$C$9*B718*Dashboard!$C$11*(-Dashboard!$C$12*(1-F718)-O718)+2*Dashboard!$C$20*A718</f>
        <v>103221.3741821382</v>
      </c>
      <c r="Q718" s="8">
        <f>-P718-Dashboard!$C$13-Dashboard!$C$14</f>
        <v>-153221.37418213818</v>
      </c>
    </row>
    <row r="719" spans="1:17" x14ac:dyDescent="0.25">
      <c r="A719" s="5">
        <f>(719-2)/100</f>
        <v>7.17</v>
      </c>
      <c r="B719" s="5">
        <f>Dashboard!$C$10*EXP(-Dashboard!$C$12*A719)</f>
        <v>1.6261776704147076E-2</v>
      </c>
      <c r="C719" s="5">
        <f>Dashboard!$C$17*A719</f>
        <v>5736</v>
      </c>
      <c r="D719" s="5">
        <f>Dashboard!$C$15*(1-EXP(-Dashboard!$C$16*A719))</f>
        <v>0.77781066589585568</v>
      </c>
      <c r="E719" s="5">
        <f>1/(1+EXP(MIN(700,MAX(-700,(C719-Dashboard!$C$18)/Dashboard!$C$19))))</f>
        <v>1.9721307049807733E-3</v>
      </c>
      <c r="F719" s="5">
        <f t="shared" si="51"/>
        <v>1.5339442968747587E-3</v>
      </c>
      <c r="G719" s="8">
        <f>Dashboard!$C$9*B719*Dashboard!$C$11*(1-F719)</f>
        <v>32473.664089029397</v>
      </c>
      <c r="H719" s="8">
        <f>Dashboard!$C$20*A719^2</f>
        <v>411271.19999999995</v>
      </c>
      <c r="I719" s="8">
        <f t="shared" si="52"/>
        <v>443744.86408902938</v>
      </c>
      <c r="J719" s="8">
        <f>Dashboard!$C$13*A719</f>
        <v>143400</v>
      </c>
      <c r="K719" s="8">
        <f>Dashboard!$C$14*A719</f>
        <v>215100</v>
      </c>
      <c r="L719" s="8">
        <f>Dashboard!$C$21-K719</f>
        <v>1284900</v>
      </c>
      <c r="M719" s="8">
        <f t="shared" si="53"/>
        <v>697755.13591097062</v>
      </c>
      <c r="N719" s="8">
        <f t="shared" si="54"/>
        <v>358500</v>
      </c>
      <c r="O719" s="8">
        <f>Dashboard!$C$15*(Dashboard!$C$16*EXP(-Dashboard!$C$16*A719)*E719-(1-EXP(-Dashboard!$C$16*A719))*Dashboard!$C$17/Dashboard!$C$19*E719*(1-E719))</f>
        <v>-2.0193454107479522E-3</v>
      </c>
      <c r="P719" s="8">
        <f>Dashboard!$C$9*B719*Dashboard!$C$11*(-Dashboard!$C$12*(1-F719)-O719)+2*Dashboard!$C$20*A719</f>
        <v>103419.89385715597</v>
      </c>
      <c r="Q719" s="8">
        <f>-P719-Dashboard!$C$13-Dashboard!$C$14</f>
        <v>-153419.89385715598</v>
      </c>
    </row>
    <row r="720" spans="1:17" x14ac:dyDescent="0.25">
      <c r="A720" s="5">
        <f>(720-2)/100</f>
        <v>7.18</v>
      </c>
      <c r="B720" s="5">
        <f>Dashboard!$C$10*EXP(-Dashboard!$C$12*A720)</f>
        <v>1.6204959972962531E-2</v>
      </c>
      <c r="C720" s="5">
        <f>Dashboard!$C$17*A720</f>
        <v>5744</v>
      </c>
      <c r="D720" s="5">
        <f>Dashboard!$C$15*(1-EXP(-Dashboard!$C$16*A720))</f>
        <v>0.77792133566140054</v>
      </c>
      <c r="E720" s="5">
        <f>1/(1+EXP(MIN(700,MAX(-700,(C720-Dashboard!$C$18)/Dashboard!$C$19))))</f>
        <v>1.9460609850855582E-3</v>
      </c>
      <c r="F720" s="5">
        <f t="shared" si="51"/>
        <v>1.5138823607962983E-3</v>
      </c>
      <c r="G720" s="8">
        <f>Dashboard!$C$9*B720*Dashboard!$C$11*(1-F720)</f>
        <v>32360.855139804105</v>
      </c>
      <c r="H720" s="8">
        <f>Dashboard!$C$20*A720^2</f>
        <v>412419.2</v>
      </c>
      <c r="I720" s="8">
        <f t="shared" si="52"/>
        <v>444780.05513980414</v>
      </c>
      <c r="J720" s="8">
        <f>Dashboard!$C$13*A720</f>
        <v>143600</v>
      </c>
      <c r="K720" s="8">
        <f>Dashboard!$C$14*A720</f>
        <v>215400</v>
      </c>
      <c r="L720" s="8">
        <f>Dashboard!$C$21-K720</f>
        <v>1284600</v>
      </c>
      <c r="M720" s="8">
        <f t="shared" si="53"/>
        <v>696219.94486019586</v>
      </c>
      <c r="N720" s="8">
        <f t="shared" si="54"/>
        <v>359000</v>
      </c>
      <c r="O720" s="8">
        <f>Dashboard!$C$15*(Dashboard!$C$16*EXP(-Dashboard!$C$16*A720)*E720-(1-EXP(-Dashboard!$C$16*A720))*Dashboard!$C$17/Dashboard!$C$19*E720*(1-E720))</f>
        <v>-1.9930984575611838E-3</v>
      </c>
      <c r="P720" s="8">
        <f>Dashboard!$C$9*B720*Dashboard!$C$11*(-Dashboard!$C$12*(1-F720)-O720)+2*Dashboard!$C$20*A720</f>
        <v>103618.29686252246</v>
      </c>
      <c r="Q720" s="8">
        <f>-P720-Dashboard!$C$13-Dashboard!$C$14</f>
        <v>-153618.29686252246</v>
      </c>
    </row>
    <row r="721" spans="1:17" x14ac:dyDescent="0.25">
      <c r="A721" s="5">
        <f>(721-2)/100</f>
        <v>7.19</v>
      </c>
      <c r="B721" s="5">
        <f>Dashboard!$C$10*EXP(-Dashboard!$C$12*A721)</f>
        <v>1.6148341752740301E-2</v>
      </c>
      <c r="C721" s="5">
        <f>Dashboard!$C$17*A721</f>
        <v>5752</v>
      </c>
      <c r="D721" s="5">
        <f>Dashboard!$C$15*(1-EXP(-Dashboard!$C$16*A721))</f>
        <v>0.77803145345918712</v>
      </c>
      <c r="E721" s="5">
        <f>1/(1+EXP(MIN(700,MAX(-700,(C721-Dashboard!$C$18)/Dashboard!$C$19))))</f>
        <v>1.9203352193698316E-3</v>
      </c>
      <c r="F721" s="5">
        <f t="shared" si="51"/>
        <v>1.4940812018551771E-3</v>
      </c>
      <c r="G721" s="8">
        <f>Dashboard!$C$9*B721*Dashboard!$C$11*(1-F721)</f>
        <v>32248.429637772795</v>
      </c>
      <c r="H721" s="8">
        <f>Dashboard!$C$20*A721^2</f>
        <v>413568.80000000005</v>
      </c>
      <c r="I721" s="8">
        <f t="shared" si="52"/>
        <v>445817.22963777283</v>
      </c>
      <c r="J721" s="8">
        <f>Dashboard!$C$13*A721</f>
        <v>143800</v>
      </c>
      <c r="K721" s="8">
        <f>Dashboard!$C$14*A721</f>
        <v>215700</v>
      </c>
      <c r="L721" s="8">
        <f>Dashboard!$C$21-K721</f>
        <v>1284300</v>
      </c>
      <c r="M721" s="8">
        <f t="shared" si="53"/>
        <v>694682.77036222722</v>
      </c>
      <c r="N721" s="8">
        <f t="shared" si="54"/>
        <v>359500</v>
      </c>
      <c r="O721" s="8">
        <f>Dashboard!$C$15*(Dashboard!$C$16*EXP(-Dashboard!$C$16*A721)*E721-(1-EXP(-Dashboard!$C$16*A721))*Dashboard!$C$17/Dashboard!$C$19*E721*(1-E721))</f>
        <v>-1.9671892666498639E-3</v>
      </c>
      <c r="P721" s="8">
        <f>Dashboard!$C$9*B721*Dashboard!$C$11*(-Dashboard!$C$12*(1-F721)-O721)+2*Dashboard!$C$20*A721</f>
        <v>103816.5833159199</v>
      </c>
      <c r="Q721" s="8">
        <f>-P721-Dashboard!$C$13-Dashboard!$C$14</f>
        <v>-153816.58331591991</v>
      </c>
    </row>
    <row r="722" spans="1:17" x14ac:dyDescent="0.25">
      <c r="A722" s="5">
        <f>(722-2)/100</f>
        <v>7.2</v>
      </c>
      <c r="B722" s="5">
        <f>Dashboard!$C$10*EXP(-Dashboard!$C$12*A722)</f>
        <v>1.6091921349906488E-2</v>
      </c>
      <c r="C722" s="5">
        <f>Dashboard!$C$17*A722</f>
        <v>5760</v>
      </c>
      <c r="D722" s="5">
        <f>Dashboard!$C$15*(1-EXP(-Dashboard!$C$16*A722))</f>
        <v>0.77814102204216606</v>
      </c>
      <c r="E722" s="5">
        <f>1/(1+EXP(MIN(700,MAX(-700,(C722-Dashboard!$C$18)/Dashboard!$C$19))))</f>
        <v>1.8949488872462468E-3</v>
      </c>
      <c r="F722" s="5">
        <f t="shared" si="51"/>
        <v>1.4745374638394598E-3</v>
      </c>
      <c r="G722" s="8">
        <f>Dashboard!$C$9*B722*Dashboard!$C$11*(1-F722)</f>
        <v>32136.386418021786</v>
      </c>
      <c r="H722" s="8">
        <f>Dashboard!$C$20*A722^2</f>
        <v>414720</v>
      </c>
      <c r="I722" s="8">
        <f t="shared" si="52"/>
        <v>446856.38641802181</v>
      </c>
      <c r="J722" s="8">
        <f>Dashboard!$C$13*A722</f>
        <v>144000</v>
      </c>
      <c r="K722" s="8">
        <f>Dashboard!$C$14*A722</f>
        <v>216000</v>
      </c>
      <c r="L722" s="8">
        <f>Dashboard!$C$21-K722</f>
        <v>1284000</v>
      </c>
      <c r="M722" s="8">
        <f t="shared" si="53"/>
        <v>693143.61358197825</v>
      </c>
      <c r="N722" s="8">
        <f t="shared" si="54"/>
        <v>360000</v>
      </c>
      <c r="O722" s="8">
        <f>Dashboard!$C$15*(Dashboard!$C$16*EXP(-Dashboard!$C$16*A722)*E722-(1-EXP(-Dashboard!$C$16*A722))*Dashboard!$C$17/Dashboard!$C$19*E722*(1-E722))</f>
        <v>-1.9416135646387702E-3</v>
      </c>
      <c r="P722" s="8">
        <f>Dashboard!$C$9*B722*Dashboard!$C$11*(-Dashboard!$C$12*(1-F722)-O722)+2*Dashboard!$C$20*A722</f>
        <v>104014.75333924053</v>
      </c>
      <c r="Q722" s="8">
        <f>-P722-Dashboard!$C$13-Dashboard!$C$14</f>
        <v>-154014.75333924053</v>
      </c>
    </row>
    <row r="723" spans="1:17" x14ac:dyDescent="0.25">
      <c r="A723" s="5">
        <f>(723-2)/100</f>
        <v>7.21</v>
      </c>
      <c r="B723" s="5">
        <f>Dashboard!$C$10*EXP(-Dashboard!$C$12*A723)</f>
        <v>1.6035698073310442E-2</v>
      </c>
      <c r="C723" s="5">
        <f>Dashboard!$C$17*A723</f>
        <v>5768</v>
      </c>
      <c r="D723" s="5">
        <f>Dashboard!$C$15*(1-EXP(-Dashboard!$C$16*A723))</f>
        <v>0.77825004414955734</v>
      </c>
      <c r="E723" s="5">
        <f>1/(1+EXP(MIN(700,MAX(-700,(C723-Dashboard!$C$18)/Dashboard!$C$19))))</f>
        <v>1.8698975270840491E-3</v>
      </c>
      <c r="F723" s="5">
        <f t="shared" si="51"/>
        <v>1.4552478330083093E-3</v>
      </c>
      <c r="G723" s="8">
        <f>Dashboard!$C$9*B723*Dashboard!$C$11*(1-F723)</f>
        <v>32024.724316876964</v>
      </c>
      <c r="H723" s="8">
        <f>Dashboard!$C$20*A723^2</f>
        <v>415872.8</v>
      </c>
      <c r="I723" s="8">
        <f t="shared" si="52"/>
        <v>447897.52431687695</v>
      </c>
      <c r="J723" s="8">
        <f>Dashboard!$C$13*A723</f>
        <v>144200</v>
      </c>
      <c r="K723" s="8">
        <f>Dashboard!$C$14*A723</f>
        <v>216300</v>
      </c>
      <c r="L723" s="8">
        <f>Dashboard!$C$21-K723</f>
        <v>1283700</v>
      </c>
      <c r="M723" s="8">
        <f t="shared" si="53"/>
        <v>691602.47568312311</v>
      </c>
      <c r="N723" s="8">
        <f t="shared" si="54"/>
        <v>360500</v>
      </c>
      <c r="O723" s="8">
        <f>Dashboard!$C$15*(Dashboard!$C$16*EXP(-Dashboard!$C$16*A723)*E723-(1-EXP(-Dashboard!$C$16*A723))*Dashboard!$C$17/Dashboard!$C$19*E723*(1-E723))</f>
        <v>-1.9163671305826324E-3</v>
      </c>
      <c r="P723" s="8">
        <f>Dashboard!$C$9*B723*Dashboard!$C$11*(-Dashboard!$C$12*(1-F723)-O723)+2*Dashboard!$C$20*A723</f>
        <v>104212.80705850034</v>
      </c>
      <c r="Q723" s="8">
        <f>-P723-Dashboard!$C$13-Dashboard!$C$14</f>
        <v>-154212.80705850036</v>
      </c>
    </row>
    <row r="724" spans="1:17" x14ac:dyDescent="0.25">
      <c r="A724" s="5">
        <f>(724-2)/100</f>
        <v>7.22</v>
      </c>
      <c r="B724" s="5">
        <f>Dashboard!$C$10*EXP(-Dashboard!$C$12*A724)</f>
        <v>1.5979671234216328E-2</v>
      </c>
      <c r="C724" s="5">
        <f>Dashboard!$C$17*A724</f>
        <v>5776</v>
      </c>
      <c r="D724" s="5">
        <f>Dashboard!$C$15*(1-EXP(-Dashboard!$C$16*A724))</f>
        <v>0.77835852250691973</v>
      </c>
      <c r="E724" s="5">
        <f>1/(1+EXP(MIN(700,MAX(-700,(C724-Dashboard!$C$18)/Dashboard!$C$19))))</f>
        <v>1.845176735452202E-3</v>
      </c>
      <c r="F724" s="5">
        <f t="shared" si="51"/>
        <v>1.4362090375707175E-3</v>
      </c>
      <c r="G724" s="8">
        <f>Dashboard!$C$9*B724*Dashboard!$C$11*(1-F724)</f>
        <v>31913.442171944676</v>
      </c>
      <c r="H724" s="8">
        <f>Dashboard!$C$20*A724^2</f>
        <v>417027.2</v>
      </c>
      <c r="I724" s="8">
        <f t="shared" si="52"/>
        <v>448940.64217194467</v>
      </c>
      <c r="J724" s="8">
        <f>Dashboard!$C$13*A724</f>
        <v>144400</v>
      </c>
      <c r="K724" s="8">
        <f>Dashboard!$C$14*A724</f>
        <v>216600</v>
      </c>
      <c r="L724" s="8">
        <f>Dashboard!$C$21-K724</f>
        <v>1283400</v>
      </c>
      <c r="M724" s="8">
        <f t="shared" si="53"/>
        <v>690059.35782805528</v>
      </c>
      <c r="N724" s="8">
        <f t="shared" si="54"/>
        <v>361000</v>
      </c>
      <c r="O724" s="8">
        <f>Dashboard!$C$15*(Dashboard!$C$16*EXP(-Dashboard!$C$16*A724)*E724-(1-EXP(-Dashboard!$C$16*A724))*Dashboard!$C$17/Dashboard!$C$19*E724*(1-E724))</f>
        <v>-1.8914457953609388E-3</v>
      </c>
      <c r="P724" s="8">
        <f>Dashboard!$C$9*B724*Dashboard!$C$11*(-Dashboard!$C$12*(1-F724)-O724)+2*Dashboard!$C$20*A724</f>
        <v>104410.74460375379</v>
      </c>
      <c r="Q724" s="8">
        <f>-P724-Dashboard!$C$13-Dashboard!$C$14</f>
        <v>-154410.74460375379</v>
      </c>
    </row>
    <row r="725" spans="1:17" x14ac:dyDescent="0.25">
      <c r="A725" s="5">
        <f>(725-2)/100</f>
        <v>7.23</v>
      </c>
      <c r="B725" s="5">
        <f>Dashboard!$C$10*EXP(-Dashboard!$C$12*A725)</f>
        <v>1.5923840146294652E-2</v>
      </c>
      <c r="C725" s="5">
        <f>Dashboard!$C$17*A725</f>
        <v>5784</v>
      </c>
      <c r="D725" s="5">
        <f>Dashboard!$C$15*(1-EXP(-Dashboard!$C$16*A725))</f>
        <v>0.77846645982621754</v>
      </c>
      <c r="E725" s="5">
        <f>1/(1+EXP(MIN(700,MAX(-700,(C725-Dashboard!$C$18)/Dashboard!$C$19))))</f>
        <v>1.8207821663719097E-3</v>
      </c>
      <c r="F725" s="5">
        <f t="shared" si="51"/>
        <v>1.4174178471702515E-3</v>
      </c>
      <c r="G725" s="8">
        <f>Dashboard!$C$9*B725*Dashboard!$C$11*(1-F725)</f>
        <v>31802.538822151615</v>
      </c>
      <c r="H725" s="8">
        <f>Dashboard!$C$20*A725^2</f>
        <v>418183.20000000007</v>
      </c>
      <c r="I725" s="8">
        <f t="shared" si="52"/>
        <v>449985.73882215167</v>
      </c>
      <c r="J725" s="8">
        <f>Dashboard!$C$13*A725</f>
        <v>144600</v>
      </c>
      <c r="K725" s="8">
        <f>Dashboard!$C$14*A725</f>
        <v>216900</v>
      </c>
      <c r="L725" s="8">
        <f>Dashboard!$C$21-K725</f>
        <v>1283100</v>
      </c>
      <c r="M725" s="8">
        <f t="shared" si="53"/>
        <v>688514.26117784833</v>
      </c>
      <c r="N725" s="8">
        <f t="shared" si="54"/>
        <v>361500</v>
      </c>
      <c r="O725" s="8">
        <f>Dashboard!$C$15*(Dashboard!$C$16*EXP(-Dashboard!$C$16*A725)*E725-(1-EXP(-Dashboard!$C$16*A725))*Dashboard!$C$17/Dashboard!$C$19*E725*(1-E725))</f>
        <v>-1.8668454410787974E-3</v>
      </c>
      <c r="P725" s="8">
        <f>Dashboard!$C$9*B725*Dashboard!$C$11*(-Dashboard!$C$12*(1-F725)-O725)+2*Dashboard!$C$20*A725</f>
        <v>104608.56610901009</v>
      </c>
      <c r="Q725" s="8">
        <f>-P725-Dashboard!$C$13-Dashboard!$C$14</f>
        <v>-154608.56610901008</v>
      </c>
    </row>
    <row r="726" spans="1:17" x14ac:dyDescent="0.25">
      <c r="A726" s="5">
        <f>(726-2)/100</f>
        <v>7.24</v>
      </c>
      <c r="B726" s="5">
        <f>Dashboard!$C$10*EXP(-Dashboard!$C$12*A726)</f>
        <v>1.5868204125613909E-2</v>
      </c>
      <c r="C726" s="5">
        <f>Dashboard!$C$17*A726</f>
        <v>5792</v>
      </c>
      <c r="D726" s="5">
        <f>Dashboard!$C$15*(1-EXP(-Dashboard!$C$16*A726))</f>
        <v>0.77857385880588947</v>
      </c>
      <c r="E726" s="5">
        <f>1/(1+EXP(MIN(700,MAX(-700,(C726-Dashboard!$C$18)/Dashboard!$C$19))))</f>
        <v>1.7967095305784437E-3</v>
      </c>
      <c r="F726" s="5">
        <f t="shared" si="51"/>
        <v>1.3988710723757771E-3</v>
      </c>
      <c r="G726" s="8">
        <f>Dashboard!$C$9*B726*Dashboard!$C$11*(1-F726)</f>
        <v>31692.013107784063</v>
      </c>
      <c r="H726" s="8">
        <f>Dashboard!$C$20*A726^2</f>
        <v>419340.79999999999</v>
      </c>
      <c r="I726" s="8">
        <f t="shared" si="52"/>
        <v>451032.81310778402</v>
      </c>
      <c r="J726" s="8">
        <f>Dashboard!$C$13*A726</f>
        <v>144800</v>
      </c>
      <c r="K726" s="8">
        <f>Dashboard!$C$14*A726</f>
        <v>217200</v>
      </c>
      <c r="L726" s="8">
        <f>Dashboard!$C$21-K726</f>
        <v>1282800</v>
      </c>
      <c r="M726" s="8">
        <f t="shared" si="53"/>
        <v>686967.18689221598</v>
      </c>
      <c r="N726" s="8">
        <f t="shared" si="54"/>
        <v>362000</v>
      </c>
      <c r="O726" s="8">
        <f>Dashboard!$C$15*(Dashboard!$C$16*EXP(-Dashboard!$C$16*A726)*E726-(1-EXP(-Dashboard!$C$16*A726))*Dashboard!$C$17/Dashboard!$C$19*E726*(1-E726))</f>
        <v>-1.8425620004738298E-3</v>
      </c>
      <c r="P726" s="8">
        <f>Dashboard!$C$9*B726*Dashboard!$C$11*(-Dashboard!$C$12*(1-F726)-O726)+2*Dashboard!$C$20*A726</f>
        <v>104806.27171215082</v>
      </c>
      <c r="Q726" s="8">
        <f>-P726-Dashboard!$C$13-Dashboard!$C$14</f>
        <v>-154806.27171215083</v>
      </c>
    </row>
    <row r="727" spans="1:17" x14ac:dyDescent="0.25">
      <c r="A727" s="5">
        <f>(727-2)/100</f>
        <v>7.25</v>
      </c>
      <c r="B727" s="5">
        <f>Dashboard!$C$10*EXP(-Dashboard!$C$12*A727)</f>
        <v>1.5812762490632137E-2</v>
      </c>
      <c r="C727" s="5">
        <f>Dashboard!$C$17*A727</f>
        <v>5800</v>
      </c>
      <c r="D727" s="5">
        <f>Dashboard!$C$15*(1-EXP(-Dashboard!$C$16*A727))</f>
        <v>0.77868072213091566</v>
      </c>
      <c r="E727" s="5">
        <f>1/(1+EXP(MIN(700,MAX(-700,(C727-Dashboard!$C$18)/Dashboard!$C$19))))</f>
        <v>1.7729545947921428E-3</v>
      </c>
      <c r="F727" s="5">
        <f t="shared" si="51"/>
        <v>1.3805655641780706E-3</v>
      </c>
      <c r="G727" s="8">
        <f>Dashboard!$C$9*B727*Dashboard!$C$11*(1-F727)</f>
        <v>31581.863870526089</v>
      </c>
      <c r="H727" s="8">
        <f>Dashboard!$C$20*A727^2</f>
        <v>420500</v>
      </c>
      <c r="I727" s="8">
        <f t="shared" si="52"/>
        <v>452081.86387052608</v>
      </c>
      <c r="J727" s="8">
        <f>Dashboard!$C$13*A727</f>
        <v>145000</v>
      </c>
      <c r="K727" s="8">
        <f>Dashboard!$C$14*A727</f>
        <v>217500</v>
      </c>
      <c r="L727" s="8">
        <f>Dashboard!$C$21-K727</f>
        <v>1282500</v>
      </c>
      <c r="M727" s="8">
        <f t="shared" si="53"/>
        <v>685418.13612947392</v>
      </c>
      <c r="N727" s="8">
        <f t="shared" si="54"/>
        <v>362500</v>
      </c>
      <c r="O727" s="8">
        <f>Dashboard!$C$15*(Dashboard!$C$16*EXP(-Dashboard!$C$16*A727)*E727-(1-EXP(-Dashboard!$C$16*A727))*Dashboard!$C$17/Dashboard!$C$19*E727*(1-E727))</f>
        <v>-1.818591456329044E-3</v>
      </c>
      <c r="P727" s="8">
        <f>Dashboard!$C$9*B727*Dashboard!$C$11*(-Dashboard!$C$12*(1-F727)-O727)+2*Dashboard!$C$20*A727</f>
        <v>105003.86155484871</v>
      </c>
      <c r="Q727" s="8">
        <f>-P727-Dashboard!$C$13-Dashboard!$C$14</f>
        <v>-155003.86155484873</v>
      </c>
    </row>
    <row r="728" spans="1:17" x14ac:dyDescent="0.25">
      <c r="A728" s="5">
        <f>(728-2)/100</f>
        <v>7.26</v>
      </c>
      <c r="B728" s="5">
        <f>Dashboard!$C$10*EXP(-Dashboard!$C$12*A728)</f>
        <v>1.5757514562188612E-2</v>
      </c>
      <c r="C728" s="5">
        <f>Dashboard!$C$17*A728</f>
        <v>5808</v>
      </c>
      <c r="D728" s="5">
        <f>Dashboard!$C$15*(1-EXP(-Dashboard!$C$16*A728))</f>
        <v>0.77878705247288471</v>
      </c>
      <c r="E728" s="5">
        <f>1/(1+EXP(MIN(700,MAX(-700,(C728-Dashboard!$C$18)/Dashboard!$C$19))))</f>
        <v>1.7495131809984851E-3</v>
      </c>
      <c r="F728" s="5">
        <f t="shared" si="51"/>
        <v>1.3624982134922707E-3</v>
      </c>
      <c r="G728" s="8">
        <f>Dashboard!$C$9*B728*Dashboard!$C$11*(1-F728)</f>
        <v>31472.089953497103</v>
      </c>
      <c r="H728" s="8">
        <f>Dashboard!$C$20*A728^2</f>
        <v>421660.8</v>
      </c>
      <c r="I728" s="8">
        <f t="shared" si="52"/>
        <v>453132.8899534971</v>
      </c>
      <c r="J728" s="8">
        <f>Dashboard!$C$13*A728</f>
        <v>145200</v>
      </c>
      <c r="K728" s="8">
        <f>Dashboard!$C$14*A728</f>
        <v>217800</v>
      </c>
      <c r="L728" s="8">
        <f>Dashboard!$C$21-K728</f>
        <v>1282200</v>
      </c>
      <c r="M728" s="8">
        <f t="shared" si="53"/>
        <v>683867.1100465029</v>
      </c>
      <c r="N728" s="8">
        <f t="shared" si="54"/>
        <v>363000</v>
      </c>
      <c r="O728" s="8">
        <f>Dashboard!$C$15*(Dashboard!$C$16*EXP(-Dashboard!$C$16*A728)*E728-(1-EXP(-Dashboard!$C$16*A728))*Dashboard!$C$17/Dashboard!$C$19*E728*(1-E728))</f>
        <v>-1.7949298408916469E-3</v>
      </c>
      <c r="P728" s="8">
        <f>Dashboard!$C$9*B728*Dashboard!$C$11*(-Dashboard!$C$12*(1-F728)-O728)+2*Dashboard!$C$20*A728</f>
        <v>105201.33578248793</v>
      </c>
      <c r="Q728" s="8">
        <f>-P728-Dashboard!$C$13-Dashboard!$C$14</f>
        <v>-155201.33578248793</v>
      </c>
    </row>
    <row r="729" spans="1:17" x14ac:dyDescent="0.25">
      <c r="A729" s="5">
        <f>(729-2)/100</f>
        <v>7.27</v>
      </c>
      <c r="B729" s="5">
        <f>Dashboard!$C$10*EXP(-Dashboard!$C$12*A729)</f>
        <v>1.5702459663495531E-2</v>
      </c>
      <c r="C729" s="5">
        <f>Dashboard!$C$17*A729</f>
        <v>5816</v>
      </c>
      <c r="D729" s="5">
        <f>Dashboard!$C$15*(1-EXP(-Dashboard!$C$16*A729))</f>
        <v>0.77889285249006068</v>
      </c>
      <c r="E729" s="5">
        <f>1/(1+EXP(MIN(700,MAX(-700,(C729-Dashboard!$C$18)/Dashboard!$C$19))))</f>
        <v>1.7263811657371527E-3</v>
      </c>
      <c r="F729" s="5">
        <f t="shared" si="51"/>
        <v>1.3446659506661271E-3</v>
      </c>
      <c r="G729" s="8">
        <f>Dashboard!$C$9*B729*Dashboard!$C$11*(1-F729)</f>
        <v>31362.690201288642</v>
      </c>
      <c r="H729" s="8">
        <f>Dashboard!$C$20*A729^2</f>
        <v>422823.19999999995</v>
      </c>
      <c r="I729" s="8">
        <f t="shared" si="52"/>
        <v>454185.89020128862</v>
      </c>
      <c r="J729" s="8">
        <f>Dashboard!$C$13*A729</f>
        <v>145400</v>
      </c>
      <c r="K729" s="8">
        <f>Dashboard!$C$14*A729</f>
        <v>218100</v>
      </c>
      <c r="L729" s="8">
        <f>Dashboard!$C$21-K729</f>
        <v>1281900</v>
      </c>
      <c r="M729" s="8">
        <f t="shared" si="53"/>
        <v>682314.10979871138</v>
      </c>
      <c r="N729" s="8">
        <f t="shared" si="54"/>
        <v>363500</v>
      </c>
      <c r="O729" s="8">
        <f>Dashboard!$C$15*(Dashboard!$C$16*EXP(-Dashboard!$C$16*A729)*E729-(1-EXP(-Dashboard!$C$16*A729))*Dashboard!$C$17/Dashboard!$C$19*E729*(1-E729))</f>
        <v>-1.7715732352977878E-3</v>
      </c>
      <c r="P729" s="8">
        <f>Dashboard!$C$9*B729*Dashboard!$C$11*(-Dashboard!$C$12*(1-F729)-O729)+2*Dashboard!$C$20*A729</f>
        <v>105398.69454408536</v>
      </c>
      <c r="Q729" s="8">
        <f>-P729-Dashboard!$C$13-Dashboard!$C$14</f>
        <v>-155398.69454408536</v>
      </c>
    </row>
    <row r="730" spans="1:17" x14ac:dyDescent="0.25">
      <c r="A730" s="5">
        <f>(730-2)/100</f>
        <v>7.28</v>
      </c>
      <c r="B730" s="5">
        <f>Dashboard!$C$10*EXP(-Dashboard!$C$12*A730)</f>
        <v>1.5647597120129683E-2</v>
      </c>
      <c r="C730" s="5">
        <f>Dashboard!$C$17*A730</f>
        <v>5824</v>
      </c>
      <c r="D730" s="5">
        <f>Dashboard!$C$15*(1-EXP(-Dashboard!$C$16*A730))</f>
        <v>0.77899812482744968</v>
      </c>
      <c r="E730" s="5">
        <f>1/(1+EXP(MIN(700,MAX(-700,(C730-Dashboard!$C$18)/Dashboard!$C$19))))</f>
        <v>1.7035544793999426E-3</v>
      </c>
      <c r="F730" s="5">
        <f t="shared" si="51"/>
        <v>1.3270657449939575E-3</v>
      </c>
      <c r="G730" s="8">
        <f>Dashboard!$C$9*B730*Dashboard!$C$11*(1-F730)</f>
        <v>31253.663460000185</v>
      </c>
      <c r="H730" s="8">
        <f>Dashboard!$C$20*A730^2</f>
        <v>423987.20000000001</v>
      </c>
      <c r="I730" s="8">
        <f t="shared" si="52"/>
        <v>455240.8634600002</v>
      </c>
      <c r="J730" s="8">
        <f>Dashboard!$C$13*A730</f>
        <v>145600</v>
      </c>
      <c r="K730" s="8">
        <f>Dashboard!$C$14*A730</f>
        <v>218400</v>
      </c>
      <c r="L730" s="8">
        <f>Dashboard!$C$21-K730</f>
        <v>1281600</v>
      </c>
      <c r="M730" s="8">
        <f t="shared" si="53"/>
        <v>680759.13653999986</v>
      </c>
      <c r="N730" s="8">
        <f t="shared" si="54"/>
        <v>364000</v>
      </c>
      <c r="O730" s="8">
        <f>Dashboard!$C$15*(Dashboard!$C$16*EXP(-Dashboard!$C$16*A730)*E730-(1-EXP(-Dashboard!$C$16*A730))*Dashboard!$C$17/Dashboard!$C$19*E730*(1-E730))</f>
        <v>-1.7485177690031548E-3</v>
      </c>
      <c r="P730" s="8">
        <f>Dashboard!$C$9*B730*Dashboard!$C$11*(-Dashboard!$C$12*(1-F730)-O730)+2*Dashboard!$C$20*A730</f>
        <v>105595.93799221344</v>
      </c>
      <c r="Q730" s="8">
        <f>-P730-Dashboard!$C$13-Dashboard!$C$14</f>
        <v>-155595.93799221344</v>
      </c>
    </row>
    <row r="731" spans="1:17" x14ac:dyDescent="0.25">
      <c r="A731" s="5">
        <f>(731-2)/100</f>
        <v>7.29</v>
      </c>
      <c r="B731" s="5">
        <f>Dashboard!$C$10*EXP(-Dashboard!$C$12*A731)</f>
        <v>1.5592926260024243E-2</v>
      </c>
      <c r="C731" s="5">
        <f>Dashboard!$C$17*A731</f>
        <v>5832</v>
      </c>
      <c r="D731" s="5">
        <f>Dashboard!$C$15*(1-EXP(-Dashboard!$C$16*A731))</f>
        <v>0.77910287211686546</v>
      </c>
      <c r="E731" s="5">
        <f>1/(1+EXP(MIN(700,MAX(-700,(C731-Dashboard!$C$18)/Dashboard!$C$19))))</f>
        <v>1.6810291055374498E-3</v>
      </c>
      <c r="F731" s="5">
        <f t="shared" si="51"/>
        <v>1.3096946042362725E-3</v>
      </c>
      <c r="G731" s="8">
        <f>Dashboard!$C$9*B731*Dashboard!$C$11*(1-F731)</f>
        <v>31145.008577274468</v>
      </c>
      <c r="H731" s="8">
        <f>Dashboard!$C$20*A731^2</f>
        <v>425152.8</v>
      </c>
      <c r="I731" s="8">
        <f t="shared" si="52"/>
        <v>456297.80857727444</v>
      </c>
      <c r="J731" s="8">
        <f>Dashboard!$C$13*A731</f>
        <v>145800</v>
      </c>
      <c r="K731" s="8">
        <f>Dashboard!$C$14*A731</f>
        <v>218700</v>
      </c>
      <c r="L731" s="8">
        <f>Dashboard!$C$21-K731</f>
        <v>1281300</v>
      </c>
      <c r="M731" s="8">
        <f t="shared" si="53"/>
        <v>679202.19142272556</v>
      </c>
      <c r="N731" s="8">
        <f t="shared" si="54"/>
        <v>364500</v>
      </c>
      <c r="O731" s="8">
        <f>Dashboard!$C$15*(Dashboard!$C$16*EXP(-Dashboard!$C$16*A731)*E731-(1-EXP(-Dashboard!$C$16*A731))*Dashboard!$C$17/Dashboard!$C$19*E731*(1-E731))</f>
        <v>-1.7257596192194039E-3</v>
      </c>
      <c r="P731" s="8">
        <f>Dashboard!$C$9*B731*Dashboard!$C$11*(-Dashboard!$C$12*(1-F731)-O731)+2*Dashboard!$C$20*A731</f>
        <v>105793.06628292397</v>
      </c>
      <c r="Q731" s="8">
        <f>-P731-Dashboard!$C$13-Dashboard!$C$14</f>
        <v>-155793.06628292397</v>
      </c>
    </row>
    <row r="732" spans="1:17" x14ac:dyDescent="0.25">
      <c r="A732" s="5">
        <f>(732-2)/100</f>
        <v>7.3</v>
      </c>
      <c r="B732" s="5">
        <f>Dashboard!$C$10*EXP(-Dashboard!$C$12*A732)</f>
        <v>1.553844641346048E-2</v>
      </c>
      <c r="C732" s="5">
        <f>Dashboard!$C$17*A732</f>
        <v>5840</v>
      </c>
      <c r="D732" s="5">
        <f>Dashboard!$C$15*(1-EXP(-Dashboard!$C$16*A732))</f>
        <v>0.77920709697699575</v>
      </c>
      <c r="E732" s="5">
        <f>1/(1+EXP(MIN(700,MAX(-700,(C732-Dashboard!$C$18)/Dashboard!$C$19))))</f>
        <v>1.6588010801744215E-3</v>
      </c>
      <c r="F732" s="5">
        <f t="shared" si="51"/>
        <v>1.2925495741450156E-3</v>
      </c>
      <c r="G732" s="8">
        <f>Dashboard!$C$9*B732*Dashboard!$C$11*(1-F732)</f>
        <v>31036.724402331773</v>
      </c>
      <c r="H732" s="8">
        <f>Dashboard!$C$20*A732^2</f>
        <v>426320</v>
      </c>
      <c r="I732" s="8">
        <f t="shared" si="52"/>
        <v>457356.72440233175</v>
      </c>
      <c r="J732" s="8">
        <f>Dashboard!$C$13*A732</f>
        <v>146000</v>
      </c>
      <c r="K732" s="8">
        <f>Dashboard!$C$14*A732</f>
        <v>219000</v>
      </c>
      <c r="L732" s="8">
        <f>Dashboard!$C$21-K732</f>
        <v>1281000</v>
      </c>
      <c r="M732" s="8">
        <f t="shared" si="53"/>
        <v>677643.27559766825</v>
      </c>
      <c r="N732" s="8">
        <f t="shared" si="54"/>
        <v>365000</v>
      </c>
      <c r="O732" s="8">
        <f>Dashboard!$C$15*(Dashboard!$C$16*EXP(-Dashboard!$C$16*A732)*E732-(1-EXP(-Dashboard!$C$16*A732))*Dashboard!$C$17/Dashboard!$C$19*E732*(1-E732))</f>
        <v>-1.7032950103563996E-3</v>
      </c>
      <c r="P732" s="8">
        <f>Dashboard!$C$9*B732*Dashboard!$C$11*(-Dashboard!$C$12*(1-F732)-O732)+2*Dashboard!$C$20*A732</f>
        <v>105990.07957567336</v>
      </c>
      <c r="Q732" s="8">
        <f>-P732-Dashboard!$C$13-Dashboard!$C$14</f>
        <v>-155990.07957567336</v>
      </c>
    </row>
    <row r="733" spans="1:17" x14ac:dyDescent="0.25">
      <c r="A733" s="5">
        <f>(733-2)/100</f>
        <v>7.31</v>
      </c>
      <c r="B733" s="5">
        <f>Dashboard!$C$10*EXP(-Dashboard!$C$12*A733)</f>
        <v>1.5484156913059592E-2</v>
      </c>
      <c r="C733" s="5">
        <f>Dashboard!$C$17*A733</f>
        <v>5848</v>
      </c>
      <c r="D733" s="5">
        <f>Dashboard!$C$15*(1-EXP(-Dashboard!$C$16*A733))</f>
        <v>0.77931080201346747</v>
      </c>
      <c r="E733" s="5">
        <f>1/(1+EXP(MIN(700,MAX(-700,(C733-Dashboard!$C$18)/Dashboard!$C$19))))</f>
        <v>1.6368664911336616E-3</v>
      </c>
      <c r="F733" s="5">
        <f t="shared" si="51"/>
        <v>1.2756277379943441E-3</v>
      </c>
      <c r="G733" s="8">
        <f>Dashboard!$C$9*B733*Dashboard!$C$11*(1-F733)</f>
        <v>30928.809786003672</v>
      </c>
      <c r="H733" s="8">
        <f>Dashboard!$C$20*A733^2</f>
        <v>427488.8</v>
      </c>
      <c r="I733" s="8">
        <f t="shared" si="52"/>
        <v>458417.60978600365</v>
      </c>
      <c r="J733" s="8">
        <f>Dashboard!$C$13*A733</f>
        <v>146200</v>
      </c>
      <c r="K733" s="8">
        <f>Dashboard!$C$14*A733</f>
        <v>219300</v>
      </c>
      <c r="L733" s="8">
        <f>Dashboard!$C$21-K733</f>
        <v>1280700</v>
      </c>
      <c r="M733" s="8">
        <f t="shared" si="53"/>
        <v>676082.3902139964</v>
      </c>
      <c r="N733" s="8">
        <f t="shared" si="54"/>
        <v>365500</v>
      </c>
      <c r="O733" s="8">
        <f>Dashboard!$C$15*(Dashboard!$C$16*EXP(-Dashboard!$C$16*A733)*E733-(1-EXP(-Dashboard!$C$16*A733))*Dashboard!$C$17/Dashboard!$C$19*E733*(1-E733))</f>
        <v>-1.6811202134701881E-3</v>
      </c>
      <c r="P733" s="8">
        <f>Dashboard!$C$9*B733*Dashboard!$C$11*(-Dashboard!$C$12*(1-F733)-O733)+2*Dashboard!$C$20*A733</f>
        <v>106186.97803324889</v>
      </c>
      <c r="Q733" s="8">
        <f>-P733-Dashboard!$C$13-Dashboard!$C$14</f>
        <v>-156186.97803324889</v>
      </c>
    </row>
    <row r="734" spans="1:17" x14ac:dyDescent="0.25">
      <c r="A734" s="5">
        <f>(734-2)/100</f>
        <v>7.32</v>
      </c>
      <c r="B734" s="5">
        <f>Dashboard!$C$10*EXP(-Dashboard!$C$12*A734)</f>
        <v>1.5430057093774516E-2</v>
      </c>
      <c r="C734" s="5">
        <f>Dashboard!$C$17*A734</f>
        <v>5856</v>
      </c>
      <c r="D734" s="5">
        <f>Dashboard!$C$15*(1-EXP(-Dashboard!$C$16*A734))</f>
        <v>0.77941398981891208</v>
      </c>
      <c r="E734" s="5">
        <f>1/(1+EXP(MIN(700,MAX(-700,(C734-Dashboard!$C$18)/Dashboard!$C$19))))</f>
        <v>1.6152214773683953E-3</v>
      </c>
      <c r="F734" s="5">
        <f t="shared" si="51"/>
        <v>1.2589262161168985E-3</v>
      </c>
      <c r="G734" s="8">
        <f>Dashboard!$C$9*B734*Dashboard!$C$11*(1-F734)</f>
        <v>30821.263580765964</v>
      </c>
      <c r="H734" s="8">
        <f>Dashboard!$C$20*A734^2</f>
        <v>428659.20000000007</v>
      </c>
      <c r="I734" s="8">
        <f t="shared" si="52"/>
        <v>459480.46358076605</v>
      </c>
      <c r="J734" s="8">
        <f>Dashboard!$C$13*A734</f>
        <v>146400</v>
      </c>
      <c r="K734" s="8">
        <f>Dashboard!$C$14*A734</f>
        <v>219600</v>
      </c>
      <c r="L734" s="8">
        <f>Dashboard!$C$21-K734</f>
        <v>1280400</v>
      </c>
      <c r="M734" s="8">
        <f t="shared" si="53"/>
        <v>674519.53641923401</v>
      </c>
      <c r="N734" s="8">
        <f t="shared" si="54"/>
        <v>366000</v>
      </c>
      <c r="O734" s="8">
        <f>Dashboard!$C$15*(Dashboard!$C$16*EXP(-Dashboard!$C$16*A734)*E734-(1-EXP(-Dashboard!$C$16*A734))*Dashboard!$C$17/Dashboard!$C$19*E734*(1-E734))</f>
        <v>-1.6592315457166975E-3</v>
      </c>
      <c r="P734" s="8">
        <f>Dashboard!$C$9*B734*Dashboard!$C$11*(-Dashboard!$C$12*(1-F734)-O734)+2*Dashboard!$C$20*A734</f>
        <v>106383.76182169632</v>
      </c>
      <c r="Q734" s="8">
        <f>-P734-Dashboard!$C$13-Dashboard!$C$14</f>
        <v>-156383.7618216963</v>
      </c>
    </row>
    <row r="735" spans="1:17" x14ac:dyDescent="0.25">
      <c r="A735" s="5">
        <f>(735-2)/100</f>
        <v>7.33</v>
      </c>
      <c r="B735" s="5">
        <f>Dashboard!$C$10*EXP(-Dashboard!$C$12*A735)</f>
        <v>1.5376146292881802E-2</v>
      </c>
      <c r="C735" s="5">
        <f>Dashboard!$C$17*A735</f>
        <v>5864</v>
      </c>
      <c r="D735" s="5">
        <f>Dashboard!$C$15*(1-EXP(-Dashboard!$C$16*A735))</f>
        <v>0.77951666297302991</v>
      </c>
      <c r="E735" s="5">
        <f>1/(1+EXP(MIN(700,MAX(-700,(C735-Dashboard!$C$18)/Dashboard!$C$19))))</f>
        <v>1.5938622283030088E-3</v>
      </c>
      <c r="F735" s="5">
        <f t="shared" si="51"/>
        <v>1.2424421654455189E-3</v>
      </c>
      <c r="G735" s="8">
        <f>Dashboard!$C$9*B735*Dashboard!$C$11*(1-F735)</f>
        <v>30714.084640770936</v>
      </c>
      <c r="H735" s="8">
        <f>Dashboard!$C$20*A735^2</f>
        <v>429831.2</v>
      </c>
      <c r="I735" s="8">
        <f t="shared" si="52"/>
        <v>460545.28464077093</v>
      </c>
      <c r="J735" s="8">
        <f>Dashboard!$C$13*A735</f>
        <v>146600</v>
      </c>
      <c r="K735" s="8">
        <f>Dashboard!$C$14*A735</f>
        <v>219900</v>
      </c>
      <c r="L735" s="8">
        <f>Dashboard!$C$21-K735</f>
        <v>1280100</v>
      </c>
      <c r="M735" s="8">
        <f t="shared" si="53"/>
        <v>672954.71535922913</v>
      </c>
      <c r="N735" s="8">
        <f t="shared" si="54"/>
        <v>366500</v>
      </c>
      <c r="O735" s="8">
        <f>Dashboard!$C$15*(Dashboard!$C$16*EXP(-Dashboard!$C$16*A735)*E735-(1-EXP(-Dashboard!$C$16*A735))*Dashboard!$C$17/Dashboard!$C$19*E735*(1-E735))</f>
        <v>-1.6376253698111084E-3</v>
      </c>
      <c r="P735" s="8">
        <f>Dashboard!$C$9*B735*Dashboard!$C$11*(-Dashboard!$C$12*(1-F735)-O735)+2*Dashboard!$C$20*A735</f>
        <v>106580.43111024848</v>
      </c>
      <c r="Q735" s="8">
        <f>-P735-Dashboard!$C$13-Dashboard!$C$14</f>
        <v>-156580.43111024849</v>
      </c>
    </row>
    <row r="736" spans="1:17" x14ac:dyDescent="0.25">
      <c r="A736" s="5">
        <f>(736-2)/100</f>
        <v>7.34</v>
      </c>
      <c r="B736" s="5">
        <f>Dashboard!$C$10*EXP(-Dashboard!$C$12*A736)</f>
        <v>1.5322423849973449E-2</v>
      </c>
      <c r="C736" s="5">
        <f>Dashboard!$C$17*A736</f>
        <v>5872</v>
      </c>
      <c r="D736" s="5">
        <f>Dashboard!$C$15*(1-EXP(-Dashboard!$C$16*A736))</f>
        <v>0.77961882404265515</v>
      </c>
      <c r="E736" s="5">
        <f>1/(1+EXP(MIN(700,MAX(-700,(C736-Dashboard!$C$18)/Dashboard!$C$19))))</f>
        <v>1.5727849831820402E-3</v>
      </c>
      <c r="F736" s="5">
        <f t="shared" si="51"/>
        <v>1.2261727790603293E-3</v>
      </c>
      <c r="G736" s="8">
        <f>Dashboard!$C$9*B736*Dashboard!$C$11*(1-F736)</f>
        <v>30607.271821878774</v>
      </c>
      <c r="H736" s="8">
        <f>Dashboard!$C$20*A736^2</f>
        <v>431004.8</v>
      </c>
      <c r="I736" s="8">
        <f t="shared" si="52"/>
        <v>461612.07182187878</v>
      </c>
      <c r="J736" s="8">
        <f>Dashboard!$C$13*A736</f>
        <v>146800</v>
      </c>
      <c r="K736" s="8">
        <f>Dashboard!$C$14*A736</f>
        <v>220200</v>
      </c>
      <c r="L736" s="8">
        <f>Dashboard!$C$21-K736</f>
        <v>1279800</v>
      </c>
      <c r="M736" s="8">
        <f t="shared" si="53"/>
        <v>671387.92817812122</v>
      </c>
      <c r="N736" s="8">
        <f t="shared" si="54"/>
        <v>367000</v>
      </c>
      <c r="O736" s="8">
        <f>Dashboard!$C$15*(Dashboard!$C$16*EXP(-Dashboard!$C$16*A736)*E736-(1-EXP(-Dashboard!$C$16*A736))*Dashboard!$C$17/Dashboard!$C$19*E736*(1-E736))</f>
        <v>-1.616298093492864E-3</v>
      </c>
      <c r="P736" s="8">
        <f>Dashboard!$C$9*B736*Dashboard!$C$11*(-Dashboard!$C$12*(1-F736)-O736)+2*Dashboard!$C$20*A736</f>
        <v>106776.98607125523</v>
      </c>
      <c r="Q736" s="8">
        <f>-P736-Dashboard!$C$13-Dashboard!$C$14</f>
        <v>-156776.98607125523</v>
      </c>
    </row>
    <row r="737" spans="1:17" x14ac:dyDescent="0.25">
      <c r="A737" s="5">
        <f>(737-2)/100</f>
        <v>7.35</v>
      </c>
      <c r="B737" s="5">
        <f>Dashboard!$C$10*EXP(-Dashboard!$C$12*A737)</f>
        <v>1.5268889106948878E-2</v>
      </c>
      <c r="C737" s="5">
        <f>Dashboard!$C$17*A737</f>
        <v>5880</v>
      </c>
      <c r="D737" s="5">
        <f>Dashboard!$C$15*(1-EXP(-Dashboard!$C$16*A737))</f>
        <v>0.77972047558182012</v>
      </c>
      <c r="E737" s="5">
        <f>1/(1+EXP(MIN(700,MAX(-700,(C737-Dashboard!$C$18)/Dashboard!$C$19))))</f>
        <v>1.5519860304273345E-3</v>
      </c>
      <c r="F737" s="5">
        <f t="shared" si="51"/>
        <v>1.2101152857411424E-3</v>
      </c>
      <c r="G737" s="8">
        <f>Dashboard!$C$9*B737*Dashboard!$C$11*(1-F737)</f>
        <v>30500.823981688543</v>
      </c>
      <c r="H737" s="8">
        <f>Dashboard!$C$20*A737^2</f>
        <v>432179.99999999994</v>
      </c>
      <c r="I737" s="8">
        <f t="shared" si="52"/>
        <v>462680.82398168847</v>
      </c>
      <c r="J737" s="8">
        <f>Dashboard!$C$13*A737</f>
        <v>147000</v>
      </c>
      <c r="K737" s="8">
        <f>Dashboard!$C$14*A737</f>
        <v>220500</v>
      </c>
      <c r="L737" s="8">
        <f>Dashboard!$C$21-K737</f>
        <v>1279500</v>
      </c>
      <c r="M737" s="8">
        <f t="shared" si="53"/>
        <v>669819.17601831153</v>
      </c>
      <c r="N737" s="8">
        <f t="shared" si="54"/>
        <v>367500</v>
      </c>
      <c r="O737" s="8">
        <f>Dashboard!$C$15*(Dashboard!$C$16*EXP(-Dashboard!$C$16*A737)*E737-(1-EXP(-Dashboard!$C$16*A737))*Dashboard!$C$17/Dashboard!$C$19*E737*(1-E737))</f>
        <v>-1.5952461689962582E-3</v>
      </c>
      <c r="P737" s="8">
        <f>Dashboard!$C$9*B737*Dashboard!$C$11*(-Dashboard!$C$12*(1-F737)-O737)+2*Dashboard!$C$20*A737</f>
        <v>106973.42688011439</v>
      </c>
      <c r="Q737" s="8">
        <f>-P737-Dashboard!$C$13-Dashboard!$C$14</f>
        <v>-156973.42688011439</v>
      </c>
    </row>
    <row r="738" spans="1:17" x14ac:dyDescent="0.25">
      <c r="A738" s="5">
        <f>(738-2)/100</f>
        <v>7.36</v>
      </c>
      <c r="B738" s="5">
        <f>Dashboard!$C$10*EXP(-Dashboard!$C$12*A738)</f>
        <v>1.5215541408006798E-2</v>
      </c>
      <c r="C738" s="5">
        <f>Dashboard!$C$17*A738</f>
        <v>5888</v>
      </c>
      <c r="D738" s="5">
        <f>Dashboard!$C$15*(1-EXP(-Dashboard!$C$16*A738))</f>
        <v>0.77982162013181833</v>
      </c>
      <c r="E738" s="5">
        <f>1/(1+EXP(MIN(700,MAX(-700,(C738-Dashboard!$C$18)/Dashboard!$C$19))))</f>
        <v>1.5314617070032849E-3</v>
      </c>
      <c r="F738" s="5">
        <f t="shared" si="51"/>
        <v>1.1942669495251417E-3</v>
      </c>
      <c r="G738" s="8">
        <f>Dashboard!$C$9*B738*Dashboard!$C$11*(1-F738)</f>
        <v>30394.739979568163</v>
      </c>
      <c r="H738" s="8">
        <f>Dashboard!$C$20*A738^2</f>
        <v>433356.80000000005</v>
      </c>
      <c r="I738" s="8">
        <f t="shared" si="52"/>
        <v>463751.53997956822</v>
      </c>
      <c r="J738" s="8">
        <f>Dashboard!$C$13*A738</f>
        <v>147200</v>
      </c>
      <c r="K738" s="8">
        <f>Dashboard!$C$14*A738</f>
        <v>220800</v>
      </c>
      <c r="L738" s="8">
        <f>Dashboard!$C$21-K738</f>
        <v>1279200</v>
      </c>
      <c r="M738" s="8">
        <f t="shared" si="53"/>
        <v>668248.46002043178</v>
      </c>
      <c r="N738" s="8">
        <f t="shared" si="54"/>
        <v>368000</v>
      </c>
      <c r="O738" s="8">
        <f>Dashboard!$C$15*(Dashboard!$C$16*EXP(-Dashboard!$C$16*A738)*E738-(1-EXP(-Dashboard!$C$16*A738))*Dashboard!$C$17/Dashboard!$C$19*E738*(1-E738))</f>
        <v>-1.5744660925265958E-3</v>
      </c>
      <c r="P738" s="8">
        <f>Dashboard!$C$9*B738*Dashboard!$C$11*(-Dashboard!$C$12*(1-F738)-O738)+2*Dashboard!$C$20*A738</f>
        <v>107169.75371520383</v>
      </c>
      <c r="Q738" s="8">
        <f>-P738-Dashboard!$C$13-Dashboard!$C$14</f>
        <v>-157169.75371520384</v>
      </c>
    </row>
    <row r="739" spans="1:17" x14ac:dyDescent="0.25">
      <c r="A739" s="5">
        <f>(739-2)/100</f>
        <v>7.37</v>
      </c>
      <c r="B739" s="5">
        <f>Dashboard!$C$10*EXP(-Dashboard!$C$12*A739)</f>
        <v>1.5162380099637249E-2</v>
      </c>
      <c r="C739" s="5">
        <f>Dashboard!$C$17*A739</f>
        <v>5896</v>
      </c>
      <c r="D739" s="5">
        <f>Dashboard!$C$15*(1-EXP(-Dashboard!$C$16*A739))</f>
        <v>0.77992226022126876</v>
      </c>
      <c r="E739" s="5">
        <f>1/(1+EXP(MIN(700,MAX(-700,(C739-Dashboard!$C$18)/Dashboard!$C$19))))</f>
        <v>1.5112083977900338E-3</v>
      </c>
      <c r="F739" s="5">
        <f t="shared" si="51"/>
        <v>1.1786250692697653E-3</v>
      </c>
      <c r="G739" s="8">
        <f>Dashboard!$C$9*B739*Dashboard!$C$11*(1-F739)</f>
        <v>30289.018676684038</v>
      </c>
      <c r="H739" s="8">
        <f>Dashboard!$C$20*A739^2</f>
        <v>434535.2</v>
      </c>
      <c r="I739" s="8">
        <f t="shared" si="52"/>
        <v>464824.21867668408</v>
      </c>
      <c r="J739" s="8">
        <f>Dashboard!$C$13*A739</f>
        <v>147400</v>
      </c>
      <c r="K739" s="8">
        <f>Dashboard!$C$14*A739</f>
        <v>221100</v>
      </c>
      <c r="L739" s="8">
        <f>Dashboard!$C$21-K739</f>
        <v>1278900</v>
      </c>
      <c r="M739" s="8">
        <f t="shared" si="53"/>
        <v>666675.78132331592</v>
      </c>
      <c r="N739" s="8">
        <f t="shared" si="54"/>
        <v>368500</v>
      </c>
      <c r="O739" s="8">
        <f>Dashboard!$C$15*(Dashboard!$C$16*EXP(-Dashboard!$C$16*A739)*E739-(1-EXP(-Dashboard!$C$16*A739))*Dashboard!$C$17/Dashboard!$C$19*E739*(1-E739))</f>
        <v>-1.5539544037418542E-3</v>
      </c>
      <c r="P739" s="8">
        <f>Dashboard!$C$9*B739*Dashboard!$C$11*(-Dashboard!$C$12*(1-F739)-O739)+2*Dashboard!$C$20*A739</f>
        <v>107365.96675781466</v>
      </c>
      <c r="Q739" s="8">
        <f>-P739-Dashboard!$C$13-Dashboard!$C$14</f>
        <v>-157365.96675781466</v>
      </c>
    </row>
    <row r="740" spans="1:17" x14ac:dyDescent="0.25">
      <c r="A740" s="5">
        <f>(740-2)/100</f>
        <v>7.38</v>
      </c>
      <c r="B740" s="5">
        <f>Dashboard!$C$10*EXP(-Dashboard!$C$12*A740)</f>
        <v>1.5109404530613527E-2</v>
      </c>
      <c r="C740" s="5">
        <f>Dashboard!$C$17*A740</f>
        <v>5904</v>
      </c>
      <c r="D740" s="5">
        <f>Dashboard!$C$15*(1-EXP(-Dashboard!$C$16*A740))</f>
        <v>0.78002239836617915</v>
      </c>
      <c r="E740" s="5">
        <f>1/(1+EXP(MIN(700,MAX(-700,(C740-Dashboard!$C$18)/Dashboard!$C$19))))</f>
        <v>1.4912225349645526E-3</v>
      </c>
      <c r="F740" s="5">
        <f t="shared" si="51"/>
        <v>1.1631869782207439E-3</v>
      </c>
      <c r="G740" s="8">
        <f>Dashboard!$C$9*B740*Dashboard!$C$11*(1-F740)</f>
        <v>30183.658936029697</v>
      </c>
      <c r="H740" s="8">
        <f>Dashboard!$C$20*A740^2</f>
        <v>435715.19999999995</v>
      </c>
      <c r="I740" s="8">
        <f t="shared" si="52"/>
        <v>465898.85893602966</v>
      </c>
      <c r="J740" s="8">
        <f>Dashboard!$C$13*A740</f>
        <v>147600</v>
      </c>
      <c r="K740" s="8">
        <f>Dashboard!$C$14*A740</f>
        <v>221400</v>
      </c>
      <c r="L740" s="8">
        <f>Dashboard!$C$21-K740</f>
        <v>1278600</v>
      </c>
      <c r="M740" s="8">
        <f t="shared" si="53"/>
        <v>665101.14106397028</v>
      </c>
      <c r="N740" s="8">
        <f t="shared" si="54"/>
        <v>369000</v>
      </c>
      <c r="O740" s="8">
        <f>Dashboard!$C$15*(Dashboard!$C$16*EXP(-Dashboard!$C$16*A740)*E740-(1-EXP(-Dashboard!$C$16*A740))*Dashboard!$C$17/Dashboard!$C$19*E740*(1-E740))</f>
        <v>-1.5337076852398092E-3</v>
      </c>
      <c r="P740" s="8">
        <f>Dashboard!$C$9*B740*Dashboard!$C$11*(-Dashboard!$C$12*(1-F740)-O740)+2*Dashboard!$C$20*A740</f>
        <v>107562.06619208561</v>
      </c>
      <c r="Q740" s="8">
        <f>-P740-Dashboard!$C$13-Dashboard!$C$14</f>
        <v>-157562.06619208562</v>
      </c>
    </row>
    <row r="741" spans="1:17" x14ac:dyDescent="0.25">
      <c r="A741" s="5">
        <f>(741-2)/100</f>
        <v>7.39</v>
      </c>
      <c r="B741" s="5">
        <f>Dashboard!$C$10*EXP(-Dashboard!$C$12*A741)</f>
        <v>1.5056614051984253E-2</v>
      </c>
      <c r="C741" s="5">
        <f>Dashboard!$C$17*A741</f>
        <v>5912</v>
      </c>
      <c r="D741" s="5">
        <f>Dashboard!$C$15*(1-EXP(-Dashboard!$C$16*A741))</f>
        <v>0.78012203707000805</v>
      </c>
      <c r="E741" s="5">
        <f>1/(1+EXP(MIN(700,MAX(-700,(C741-Dashboard!$C$18)/Dashboard!$C$19))))</f>
        <v>1.4715005973895278E-3</v>
      </c>
      <c r="F741" s="5">
        <f t="shared" si="51"/>
        <v>1.1479500435852522E-3</v>
      </c>
      <c r="G741" s="8">
        <f>Dashboard!$C$9*B741*Dashboard!$C$11*(1-F741)</f>
        <v>30078.659622454059</v>
      </c>
      <c r="H741" s="8">
        <f>Dashboard!$C$20*A741^2</f>
        <v>436896.8</v>
      </c>
      <c r="I741" s="8">
        <f t="shared" si="52"/>
        <v>466975.45962245407</v>
      </c>
      <c r="J741" s="8">
        <f>Dashboard!$C$13*A741</f>
        <v>147800</v>
      </c>
      <c r="K741" s="8">
        <f>Dashboard!$C$14*A741</f>
        <v>221700</v>
      </c>
      <c r="L741" s="8">
        <f>Dashboard!$C$21-K741</f>
        <v>1278300</v>
      </c>
      <c r="M741" s="8">
        <f t="shared" si="53"/>
        <v>663524.54037754587</v>
      </c>
      <c r="N741" s="8">
        <f t="shared" si="54"/>
        <v>369500</v>
      </c>
      <c r="O741" s="8">
        <f>Dashboard!$C$15*(Dashboard!$C$16*EXP(-Dashboard!$C$16*A741)*E741-(1-EXP(-Dashboard!$C$16*A741))*Dashboard!$C$17/Dashboard!$C$19*E741*(1-E741))</f>
        <v>-1.5137225620506058E-3</v>
      </c>
      <c r="P741" s="8">
        <f>Dashboard!$C$9*B741*Dashboard!$C$11*(-Dashboard!$C$12*(1-F741)-O741)+2*Dashboard!$C$20*A741</f>
        <v>107758.05220493823</v>
      </c>
      <c r="Q741" s="8">
        <f>-P741-Dashboard!$C$13-Dashboard!$C$14</f>
        <v>-157758.05220493823</v>
      </c>
    </row>
    <row r="742" spans="1:17" x14ac:dyDescent="0.25">
      <c r="A742" s="5">
        <f>(742-2)/100</f>
        <v>7.4</v>
      </c>
      <c r="B742" s="5">
        <f>Dashboard!$C$10*EXP(-Dashboard!$C$12*A742)</f>
        <v>1.5004008017065397E-2</v>
      </c>
      <c r="C742" s="5">
        <f>Dashboard!$C$17*A742</f>
        <v>5920</v>
      </c>
      <c r="D742" s="5">
        <f>Dashboard!$C$15*(1-EXP(-Dashboard!$C$16*A742))</f>
        <v>0.78022117882372855</v>
      </c>
      <c r="E742" s="5">
        <f>1/(1+EXP(MIN(700,MAX(-700,(C742-Dashboard!$C$18)/Dashboard!$C$19))))</f>
        <v>1.4520391100099122E-3</v>
      </c>
      <c r="F742" s="5">
        <f t="shared" si="51"/>
        <v>1.1329116661100915E-3</v>
      </c>
      <c r="G742" s="8">
        <f>Dashboard!$C$9*B742*Dashboard!$C$11*(1-F742)</f>
        <v>29974.01960268891</v>
      </c>
      <c r="H742" s="8">
        <f>Dashboard!$C$20*A742^2</f>
        <v>438080.00000000006</v>
      </c>
      <c r="I742" s="8">
        <f t="shared" si="52"/>
        <v>468054.01960268896</v>
      </c>
      <c r="J742" s="8">
        <f>Dashboard!$C$13*A742</f>
        <v>148000</v>
      </c>
      <c r="K742" s="8">
        <f>Dashboard!$C$14*A742</f>
        <v>222000</v>
      </c>
      <c r="L742" s="8">
        <f>Dashboard!$C$21-K742</f>
        <v>1278000</v>
      </c>
      <c r="M742" s="8">
        <f t="shared" si="53"/>
        <v>661945.98039731104</v>
      </c>
      <c r="N742" s="8">
        <f t="shared" si="54"/>
        <v>370000</v>
      </c>
      <c r="O742" s="8">
        <f>Dashboard!$C$15*(Dashboard!$C$16*EXP(-Dashboard!$C$16*A742)*E742-(1-EXP(-Dashboard!$C$16*A742))*Dashboard!$C$17/Dashboard!$C$19*E742*(1-E742))</f>
        <v>-1.4939957011346982E-3</v>
      </c>
      <c r="P742" s="8">
        <f>Dashboard!$C$9*B742*Dashboard!$C$11*(-Dashboard!$C$12*(1-F742)-O742)+2*Dashboard!$C$20*A742</f>
        <v>107953.92498601346</v>
      </c>
      <c r="Q742" s="8">
        <f>-P742-Dashboard!$C$13-Dashboard!$C$14</f>
        <v>-157953.92498601344</v>
      </c>
    </row>
    <row r="743" spans="1:17" x14ac:dyDescent="0.25">
      <c r="A743" s="5">
        <f>(743-2)/100</f>
        <v>7.41</v>
      </c>
      <c r="B743" s="5">
        <f>Dashboard!$C$10*EXP(-Dashboard!$C$12*A743)</f>
        <v>1.495158578143238E-2</v>
      </c>
      <c r="C743" s="5">
        <f>Dashboard!$C$17*A743</f>
        <v>5928</v>
      </c>
      <c r="D743" s="5">
        <f>Dashboard!$C$15*(1-EXP(-Dashboard!$C$16*A743))</f>
        <v>0.78031982610588946</v>
      </c>
      <c r="E743" s="5">
        <f>1/(1+EXP(MIN(700,MAX(-700,(C743-Dashboard!$C$18)/Dashboard!$C$19))))</f>
        <v>1.4328346432571099E-3</v>
      </c>
      <c r="F743" s="5">
        <f t="shared" ref="F743:F806" si="55">D743*E743</f>
        <v>1.1180692796648821E-3</v>
      </c>
      <c r="G743" s="8">
        <f>Dashboard!$C$9*B743*Dashboard!$C$11*(1-F743)</f>
        <v>29869.737745375776</v>
      </c>
      <c r="H743" s="8">
        <f>Dashboard!$C$20*A743^2</f>
        <v>439264.80000000005</v>
      </c>
      <c r="I743" s="8">
        <f t="shared" ref="I743:I806" si="56">G743+H743</f>
        <v>469134.53774537583</v>
      </c>
      <c r="J743" s="8">
        <f>Dashboard!$C$13*A743</f>
        <v>148200</v>
      </c>
      <c r="K743" s="8">
        <f>Dashboard!$C$14*A743</f>
        <v>222300</v>
      </c>
      <c r="L743" s="8">
        <f>Dashboard!$C$21-K743</f>
        <v>1277700</v>
      </c>
      <c r="M743" s="8">
        <f t="shared" ref="M743:M806" si="57">L743-I743-J743</f>
        <v>660365.46225462412</v>
      </c>
      <c r="N743" s="8">
        <f t="shared" ref="N743:N806" si="58">J743+K743</f>
        <v>370500</v>
      </c>
      <c r="O743" s="8">
        <f>Dashboard!$C$15*(Dashboard!$C$16*EXP(-Dashboard!$C$16*A743)*E743-(1-EXP(-Dashboard!$C$16*A743))*Dashboard!$C$17/Dashboard!$C$19*E743*(1-E743))</f>
        <v>-1.4745238108861524E-3</v>
      </c>
      <c r="P743" s="8">
        <f>Dashboard!$C$9*B743*Dashboard!$C$11*(-Dashboard!$C$12*(1-F743)-O743)+2*Dashboard!$C$20*A743</f>
        <v>108149.68472760894</v>
      </c>
      <c r="Q743" s="8">
        <f>-P743-Dashboard!$C$13-Dashboard!$C$14</f>
        <v>-158149.68472760892</v>
      </c>
    </row>
    <row r="744" spans="1:17" x14ac:dyDescent="0.25">
      <c r="A744" s="5">
        <f>(744-2)/100</f>
        <v>7.42</v>
      </c>
      <c r="B744" s="5">
        <f>Dashboard!$C$10*EXP(-Dashboard!$C$12*A744)</f>
        <v>1.4899346702912156E-2</v>
      </c>
      <c r="C744" s="5">
        <f>Dashboard!$C$17*A744</f>
        <v>5936</v>
      </c>
      <c r="D744" s="5">
        <f>Dashboard!$C$15*(1-EXP(-Dashboard!$C$16*A744))</f>
        <v>0.78041798138267793</v>
      </c>
      <c r="E744" s="5">
        <f>1/(1+EXP(MIN(700,MAX(-700,(C744-Dashboard!$C$18)/Dashboard!$C$19))))</f>
        <v>1.4138838124606496E-3</v>
      </c>
      <c r="F744" s="5">
        <f t="shared" si="55"/>
        <v>1.1034203508301849E-3</v>
      </c>
      <c r="G744" s="8">
        <f>Dashboard!$C$9*B744*Dashboard!$C$11*(1-F744)</f>
        <v>29765.812921092172</v>
      </c>
      <c r="H744" s="8">
        <f>Dashboard!$C$20*A744^2</f>
        <v>440451.19999999995</v>
      </c>
      <c r="I744" s="8">
        <f t="shared" si="56"/>
        <v>470217.0129210921</v>
      </c>
      <c r="J744" s="8">
        <f>Dashboard!$C$13*A744</f>
        <v>148400</v>
      </c>
      <c r="K744" s="8">
        <f>Dashboard!$C$14*A744</f>
        <v>222600</v>
      </c>
      <c r="L744" s="8">
        <f>Dashboard!$C$21-K744</f>
        <v>1277400</v>
      </c>
      <c r="M744" s="8">
        <f t="shared" si="57"/>
        <v>658782.9870789079</v>
      </c>
      <c r="N744" s="8">
        <f t="shared" si="58"/>
        <v>371000</v>
      </c>
      <c r="O744" s="8">
        <f>Dashboard!$C$15*(Dashboard!$C$16*EXP(-Dashboard!$C$16*A744)*E744-(1-EXP(-Dashboard!$C$16*A744))*Dashboard!$C$17/Dashboard!$C$19*E744*(1-E744))</f>
        <v>-1.4553036406412413E-3</v>
      </c>
      <c r="P744" s="8">
        <f>Dashboard!$C$9*B744*Dashboard!$C$11*(-Dashboard!$C$12*(1-F744)-O744)+2*Dashboard!$C$20*A744</f>
        <v>108345.3316246176</v>
      </c>
      <c r="Q744" s="8">
        <f>-P744-Dashboard!$C$13-Dashboard!$C$14</f>
        <v>-158345.3316246176</v>
      </c>
    </row>
    <row r="745" spans="1:17" x14ac:dyDescent="0.25">
      <c r="A745" s="5">
        <f>(745-2)/100</f>
        <v>7.43</v>
      </c>
      <c r="B745" s="5">
        <f>Dashboard!$C$10*EXP(-Dashboard!$C$12*A745)</f>
        <v>1.4847290141575369E-2</v>
      </c>
      <c r="C745" s="5">
        <f>Dashboard!$C$17*A745</f>
        <v>5944</v>
      </c>
      <c r="D745" s="5">
        <f>Dashboard!$C$15*(1-EXP(-Dashboard!$C$16*A745))</f>
        <v>0.78051564710798105</v>
      </c>
      <c r="E745" s="5">
        <f>1/(1+EXP(MIN(700,MAX(-700,(C745-Dashboard!$C$18)/Dashboard!$C$19))))</f>
        <v>1.3951832772672898E-3</v>
      </c>
      <c r="F745" s="5">
        <f t="shared" si="55"/>
        <v>1.0889623784905123E-3</v>
      </c>
      <c r="G745" s="8">
        <f>Dashboard!$C$9*B745*Dashboard!$C$11*(1-F745)</f>
        <v>29662.24400237732</v>
      </c>
      <c r="H745" s="8">
        <f>Dashboard!$C$20*A745^2</f>
        <v>441639.19999999995</v>
      </c>
      <c r="I745" s="8">
        <f t="shared" si="56"/>
        <v>471301.44400237728</v>
      </c>
      <c r="J745" s="8">
        <f>Dashboard!$C$13*A745</f>
        <v>148600</v>
      </c>
      <c r="K745" s="8">
        <f>Dashboard!$C$14*A745</f>
        <v>222900</v>
      </c>
      <c r="L745" s="8">
        <f>Dashboard!$C$21-K745</f>
        <v>1277100</v>
      </c>
      <c r="M745" s="8">
        <f t="shared" si="57"/>
        <v>657198.55599762267</v>
      </c>
      <c r="N745" s="8">
        <f t="shared" si="58"/>
        <v>371500</v>
      </c>
      <c r="O745" s="8">
        <f>Dashboard!$C$15*(Dashboard!$C$16*EXP(-Dashboard!$C$16*A745)*E745-(1-EXP(-Dashboard!$C$16*A745))*Dashboard!$C$17/Dashboard!$C$19*E745*(1-E745))</f>
        <v>-1.4363319801922994E-3</v>
      </c>
      <c r="P745" s="8">
        <f>Dashboard!$C$9*B745*Dashboard!$C$11*(-Dashboard!$C$12*(1-F745)-O745)+2*Dashboard!$C$20*A745</f>
        <v>108540.86587446701</v>
      </c>
      <c r="Q745" s="8">
        <f>-P745-Dashboard!$C$13-Dashboard!$C$14</f>
        <v>-158540.86587446701</v>
      </c>
    </row>
    <row r="746" spans="1:17" x14ac:dyDescent="0.25">
      <c r="A746" s="5">
        <f>(746-2)/100</f>
        <v>7.44</v>
      </c>
      <c r="B746" s="5">
        <f>Dashboard!$C$10*EXP(-Dashboard!$C$12*A746)</f>
        <v>1.4795415459728473E-2</v>
      </c>
      <c r="C746" s="5">
        <f>Dashboard!$C$17*A746</f>
        <v>5952</v>
      </c>
      <c r="D746" s="5">
        <f>Dashboard!$C$15*(1-EXP(-Dashboard!$C$16*A746))</f>
        <v>0.78061282572344715</v>
      </c>
      <c r="E746" s="5">
        <f>1/(1+EXP(MIN(700,MAX(-700,(C746-Dashboard!$C$18)/Dashboard!$C$19))))</f>
        <v>1.3767297410674632E-3</v>
      </c>
      <c r="F746" s="5">
        <f t="shared" si="55"/>
        <v>1.0746928934321821E-3</v>
      </c>
      <c r="G746" s="8">
        <f>Dashboard!$C$9*B746*Dashboard!$C$11*(1-F746)</f>
        <v>29559.029863757049</v>
      </c>
      <c r="H746" s="8">
        <f>Dashboard!$C$20*A746^2</f>
        <v>442828.80000000005</v>
      </c>
      <c r="I746" s="8">
        <f t="shared" si="56"/>
        <v>472387.82986375707</v>
      </c>
      <c r="J746" s="8">
        <f>Dashboard!$C$13*A746</f>
        <v>148800</v>
      </c>
      <c r="K746" s="8">
        <f>Dashboard!$C$14*A746</f>
        <v>223200</v>
      </c>
      <c r="L746" s="8">
        <f>Dashboard!$C$21-K746</f>
        <v>1276800</v>
      </c>
      <c r="M746" s="8">
        <f t="shared" si="57"/>
        <v>655612.17013624287</v>
      </c>
      <c r="N746" s="8">
        <f t="shared" si="58"/>
        <v>372000</v>
      </c>
      <c r="O746" s="8">
        <f>Dashboard!$C$15*(Dashboard!$C$16*EXP(-Dashboard!$C$16*A746)*E746-(1-EXP(-Dashboard!$C$16*A746))*Dashboard!$C$17/Dashboard!$C$19*E746*(1-E746))</f>
        <v>-1.4176056593068129E-3</v>
      </c>
      <c r="P746" s="8">
        <f>Dashboard!$C$9*B746*Dashboard!$C$11*(-Dashboard!$C$12*(1-F746)-O746)+2*Dashboard!$C$20*A746</f>
        <v>108736.28767706004</v>
      </c>
      <c r="Q746" s="8">
        <f>-P746-Dashboard!$C$13-Dashboard!$C$14</f>
        <v>-158736.28767706006</v>
      </c>
    </row>
    <row r="747" spans="1:17" x14ac:dyDescent="0.25">
      <c r="A747" s="5">
        <f>(747-2)/100</f>
        <v>7.45</v>
      </c>
      <c r="B747" s="5">
        <f>Dashboard!$C$10*EXP(-Dashboard!$C$12*A747)</f>
        <v>1.474372202190599E-2</v>
      </c>
      <c r="C747" s="5">
        <f>Dashboard!$C$17*A747</f>
        <v>5960</v>
      </c>
      <c r="D747" s="5">
        <f>Dashboard!$C$15*(1-EXP(-Dashboard!$C$16*A747))</f>
        <v>0.78070951965854651</v>
      </c>
      <c r="E747" s="5">
        <f>1/(1+EXP(MIN(700,MAX(-700,(C747-Dashboard!$C$18)/Dashboard!$C$19))))</f>
        <v>1.3585199504289591E-3</v>
      </c>
      <c r="F747" s="5">
        <f t="shared" si="55"/>
        <v>1.0606094579459452E-3</v>
      </c>
      <c r="G747" s="8">
        <f>Dashboard!$C$9*B747*Dashboard!$C$11*(1-F747)</f>
        <v>29456.169381768461</v>
      </c>
      <c r="H747" s="8">
        <f>Dashboard!$C$20*A747^2</f>
        <v>444020.00000000006</v>
      </c>
      <c r="I747" s="8">
        <f t="shared" si="56"/>
        <v>473476.1693817685</v>
      </c>
      <c r="J747" s="8">
        <f>Dashboard!$C$13*A747</f>
        <v>149000</v>
      </c>
      <c r="K747" s="8">
        <f>Dashboard!$C$14*A747</f>
        <v>223500</v>
      </c>
      <c r="L747" s="8">
        <f>Dashboard!$C$21-K747</f>
        <v>1276500</v>
      </c>
      <c r="M747" s="8">
        <f t="shared" si="57"/>
        <v>654023.83061823156</v>
      </c>
      <c r="N747" s="8">
        <f t="shared" si="58"/>
        <v>372500</v>
      </c>
      <c r="O747" s="8">
        <f>Dashboard!$C$15*(Dashboard!$C$16*EXP(-Dashboard!$C$16*A747)*E747-(1-EXP(-Dashboard!$C$16*A747))*Dashboard!$C$17/Dashboard!$C$19*E747*(1-E747))</f>
        <v>-1.3991215472516716E-3</v>
      </c>
      <c r="P747" s="8">
        <f>Dashboard!$C$9*B747*Dashboard!$C$11*(-Dashboard!$C$12*(1-F747)-O747)+2*Dashboard!$C$20*A747</f>
        <v>108931.59723471612</v>
      </c>
      <c r="Q747" s="8">
        <f>-P747-Dashboard!$C$13-Dashboard!$C$14</f>
        <v>-158931.59723471612</v>
      </c>
    </row>
    <row r="748" spans="1:17" x14ac:dyDescent="0.25">
      <c r="A748" s="5">
        <f>(748-2)/100</f>
        <v>7.46</v>
      </c>
      <c r="B748" s="5">
        <f>Dashboard!$C$10*EXP(-Dashboard!$C$12*A748)</f>
        <v>1.4692209194862646E-2</v>
      </c>
      <c r="C748" s="5">
        <f>Dashboard!$C$17*A748</f>
        <v>5968</v>
      </c>
      <c r="D748" s="5">
        <f>Dashboard!$C$15*(1-EXP(-Dashboard!$C$16*A748))</f>
        <v>0.78080573133063269</v>
      </c>
      <c r="E748" s="5">
        <f>1/(1+EXP(MIN(700,MAX(-700,(C748-Dashboard!$C$18)/Dashboard!$C$19))))</f>
        <v>1.3405506945377648E-3</v>
      </c>
      <c r="F748" s="5">
        <f t="shared" si="55"/>
        <v>1.046709665434347E-3</v>
      </c>
      <c r="G748" s="8">
        <f>Dashboard!$C$9*B748*Dashboard!$C$11*(1-F748)</f>
        <v>29353.661434983602</v>
      </c>
      <c r="H748" s="8">
        <f>Dashboard!$C$20*A748^2</f>
        <v>445212.8</v>
      </c>
      <c r="I748" s="8">
        <f t="shared" si="56"/>
        <v>474566.46143498359</v>
      </c>
      <c r="J748" s="8">
        <f>Dashboard!$C$13*A748</f>
        <v>149200</v>
      </c>
      <c r="K748" s="8">
        <f>Dashboard!$C$14*A748</f>
        <v>223800</v>
      </c>
      <c r="L748" s="8">
        <f>Dashboard!$C$21-K748</f>
        <v>1276200</v>
      </c>
      <c r="M748" s="8">
        <f t="shared" si="57"/>
        <v>652433.53856501635</v>
      </c>
      <c r="N748" s="8">
        <f t="shared" si="58"/>
        <v>373000</v>
      </c>
      <c r="O748" s="8">
        <f>Dashboard!$C$15*(Dashboard!$C$16*EXP(-Dashboard!$C$16*A748)*E748-(1-EXP(-Dashboard!$C$16*A748))*Dashboard!$C$17/Dashboard!$C$19*E748*(1-E748))</f>
        <v>-1.3808765523225606E-3</v>
      </c>
      <c r="P748" s="8">
        <f>Dashboard!$C$9*B748*Dashboard!$C$11*(-Dashboard!$C$12*(1-F748)-O748)+2*Dashboard!$C$20*A748</f>
        <v>109126.79475211375</v>
      </c>
      <c r="Q748" s="8">
        <f>-P748-Dashboard!$C$13-Dashboard!$C$14</f>
        <v>-159126.79475211375</v>
      </c>
    </row>
    <row r="749" spans="1:17" x14ac:dyDescent="0.25">
      <c r="A749" s="5">
        <f>(749-2)/100</f>
        <v>7.47</v>
      </c>
      <c r="B749" s="5">
        <f>Dashboard!$C$10*EXP(-Dashboard!$C$12*A749)</f>
        <v>1.4640876347565671E-2</v>
      </c>
      <c r="C749" s="5">
        <f>Dashboard!$C$17*A749</f>
        <v>5976</v>
      </c>
      <c r="D749" s="5">
        <f>Dashboard!$C$15*(1-EXP(-Dashboard!$C$16*A749))</f>
        <v>0.78090146314500242</v>
      </c>
      <c r="E749" s="5">
        <f>1/(1+EXP(MIN(700,MAX(-700,(C749-Dashboard!$C$18)/Dashboard!$C$19))))</f>
        <v>1.3228188046459902E-3</v>
      </c>
      <c r="F749" s="5">
        <f t="shared" si="55"/>
        <v>1.0329911400237769E-3</v>
      </c>
      <c r="G749" s="8">
        <f>Dashboard!$C$9*B749*Dashboard!$C$11*(1-F749)</f>
        <v>29251.504904032903</v>
      </c>
      <c r="H749" s="8">
        <f>Dashboard!$C$20*A749^2</f>
        <v>446407.2</v>
      </c>
      <c r="I749" s="8">
        <f t="shared" si="56"/>
        <v>475658.70490403293</v>
      </c>
      <c r="J749" s="8">
        <f>Dashboard!$C$13*A749</f>
        <v>149400</v>
      </c>
      <c r="K749" s="8">
        <f>Dashboard!$C$14*A749</f>
        <v>224100</v>
      </c>
      <c r="L749" s="8">
        <f>Dashboard!$C$21-K749</f>
        <v>1275900</v>
      </c>
      <c r="M749" s="8">
        <f t="shared" si="57"/>
        <v>650841.29509596713</v>
      </c>
      <c r="N749" s="8">
        <f t="shared" si="58"/>
        <v>373500</v>
      </c>
      <c r="O749" s="8">
        <f>Dashboard!$C$15*(Dashboard!$C$16*EXP(-Dashboard!$C$16*A749)*E749-(1-EXP(-Dashboard!$C$16*A749))*Dashboard!$C$17/Dashboard!$C$19*E749*(1-E749))</f>
        <v>-1.3628676213784533E-3</v>
      </c>
      <c r="P749" s="8">
        <f>Dashboard!$C$9*B749*Dashboard!$C$11*(-Dashboard!$C$12*(1-F749)-O749)+2*Dashboard!$C$20*A749</f>
        <v>109321.88043623389</v>
      </c>
      <c r="Q749" s="8">
        <f>-P749-Dashboard!$C$13-Dashboard!$C$14</f>
        <v>-159321.88043623389</v>
      </c>
    </row>
    <row r="750" spans="1:17" x14ac:dyDescent="0.25">
      <c r="A750" s="5">
        <f>(750-2)/100</f>
        <v>7.48</v>
      </c>
      <c r="B750" s="5">
        <f>Dashboard!$C$10*EXP(-Dashboard!$C$12*A750)</f>
        <v>1.4589722851187035E-2</v>
      </c>
      <c r="C750" s="5">
        <f>Dashboard!$C$17*A750</f>
        <v>5984</v>
      </c>
      <c r="D750" s="5">
        <f>Dashboard!$C$15*(1-EXP(-Dashboard!$C$16*A750))</f>
        <v>0.78099671749495603</v>
      </c>
      <c r="E750" s="5">
        <f>1/(1+EXP(MIN(700,MAX(-700,(C750-Dashboard!$C$18)/Dashboard!$C$19))))</f>
        <v>1.3053211535267722E-3</v>
      </c>
      <c r="F750" s="5">
        <f t="shared" si="55"/>
        <v>1.0194515361811385E-3</v>
      </c>
      <c r="G750" s="8">
        <f>Dashboard!$C$9*B750*Dashboard!$C$11*(1-F750)</f>
        <v>29149.69867162787</v>
      </c>
      <c r="H750" s="8">
        <f>Dashboard!$C$20*A750^2</f>
        <v>447603.20000000007</v>
      </c>
      <c r="I750" s="8">
        <f t="shared" si="56"/>
        <v>476752.89867162792</v>
      </c>
      <c r="J750" s="8">
        <f>Dashboard!$C$13*A750</f>
        <v>149600</v>
      </c>
      <c r="K750" s="8">
        <f>Dashboard!$C$14*A750</f>
        <v>224400</v>
      </c>
      <c r="L750" s="8">
        <f>Dashboard!$C$21-K750</f>
        <v>1275600</v>
      </c>
      <c r="M750" s="8">
        <f t="shared" si="57"/>
        <v>649247.10132837202</v>
      </c>
      <c r="N750" s="8">
        <f t="shared" si="58"/>
        <v>374000</v>
      </c>
      <c r="O750" s="8">
        <f>Dashboard!$C$15*(Dashboard!$C$16*EXP(-Dashboard!$C$16*A750)*E750-(1-EXP(-Dashboard!$C$16*A750))*Dashboard!$C$17/Dashboard!$C$19*E750*(1-E750))</f>
        <v>-1.3450917393811486E-3</v>
      </c>
      <c r="P750" s="8">
        <f>Dashboard!$C$9*B750*Dashboard!$C$11*(-Dashboard!$C$12*(1-F750)-O750)+2*Dashboard!$C$20*A750</f>
        <v>109516.85449630424</v>
      </c>
      <c r="Q750" s="8">
        <f>-P750-Dashboard!$C$13-Dashboard!$C$14</f>
        <v>-159516.85449630424</v>
      </c>
    </row>
    <row r="751" spans="1:17" x14ac:dyDescent="0.25">
      <c r="A751" s="5">
        <f>(751-2)/100</f>
        <v>7.49</v>
      </c>
      <c r="B751" s="5">
        <f>Dashboard!$C$10*EXP(-Dashboard!$C$12*A751)</f>
        <v>1.4538748079095776E-2</v>
      </c>
      <c r="C751" s="5">
        <f>Dashboard!$C$17*A751</f>
        <v>5992</v>
      </c>
      <c r="D751" s="5">
        <f>Dashboard!$C$15*(1-EXP(-Dashboard!$C$16*A751))</f>
        <v>0.7810914967618573</v>
      </c>
      <c r="E751" s="5">
        <f>1/(1+EXP(MIN(700,MAX(-700,(C751-Dashboard!$C$18)/Dashboard!$C$19))))</f>
        <v>1.2880546549360803E-3</v>
      </c>
      <c r="F751" s="5">
        <f t="shared" si="55"/>
        <v>1.0060885383351005E-3</v>
      </c>
      <c r="G751" s="8">
        <f>Dashboard!$C$9*B751*Dashboard!$C$11*(1-F751)</f>
        <v>29048.241622583315</v>
      </c>
      <c r="H751" s="8">
        <f>Dashboard!$C$20*A751^2</f>
        <v>448800.80000000005</v>
      </c>
      <c r="I751" s="8">
        <f t="shared" si="56"/>
        <v>477849.04162258335</v>
      </c>
      <c r="J751" s="8">
        <f>Dashboard!$C$13*A751</f>
        <v>149800</v>
      </c>
      <c r="K751" s="8">
        <f>Dashboard!$C$14*A751</f>
        <v>224700</v>
      </c>
      <c r="L751" s="8">
        <f>Dashboard!$C$21-K751</f>
        <v>1275300</v>
      </c>
      <c r="M751" s="8">
        <f t="shared" si="57"/>
        <v>647650.95837741671</v>
      </c>
      <c r="N751" s="8">
        <f t="shared" si="58"/>
        <v>374500</v>
      </c>
      <c r="O751" s="8">
        <f>Dashboard!$C$15*(Dashboard!$C$16*EXP(-Dashboard!$C$16*A751)*E751-(1-EXP(-Dashboard!$C$16*A751))*Dashboard!$C$17/Dashboard!$C$19*E751*(1-E751))</f>
        <v>-1.3275459289398116E-3</v>
      </c>
      <c r="P751" s="8">
        <f>Dashboard!$C$9*B751*Dashboard!$C$11*(-Dashboard!$C$12*(1-F751)-O751)+2*Dashboard!$C$20*A751</f>
        <v>109711.7171437444</v>
      </c>
      <c r="Q751" s="8">
        <f>-P751-Dashboard!$C$13-Dashboard!$C$14</f>
        <v>-159711.7171437444</v>
      </c>
    </row>
    <row r="752" spans="1:17" x14ac:dyDescent="0.25">
      <c r="A752" s="5">
        <f>(752-2)/100</f>
        <v>7.5</v>
      </c>
      <c r="B752" s="5">
        <f>Dashboard!$C$10*EXP(-Dashboard!$C$12*A752)</f>
        <v>1.4487951406850292E-2</v>
      </c>
      <c r="C752" s="5">
        <f>Dashboard!$C$17*A752</f>
        <v>6000</v>
      </c>
      <c r="D752" s="5">
        <f>Dashboard!$C$15*(1-EXP(-Dashboard!$C$16*A752))</f>
        <v>0.78118580331519283</v>
      </c>
      <c r="E752" s="5">
        <f>1/(1+EXP(MIN(700,MAX(-700,(C752-Dashboard!$C$18)/Dashboard!$C$19))))</f>
        <v>1.2710162630813579E-3</v>
      </c>
      <c r="F752" s="5">
        <f t="shared" si="55"/>
        <v>9.9289986050188502E-4</v>
      </c>
      <c r="G752" s="8">
        <f>Dashboard!$C$9*B752*Dashboard!$C$11*(1-F752)</f>
        <v>28947.132643838941</v>
      </c>
      <c r="H752" s="8">
        <f>Dashboard!$C$20*A752^2</f>
        <v>450000</v>
      </c>
      <c r="I752" s="8">
        <f t="shared" si="56"/>
        <v>478947.13264383894</v>
      </c>
      <c r="J752" s="8">
        <f>Dashboard!$C$13*A752</f>
        <v>150000</v>
      </c>
      <c r="K752" s="8">
        <f>Dashboard!$C$14*A752</f>
        <v>225000</v>
      </c>
      <c r="L752" s="8">
        <f>Dashboard!$C$21-K752</f>
        <v>1275000</v>
      </c>
      <c r="M752" s="8">
        <f t="shared" si="57"/>
        <v>646052.86735616112</v>
      </c>
      <c r="N752" s="8">
        <f t="shared" si="58"/>
        <v>375000</v>
      </c>
      <c r="O752" s="8">
        <f>Dashboard!$C$15*(Dashboard!$C$16*EXP(-Dashboard!$C$16*A752)*E752-(1-EXP(-Dashboard!$C$16*A752))*Dashboard!$C$17/Dashboard!$C$19*E752*(1-E752))</f>
        <v>-1.3102272498605005E-3</v>
      </c>
      <c r="P752" s="8">
        <f>Dashboard!$C$9*B752*Dashboard!$C$11*(-Dashboard!$C$12*(1-F752)-O752)+2*Dashboard!$C$20*A752</f>
        <v>109906.46859211219</v>
      </c>
      <c r="Q752" s="8">
        <f>-P752-Dashboard!$C$13-Dashboard!$C$14</f>
        <v>-159906.46859211219</v>
      </c>
    </row>
    <row r="753" spans="1:17" x14ac:dyDescent="0.25">
      <c r="A753" s="5">
        <f>(753-2)/100</f>
        <v>7.51</v>
      </c>
      <c r="B753" s="5">
        <f>Dashboard!$C$10*EXP(-Dashboard!$C$12*A753)</f>
        <v>1.4437332212190724E-2</v>
      </c>
      <c r="C753" s="5">
        <f>Dashboard!$C$17*A753</f>
        <v>6008</v>
      </c>
      <c r="D753" s="5">
        <f>Dashboard!$C$15*(1-EXP(-Dashboard!$C$16*A753))</f>
        <v>0.78127963951263124</v>
      </c>
      <c r="E753" s="5">
        <f>1/(1+EXP(MIN(700,MAX(-700,(C753-Dashboard!$C$18)/Dashboard!$C$19))))</f>
        <v>1.2542029720968878E-3</v>
      </c>
      <c r="F753" s="5">
        <f t="shared" si="55"/>
        <v>9.7988324591552728E-4</v>
      </c>
      <c r="G753" s="8">
        <f>Dashboard!$C$9*B753*Dashboard!$C$11*(1-F753)</f>
        <v>28846.370624480562</v>
      </c>
      <c r="H753" s="8">
        <f>Dashboard!$C$20*A753^2</f>
        <v>451200.79999999993</v>
      </c>
      <c r="I753" s="8">
        <f t="shared" si="56"/>
        <v>480047.17062448047</v>
      </c>
      <c r="J753" s="8">
        <f>Dashboard!$C$13*A753</f>
        <v>150200</v>
      </c>
      <c r="K753" s="8">
        <f>Dashboard!$C$14*A753</f>
        <v>225300</v>
      </c>
      <c r="L753" s="8">
        <f>Dashboard!$C$21-K753</f>
        <v>1274700</v>
      </c>
      <c r="M753" s="8">
        <f t="shared" si="57"/>
        <v>644452.82937551953</v>
      </c>
      <c r="N753" s="8">
        <f t="shared" si="58"/>
        <v>375500</v>
      </c>
      <c r="O753" s="8">
        <f>Dashboard!$C$15*(Dashboard!$C$16*EXP(-Dashboard!$C$16*A753)*E753-(1-EXP(-Dashboard!$C$16*A753))*Dashboard!$C$17/Dashboard!$C$19*E753*(1-E753))</f>
        <v>-1.2931327987005979E-3</v>
      </c>
      <c r="P753" s="8">
        <f>Dashboard!$C$9*B753*Dashboard!$C$11*(-Dashboard!$C$12*(1-F753)-O753)+2*Dashboard!$C$20*A753</f>
        <v>110101.10905705045</v>
      </c>
      <c r="Q753" s="8">
        <f>-P753-Dashboard!$C$13-Dashboard!$C$14</f>
        <v>-160101.10905705043</v>
      </c>
    </row>
    <row r="754" spans="1:17" x14ac:dyDescent="0.25">
      <c r="A754" s="5">
        <f>(754-2)/100</f>
        <v>7.52</v>
      </c>
      <c r="B754" s="5">
        <f>Dashboard!$C$10*EXP(-Dashboard!$C$12*A754)</f>
        <v>1.4386889875031297E-2</v>
      </c>
      <c r="C754" s="5">
        <f>Dashboard!$C$17*A754</f>
        <v>6016</v>
      </c>
      <c r="D754" s="5">
        <f>Dashboard!$C$15*(1-EXP(-Dashboard!$C$16*A754))</f>
        <v>0.78137300770008244</v>
      </c>
      <c r="E754" s="5">
        <f>1/(1+EXP(MIN(700,MAX(-700,(C754-Dashboard!$C$18)/Dashboard!$C$19))))</f>
        <v>1.2376118155258179E-3</v>
      </c>
      <c r="F754" s="5">
        <f t="shared" si="55"/>
        <v>9.6703646666256797E-4</v>
      </c>
      <c r="G754" s="8">
        <f>Dashboard!$C$9*B754*Dashboard!$C$11*(1-F754)</f>
        <v>28745.954455760566</v>
      </c>
      <c r="H754" s="8">
        <f>Dashboard!$C$20*A754^2</f>
        <v>452403.19999999995</v>
      </c>
      <c r="I754" s="8">
        <f t="shared" si="56"/>
        <v>481149.15445576049</v>
      </c>
      <c r="J754" s="8">
        <f>Dashboard!$C$13*A754</f>
        <v>150400</v>
      </c>
      <c r="K754" s="8">
        <f>Dashboard!$C$14*A754</f>
        <v>225600</v>
      </c>
      <c r="L754" s="8">
        <f>Dashboard!$C$21-K754</f>
        <v>1274400</v>
      </c>
      <c r="M754" s="8">
        <f t="shared" si="57"/>
        <v>642850.84554423951</v>
      </c>
      <c r="N754" s="8">
        <f t="shared" si="58"/>
        <v>376000</v>
      </c>
      <c r="O754" s="8">
        <f>Dashboard!$C$15*(Dashboard!$C$16*EXP(-Dashboard!$C$16*A754)*E754-(1-EXP(-Dashboard!$C$16*A754))*Dashboard!$C$17/Dashboard!$C$19*E754*(1-E754))</f>
        <v>-1.2762597083281328E-3</v>
      </c>
      <c r="P754" s="8">
        <f>Dashboard!$C$9*B754*Dashboard!$C$11*(-Dashboard!$C$12*(1-F754)-O754)+2*Dashboard!$C$20*A754</f>
        <v>110295.63875623512</v>
      </c>
      <c r="Q754" s="8">
        <f>-P754-Dashboard!$C$13-Dashboard!$C$14</f>
        <v>-160295.63875623513</v>
      </c>
    </row>
    <row r="755" spans="1:17" x14ac:dyDescent="0.25">
      <c r="A755" s="5">
        <f>(755-2)/100</f>
        <v>7.53</v>
      </c>
      <c r="B755" s="5">
        <f>Dashboard!$C$10*EXP(-Dashboard!$C$12*A755)</f>
        <v>1.4336623777452743E-2</v>
      </c>
      <c r="C755" s="5">
        <f>Dashboard!$C$17*A755</f>
        <v>6024</v>
      </c>
      <c r="D755" s="5">
        <f>Dashboard!$C$15*(1-EXP(-Dashboard!$C$16*A755))</f>
        <v>0.78146591021175604</v>
      </c>
      <c r="E755" s="5">
        <f>1/(1+EXP(MIN(700,MAX(-700,(C755-Dashboard!$C$18)/Dashboard!$C$19))))</f>
        <v>1.2212398658087717E-3</v>
      </c>
      <c r="F755" s="5">
        <f t="shared" si="55"/>
        <v>9.5435732332113459E-4</v>
      </c>
      <c r="G755" s="8">
        <f>Dashboard!$C$9*B755*Dashboard!$C$11*(1-F755)</f>
        <v>28645.883031118057</v>
      </c>
      <c r="H755" s="8">
        <f>Dashboard!$C$20*A755^2</f>
        <v>453607.2</v>
      </c>
      <c r="I755" s="8">
        <f t="shared" si="56"/>
        <v>482253.08303111809</v>
      </c>
      <c r="J755" s="8">
        <f>Dashboard!$C$13*A755</f>
        <v>150600</v>
      </c>
      <c r="K755" s="8">
        <f>Dashboard!$C$14*A755</f>
        <v>225900</v>
      </c>
      <c r="L755" s="8">
        <f>Dashboard!$C$21-K755</f>
        <v>1274100</v>
      </c>
      <c r="M755" s="8">
        <f t="shared" si="57"/>
        <v>641246.91696888185</v>
      </c>
      <c r="N755" s="8">
        <f t="shared" si="58"/>
        <v>376500</v>
      </c>
      <c r="O755" s="8">
        <f>Dashboard!$C$15*(Dashboard!$C$16*EXP(-Dashboard!$C$16*A755)*E755-(1-EXP(-Dashboard!$C$16*A755))*Dashboard!$C$17/Dashboard!$C$19*E755*(1-E755))</f>
        <v>-1.2596051474859497E-3</v>
      </c>
      <c r="P755" s="8">
        <f>Dashboard!$C$9*B755*Dashboard!$C$11*(-Dashboard!$C$12*(1-F755)-O755)+2*Dashboard!$C$20*A755</f>
        <v>110490.05790932398</v>
      </c>
      <c r="Q755" s="8">
        <f>-P755-Dashboard!$C$13-Dashboard!$C$14</f>
        <v>-160490.05790932398</v>
      </c>
    </row>
    <row r="756" spans="1:17" x14ac:dyDescent="0.25">
      <c r="A756" s="5">
        <f>(756-2)/100</f>
        <v>7.54</v>
      </c>
      <c r="B756" s="5">
        <f>Dashboard!$C$10*EXP(-Dashboard!$C$12*A756)</f>
        <v>1.4286533303694752E-2</v>
      </c>
      <c r="C756" s="5">
        <f>Dashboard!$C$17*A756</f>
        <v>6032</v>
      </c>
      <c r="D756" s="5">
        <f>Dashboard!$C$15*(1-EXP(-Dashboard!$C$16*A756))</f>
        <v>0.78155834937021962</v>
      </c>
      <c r="E756" s="5">
        <f>1/(1+EXP(MIN(700,MAX(-700,(C756-Dashboard!$C$18)/Dashboard!$C$19))))</f>
        <v>1.205084233778948E-3</v>
      </c>
      <c r="F756" s="5">
        <f t="shared" si="55"/>
        <v>9.4184364460435041E-4</v>
      </c>
      <c r="G756" s="8">
        <f>Dashboard!$C$9*B756*Dashboard!$C$11*(1-F756)</f>
        <v>28546.155246198472</v>
      </c>
      <c r="H756" s="8">
        <f>Dashboard!$C$20*A756^2</f>
        <v>454812.8</v>
      </c>
      <c r="I756" s="8">
        <f t="shared" si="56"/>
        <v>483358.95524619846</v>
      </c>
      <c r="J756" s="8">
        <f>Dashboard!$C$13*A756</f>
        <v>150800</v>
      </c>
      <c r="K756" s="8">
        <f>Dashboard!$C$14*A756</f>
        <v>226200</v>
      </c>
      <c r="L756" s="8">
        <f>Dashboard!$C$21-K756</f>
        <v>1273800</v>
      </c>
      <c r="M756" s="8">
        <f t="shared" si="57"/>
        <v>639641.04475380154</v>
      </c>
      <c r="N756" s="8">
        <f t="shared" si="58"/>
        <v>377000</v>
      </c>
      <c r="O756" s="8">
        <f>Dashboard!$C$15*(Dashboard!$C$16*EXP(-Dashboard!$C$16*A756)*E756-(1-EXP(-Dashboard!$C$16*A756))*Dashboard!$C$17/Dashboard!$C$19*E756*(1-E756))</f>
        <v>-1.2431663203606666E-3</v>
      </c>
      <c r="P756" s="8">
        <f>Dashboard!$C$9*B756*Dashboard!$C$11*(-Dashboard!$C$12*(1-F756)-O756)+2*Dashboard!$C$20*A756</f>
        <v>110684.36673790627</v>
      </c>
      <c r="Q756" s="8">
        <f>-P756-Dashboard!$C$13-Dashboard!$C$14</f>
        <v>-160684.36673790627</v>
      </c>
    </row>
    <row r="757" spans="1:17" x14ac:dyDescent="0.25">
      <c r="A757" s="5">
        <f>(757-2)/100</f>
        <v>7.55</v>
      </c>
      <c r="B757" s="5">
        <f>Dashboard!$C$10*EXP(-Dashboard!$C$12*A757)</f>
        <v>1.4236617840148388E-2</v>
      </c>
      <c r="C757" s="5">
        <f>Dashboard!$C$17*A757</f>
        <v>6040</v>
      </c>
      <c r="D757" s="5">
        <f>Dashboard!$C$15*(1-EXP(-Dashboard!$C$16*A757))</f>
        <v>0.78165032748645691</v>
      </c>
      <c r="E757" s="5">
        <f>1/(1+EXP(MIN(700,MAX(-700,(C757-Dashboard!$C$18)/Dashboard!$C$19))))</f>
        <v>1.189142068163636E-3</v>
      </c>
      <c r="F757" s="5">
        <f t="shared" si="55"/>
        <v>9.2949328700802877E-4</v>
      </c>
      <c r="G757" s="8">
        <f>Dashboard!$C$9*B757*Dashboard!$C$11*(1-F757)</f>
        <v>28446.769998872544</v>
      </c>
      <c r="H757" s="8">
        <f>Dashboard!$C$20*A757^2</f>
        <v>456020</v>
      </c>
      <c r="I757" s="8">
        <f t="shared" si="56"/>
        <v>484466.76999887254</v>
      </c>
      <c r="J757" s="8">
        <f>Dashboard!$C$13*A757</f>
        <v>151000</v>
      </c>
      <c r="K757" s="8">
        <f>Dashboard!$C$14*A757</f>
        <v>226500</v>
      </c>
      <c r="L757" s="8">
        <f>Dashboard!$C$21-K757</f>
        <v>1273500</v>
      </c>
      <c r="M757" s="8">
        <f t="shared" si="57"/>
        <v>638033.23000112746</v>
      </c>
      <c r="N757" s="8">
        <f t="shared" si="58"/>
        <v>377500</v>
      </c>
      <c r="O757" s="8">
        <f>Dashboard!$C$15*(Dashboard!$C$16*EXP(-Dashboard!$C$16*A757)*E757-(1-EXP(-Dashboard!$C$16*A757))*Dashboard!$C$17/Dashboard!$C$19*E757*(1-E757))</f>
        <v>-1.226940466156389E-3</v>
      </c>
      <c r="P757" s="8">
        <f>Dashboard!$C$9*B757*Dashboard!$C$11*(-Dashboard!$C$12*(1-F757)-O757)+2*Dashboard!$C$20*A757</f>
        <v>110878.56546545317</v>
      </c>
      <c r="Q757" s="8">
        <f>-P757-Dashboard!$C$13-Dashboard!$C$14</f>
        <v>-160878.56546545317</v>
      </c>
    </row>
    <row r="758" spans="1:17" x14ac:dyDescent="0.25">
      <c r="A758" s="5">
        <f>(758-2)/100</f>
        <v>7.56</v>
      </c>
      <c r="B758" s="5">
        <f>Dashboard!$C$10*EXP(-Dashboard!$C$12*A758)</f>
        <v>1.418687677534859E-2</v>
      </c>
      <c r="C758" s="5">
        <f>Dashboard!$C$17*A758</f>
        <v>6048</v>
      </c>
      <c r="D758" s="5">
        <f>Dashboard!$C$15*(1-EXP(-Dashboard!$C$16*A758))</f>
        <v>0.78174184685992565</v>
      </c>
      <c r="E758" s="5">
        <f>1/(1+EXP(MIN(700,MAX(-700,(C758-Dashboard!$C$18)/Dashboard!$C$19))))</f>
        <v>1.1734105550920836E-3</v>
      </c>
      <c r="F758" s="5">
        <f t="shared" si="55"/>
        <v>9.1730413446261593E-4</v>
      </c>
      <c r="G758" s="8">
        <f>Dashboard!$C$9*B758*Dashboard!$C$11*(1-F758)</f>
        <v>28347.7261892549</v>
      </c>
      <c r="H758" s="8">
        <f>Dashboard!$C$20*A758^2</f>
        <v>457228.79999999999</v>
      </c>
      <c r="I758" s="8">
        <f t="shared" si="56"/>
        <v>485576.52618925489</v>
      </c>
      <c r="J758" s="8">
        <f>Dashboard!$C$13*A758</f>
        <v>151200</v>
      </c>
      <c r="K758" s="8">
        <f>Dashboard!$C$14*A758</f>
        <v>226800</v>
      </c>
      <c r="L758" s="8">
        <f>Dashboard!$C$21-K758</f>
        <v>1273200</v>
      </c>
      <c r="M758" s="8">
        <f t="shared" si="57"/>
        <v>636423.47381074517</v>
      </c>
      <c r="N758" s="8">
        <f t="shared" si="58"/>
        <v>378000</v>
      </c>
      <c r="O758" s="8">
        <f>Dashboard!$C$15*(Dashboard!$C$16*EXP(-Dashboard!$C$16*A758)*E758-(1-EXP(-Dashboard!$C$16*A758))*Dashboard!$C$17/Dashboard!$C$19*E758*(1-E758))</f>
        <v>-1.2109248586731518E-3</v>
      </c>
      <c r="P758" s="8">
        <f>Dashboard!$C$9*B758*Dashboard!$C$11*(-Dashboard!$C$12*(1-F758)-O758)+2*Dashboard!$C$20*A758</f>
        <v>111072.65431726919</v>
      </c>
      <c r="Q758" s="8">
        <f>-P758-Dashboard!$C$13-Dashboard!$C$14</f>
        <v>-161072.65431726919</v>
      </c>
    </row>
    <row r="759" spans="1:17" x14ac:dyDescent="0.25">
      <c r="A759" s="5">
        <f>(759-2)/100</f>
        <v>7.57</v>
      </c>
      <c r="B759" s="5">
        <f>Dashboard!$C$10*EXP(-Dashboard!$C$12*A759)</f>
        <v>1.4137309499966708E-2</v>
      </c>
      <c r="C759" s="5">
        <f>Dashboard!$C$17*A759</f>
        <v>6056</v>
      </c>
      <c r="D759" s="5">
        <f>Dashboard!$C$15*(1-EXP(-Dashboard!$C$16*A759))</f>
        <v>0.78183290977861497</v>
      </c>
      <c r="E759" s="5">
        <f>1/(1+EXP(MIN(700,MAX(-700,(C759-Dashboard!$C$18)/Dashboard!$C$19))))</f>
        <v>1.1578869176096158E-3</v>
      </c>
      <c r="F759" s="5">
        <f t="shared" si="55"/>
        <v>9.0527409798931736E-4</v>
      </c>
      <c r="G759" s="8">
        <f>Dashboard!$C$9*B759*Dashboard!$C$11*(1-F759)</f>
        <v>28249.022719722259</v>
      </c>
      <c r="H759" s="8">
        <f>Dashboard!$C$20*A759^2</f>
        <v>458439.2</v>
      </c>
      <c r="I759" s="8">
        <f t="shared" si="56"/>
        <v>486688.22271972225</v>
      </c>
      <c r="J759" s="8">
        <f>Dashboard!$C$13*A759</f>
        <v>151400</v>
      </c>
      <c r="K759" s="8">
        <f>Dashboard!$C$14*A759</f>
        <v>227100</v>
      </c>
      <c r="L759" s="8">
        <f>Dashboard!$C$21-K759</f>
        <v>1272900</v>
      </c>
      <c r="M759" s="8">
        <f t="shared" si="57"/>
        <v>634811.77728027781</v>
      </c>
      <c r="N759" s="8">
        <f t="shared" si="58"/>
        <v>378500</v>
      </c>
      <c r="O759" s="8">
        <f>Dashboard!$C$15*(Dashboard!$C$16*EXP(-Dashboard!$C$16*A759)*E759-(1-EXP(-Dashboard!$C$16*A759))*Dashboard!$C$17/Dashboard!$C$19*E759*(1-E759))</f>
        <v>-1.1951168058900185E-3</v>
      </c>
      <c r="P759" s="8">
        <f>Dashboard!$C$9*B759*Dashboard!$C$11*(-Dashboard!$C$12*(1-F759)-O759)+2*Dashboard!$C$20*A759</f>
        <v>111266.63352044417</v>
      </c>
      <c r="Q759" s="8">
        <f>-P759-Dashboard!$C$13-Dashboard!$C$14</f>
        <v>-161266.63352044416</v>
      </c>
    </row>
    <row r="760" spans="1:17" x14ac:dyDescent="0.25">
      <c r="A760" s="5">
        <f>(760-2)/100</f>
        <v>7.58</v>
      </c>
      <c r="B760" s="5">
        <f>Dashboard!$C$10*EXP(-Dashboard!$C$12*A760)</f>
        <v>1.4087915406802985E-2</v>
      </c>
      <c r="C760" s="5">
        <f>Dashboard!$C$17*A760</f>
        <v>6064</v>
      </c>
      <c r="D760" s="5">
        <f>Dashboard!$C$15*(1-EXP(-Dashboard!$C$16*A760))</f>
        <v>0.78192351851910258</v>
      </c>
      <c r="E760" s="5">
        <f>1/(1+EXP(MIN(700,MAX(-700,(C760-Dashboard!$C$18)/Dashboard!$C$19))))</f>
        <v>1.1425684151979416E-3</v>
      </c>
      <c r="F760" s="5">
        <f t="shared" si="55"/>
        <v>8.9340111536036942E-4</v>
      </c>
      <c r="G760" s="8">
        <f>Dashboard!$C$9*B760*Dashboard!$C$11*(1-F760)</f>
        <v>28150.658494930885</v>
      </c>
      <c r="H760" s="8">
        <f>Dashboard!$C$20*A760^2</f>
        <v>459651.2</v>
      </c>
      <c r="I760" s="8">
        <f t="shared" si="56"/>
        <v>487801.8584949309</v>
      </c>
      <c r="J760" s="8">
        <f>Dashboard!$C$13*A760</f>
        <v>151600</v>
      </c>
      <c r="K760" s="8">
        <f>Dashboard!$C$14*A760</f>
        <v>227400</v>
      </c>
      <c r="L760" s="8">
        <f>Dashboard!$C$21-K760</f>
        <v>1272600</v>
      </c>
      <c r="M760" s="8">
        <f t="shared" si="57"/>
        <v>633198.1415050691</v>
      </c>
      <c r="N760" s="8">
        <f t="shared" si="58"/>
        <v>379000</v>
      </c>
      <c r="O760" s="8">
        <f>Dashboard!$C$15*(Dashboard!$C$16*EXP(-Dashboard!$C$16*A760)*E760-(1-EXP(-Dashboard!$C$16*A760))*Dashboard!$C$17/Dashboard!$C$19*E760*(1-E760))</f>
        <v>-1.1795136495528161E-3</v>
      </c>
      <c r="P760" s="8">
        <f>Dashboard!$C$9*B760*Dashboard!$C$11*(-Dashboard!$C$12*(1-F760)-O760)+2*Dashboard!$C$20*A760</f>
        <v>111460.50330380633</v>
      </c>
      <c r="Q760" s="8">
        <f>-P760-Dashboard!$C$13-Dashboard!$C$14</f>
        <v>-161460.50330380633</v>
      </c>
    </row>
    <row r="761" spans="1:17" x14ac:dyDescent="0.25">
      <c r="A761" s="5">
        <f>(761-2)/100</f>
        <v>7.59</v>
      </c>
      <c r="B761" s="5">
        <f>Dashboard!$C$10*EXP(-Dashboard!$C$12*A761)</f>
        <v>1.4038693890779171E-2</v>
      </c>
      <c r="C761" s="5">
        <f>Dashboard!$C$17*A761</f>
        <v>6072</v>
      </c>
      <c r="D761" s="5">
        <f>Dashboard!$C$15*(1-EXP(-Dashboard!$C$16*A761))</f>
        <v>0.78201367534661159</v>
      </c>
      <c r="E761" s="5">
        <f>1/(1+EXP(MIN(700,MAX(-700,(C761-Dashboard!$C$18)/Dashboard!$C$19))))</f>
        <v>1.1274523433015815E-3</v>
      </c>
      <c r="F761" s="5">
        <f t="shared" si="55"/>
        <v>8.8168315076341951E-4</v>
      </c>
      <c r="G761" s="8">
        <f>Dashboard!$C$9*B761*Dashboard!$C$11*(1-F761)</f>
        <v>28052.632421833889</v>
      </c>
      <c r="H761" s="8">
        <f>Dashboard!$C$20*A761^2</f>
        <v>460864.8</v>
      </c>
      <c r="I761" s="8">
        <f t="shared" si="56"/>
        <v>488917.43242183386</v>
      </c>
      <c r="J761" s="8">
        <f>Dashboard!$C$13*A761</f>
        <v>151800</v>
      </c>
      <c r="K761" s="8">
        <f>Dashboard!$C$14*A761</f>
        <v>227700</v>
      </c>
      <c r="L761" s="8">
        <f>Dashboard!$C$21-K761</f>
        <v>1272300</v>
      </c>
      <c r="M761" s="8">
        <f t="shared" si="57"/>
        <v>631582.56757816614</v>
      </c>
      <c r="N761" s="8">
        <f t="shared" si="58"/>
        <v>379500</v>
      </c>
      <c r="O761" s="8">
        <f>Dashboard!$C$15*(Dashboard!$C$16*EXP(-Dashboard!$C$16*A761)*E761-(1-EXP(-Dashboard!$C$16*A761))*Dashboard!$C$17/Dashboard!$C$19*E761*(1-E761))</f>
        <v>-1.1641127647664662E-3</v>
      </c>
      <c r="P761" s="8">
        <f>Dashboard!$C$9*B761*Dashboard!$C$11*(-Dashboard!$C$12*(1-F761)-O761)+2*Dashboard!$C$20*A761</f>
        <v>111654.26389787595</v>
      </c>
      <c r="Q761" s="8">
        <f>-P761-Dashboard!$C$13-Dashboard!$C$14</f>
        <v>-161654.26389787596</v>
      </c>
    </row>
    <row r="762" spans="1:17" x14ac:dyDescent="0.25">
      <c r="A762" s="5">
        <f>(762-2)/100</f>
        <v>7.6</v>
      </c>
      <c r="B762" s="5">
        <f>Dashboard!$C$10*EXP(-Dashboard!$C$12*A762)</f>
        <v>1.3989644348931077E-2</v>
      </c>
      <c r="C762" s="5">
        <f>Dashboard!$C$17*A762</f>
        <v>6080</v>
      </c>
      <c r="D762" s="5">
        <f>Dashboard!$C$15*(1-EXP(-Dashboard!$C$16*A762))</f>
        <v>0.7821033825150675</v>
      </c>
      <c r="E762" s="5">
        <f>1/(1+EXP(MIN(700,MAX(-700,(C762-Dashboard!$C$18)/Dashboard!$C$19))))</f>
        <v>1.1125360328603216E-3</v>
      </c>
      <c r="F762" s="5">
        <f t="shared" si="55"/>
        <v>8.7011819446995177E-4</v>
      </c>
      <c r="G762" s="8">
        <f>Dashboard!$C$9*B762*Dashboard!$C$11*(1-F762)</f>
        <v>27954.943409697818</v>
      </c>
      <c r="H762" s="8">
        <f>Dashboard!$C$20*A762^2</f>
        <v>462080</v>
      </c>
      <c r="I762" s="8">
        <f t="shared" si="56"/>
        <v>490034.94340969779</v>
      </c>
      <c r="J762" s="8">
        <f>Dashboard!$C$13*A762</f>
        <v>152000</v>
      </c>
      <c r="K762" s="8">
        <f>Dashboard!$C$14*A762</f>
        <v>228000</v>
      </c>
      <c r="L762" s="8">
        <f>Dashboard!$C$21-K762</f>
        <v>1272000</v>
      </c>
      <c r="M762" s="8">
        <f t="shared" si="57"/>
        <v>629965.05659030215</v>
      </c>
      <c r="N762" s="8">
        <f t="shared" si="58"/>
        <v>380000</v>
      </c>
      <c r="O762" s="8">
        <f>Dashboard!$C$15*(Dashboard!$C$16*EXP(-Dashboard!$C$16*A762)*E762-(1-EXP(-Dashboard!$C$16*A762))*Dashboard!$C$17/Dashboard!$C$19*E762*(1-E762))</f>
        <v>-1.148911559591856E-3</v>
      </c>
      <c r="P762" s="8">
        <f>Dashboard!$C$9*B762*Dashboard!$C$11*(-Dashboard!$C$12*(1-F762)-O762)+2*Dashboard!$C$20*A762</f>
        <v>111847.9155348199</v>
      </c>
      <c r="Q762" s="8">
        <f>-P762-Dashboard!$C$13-Dashboard!$C$14</f>
        <v>-161847.91553481988</v>
      </c>
    </row>
    <row r="763" spans="1:17" x14ac:dyDescent="0.25">
      <c r="A763" s="5">
        <f>(763-2)/100</f>
        <v>7.61</v>
      </c>
      <c r="B763" s="5">
        <f>Dashboard!$C$10*EXP(-Dashboard!$C$12*A763)</f>
        <v>1.3940766180401196E-2</v>
      </c>
      <c r="C763" s="5">
        <f>Dashboard!$C$17*A763</f>
        <v>6088</v>
      </c>
      <c r="D763" s="5">
        <f>Dashboard!$C$15*(1-EXP(-Dashboard!$C$16*A763))</f>
        <v>0.78219264226715435</v>
      </c>
      <c r="E763" s="5">
        <f>1/(1+EXP(MIN(700,MAX(-700,(C763-Dashboard!$C$18)/Dashboard!$C$19))))</f>
        <v>1.0978168498476319E-3</v>
      </c>
      <c r="F763" s="5">
        <f t="shared" si="55"/>
        <v>8.5870426250772298E-4</v>
      </c>
      <c r="G763" s="8">
        <f>Dashboard!$C$9*B763*Dashboard!$C$11*(1-F763)</f>
        <v>27857.590370118924</v>
      </c>
      <c r="H763" s="8">
        <f>Dashboard!$C$20*A763^2</f>
        <v>463296.80000000005</v>
      </c>
      <c r="I763" s="8">
        <f t="shared" si="56"/>
        <v>491154.39037011896</v>
      </c>
      <c r="J763" s="8">
        <f>Dashboard!$C$13*A763</f>
        <v>152200</v>
      </c>
      <c r="K763" s="8">
        <f>Dashboard!$C$14*A763</f>
        <v>228300</v>
      </c>
      <c r="L763" s="8">
        <f>Dashboard!$C$21-K763</f>
        <v>1271700</v>
      </c>
      <c r="M763" s="8">
        <f t="shared" si="57"/>
        <v>628345.6096298811</v>
      </c>
      <c r="N763" s="8">
        <f t="shared" si="58"/>
        <v>380500</v>
      </c>
      <c r="O763" s="8">
        <f>Dashboard!$C$15*(Dashboard!$C$16*EXP(-Dashboard!$C$16*A763)*E763-(1-EXP(-Dashboard!$C$16*A763))*Dashboard!$C$17/Dashboard!$C$19*E763*(1-E763))</f>
        <v>-1.1339074746472165E-3</v>
      </c>
      <c r="P763" s="8">
        <f>Dashboard!$C$9*B763*Dashboard!$C$11*(-Dashboard!$C$12*(1-F763)-O763)+2*Dashboard!$C$20*A763</f>
        <v>112041.45844840691</v>
      </c>
      <c r="Q763" s="8">
        <f>-P763-Dashboard!$C$13-Dashboard!$C$14</f>
        <v>-162041.45844840689</v>
      </c>
    </row>
    <row r="764" spans="1:17" x14ac:dyDescent="0.25">
      <c r="A764" s="5">
        <f>(764-2)/100</f>
        <v>7.62</v>
      </c>
      <c r="B764" s="5">
        <f>Dashboard!$C$10*EXP(-Dashboard!$C$12*A764)</f>
        <v>1.3892058786431362E-2</v>
      </c>
      <c r="C764" s="5">
        <f>Dashboard!$C$17*A764</f>
        <v>6096</v>
      </c>
      <c r="D764" s="5">
        <f>Dashboard!$C$15*(1-EXP(-Dashboard!$C$16*A764))</f>
        <v>0.78228145683437011</v>
      </c>
      <c r="E764" s="5">
        <f>1/(1+EXP(MIN(700,MAX(-700,(C764-Dashboard!$C$18)/Dashboard!$C$19))))</f>
        <v>1.0832921948149814E-3</v>
      </c>
      <c r="F764" s="5">
        <f t="shared" si="55"/>
        <v>8.4743939633716596E-4</v>
      </c>
      <c r="G764" s="8">
        <f>Dashboard!$C$9*B764*Dashboard!$C$11*(1-F764)</f>
        <v>27760.572217039015</v>
      </c>
      <c r="H764" s="8">
        <f>Dashboard!$C$20*A764^2</f>
        <v>464515.2</v>
      </c>
      <c r="I764" s="8">
        <f t="shared" si="56"/>
        <v>492275.77221703902</v>
      </c>
      <c r="J764" s="8">
        <f>Dashboard!$C$13*A764</f>
        <v>152400</v>
      </c>
      <c r="K764" s="8">
        <f>Dashboard!$C$14*A764</f>
        <v>228600</v>
      </c>
      <c r="L764" s="8">
        <f>Dashboard!$C$21-K764</f>
        <v>1271400</v>
      </c>
      <c r="M764" s="8">
        <f t="shared" si="57"/>
        <v>626724.22778296098</v>
      </c>
      <c r="N764" s="8">
        <f t="shared" si="58"/>
        <v>381000</v>
      </c>
      <c r="O764" s="8">
        <f>Dashboard!$C$15*(Dashboard!$C$16*EXP(-Dashboard!$C$16*A764)*E764-(1-EXP(-Dashboard!$C$16*A764))*Dashboard!$C$17/Dashboard!$C$19*E764*(1-E764))</f>
        <v>-1.1190979827139708E-3</v>
      </c>
      <c r="P764" s="8">
        <f>Dashboard!$C$9*B764*Dashboard!$C$11*(-Dashboard!$C$12*(1-F764)-O764)+2*Dashboard!$C$20*A764</f>
        <v>112234.89287396363</v>
      </c>
      <c r="Q764" s="8">
        <f>-P764-Dashboard!$C$13-Dashboard!$C$14</f>
        <v>-162234.89287396363</v>
      </c>
    </row>
    <row r="765" spans="1:17" x14ac:dyDescent="0.25">
      <c r="A765" s="5">
        <f>(765-2)/100</f>
        <v>7.63</v>
      </c>
      <c r="B765" s="5">
        <f>Dashboard!$C$10*EXP(-Dashboard!$C$12*A765)</f>
        <v>1.3843521570355385E-2</v>
      </c>
      <c r="C765" s="5">
        <f>Dashboard!$C$17*A765</f>
        <v>6104</v>
      </c>
      <c r="D765" s="5">
        <f>Dashboard!$C$15*(1-EXP(-Dashboard!$C$16*A765))</f>
        <v>0.78236982843708414</v>
      </c>
      <c r="E765" s="5">
        <f>1/(1+EXP(MIN(700,MAX(-700,(C765-Dashboard!$C$18)/Dashboard!$C$19))))</f>
        <v>1.0689595024419641E-3</v>
      </c>
      <c r="F765" s="5">
        <f t="shared" si="55"/>
        <v>8.3632166253171027E-4</v>
      </c>
      <c r="G765" s="8">
        <f>Dashboard!$C$9*B765*Dashboard!$C$11*(1-F765)</f>
        <v>27663.887866760746</v>
      </c>
      <c r="H765" s="8">
        <f>Dashboard!$C$20*A765^2</f>
        <v>465735.19999999995</v>
      </c>
      <c r="I765" s="8">
        <f t="shared" si="56"/>
        <v>493399.08786676067</v>
      </c>
      <c r="J765" s="8">
        <f>Dashboard!$C$13*A765</f>
        <v>152600</v>
      </c>
      <c r="K765" s="8">
        <f>Dashboard!$C$14*A765</f>
        <v>228900</v>
      </c>
      <c r="L765" s="8">
        <f>Dashboard!$C$21-K765</f>
        <v>1271100</v>
      </c>
      <c r="M765" s="8">
        <f t="shared" si="57"/>
        <v>625100.91213323933</v>
      </c>
      <c r="N765" s="8">
        <f t="shared" si="58"/>
        <v>381500</v>
      </c>
      <c r="O765" s="8">
        <f>Dashboard!$C$15*(Dashboard!$C$16*EXP(-Dashboard!$C$16*A765)*E765-(1-EXP(-Dashboard!$C$16*A765))*Dashboard!$C$17/Dashboard!$C$19*E765*(1-E765))</f>
        <v>-1.1044805883470012E-3</v>
      </c>
      <c r="P765" s="8">
        <f>Dashboard!$C$9*B765*Dashboard!$C$11*(-Dashboard!$C$12*(1-F765)-O765)+2*Dashboard!$C$20*A765</f>
        <v>112428.21904833138</v>
      </c>
      <c r="Q765" s="8">
        <f>-P765-Dashboard!$C$13-Dashboard!$C$14</f>
        <v>-162428.21904833138</v>
      </c>
    </row>
    <row r="766" spans="1:17" x14ac:dyDescent="0.25">
      <c r="A766" s="5">
        <f>(766-2)/100</f>
        <v>7.64</v>
      </c>
      <c r="B766" s="5">
        <f>Dashboard!$C$10*EXP(-Dashboard!$C$12*A766)</f>
        <v>1.3795153937591757E-2</v>
      </c>
      <c r="C766" s="5">
        <f>Dashboard!$C$17*A766</f>
        <v>6112</v>
      </c>
      <c r="D766" s="5">
        <f>Dashboard!$C$15*(1-EXP(-Dashboard!$C$16*A766))</f>
        <v>0.78245775928459071</v>
      </c>
      <c r="E766" s="5">
        <f>1/(1+EXP(MIN(700,MAX(-700,(C766-Dashboard!$C$18)/Dashboard!$C$19))))</f>
        <v>1.0548162410921698E-3</v>
      </c>
      <c r="F766" s="5">
        <f t="shared" si="55"/>
        <v>8.2534915246197378E-4</v>
      </c>
      <c r="G766" s="8">
        <f>Dashboard!$C$9*B766*Dashboard!$C$11*(1-F766)</f>
        <v>27567.536237962562</v>
      </c>
      <c r="H766" s="8">
        <f>Dashboard!$C$20*A766^2</f>
        <v>466956.79999999999</v>
      </c>
      <c r="I766" s="8">
        <f t="shared" si="56"/>
        <v>494524.33623796253</v>
      </c>
      <c r="J766" s="8">
        <f>Dashboard!$C$13*A766</f>
        <v>152800</v>
      </c>
      <c r="K766" s="8">
        <f>Dashboard!$C$14*A766</f>
        <v>229200</v>
      </c>
      <c r="L766" s="8">
        <f>Dashboard!$C$21-K766</f>
        <v>1270800</v>
      </c>
      <c r="M766" s="8">
        <f t="shared" si="57"/>
        <v>623475.66376203741</v>
      </c>
      <c r="N766" s="8">
        <f t="shared" si="58"/>
        <v>382000</v>
      </c>
      <c r="O766" s="8">
        <f>Dashboard!$C$15*(Dashboard!$C$16*EXP(-Dashboard!$C$16*A766)*E766-(1-EXP(-Dashboard!$C$16*A766))*Dashboard!$C$17/Dashboard!$C$19*E766*(1-E766))</f>
        <v>-1.0900528274892993E-3</v>
      </c>
      <c r="P766" s="8">
        <f>Dashboard!$C$9*B766*Dashboard!$C$11*(-Dashboard!$C$12*(1-F766)-O766)+2*Dashboard!$C$20*A766</f>
        <v>112621.43720982375</v>
      </c>
      <c r="Q766" s="8">
        <f>-P766-Dashboard!$C$13-Dashboard!$C$14</f>
        <v>-162621.43720982375</v>
      </c>
    </row>
    <row r="767" spans="1:17" x14ac:dyDescent="0.25">
      <c r="A767" s="5">
        <f>(767-2)/100</f>
        <v>7.65</v>
      </c>
      <c r="B767" s="5">
        <f>Dashboard!$C$10*EXP(-Dashboard!$C$12*A767)</f>
        <v>1.374695529563638E-2</v>
      </c>
      <c r="C767" s="5">
        <f>Dashboard!$C$17*A767</f>
        <v>6120</v>
      </c>
      <c r="D767" s="5">
        <f>Dashboard!$C$15*(1-EXP(-Dashboard!$C$16*A767))</f>
        <v>0.78254525157516586</v>
      </c>
      <c r="E767" s="5">
        <f>1/(1+EXP(MIN(700,MAX(-700,(C767-Dashboard!$C$18)/Dashboard!$C$19))))</f>
        <v>1.0408599123747407E-3</v>
      </c>
      <c r="F767" s="5">
        <f t="shared" si="55"/>
        <v>8.1451998198379656E-4</v>
      </c>
      <c r="G767" s="8">
        <f>Dashboard!$C$9*B767*Dashboard!$C$11*(1-F767)</f>
        <v>27471.516251713289</v>
      </c>
      <c r="H767" s="8">
        <f>Dashboard!$C$20*A767^2</f>
        <v>468180.00000000006</v>
      </c>
      <c r="I767" s="8">
        <f t="shared" si="56"/>
        <v>495651.51625171333</v>
      </c>
      <c r="J767" s="8">
        <f>Dashboard!$C$13*A767</f>
        <v>153000</v>
      </c>
      <c r="K767" s="8">
        <f>Dashboard!$C$14*A767</f>
        <v>229500</v>
      </c>
      <c r="L767" s="8">
        <f>Dashboard!$C$21-K767</f>
        <v>1270500</v>
      </c>
      <c r="M767" s="8">
        <f t="shared" si="57"/>
        <v>621848.48374828673</v>
      </c>
      <c r="N767" s="8">
        <f t="shared" si="58"/>
        <v>382500</v>
      </c>
      <c r="O767" s="8">
        <f>Dashboard!$C$15*(Dashboard!$C$16*EXP(-Dashboard!$C$16*A767)*E767-(1-EXP(-Dashboard!$C$16*A767))*Dashboard!$C$17/Dashboard!$C$19*E767*(1-E767))</f>
        <v>-1.0758122670909637E-3</v>
      </c>
      <c r="P767" s="8">
        <f>Dashboard!$C$9*B767*Dashboard!$C$11*(-Dashboard!$C$12*(1-F767)-O767)+2*Dashboard!$C$20*A767</f>
        <v>112814.54759818474</v>
      </c>
      <c r="Q767" s="8">
        <f>-P767-Dashboard!$C$13-Dashboard!$C$14</f>
        <v>-162814.54759818473</v>
      </c>
    </row>
    <row r="768" spans="1:17" x14ac:dyDescent="0.25">
      <c r="A768" s="5">
        <f>(768-2)/100</f>
        <v>7.66</v>
      </c>
      <c r="B768" s="5">
        <f>Dashboard!$C$10*EXP(-Dashboard!$C$12*A768)</f>
        <v>1.3698925054055275E-2</v>
      </c>
      <c r="C768" s="5">
        <f>Dashboard!$C$17*A768</f>
        <v>6128</v>
      </c>
      <c r="D768" s="5">
        <f>Dashboard!$C$15*(1-EXP(-Dashboard!$C$16*A768))</f>
        <v>0.78263230749612123</v>
      </c>
      <c r="E768" s="5">
        <f>1/(1+EXP(MIN(700,MAX(-700,(C768-Dashboard!$C$18)/Dashboard!$C$19))))</f>
        <v>1.0270880507115207E-3</v>
      </c>
      <c r="F768" s="5">
        <f t="shared" si="55"/>
        <v>8.0383229113005061E-4</v>
      </c>
      <c r="G768" s="8">
        <f>Dashboard!$C$9*B768*Dashboard!$C$11*(1-F768)</f>
        <v>27375.826831486109</v>
      </c>
      <c r="H768" s="8">
        <f>Dashboard!$C$20*A768^2</f>
        <v>469404.80000000005</v>
      </c>
      <c r="I768" s="8">
        <f t="shared" si="56"/>
        <v>496780.62683148618</v>
      </c>
      <c r="J768" s="8">
        <f>Dashboard!$C$13*A768</f>
        <v>153200</v>
      </c>
      <c r="K768" s="8">
        <f>Dashboard!$C$14*A768</f>
        <v>229800</v>
      </c>
      <c r="L768" s="8">
        <f>Dashboard!$C$21-K768</f>
        <v>1270200</v>
      </c>
      <c r="M768" s="8">
        <f t="shared" si="57"/>
        <v>620219.37316851388</v>
      </c>
      <c r="N768" s="8">
        <f t="shared" si="58"/>
        <v>383000</v>
      </c>
      <c r="O768" s="8">
        <f>Dashboard!$C$15*(Dashboard!$C$16*EXP(-Dashboard!$C$16*A768)*E768-(1-EXP(-Dashboard!$C$16*A768))*Dashboard!$C$17/Dashboard!$C$19*E768*(1-E768))</f>
        <v>-1.06175650473249E-3</v>
      </c>
      <c r="P768" s="8">
        <f>Dashboard!$C$9*B768*Dashboard!$C$11*(-Dashboard!$C$12*(1-F768)-O768)+2*Dashboard!$C$20*A768</f>
        <v>113007.55045454783</v>
      </c>
      <c r="Q768" s="8">
        <f>-P768-Dashboard!$C$13-Dashboard!$C$14</f>
        <v>-163007.55045454783</v>
      </c>
    </row>
    <row r="769" spans="1:17" x14ac:dyDescent="0.25">
      <c r="A769" s="5">
        <f>(769-2)/100</f>
        <v>7.67</v>
      </c>
      <c r="B769" s="5">
        <f>Dashboard!$C$10*EXP(-Dashboard!$C$12*A769)</f>
        <v>1.3651062624477401E-2</v>
      </c>
      <c r="C769" s="5">
        <f>Dashboard!$C$17*A769</f>
        <v>6136</v>
      </c>
      <c r="D769" s="5">
        <f>Dashboard!$C$15*(1-EXP(-Dashboard!$C$16*A769))</f>
        <v>0.78271892922385933</v>
      </c>
      <c r="E769" s="5">
        <f>1/(1+EXP(MIN(700,MAX(-700,(C769-Dashboard!$C$18)/Dashboard!$C$19))))</f>
        <v>1.0134982229097532E-3</v>
      </c>
      <c r="F769" s="5">
        <f t="shared" si="55"/>
        <v>7.9328424380620635E-4</v>
      </c>
      <c r="G769" s="8">
        <f>Dashboard!$C$9*B769*Dashboard!$C$11*(1-F769)</f>
        <v>27280.466903172379</v>
      </c>
      <c r="H769" s="8">
        <f>Dashboard!$C$20*A769^2</f>
        <v>470631.19999999995</v>
      </c>
      <c r="I769" s="8">
        <f t="shared" si="56"/>
        <v>497911.66690317233</v>
      </c>
      <c r="J769" s="8">
        <f>Dashboard!$C$13*A769</f>
        <v>153400</v>
      </c>
      <c r="K769" s="8">
        <f>Dashboard!$C$14*A769</f>
        <v>230100</v>
      </c>
      <c r="L769" s="8">
        <f>Dashboard!$C$21-K769</f>
        <v>1269900</v>
      </c>
      <c r="M769" s="8">
        <f t="shared" si="57"/>
        <v>618588.33309682761</v>
      </c>
      <c r="N769" s="8">
        <f t="shared" si="58"/>
        <v>383500</v>
      </c>
      <c r="O769" s="8">
        <f>Dashboard!$C$15*(Dashboard!$C$16*EXP(-Dashboard!$C$16*A769)*E769-(1-EXP(-Dashboard!$C$16*A769))*Dashboard!$C$17/Dashboard!$C$19*E769*(1-E769))</f>
        <v>-1.0478831682523306E-3</v>
      </c>
      <c r="P769" s="8">
        <f>Dashboard!$C$9*B769*Dashboard!$C$11*(-Dashboard!$C$12*(1-F769)-O769)+2*Dashboard!$C$20*A769</f>
        <v>113200.44602139556</v>
      </c>
      <c r="Q769" s="8">
        <f>-P769-Dashboard!$C$13-Dashboard!$C$14</f>
        <v>-163200.44602139556</v>
      </c>
    </row>
    <row r="770" spans="1:17" x14ac:dyDescent="0.25">
      <c r="A770" s="5">
        <f>(770-2)/100</f>
        <v>7.68</v>
      </c>
      <c r="B770" s="5">
        <f>Dashboard!$C$10*EXP(-Dashboard!$C$12*A770)</f>
        <v>1.3603367420587383E-2</v>
      </c>
      <c r="C770" s="5">
        <f>Dashboard!$C$17*A770</f>
        <v>6144</v>
      </c>
      <c r="D770" s="5">
        <f>Dashboard!$C$15*(1-EXP(-Dashboard!$C$16*A770))</f>
        <v>0.78280511892392812</v>
      </c>
      <c r="E770" s="5">
        <f>1/(1+EXP(MIN(700,MAX(-700,(C770-Dashboard!$C$18)/Dashboard!$C$19))))</f>
        <v>1.0000880277402414E-3</v>
      </c>
      <c r="F770" s="5">
        <f t="shared" si="55"/>
        <v>7.8287402748959645E-4</v>
      </c>
      <c r="G770" s="8">
        <f>Dashboard!$C$9*B770*Dashboard!$C$11*(1-F770)</f>
        <v>27185.435395094813</v>
      </c>
      <c r="H770" s="8">
        <f>Dashboard!$C$20*A770^2</f>
        <v>471859.20000000001</v>
      </c>
      <c r="I770" s="8">
        <f t="shared" si="56"/>
        <v>499044.63539509481</v>
      </c>
      <c r="J770" s="8">
        <f>Dashboard!$C$13*A770</f>
        <v>153600</v>
      </c>
      <c r="K770" s="8">
        <f>Dashboard!$C$14*A770</f>
        <v>230400</v>
      </c>
      <c r="L770" s="8">
        <f>Dashboard!$C$21-K770</f>
        <v>1269600</v>
      </c>
      <c r="M770" s="8">
        <f t="shared" si="57"/>
        <v>616955.36460490525</v>
      </c>
      <c r="N770" s="8">
        <f t="shared" si="58"/>
        <v>384000</v>
      </c>
      <c r="O770" s="8">
        <f>Dashboard!$C$15*(Dashboard!$C$16*EXP(-Dashboard!$C$16*A770)*E770-(1-EXP(-Dashboard!$C$16*A770))*Dashboard!$C$17/Dashboard!$C$19*E770*(1-E770))</f>
        <v>-1.0341899153786685E-3</v>
      </c>
      <c r="P770" s="8">
        <f>Dashboard!$C$9*B770*Dashboard!$C$11*(-Dashboard!$C$12*(1-F770)-O770)+2*Dashboard!$C$20*A770</f>
        <v>113393.23454251995</v>
      </c>
      <c r="Q770" s="8">
        <f>-P770-Dashboard!$C$13-Dashboard!$C$14</f>
        <v>-163393.23454251996</v>
      </c>
    </row>
    <row r="771" spans="1:17" x14ac:dyDescent="0.25">
      <c r="A771" s="5">
        <f>(771-2)/100</f>
        <v>7.69</v>
      </c>
      <c r="B771" s="5">
        <f>Dashboard!$C$10*EXP(-Dashboard!$C$12*A771)</f>
        <v>1.3555838858118376E-2</v>
      </c>
      <c r="C771" s="5">
        <f>Dashboard!$C$17*A771</f>
        <v>6152</v>
      </c>
      <c r="D771" s="5">
        <f>Dashboard!$C$15*(1-EXP(-Dashboard!$C$16*A771))</f>
        <v>0.78289087875107433</v>
      </c>
      <c r="E771" s="5">
        <f>1/(1+EXP(MIN(700,MAX(-700,(C771-Dashboard!$C$18)/Dashboard!$C$19))))</f>
        <v>9.8685509552090805E-4</v>
      </c>
      <c r="F771" s="5">
        <f t="shared" si="55"/>
        <v>7.7259985293233913E-4</v>
      </c>
      <c r="G771" s="8">
        <f>Dashboard!$C$9*B771*Dashboard!$C$11*(1-F771)</f>
        <v>27090.731238020435</v>
      </c>
      <c r="H771" s="8">
        <f>Dashboard!$C$20*A771^2</f>
        <v>473088.80000000005</v>
      </c>
      <c r="I771" s="8">
        <f t="shared" si="56"/>
        <v>500179.53123802046</v>
      </c>
      <c r="J771" s="8">
        <f>Dashboard!$C$13*A771</f>
        <v>153800</v>
      </c>
      <c r="K771" s="8">
        <f>Dashboard!$C$14*A771</f>
        <v>230700</v>
      </c>
      <c r="L771" s="8">
        <f>Dashboard!$C$21-K771</f>
        <v>1269300</v>
      </c>
      <c r="M771" s="8">
        <f t="shared" si="57"/>
        <v>615320.4687619796</v>
      </c>
      <c r="N771" s="8">
        <f t="shared" si="58"/>
        <v>384500</v>
      </c>
      <c r="O771" s="8">
        <f>Dashboard!$C$15*(Dashboard!$C$16*EXP(-Dashboard!$C$16*A771)*E771-(1-EXP(-Dashboard!$C$16*A771))*Dashboard!$C$17/Dashboard!$C$19*E771*(1-E771))</f>
        <v>-1.0206744333653721E-3</v>
      </c>
      <c r="P771" s="8">
        <f>Dashboard!$C$9*B771*Dashboard!$C$11*(-Dashboard!$C$12*(1-F771)-O771)+2*Dashboard!$C$20*A771</f>
        <v>113585.91626298346</v>
      </c>
      <c r="Q771" s="8">
        <f>-P771-Dashboard!$C$13-Dashboard!$C$14</f>
        <v>-163585.91626298346</v>
      </c>
    </row>
    <row r="772" spans="1:17" x14ac:dyDescent="0.25">
      <c r="A772" s="5">
        <f>(772-2)/100</f>
        <v>7.7</v>
      </c>
      <c r="B772" s="5">
        <f>Dashboard!$C$10*EXP(-Dashboard!$C$12*A772)</f>
        <v>1.3508476354844904E-2</v>
      </c>
      <c r="C772" s="5">
        <f>Dashboard!$C$17*A772</f>
        <v>6160</v>
      </c>
      <c r="D772" s="5">
        <f>Dashboard!$C$15*(1-EXP(-Dashboard!$C$16*A772))</f>
        <v>0.78297621084929825</v>
      </c>
      <c r="E772" s="5">
        <f>1/(1+EXP(MIN(700,MAX(-700,(C772-Dashboard!$C$18)/Dashboard!$C$19))))</f>
        <v>9.7379708770569838E-4</v>
      </c>
      <c r="F772" s="5">
        <f t="shared" si="55"/>
        <v>7.6245995386788946E-4</v>
      </c>
      <c r="G772" s="8">
        <f>Dashboard!$C$9*B772*Dashboard!$C$11*(1-F772)</f>
        <v>26996.353365173123</v>
      </c>
      <c r="H772" s="8">
        <f>Dashboard!$C$20*A772^2</f>
        <v>474320.00000000006</v>
      </c>
      <c r="I772" s="8">
        <f t="shared" si="56"/>
        <v>501316.35336517316</v>
      </c>
      <c r="J772" s="8">
        <f>Dashboard!$C$13*A772</f>
        <v>154000</v>
      </c>
      <c r="K772" s="8">
        <f>Dashboard!$C$14*A772</f>
        <v>231000</v>
      </c>
      <c r="L772" s="8">
        <f>Dashboard!$C$21-K772</f>
        <v>1269000</v>
      </c>
      <c r="M772" s="8">
        <f t="shared" si="57"/>
        <v>613683.6466348269</v>
      </c>
      <c r="N772" s="8">
        <f t="shared" si="58"/>
        <v>385000</v>
      </c>
      <c r="O772" s="8">
        <f>Dashboard!$C$15*(Dashboard!$C$16*EXP(-Dashboard!$C$16*A772)*E772-(1-EXP(-Dashboard!$C$16*A772))*Dashboard!$C$17/Dashboard!$C$19*E772*(1-E772))</f>
        <v>-1.007334438632093E-3</v>
      </c>
      <c r="P772" s="8">
        <f>Dashboard!$C$9*B772*Dashboard!$C$11*(-Dashboard!$C$12*(1-F772)-O772)+2*Dashboard!$C$20*A772</f>
        <v>113778.49142908078</v>
      </c>
      <c r="Q772" s="8">
        <f>-P772-Dashboard!$C$13-Dashboard!$C$14</f>
        <v>-163778.49142908078</v>
      </c>
    </row>
    <row r="773" spans="1:17" x14ac:dyDescent="0.25">
      <c r="A773" s="5">
        <f>(773-2)/100</f>
        <v>7.71</v>
      </c>
      <c r="B773" s="5">
        <f>Dashboard!$C$10*EXP(-Dashboard!$C$12*A773)</f>
        <v>1.3461279330575705E-2</v>
      </c>
      <c r="C773" s="5">
        <f>Dashboard!$C$17*A773</f>
        <v>6168</v>
      </c>
      <c r="D773" s="5">
        <f>Dashboard!$C$15*(1-EXP(-Dashboard!$C$16*A773))</f>
        <v>0.78306111735190687</v>
      </c>
      <c r="E773" s="5">
        <f>1/(1+EXP(MIN(700,MAX(-700,(C773-Dashboard!$C$18)/Dashboard!$C$19))))</f>
        <v>9.6091169647874279E-4</v>
      </c>
      <c r="F773" s="5">
        <f t="shared" si="55"/>
        <v>7.5245258672116072E-4</v>
      </c>
      <c r="G773" s="8">
        <f>Dashboard!$C$9*B773*Dashboard!$C$11*(1-F773)</f>
        <v>26902.300712245673</v>
      </c>
      <c r="H773" s="8">
        <f>Dashboard!$C$20*A773^2</f>
        <v>475552.8</v>
      </c>
      <c r="I773" s="8">
        <f t="shared" si="56"/>
        <v>502455.10071224568</v>
      </c>
      <c r="J773" s="8">
        <f>Dashboard!$C$13*A773</f>
        <v>154200</v>
      </c>
      <c r="K773" s="8">
        <f>Dashboard!$C$14*A773</f>
        <v>231300</v>
      </c>
      <c r="L773" s="8">
        <f>Dashboard!$C$21-K773</f>
        <v>1268700</v>
      </c>
      <c r="M773" s="8">
        <f t="shared" si="57"/>
        <v>612044.89928775432</v>
      </c>
      <c r="N773" s="8">
        <f t="shared" si="58"/>
        <v>385500</v>
      </c>
      <c r="O773" s="8">
        <f>Dashboard!$C$15*(Dashboard!$C$16*EXP(-Dashboard!$C$16*A773)*E773-(1-EXP(-Dashboard!$C$16*A773))*Dashboard!$C$17/Dashboard!$C$19*E773*(1-E773))</f>
        <v>-9.9416767640846267E-4</v>
      </c>
      <c r="P773" s="8">
        <f>Dashboard!$C$9*B773*Dashboard!$C$11*(-Dashboard!$C$12*(1-F773)-O773)+2*Dashboard!$C$20*A773</f>
        <v>113970.96028830114</v>
      </c>
      <c r="Q773" s="8">
        <f>-P773-Dashboard!$C$13-Dashboard!$C$14</f>
        <v>-163970.96028830114</v>
      </c>
    </row>
    <row r="774" spans="1:17" x14ac:dyDescent="0.25">
      <c r="A774" s="5">
        <f>(774-2)/100</f>
        <v>7.72</v>
      </c>
      <c r="B774" s="5">
        <f>Dashboard!$C$10*EXP(-Dashboard!$C$12*A774)</f>
        <v>1.3414247207146637E-2</v>
      </c>
      <c r="C774" s="5">
        <f>Dashboard!$C$17*A774</f>
        <v>6176</v>
      </c>
      <c r="D774" s="5">
        <f>Dashboard!$C$15*(1-EXP(-Dashboard!$C$16*A774))</f>
        <v>0.78314560038156689</v>
      </c>
      <c r="E774" s="5">
        <f>1/(1+EXP(MIN(700,MAX(-700,(C774-Dashboard!$C$18)/Dashboard!$C$19))))</f>
        <v>9.4819664435372543E-4</v>
      </c>
      <c r="F774" s="5">
        <f t="shared" si="55"/>
        <v>7.4257603032218541E-4</v>
      </c>
      <c r="G774" s="8">
        <f>Dashboard!$C$9*B774*Dashboard!$C$11*(1-F774)</f>
        <v>26808.572217411587</v>
      </c>
      <c r="H774" s="8">
        <f>Dashboard!$C$20*A774^2</f>
        <v>476787.20000000001</v>
      </c>
      <c r="I774" s="8">
        <f t="shared" si="56"/>
        <v>503595.77221741161</v>
      </c>
      <c r="J774" s="8">
        <f>Dashboard!$C$13*A774</f>
        <v>154400</v>
      </c>
      <c r="K774" s="8">
        <f>Dashboard!$C$14*A774</f>
        <v>231600</v>
      </c>
      <c r="L774" s="8">
        <f>Dashboard!$C$21-K774</f>
        <v>1268400</v>
      </c>
      <c r="M774" s="8">
        <f t="shared" si="57"/>
        <v>610404.22778258845</v>
      </c>
      <c r="N774" s="8">
        <f t="shared" si="58"/>
        <v>386000</v>
      </c>
      <c r="O774" s="8">
        <f>Dashboard!$C$15*(Dashboard!$C$16*EXP(-Dashboard!$C$16*A774)*E774-(1-EXP(-Dashboard!$C$16*A774))*Dashboard!$C$17/Dashboard!$C$19*E774*(1-E774))</f>
        <v>-9.8117192038234421E-4</v>
      </c>
      <c r="P774" s="8">
        <f>Dashboard!$C$9*B774*Dashboard!$C$11*(-Dashboard!$C$12*(1-F774)-O774)+2*Dashboard!$C$20*A774</f>
        <v>114163.32308929139</v>
      </c>
      <c r="Q774" s="8">
        <f>-P774-Dashboard!$C$13-Dashboard!$C$14</f>
        <v>-164163.3230892914</v>
      </c>
    </row>
    <row r="775" spans="1:17" x14ac:dyDescent="0.25">
      <c r="A775" s="5">
        <f>(775-2)/100</f>
        <v>7.73</v>
      </c>
      <c r="B775" s="5">
        <f>Dashboard!$C$10*EXP(-Dashboard!$C$12*A775)</f>
        <v>1.3367379408413611E-2</v>
      </c>
      <c r="C775" s="5">
        <f>Dashboard!$C$17*A775</f>
        <v>6184</v>
      </c>
      <c r="D775" s="5">
        <f>Dashboard!$C$15*(1-EXP(-Dashboard!$C$16*A775))</f>
        <v>0.78322966205035871</v>
      </c>
      <c r="E775" s="5">
        <f>1/(1+EXP(MIN(700,MAX(-700,(C775-Dashboard!$C$18)/Dashboard!$C$19))))</f>
        <v>9.3564968377839695E-4</v>
      </c>
      <c r="F775" s="5">
        <f t="shared" si="55"/>
        <v>7.3282858562327886E-4</v>
      </c>
      <c r="G775" s="8">
        <f>Dashboard!$C$9*B775*Dashboard!$C$11*(1-F775)</f>
        <v>26715.166821336505</v>
      </c>
      <c r="H775" s="8">
        <f>Dashboard!$C$20*A775^2</f>
        <v>478023.2</v>
      </c>
      <c r="I775" s="8">
        <f t="shared" si="56"/>
        <v>504738.3668213365</v>
      </c>
      <c r="J775" s="8">
        <f>Dashboard!$C$13*A775</f>
        <v>154600</v>
      </c>
      <c r="K775" s="8">
        <f>Dashboard!$C$14*A775</f>
        <v>231900</v>
      </c>
      <c r="L775" s="8">
        <f>Dashboard!$C$21-K775</f>
        <v>1268100</v>
      </c>
      <c r="M775" s="8">
        <f t="shared" si="57"/>
        <v>608761.63317866344</v>
      </c>
      <c r="N775" s="8">
        <f t="shared" si="58"/>
        <v>386500</v>
      </c>
      <c r="O775" s="8">
        <f>Dashboard!$C$15*(Dashboard!$C$16*EXP(-Dashboard!$C$16*A775)*E775-(1-EXP(-Dashboard!$C$16*A775))*Dashboard!$C$17/Dashboard!$C$19*E775*(1-E775))</f>
        <v>-9.6834497235211603E-4</v>
      </c>
      <c r="P775" s="8">
        <f>Dashboard!$C$9*B775*Dashboard!$C$11*(-Dashboard!$C$12*(1-F775)-O775)+2*Dashboard!$C$20*A775</f>
        <v>114355.58008181954</v>
      </c>
      <c r="Q775" s="8">
        <f>-P775-Dashboard!$C$13-Dashboard!$C$14</f>
        <v>-164355.58008181956</v>
      </c>
    </row>
    <row r="776" spans="1:17" x14ac:dyDescent="0.25">
      <c r="A776" s="5">
        <f>(776-2)/100</f>
        <v>7.74</v>
      </c>
      <c r="B776" s="5">
        <f>Dashboard!$C$10*EXP(-Dashboard!$C$12*A776)</f>
        <v>1.3320675360245494E-2</v>
      </c>
      <c r="C776" s="5">
        <f>Dashboard!$C$17*A776</f>
        <v>6192</v>
      </c>
      <c r="D776" s="5">
        <f>Dashboard!$C$15*(1-EXP(-Dashboard!$C$16*A776))</f>
        <v>0.78331330445982827</v>
      </c>
      <c r="E776" s="5">
        <f>1/(1+EXP(MIN(700,MAX(-700,(C776-Dashboard!$C$18)/Dashboard!$C$19))))</f>
        <v>9.2326859674415635E-4</v>
      </c>
      <c r="F776" s="5">
        <f t="shared" si="55"/>
        <v>7.232085754196538E-4</v>
      </c>
      <c r="G776" s="8">
        <f>Dashboard!$C$9*B776*Dashboard!$C$11*(1-F776)</f>
        <v>26622.083467189168</v>
      </c>
      <c r="H776" s="8">
        <f>Dashboard!$C$20*A776^2</f>
        <v>479260.80000000005</v>
      </c>
      <c r="I776" s="8">
        <f t="shared" si="56"/>
        <v>505882.88346718921</v>
      </c>
      <c r="J776" s="8">
        <f>Dashboard!$C$13*A776</f>
        <v>154800</v>
      </c>
      <c r="K776" s="8">
        <f>Dashboard!$C$14*A776</f>
        <v>232200</v>
      </c>
      <c r="L776" s="8">
        <f>Dashboard!$C$21-K776</f>
        <v>1267800</v>
      </c>
      <c r="M776" s="8">
        <f t="shared" si="57"/>
        <v>607117.11653281073</v>
      </c>
      <c r="N776" s="8">
        <f t="shared" si="58"/>
        <v>387000</v>
      </c>
      <c r="O776" s="8">
        <f>Dashboard!$C$15*(Dashboard!$C$16*EXP(-Dashboard!$C$16*A776)*E776-(1-EXP(-Dashboard!$C$16*A776))*Dashboard!$C$17/Dashboard!$C$19*E776*(1-E776))</f>
        <v>-9.5568466188292785E-4</v>
      </c>
      <c r="P776" s="8">
        <f>Dashboard!$C$9*B776*Dashboard!$C$11*(-Dashboard!$C$12*(1-F776)-O776)+2*Dashboard!$C$20*A776</f>
        <v>114547.73151673921</v>
      </c>
      <c r="Q776" s="8">
        <f>-P776-Dashboard!$C$13-Dashboard!$C$14</f>
        <v>-164547.73151673921</v>
      </c>
    </row>
    <row r="777" spans="1:17" x14ac:dyDescent="0.25">
      <c r="A777" s="5">
        <f>(777-2)/100</f>
        <v>7.75</v>
      </c>
      <c r="B777" s="5">
        <f>Dashboard!$C$10*EXP(-Dashboard!$C$12*A777)</f>
        <v>1.327413449051712E-2</v>
      </c>
      <c r="C777" s="5">
        <f>Dashboard!$C$17*A777</f>
        <v>6200</v>
      </c>
      <c r="D777" s="5">
        <f>Dashboard!$C$15*(1-EXP(-Dashboard!$C$16*A777))</f>
        <v>0.78339652970104023</v>
      </c>
      <c r="E777" s="5">
        <f>1/(1+EXP(MIN(700,MAX(-700,(C777-Dashboard!$C$18)/Dashboard!$C$19))))</f>
        <v>9.1105119440064539E-4</v>
      </c>
      <c r="F777" s="5">
        <f t="shared" si="55"/>
        <v>7.1371434407345338E-4</v>
      </c>
      <c r="G777" s="8">
        <f>Dashboard!$C$9*B777*Dashboard!$C$11*(1-F777)</f>
        <v>26529.321100652156</v>
      </c>
      <c r="H777" s="8">
        <f>Dashboard!$C$20*A777^2</f>
        <v>480500</v>
      </c>
      <c r="I777" s="8">
        <f t="shared" si="56"/>
        <v>507029.32110065216</v>
      </c>
      <c r="J777" s="8">
        <f>Dashboard!$C$13*A777</f>
        <v>155000</v>
      </c>
      <c r="K777" s="8">
        <f>Dashboard!$C$14*A777</f>
        <v>232500</v>
      </c>
      <c r="L777" s="8">
        <f>Dashboard!$C$21-K777</f>
        <v>1267500</v>
      </c>
      <c r="M777" s="8">
        <f t="shared" si="57"/>
        <v>605470.67889934778</v>
      </c>
      <c r="N777" s="8">
        <f t="shared" si="58"/>
        <v>387500</v>
      </c>
      <c r="O777" s="8">
        <f>Dashboard!$C$15*(Dashboard!$C$16*EXP(-Dashboard!$C$16*A777)*E777-(1-EXP(-Dashboard!$C$16*A777))*Dashboard!$C$17/Dashboard!$C$19*E777*(1-E777))</f>
        <v>-9.4318884596690132E-4</v>
      </c>
      <c r="P777" s="8">
        <f>Dashboard!$C$9*B777*Dashboard!$C$11*(-Dashboard!$C$12*(1-F777)-O777)+2*Dashboard!$C$20*A777</f>
        <v>114739.77764595438</v>
      </c>
      <c r="Q777" s="8">
        <f>-P777-Dashboard!$C$13-Dashboard!$C$14</f>
        <v>-164739.7776459544</v>
      </c>
    </row>
    <row r="778" spans="1:17" x14ac:dyDescent="0.25">
      <c r="A778" s="5">
        <f>(778-2)/100</f>
        <v>7.76</v>
      </c>
      <c r="B778" s="5">
        <f>Dashboard!$C$10*EXP(-Dashboard!$C$12*A778)</f>
        <v>1.3227756229102256E-2</v>
      </c>
      <c r="C778" s="5">
        <f>Dashboard!$C$17*A778</f>
        <v>6208</v>
      </c>
      <c r="D778" s="5">
        <f>Dashboard!$C$15*(1-EXP(-Dashboard!$C$16*A778))</f>
        <v>0.78347933985463003</v>
      </c>
      <c r="E778" s="5">
        <f>1/(1+EXP(MIN(700,MAX(-700,(C778-Dashboard!$C$18)/Dashboard!$C$19))))</f>
        <v>8.9899531667529914E-4</v>
      </c>
      <c r="F778" s="5">
        <f t="shared" si="55"/>
        <v>7.0434425724116747E-4</v>
      </c>
      <c r="G778" s="8">
        <f>Dashboard!$C$9*B778*Dashboard!$C$11*(1-F778)</f>
        <v>26436.878669932201</v>
      </c>
      <c r="H778" s="8">
        <f>Dashboard!$C$20*A778^2</f>
        <v>481740.79999999999</v>
      </c>
      <c r="I778" s="8">
        <f t="shared" si="56"/>
        <v>508177.67866993218</v>
      </c>
      <c r="J778" s="8">
        <f>Dashboard!$C$13*A778</f>
        <v>155200</v>
      </c>
      <c r="K778" s="8">
        <f>Dashboard!$C$14*A778</f>
        <v>232800</v>
      </c>
      <c r="L778" s="8">
        <f>Dashboard!$C$21-K778</f>
        <v>1267200</v>
      </c>
      <c r="M778" s="8">
        <f t="shared" si="57"/>
        <v>603822.32133006782</v>
      </c>
      <c r="N778" s="8">
        <f t="shared" si="58"/>
        <v>388000</v>
      </c>
      <c r="O778" s="8">
        <f>Dashboard!$C$15*(Dashboard!$C$16*EXP(-Dashboard!$C$16*A778)*E778-(1-EXP(-Dashboard!$C$16*A778))*Dashboard!$C$17/Dashboard!$C$19*E778*(1-E778))</f>
        <v>-9.3085540868723777E-4</v>
      </c>
      <c r="P778" s="8">
        <f>Dashboard!$C$9*B778*Dashboard!$C$11*(-Dashboard!$C$12*(1-F778)-O778)+2*Dashboard!$C$20*A778</f>
        <v>114931.71872238505</v>
      </c>
      <c r="Q778" s="8">
        <f>-P778-Dashboard!$C$13-Dashboard!$C$14</f>
        <v>-164931.71872238506</v>
      </c>
    </row>
    <row r="779" spans="1:17" x14ac:dyDescent="0.25">
      <c r="A779" s="5">
        <f>(779-2)/100</f>
        <v>7.77</v>
      </c>
      <c r="B779" s="5">
        <f>Dashboard!$C$10*EXP(-Dashboard!$C$12*A779)</f>
        <v>1.318154000786661E-2</v>
      </c>
      <c r="C779" s="5">
        <f>Dashboard!$C$17*A779</f>
        <v>6216</v>
      </c>
      <c r="D779" s="5">
        <f>Dashboard!$C$15*(1-EXP(-Dashboard!$C$16*A779))</f>
        <v>0.78356173699085563</v>
      </c>
      <c r="E779" s="5">
        <f>1/(1+EXP(MIN(700,MAX(-700,(C779-Dashboard!$C$18)/Dashboard!$C$19))))</f>
        <v>8.8709883189777984E-4</v>
      </c>
      <c r="F779" s="5">
        <f t="shared" si="55"/>
        <v>6.950967016043834E-4</v>
      </c>
      <c r="G779" s="8">
        <f>Dashboard!$C$9*B779*Dashboard!$C$11*(1-F779)</f>
        <v>26344.755125770153</v>
      </c>
      <c r="H779" s="8">
        <f>Dashboard!$C$20*A779^2</f>
        <v>482983.19999999995</v>
      </c>
      <c r="I779" s="8">
        <f t="shared" si="56"/>
        <v>509327.95512577012</v>
      </c>
      <c r="J779" s="8">
        <f>Dashboard!$C$13*A779</f>
        <v>155400</v>
      </c>
      <c r="K779" s="8">
        <f>Dashboard!$C$14*A779</f>
        <v>233100</v>
      </c>
      <c r="L779" s="8">
        <f>Dashboard!$C$21-K779</f>
        <v>1266900</v>
      </c>
      <c r="M779" s="8">
        <f t="shared" si="57"/>
        <v>602172.04487422993</v>
      </c>
      <c r="N779" s="8">
        <f t="shared" si="58"/>
        <v>388500</v>
      </c>
      <c r="O779" s="8">
        <f>Dashboard!$C$15*(Dashboard!$C$16*EXP(-Dashboard!$C$16*A779)*E779-(1-EXP(-Dashboard!$C$16*A779))*Dashboard!$C$17/Dashboard!$C$19*E779*(1-E779))</f>
        <v>-9.1868226088619208E-4</v>
      </c>
      <c r="P779" s="8">
        <f>Dashboard!$C$9*B779*Dashboard!$C$11*(-Dashboard!$C$12*(1-F779)-O779)+2*Dashboard!$C$20*A779</f>
        <v>115123.55499993323</v>
      </c>
      <c r="Q779" s="8">
        <f>-P779-Dashboard!$C$13-Dashboard!$C$14</f>
        <v>-165123.55499993323</v>
      </c>
    </row>
    <row r="780" spans="1:17" x14ac:dyDescent="0.25">
      <c r="A780" s="5">
        <f>(780-2)/100</f>
        <v>7.78</v>
      </c>
      <c r="B780" s="5">
        <f>Dashboard!$C$10*EXP(-Dashboard!$C$12*A780)</f>
        <v>1.3135485260660896E-2</v>
      </c>
      <c r="C780" s="5">
        <f>Dashboard!$C$17*A780</f>
        <v>6224</v>
      </c>
      <c r="D780" s="5">
        <f>Dashboard!$C$15*(1-EXP(-Dashboard!$C$16*A780))</f>
        <v>0.78364372316964992</v>
      </c>
      <c r="E780" s="5">
        <f>1/(1+EXP(MIN(700,MAX(-700,(C780-Dashboard!$C$18)/Dashboard!$C$19))))</f>
        <v>8.7535963642923736E-4</v>
      </c>
      <c r="F780" s="5">
        <f t="shared" si="55"/>
        <v>6.8597008460383863E-4</v>
      </c>
      <c r="G780" s="8">
        <f>Dashboard!$C$9*B780*Dashboard!$C$11*(1-F780)</f>
        <v>26252.949421450656</v>
      </c>
      <c r="H780" s="8">
        <f>Dashboard!$C$20*A780^2</f>
        <v>484227.2</v>
      </c>
      <c r="I780" s="8">
        <f t="shared" si="56"/>
        <v>510480.14942145068</v>
      </c>
      <c r="J780" s="8">
        <f>Dashboard!$C$13*A780</f>
        <v>155600</v>
      </c>
      <c r="K780" s="8">
        <f>Dashboard!$C$14*A780</f>
        <v>233400</v>
      </c>
      <c r="L780" s="8">
        <f>Dashboard!$C$21-K780</f>
        <v>1266600</v>
      </c>
      <c r="M780" s="8">
        <f t="shared" si="57"/>
        <v>600519.85057854932</v>
      </c>
      <c r="N780" s="8">
        <f t="shared" si="58"/>
        <v>389000</v>
      </c>
      <c r="O780" s="8">
        <f>Dashboard!$C$15*(Dashboard!$C$16*EXP(-Dashboard!$C$16*A780)*E780-(1-EXP(-Dashboard!$C$16*A780))*Dashboard!$C$17/Dashboard!$C$19*E780*(1-E780))</f>
        <v>-9.0666733983686253E-4</v>
      </c>
      <c r="P780" s="8">
        <f>Dashboard!$C$9*B780*Dashboard!$C$11*(-Dashboard!$C$12*(1-F780)-O780)+2*Dashboard!$C$20*A780</f>
        <v>115315.28673344977</v>
      </c>
      <c r="Q780" s="8">
        <f>-P780-Dashboard!$C$13-Dashboard!$C$14</f>
        <v>-165315.28673344979</v>
      </c>
    </row>
    <row r="781" spans="1:17" x14ac:dyDescent="0.25">
      <c r="A781" s="5">
        <f>(781-2)/100</f>
        <v>7.79</v>
      </c>
      <c r="B781" s="5">
        <f>Dashboard!$C$10*EXP(-Dashboard!$C$12*A781)</f>
        <v>1.3089591423313894E-2</v>
      </c>
      <c r="C781" s="5">
        <f>Dashboard!$C$17*A781</f>
        <v>6232</v>
      </c>
      <c r="D781" s="5">
        <f>Dashboard!$C$15*(1-EXP(-Dashboard!$C$16*A781))</f>
        <v>0.78372530044067146</v>
      </c>
      <c r="E781" s="5">
        <f>1/(1+EXP(MIN(700,MAX(-700,(C781-Dashboard!$C$18)/Dashboard!$C$19))))</f>
        <v>8.637756542963441E-4</v>
      </c>
      <c r="F781" s="5">
        <f t="shared" si="55"/>
        <v>6.7696283417673986E-4</v>
      </c>
      <c r="G781" s="8">
        <f>Dashboard!$C$9*B781*Dashboard!$C$11*(1-F781)</f>
        <v>26161.4605128115</v>
      </c>
      <c r="H781" s="8">
        <f>Dashboard!$C$20*A781^2</f>
        <v>485472.8</v>
      </c>
      <c r="I781" s="8">
        <f t="shared" si="56"/>
        <v>511634.26051281148</v>
      </c>
      <c r="J781" s="8">
        <f>Dashboard!$C$13*A781</f>
        <v>155800</v>
      </c>
      <c r="K781" s="8">
        <f>Dashboard!$C$14*A781</f>
        <v>233700</v>
      </c>
      <c r="L781" s="8">
        <f>Dashboard!$C$21-K781</f>
        <v>1266300</v>
      </c>
      <c r="M781" s="8">
        <f t="shared" si="57"/>
        <v>598865.73948718852</v>
      </c>
      <c r="N781" s="8">
        <f t="shared" si="58"/>
        <v>389500</v>
      </c>
      <c r="O781" s="8">
        <f>Dashboard!$C$15*(Dashboard!$C$16*EXP(-Dashboard!$C$16*A781)*E781-(1-EXP(-Dashboard!$C$16*A781))*Dashboard!$C$17/Dashboard!$C$19*E781*(1-E781))</f>
        <v>-8.9480860891878494E-4</v>
      </c>
      <c r="P781" s="8">
        <f>Dashboard!$C$9*B781*Dashboard!$C$11*(-Dashboard!$C$12*(1-F781)-O781)+2*Dashboard!$C$20*A781</f>
        <v>115506.9141787016</v>
      </c>
      <c r="Q781" s="8">
        <f>-P781-Dashboard!$C$13-Dashboard!$C$14</f>
        <v>-165506.91417870158</v>
      </c>
    </row>
    <row r="782" spans="1:17" x14ac:dyDescent="0.25">
      <c r="A782" s="5">
        <f>(782-2)/100</f>
        <v>7.8</v>
      </c>
      <c r="B782" s="5">
        <f>Dashboard!$C$10*EXP(-Dashboard!$C$12*A782)</f>
        <v>1.3043857933625506E-2</v>
      </c>
      <c r="C782" s="5">
        <f>Dashboard!$C$17*A782</f>
        <v>6240</v>
      </c>
      <c r="D782" s="5">
        <f>Dashboard!$C$15*(1-EXP(-Dashboard!$C$16*A782))</f>
        <v>0.78380647084335653</v>
      </c>
      <c r="E782" s="5">
        <f>1/(1+EXP(MIN(700,MAX(-700,(C782-Dashboard!$C$18)/Dashboard!$C$19))))</f>
        <v>8.5234483683003257E-4</v>
      </c>
      <c r="F782" s="5">
        <f t="shared" si="55"/>
        <v>6.6807339849730442E-4</v>
      </c>
      <c r="G782" s="8">
        <f>Dashboard!$C$9*B782*Dashboard!$C$11*(1-F782)</f>
        <v>26070.287358252543</v>
      </c>
      <c r="H782" s="8">
        <f>Dashboard!$C$20*A782^2</f>
        <v>486719.99999999994</v>
      </c>
      <c r="I782" s="8">
        <f t="shared" si="56"/>
        <v>512790.28735825251</v>
      </c>
      <c r="J782" s="8">
        <f>Dashboard!$C$13*A782</f>
        <v>156000</v>
      </c>
      <c r="K782" s="8">
        <f>Dashboard!$C$14*A782</f>
        <v>234000</v>
      </c>
      <c r="L782" s="8">
        <f>Dashboard!$C$21-K782</f>
        <v>1266000</v>
      </c>
      <c r="M782" s="8">
        <f t="shared" si="57"/>
        <v>597209.71264174744</v>
      </c>
      <c r="N782" s="8">
        <f t="shared" si="58"/>
        <v>390000</v>
      </c>
      <c r="O782" s="8">
        <f>Dashboard!$C$15*(Dashboard!$C$16*EXP(-Dashboard!$C$16*A782)*E782-(1-EXP(-Dashboard!$C$16*A782))*Dashboard!$C$17/Dashboard!$C$19*E782*(1-E782))</f>
        <v>-8.8310405729726817E-4</v>
      </c>
      <c r="P782" s="8">
        <f>Dashboard!$C$9*B782*Dashboard!$C$11*(-Dashboard!$C$12*(1-F782)-O782)+2*Dashboard!$C$20*A782</f>
        <v>115698.4375923396</v>
      </c>
      <c r="Q782" s="8">
        <f>-P782-Dashboard!$C$13-Dashboard!$C$14</f>
        <v>-165698.43759233959</v>
      </c>
    </row>
    <row r="783" spans="1:17" x14ac:dyDescent="0.25">
      <c r="A783" s="5">
        <f>(783-2)/100</f>
        <v>7.81</v>
      </c>
      <c r="B783" s="5">
        <f>Dashboard!$C$10*EXP(-Dashboard!$C$12*A783)</f>
        <v>1.2998284231359928E-2</v>
      </c>
      <c r="C783" s="5">
        <f>Dashboard!$C$17*A783</f>
        <v>6248</v>
      </c>
      <c r="D783" s="5">
        <f>Dashboard!$C$15*(1-EXP(-Dashboard!$C$16*A783))</f>
        <v>0.78388723640696911</v>
      </c>
      <c r="E783" s="5">
        <f>1/(1+EXP(MIN(700,MAX(-700,(C783-Dashboard!$C$18)/Dashboard!$C$19))))</f>
        <v>8.4106516230888074E-4</v>
      </c>
      <c r="F783" s="5">
        <f t="shared" si="55"/>
        <v>6.5930024572048739E-4</v>
      </c>
      <c r="G783" s="8">
        <f>Dashboard!$C$9*B783*Dashboard!$C$11*(1-F783)</f>
        <v>25979.428918744492</v>
      </c>
      <c r="H783" s="8">
        <f>Dashboard!$C$20*A783^2</f>
        <v>487968.79999999993</v>
      </c>
      <c r="I783" s="8">
        <f t="shared" si="56"/>
        <v>513948.22891874443</v>
      </c>
      <c r="J783" s="8">
        <f>Dashboard!$C$13*A783</f>
        <v>156200</v>
      </c>
      <c r="K783" s="8">
        <f>Dashboard!$C$14*A783</f>
        <v>234300</v>
      </c>
      <c r="L783" s="8">
        <f>Dashboard!$C$21-K783</f>
        <v>1265700</v>
      </c>
      <c r="M783" s="8">
        <f t="shared" si="57"/>
        <v>595551.77108125552</v>
      </c>
      <c r="N783" s="8">
        <f t="shared" si="58"/>
        <v>390500</v>
      </c>
      <c r="O783" s="8">
        <f>Dashboard!$C$15*(Dashboard!$C$16*EXP(-Dashboard!$C$16*A783)*E783-(1-EXP(-Dashboard!$C$16*A783))*Dashboard!$C$17/Dashboard!$C$19*E783*(1-E783))</f>
        <v>-8.7155169960643857E-4</v>
      </c>
      <c r="P783" s="8">
        <f>Dashboard!$C$9*B783*Dashboard!$C$11*(-Dashboard!$C$12*(1-F783)-O783)+2*Dashboard!$C$20*A783</f>
        <v>115889.85723186705</v>
      </c>
      <c r="Q783" s="8">
        <f>-P783-Dashboard!$C$13-Dashboard!$C$14</f>
        <v>-165889.85723186703</v>
      </c>
    </row>
    <row r="784" spans="1:17" x14ac:dyDescent="0.25">
      <c r="A784" s="5">
        <f>(784-2)/100</f>
        <v>7.82</v>
      </c>
      <c r="B784" s="5">
        <f>Dashboard!$C$10*EXP(-Dashboard!$C$12*A784)</f>
        <v>1.2952869758238726E-2</v>
      </c>
      <c r="C784" s="5">
        <f>Dashboard!$C$17*A784</f>
        <v>6256</v>
      </c>
      <c r="D784" s="5">
        <f>Dashboard!$C$15*(1-EXP(-Dashboard!$C$16*A784))</f>
        <v>0.78396759915065284</v>
      </c>
      <c r="E784" s="5">
        <f>1/(1+EXP(MIN(700,MAX(-700,(C784-Dashboard!$C$18)/Dashboard!$C$19))))</f>
        <v>8.2993463560709728E-4</v>
      </c>
      <c r="F784" s="5">
        <f t="shared" si="55"/>
        <v>6.5064186372886792E-4</v>
      </c>
      <c r="G784" s="8">
        <f>Dashboard!$C$9*B784*Dashboard!$C$11*(1-F784)</f>
        <v>25888.884157837176</v>
      </c>
      <c r="H784" s="8">
        <f>Dashboard!$C$20*A784^2</f>
        <v>489219.20000000007</v>
      </c>
      <c r="I784" s="8">
        <f t="shared" si="56"/>
        <v>515108.08415783726</v>
      </c>
      <c r="J784" s="8">
        <f>Dashboard!$C$13*A784</f>
        <v>156400</v>
      </c>
      <c r="K784" s="8">
        <f>Dashboard!$C$14*A784</f>
        <v>234600</v>
      </c>
      <c r="L784" s="8">
        <f>Dashboard!$C$21-K784</f>
        <v>1265400</v>
      </c>
      <c r="M784" s="8">
        <f t="shared" si="57"/>
        <v>593891.91584216268</v>
      </c>
      <c r="N784" s="8">
        <f t="shared" si="58"/>
        <v>391000</v>
      </c>
      <c r="O784" s="8">
        <f>Dashboard!$C$15*(Dashboard!$C$16*EXP(-Dashboard!$C$16*A784)*E784-(1-EXP(-Dashboard!$C$16*A784))*Dashboard!$C$17/Dashboard!$C$19*E784*(1-E784))</f>
        <v>-8.6014957563597307E-4</v>
      </c>
      <c r="P784" s="8">
        <f>Dashboard!$C$9*B784*Dashboard!$C$11*(-Dashboard!$C$12*(1-F784)-O784)+2*Dashboard!$C$20*A784</f>
        <v>116081.17335560863</v>
      </c>
      <c r="Q784" s="8">
        <f>-P784-Dashboard!$C$13-Dashboard!$C$14</f>
        <v>-166081.17335560863</v>
      </c>
    </row>
    <row r="785" spans="1:17" x14ac:dyDescent="0.25">
      <c r="A785" s="5">
        <f>(785-2)/100</f>
        <v>7.83</v>
      </c>
      <c r="B785" s="5">
        <f>Dashboard!$C$10*EXP(-Dashboard!$C$12*A785)</f>
        <v>1.2907613957934045E-2</v>
      </c>
      <c r="C785" s="5">
        <f>Dashboard!$C$17*A785</f>
        <v>6264</v>
      </c>
      <c r="D785" s="5">
        <f>Dashboard!$C$15*(1-EXP(-Dashboard!$C$16*A785))</f>
        <v>0.78404756108348028</v>
      </c>
      <c r="E785" s="5">
        <f>1/(1+EXP(MIN(700,MAX(-700,(C785-Dashboard!$C$18)/Dashboard!$C$19))))</f>
        <v>8.1895128784703337E-4</v>
      </c>
      <c r="F785" s="5">
        <f t="shared" si="55"/>
        <v>6.4209675988264171E-4</v>
      </c>
      <c r="G785" s="8">
        <f>Dashboard!$C$9*B785*Dashboard!$C$11*(1-F785)</f>
        <v>25798.652041667679</v>
      </c>
      <c r="H785" s="8">
        <f>Dashboard!$C$20*A785^2</f>
        <v>490471.2</v>
      </c>
      <c r="I785" s="8">
        <f t="shared" si="56"/>
        <v>516269.85204166768</v>
      </c>
      <c r="J785" s="8">
        <f>Dashboard!$C$13*A785</f>
        <v>156600</v>
      </c>
      <c r="K785" s="8">
        <f>Dashboard!$C$14*A785</f>
        <v>234900</v>
      </c>
      <c r="L785" s="8">
        <f>Dashboard!$C$21-K785</f>
        <v>1265100</v>
      </c>
      <c r="M785" s="8">
        <f t="shared" si="57"/>
        <v>592230.14795833232</v>
      </c>
      <c r="N785" s="8">
        <f t="shared" si="58"/>
        <v>391500</v>
      </c>
      <c r="O785" s="8">
        <f>Dashboard!$C$15*(Dashboard!$C$16*EXP(-Dashboard!$C$16*A785)*E785-(1-EXP(-Dashboard!$C$16*A785))*Dashboard!$C$17/Dashboard!$C$19*E785*(1-E785))</f>
        <v>-8.4889575002145869E-4</v>
      </c>
      <c r="P785" s="8">
        <f>Dashboard!$C$9*B785*Dashboard!$C$11*(-Dashboard!$C$12*(1-F785)-O785)+2*Dashboard!$C$20*A785</f>
        <v>116272.38622267992</v>
      </c>
      <c r="Q785" s="8">
        <f>-P785-Dashboard!$C$13-Dashboard!$C$14</f>
        <v>-166272.38622267992</v>
      </c>
    </row>
    <row r="786" spans="1:17" x14ac:dyDescent="0.25">
      <c r="A786" s="5">
        <f>(786-2)/100</f>
        <v>7.84</v>
      </c>
      <c r="B786" s="5">
        <f>Dashboard!$C$10*EXP(-Dashboard!$C$12*A786)</f>
        <v>1.2862516276061761E-2</v>
      </c>
      <c r="C786" s="5">
        <f>Dashboard!$C$17*A786</f>
        <v>6272</v>
      </c>
      <c r="D786" s="5">
        <f>Dashboard!$C$15*(1-EXP(-Dashboard!$C$16*A786))</f>
        <v>0.78412712420450381</v>
      </c>
      <c r="E786" s="5">
        <f>1/(1+EXP(MIN(700,MAX(-700,(C786-Dashboard!$C$18)/Dashboard!$C$19))))</f>
        <v>8.0811317605617176E-4</v>
      </c>
      <c r="F786" s="5">
        <f t="shared" si="55"/>
        <v>6.3366346077269389E-4</v>
      </c>
      <c r="G786" s="8">
        <f>Dashboard!$C$9*B786*Dashboard!$C$11*(1-F786)</f>
        <v>25708.731538968052</v>
      </c>
      <c r="H786" s="8">
        <f>Dashboard!$C$20*A786^2</f>
        <v>491724.79999999993</v>
      </c>
      <c r="I786" s="8">
        <f t="shared" si="56"/>
        <v>517433.53153896797</v>
      </c>
      <c r="J786" s="8">
        <f>Dashboard!$C$13*A786</f>
        <v>156800</v>
      </c>
      <c r="K786" s="8">
        <f>Dashboard!$C$14*A786</f>
        <v>235200</v>
      </c>
      <c r="L786" s="8">
        <f>Dashboard!$C$21-K786</f>
        <v>1264800</v>
      </c>
      <c r="M786" s="8">
        <f t="shared" si="57"/>
        <v>590566.46846103203</v>
      </c>
      <c r="N786" s="8">
        <f t="shared" si="58"/>
        <v>392000</v>
      </c>
      <c r="O786" s="8">
        <f>Dashboard!$C$15*(Dashboard!$C$16*EXP(-Dashboard!$C$16*A786)*E786-(1-EXP(-Dashboard!$C$16*A786))*Dashboard!$C$17/Dashboard!$C$19*E786*(1-E786))</f>
        <v>-8.3778831193835569E-4</v>
      </c>
      <c r="P786" s="8">
        <f>Dashboard!$C$9*B786*Dashboard!$C$11*(-Dashboard!$C$12*(1-F786)-O786)+2*Dashboard!$C$20*A786</f>
        <v>116463.49609295759</v>
      </c>
      <c r="Q786" s="8">
        <f>-P786-Dashboard!$C$13-Dashboard!$C$14</f>
        <v>-166463.49609295759</v>
      </c>
    </row>
    <row r="787" spans="1:17" x14ac:dyDescent="0.25">
      <c r="A787" s="5">
        <f>(787-2)/100</f>
        <v>7.85</v>
      </c>
      <c r="B787" s="5">
        <f>Dashboard!$C$10*EXP(-Dashboard!$C$12*A787)</f>
        <v>1.2817576160174711E-2</v>
      </c>
      <c r="C787" s="5">
        <f>Dashboard!$C$17*A787</f>
        <v>6280</v>
      </c>
      <c r="D787" s="5">
        <f>Dashboard!$C$15*(1-EXP(-Dashboard!$C$16*A787))</f>
        <v>0.78420629050280588</v>
      </c>
      <c r="E787" s="5">
        <f>1/(1+EXP(MIN(700,MAX(-700,(C787-Dashboard!$C$18)/Dashboard!$C$19))))</f>
        <v>7.9741838282854517E-4</v>
      </c>
      <c r="F787" s="5">
        <f t="shared" si="55"/>
        <v>6.2534051197671975E-4</v>
      </c>
      <c r="G787" s="8">
        <f>Dashboard!$C$9*B787*Dashboard!$C$11*(1-F787)</f>
        <v>25619.121621072809</v>
      </c>
      <c r="H787" s="8">
        <f>Dashboard!$C$20*A787^2</f>
        <v>492979.99999999994</v>
      </c>
      <c r="I787" s="8">
        <f t="shared" si="56"/>
        <v>518599.12162107276</v>
      </c>
      <c r="J787" s="8">
        <f>Dashboard!$C$13*A787</f>
        <v>157000</v>
      </c>
      <c r="K787" s="8">
        <f>Dashboard!$C$14*A787</f>
        <v>235500</v>
      </c>
      <c r="L787" s="8">
        <f>Dashboard!$C$21-K787</f>
        <v>1264500</v>
      </c>
      <c r="M787" s="8">
        <f t="shared" si="57"/>
        <v>588900.87837892724</v>
      </c>
      <c r="N787" s="8">
        <f t="shared" si="58"/>
        <v>392500</v>
      </c>
      <c r="O787" s="8">
        <f>Dashboard!$C$15*(Dashboard!$C$16*EXP(-Dashboard!$C$16*A787)*E787-(1-EXP(-Dashboard!$C$16*A787))*Dashboard!$C$17/Dashboard!$C$19*E787*(1-E787))</f>
        <v>-8.2682537479953115E-4</v>
      </c>
      <c r="P787" s="8">
        <f>Dashboard!$C$9*B787*Dashboard!$C$11*(-Dashboard!$C$12*(1-F787)-O787)+2*Dashboard!$C$20*A787</f>
        <v>116654.50322704983</v>
      </c>
      <c r="Q787" s="8">
        <f>-P787-Dashboard!$C$13-Dashboard!$C$14</f>
        <v>-166654.50322704983</v>
      </c>
    </row>
    <row r="788" spans="1:17" x14ac:dyDescent="0.25">
      <c r="A788" s="5">
        <f>(788-2)/100</f>
        <v>7.86</v>
      </c>
      <c r="B788" s="5">
        <f>Dashboard!$C$10*EXP(-Dashboard!$C$12*A788)</f>
        <v>1.2772793059755899E-2</v>
      </c>
      <c r="C788" s="5">
        <f>Dashboard!$C$17*A788</f>
        <v>6288</v>
      </c>
      <c r="D788" s="5">
        <f>Dashboard!$C$15*(1-EXP(-Dashboard!$C$16*A788))</f>
        <v>0.78428506195754777</v>
      </c>
      <c r="E788" s="5">
        <f>1/(1+EXP(MIN(700,MAX(-700,(C788-Dashboard!$C$18)/Dashboard!$C$19))))</f>
        <v>7.8686501599051141E-4</v>
      </c>
      <c r="F788" s="5">
        <f t="shared" si="55"/>
        <v>6.1712647781834507E-4</v>
      </c>
      <c r="G788" s="8">
        <f>Dashboard!$C$9*B788*Dashboard!$C$11*(1-F788)</f>
        <v>25529.821261926059</v>
      </c>
      <c r="H788" s="8">
        <f>Dashboard!$C$20*A788^2</f>
        <v>494236.8</v>
      </c>
      <c r="I788" s="8">
        <f t="shared" si="56"/>
        <v>519766.62126192602</v>
      </c>
      <c r="J788" s="8">
        <f>Dashboard!$C$13*A788</f>
        <v>157200</v>
      </c>
      <c r="K788" s="8">
        <f>Dashboard!$C$14*A788</f>
        <v>235800</v>
      </c>
      <c r="L788" s="8">
        <f>Dashboard!$C$21-K788</f>
        <v>1264200</v>
      </c>
      <c r="M788" s="8">
        <f t="shared" si="57"/>
        <v>587233.37873807398</v>
      </c>
      <c r="N788" s="8">
        <f t="shared" si="58"/>
        <v>393000</v>
      </c>
      <c r="O788" s="8">
        <f>Dashboard!$C$15*(Dashboard!$C$16*EXP(-Dashboard!$C$16*A788)*E788-(1-EXP(-Dashboard!$C$16*A788))*Dashboard!$C$17/Dashboard!$C$19*E788*(1-E788))</f>
        <v>-8.1600507595631271E-4</v>
      </c>
      <c r="P788" s="8">
        <f>Dashboard!$C$9*B788*Dashboard!$C$11*(-Dashboard!$C$12*(1-F788)-O788)+2*Dashboard!$C$20*A788</f>
        <v>116845.40788626768</v>
      </c>
      <c r="Q788" s="8">
        <f>-P788-Dashboard!$C$13-Dashboard!$C$14</f>
        <v>-166845.4078862677</v>
      </c>
    </row>
    <row r="789" spans="1:17" x14ac:dyDescent="0.25">
      <c r="A789" s="5">
        <f>(789-2)/100</f>
        <v>7.87</v>
      </c>
      <c r="B789" s="5">
        <f>Dashboard!$C$10*EXP(-Dashboard!$C$12*A789)</f>
        <v>1.2728166426211805E-2</v>
      </c>
      <c r="C789" s="5">
        <f>Dashboard!$C$17*A789</f>
        <v>6296</v>
      </c>
      <c r="D789" s="5">
        <f>Dashboard!$C$15*(1-EXP(-Dashboard!$C$16*A789))</f>
        <v>0.78436344053802021</v>
      </c>
      <c r="E789" s="5">
        <f>1/(1+EXP(MIN(700,MAX(-700,(C789-Dashboard!$C$18)/Dashboard!$C$19))))</f>
        <v>7.7645120827084344E-4</v>
      </c>
      <c r="F789" s="5">
        <f t="shared" si="55"/>
        <v>6.0901994112922168E-4</v>
      </c>
      <c r="G789" s="8">
        <f>Dashboard!$C$9*B789*Dashboard!$C$11*(1-F789)</f>
        <v>25440.829438088458</v>
      </c>
      <c r="H789" s="8">
        <f>Dashboard!$C$20*A789^2</f>
        <v>495495.2</v>
      </c>
      <c r="I789" s="8">
        <f t="shared" si="56"/>
        <v>520936.02943808847</v>
      </c>
      <c r="J789" s="8">
        <f>Dashboard!$C$13*A789</f>
        <v>157400</v>
      </c>
      <c r="K789" s="8">
        <f>Dashboard!$C$14*A789</f>
        <v>236100</v>
      </c>
      <c r="L789" s="8">
        <f>Dashboard!$C$21-K789</f>
        <v>1263900</v>
      </c>
      <c r="M789" s="8">
        <f t="shared" si="57"/>
        <v>585563.97056191158</v>
      </c>
      <c r="N789" s="8">
        <f t="shared" si="58"/>
        <v>393500</v>
      </c>
      <c r="O789" s="8">
        <f>Dashboard!$C$15*(Dashboard!$C$16*EXP(-Dashboard!$C$16*A789)*E789-(1-EXP(-Dashboard!$C$16*A789))*Dashboard!$C$17/Dashboard!$C$19*E789*(1-E789))</f>
        <v>-8.0532557640303453E-4</v>
      </c>
      <c r="P789" s="8">
        <f>Dashboard!$C$9*B789*Dashboard!$C$11*(-Dashboard!$C$12*(1-F789)-O789)+2*Dashboard!$C$20*A789</f>
        <v>117036.21033259653</v>
      </c>
      <c r="Q789" s="8">
        <f>-P789-Dashboard!$C$13-Dashboard!$C$14</f>
        <v>-167036.21033259653</v>
      </c>
    </row>
    <row r="790" spans="1:17" x14ac:dyDescent="0.25">
      <c r="A790" s="5">
        <f>(790-2)/100</f>
        <v>7.88</v>
      </c>
      <c r="B790" s="5">
        <f>Dashboard!$C$10*EXP(-Dashboard!$C$12*A790)</f>
        <v>1.2683695712865593E-2</v>
      </c>
      <c r="C790" s="5">
        <f>Dashboard!$C$17*A790</f>
        <v>6304</v>
      </c>
      <c r="D790" s="5">
        <f>Dashboard!$C$15*(1-EXP(-Dashboard!$C$16*A790))</f>
        <v>0.78444142820369178</v>
      </c>
      <c r="E790" s="5">
        <f>1/(1+EXP(MIN(700,MAX(-700,(C790-Dashboard!$C$18)/Dashboard!$C$19))))</f>
        <v>7.6617511697508046E-4</v>
      </c>
      <c r="F790" s="5">
        <f t="shared" si="55"/>
        <v>6.0101950301406275E-4</v>
      </c>
      <c r="G790" s="8">
        <f>Dashboard!$C$9*B790*Dashboard!$C$11*(1-F790)</f>
        <v>25352.145128743727</v>
      </c>
      <c r="H790" s="8">
        <f>Dashboard!$C$20*A790^2</f>
        <v>496755.20000000001</v>
      </c>
      <c r="I790" s="8">
        <f t="shared" si="56"/>
        <v>522107.34512874373</v>
      </c>
      <c r="J790" s="8">
        <f>Dashboard!$C$13*A790</f>
        <v>157600</v>
      </c>
      <c r="K790" s="8">
        <f>Dashboard!$C$14*A790</f>
        <v>236400</v>
      </c>
      <c r="L790" s="8">
        <f>Dashboard!$C$21-K790</f>
        <v>1263600</v>
      </c>
      <c r="M790" s="8">
        <f t="shared" si="57"/>
        <v>583892.65487125632</v>
      </c>
      <c r="N790" s="8">
        <f t="shared" si="58"/>
        <v>394000</v>
      </c>
      <c r="O790" s="8">
        <f>Dashboard!$C$15*(Dashboard!$C$16*EXP(-Dashboard!$C$16*A790)*E790-(1-EXP(-Dashboard!$C$16*A790))*Dashboard!$C$17/Dashboard!$C$19*E790*(1-E790))</f>
        <v>-7.9478506048504807E-4</v>
      </c>
      <c r="P790" s="8">
        <f>Dashboard!$C$9*B790*Dashboard!$C$11*(-Dashboard!$C$12*(1-F790)-O790)+2*Dashboard!$C$20*A790</f>
        <v>117226.91082866835</v>
      </c>
      <c r="Q790" s="8">
        <f>-P790-Dashboard!$C$13-Dashboard!$C$14</f>
        <v>-167226.91082866833</v>
      </c>
    </row>
    <row r="791" spans="1:17" x14ac:dyDescent="0.25">
      <c r="A791" s="5">
        <f>(791-2)/100</f>
        <v>7.89</v>
      </c>
      <c r="B791" s="5">
        <f>Dashboard!$C$10*EXP(-Dashboard!$C$12*A791)</f>
        <v>1.2639380374950483E-2</v>
      </c>
      <c r="C791" s="5">
        <f>Dashboard!$C$17*A791</f>
        <v>6312</v>
      </c>
      <c r="D791" s="5">
        <f>Dashboard!$C$15*(1-EXP(-Dashboard!$C$16*A791))</f>
        <v>0.7845190269042579</v>
      </c>
      <c r="E791" s="5">
        <f>1/(1+EXP(MIN(700,MAX(-700,(C791-Dashboard!$C$18)/Dashboard!$C$19))))</f>
        <v>7.5603492366407453E-4</v>
      </c>
      <c r="F791" s="5">
        <f t="shared" si="55"/>
        <v>5.9312378261857463E-4</v>
      </c>
      <c r="G791" s="8">
        <f>Dashboard!$C$9*B791*Dashboard!$C$11*(1-F791)</f>
        <v>25263.767315705074</v>
      </c>
      <c r="H791" s="8">
        <f>Dashboard!$C$20*A791^2</f>
        <v>498016.79999999993</v>
      </c>
      <c r="I791" s="8">
        <f t="shared" si="56"/>
        <v>523280.567315705</v>
      </c>
      <c r="J791" s="8">
        <f>Dashboard!$C$13*A791</f>
        <v>157800</v>
      </c>
      <c r="K791" s="8">
        <f>Dashboard!$C$14*A791</f>
        <v>236700</v>
      </c>
      <c r="L791" s="8">
        <f>Dashboard!$C$21-K791</f>
        <v>1263300</v>
      </c>
      <c r="M791" s="8">
        <f t="shared" si="57"/>
        <v>582219.432684295</v>
      </c>
      <c r="N791" s="8">
        <f t="shared" si="58"/>
        <v>394500</v>
      </c>
      <c r="O791" s="8">
        <f>Dashboard!$C$15*(Dashboard!$C$16*EXP(-Dashboard!$C$16*A791)*E791-(1-EXP(-Dashboard!$C$16*A791))*Dashboard!$C$17/Dashboard!$C$19*E791*(1-E791))</f>
        <v>-7.8438173561013673E-4</v>
      </c>
      <c r="P791" s="8">
        <f>Dashboard!$C$9*B791*Dashboard!$C$11*(-Dashboard!$C$12*(1-F791)-O791)+2*Dashboard!$C$20*A791</f>
        <v>117417.5096377343</v>
      </c>
      <c r="Q791" s="8">
        <f>-P791-Dashboard!$C$13-Dashboard!$C$14</f>
        <v>-167417.5096377343</v>
      </c>
    </row>
    <row r="792" spans="1:17" x14ac:dyDescent="0.25">
      <c r="A792" s="5">
        <f>(792-2)/100</f>
        <v>7.9</v>
      </c>
      <c r="B792" s="5">
        <f>Dashboard!$C$10*EXP(-Dashboard!$C$12*A792)</f>
        <v>1.2595219869603014E-2</v>
      </c>
      <c r="C792" s="5">
        <f>Dashboard!$C$17*A792</f>
        <v>6320</v>
      </c>
      <c r="D792" s="5">
        <f>Dashboard!$C$15*(1-EXP(-Dashboard!$C$16*A792))</f>
        <v>0.78459623857969052</v>
      </c>
      <c r="E792" s="5">
        <f>1/(1+EXP(MIN(700,MAX(-700,(C792-Dashboard!$C$18)/Dashboard!$C$19))))</f>
        <v>7.4602883383669699E-4</v>
      </c>
      <c r="F792" s="5">
        <f t="shared" si="55"/>
        <v>5.8533141690026542E-4</v>
      </c>
      <c r="G792" s="8">
        <f>Dashboard!$C$9*B792*Dashboard!$C$11*(1-F792)</f>
        <v>25175.694983421137</v>
      </c>
      <c r="H792" s="8">
        <f>Dashboard!$C$20*A792^2</f>
        <v>499280.00000000006</v>
      </c>
      <c r="I792" s="8">
        <f t="shared" si="56"/>
        <v>524455.69498342124</v>
      </c>
      <c r="J792" s="8">
        <f>Dashboard!$C$13*A792</f>
        <v>158000</v>
      </c>
      <c r="K792" s="8">
        <f>Dashboard!$C$14*A792</f>
        <v>237000</v>
      </c>
      <c r="L792" s="8">
        <f>Dashboard!$C$21-K792</f>
        <v>1263000</v>
      </c>
      <c r="M792" s="8">
        <f t="shared" si="57"/>
        <v>580544.30501657876</v>
      </c>
      <c r="N792" s="8">
        <f t="shared" si="58"/>
        <v>395000</v>
      </c>
      <c r="O792" s="8">
        <f>Dashboard!$C$15*(Dashboard!$C$16*EXP(-Dashboard!$C$16*A792)*E792-(1-EXP(-Dashboard!$C$16*A792))*Dashboard!$C$17/Dashboard!$C$19*E792*(1-E792))</f>
        <v>-7.7411383196333036E-4</v>
      </c>
      <c r="P792" s="8">
        <f>Dashboard!$C$9*B792*Dashboard!$C$11*(-Dashboard!$C$12*(1-F792)-O792)+2*Dashboard!$C$20*A792</f>
        <v>117608.00702363797</v>
      </c>
      <c r="Q792" s="8">
        <f>-P792-Dashboard!$C$13-Dashboard!$C$14</f>
        <v>-167608.00702363797</v>
      </c>
    </row>
    <row r="793" spans="1:17" x14ac:dyDescent="0.25">
      <c r="A793" s="5">
        <f>(793-2)/100</f>
        <v>7.91</v>
      </c>
      <c r="B793" s="5">
        <f>Dashboard!$C$10*EXP(-Dashboard!$C$12*A793)</f>
        <v>1.2551213655856465E-2</v>
      </c>
      <c r="C793" s="5">
        <f>Dashboard!$C$17*A793</f>
        <v>6328</v>
      </c>
      <c r="D793" s="5">
        <f>Dashboard!$C$15*(1-EXP(-Dashboard!$C$16*A793))</f>
        <v>0.78467306516028534</v>
      </c>
      <c r="E793" s="5">
        <f>1/(1+EXP(MIN(700,MAX(-700,(C793-Dashboard!$C$18)/Dashboard!$C$19))))</f>
        <v>7.3615507661663757E-4</v>
      </c>
      <c r="F793" s="5">
        <f t="shared" si="55"/>
        <v>5.7764106040208171E-4</v>
      </c>
      <c r="G793" s="8">
        <f>Dashboard!$C$9*B793*Dashboard!$C$11*(1-F793)</f>
        <v>25087.927118981923</v>
      </c>
      <c r="H793" s="8">
        <f>Dashboard!$C$20*A793^2</f>
        <v>500544.8</v>
      </c>
      <c r="I793" s="8">
        <f t="shared" si="56"/>
        <v>525632.72711898189</v>
      </c>
      <c r="J793" s="8">
        <f>Dashboard!$C$13*A793</f>
        <v>158200</v>
      </c>
      <c r="K793" s="8">
        <f>Dashboard!$C$14*A793</f>
        <v>237300</v>
      </c>
      <c r="L793" s="8">
        <f>Dashboard!$C$21-K793</f>
        <v>1262700</v>
      </c>
      <c r="M793" s="8">
        <f t="shared" si="57"/>
        <v>578867.27288101811</v>
      </c>
      <c r="N793" s="8">
        <f t="shared" si="58"/>
        <v>395500</v>
      </c>
      <c r="O793" s="8">
        <f>Dashboard!$C$15*(Dashboard!$C$16*EXP(-Dashboard!$C$16*A793)*E793-(1-EXP(-Dashboard!$C$16*A793))*Dashboard!$C$17/Dashboard!$C$19*E793*(1-E793))</f>
        <v>-7.6397960222505826E-4</v>
      </c>
      <c r="P793" s="8">
        <f>Dashboard!$C$9*B793*Dashboard!$C$11*(-Dashboard!$C$12*(1-F793)-O793)+2*Dashboard!$C$20*A793</f>
        <v>117798.40325078882</v>
      </c>
      <c r="Q793" s="8">
        <f>-P793-Dashboard!$C$13-Dashboard!$C$14</f>
        <v>-167798.4032507888</v>
      </c>
    </row>
    <row r="794" spans="1:17" x14ac:dyDescent="0.25">
      <c r="A794" s="5">
        <f>(794-2)/100</f>
        <v>7.92</v>
      </c>
      <c r="B794" s="5">
        <f>Dashboard!$C$10*EXP(-Dashboard!$C$12*A794)</f>
        <v>1.2507361194634154E-2</v>
      </c>
      <c r="C794" s="5">
        <f>Dashboard!$C$17*A794</f>
        <v>6336</v>
      </c>
      <c r="D794" s="5">
        <f>Dashboard!$C$15*(1-EXP(-Dashboard!$C$16*A794))</f>
        <v>0.78474950856671066</v>
      </c>
      <c r="E794" s="5">
        <f>1/(1+EXP(MIN(700,MAX(-700,(C794-Dashboard!$C$18)/Dashboard!$C$19))))</f>
        <v>7.264119044432507E-4</v>
      </c>
      <c r="F794" s="5">
        <f t="shared" si="55"/>
        <v>5.7005138502884943E-4</v>
      </c>
      <c r="G794" s="8">
        <f>Dashboard!$C$9*B794*Dashboard!$C$11*(1-F794)</f>
        <v>25000.462712124194</v>
      </c>
      <c r="H794" s="8">
        <f>Dashboard!$C$20*A794^2</f>
        <v>501811.20000000001</v>
      </c>
      <c r="I794" s="8">
        <f t="shared" si="56"/>
        <v>526811.66271212418</v>
      </c>
      <c r="J794" s="8">
        <f>Dashboard!$C$13*A794</f>
        <v>158400</v>
      </c>
      <c r="K794" s="8">
        <f>Dashboard!$C$14*A794</f>
        <v>237600</v>
      </c>
      <c r="L794" s="8">
        <f>Dashboard!$C$21-K794</f>
        <v>1262400</v>
      </c>
      <c r="M794" s="8">
        <f t="shared" si="57"/>
        <v>577188.33728787582</v>
      </c>
      <c r="N794" s="8">
        <f t="shared" si="58"/>
        <v>396000</v>
      </c>
      <c r="O794" s="8">
        <f>Dashboard!$C$15*(Dashboard!$C$16*EXP(-Dashboard!$C$16*A794)*E794-(1-EXP(-Dashboard!$C$16*A794))*Dashboard!$C$17/Dashboard!$C$19*E794*(1-E794))</f>
        <v>-7.539773212926178E-4</v>
      </c>
      <c r="P794" s="8">
        <f>Dashboard!$C$9*B794*Dashboard!$C$11*(-Dashboard!$C$12*(1-F794)-O794)+2*Dashboard!$C$20*A794</f>
        <v>117988.69858413647</v>
      </c>
      <c r="Q794" s="8">
        <f>-P794-Dashboard!$C$13-Dashboard!$C$14</f>
        <v>-167988.69858413647</v>
      </c>
    </row>
    <row r="795" spans="1:17" x14ac:dyDescent="0.25">
      <c r="A795" s="5">
        <f>(795-2)/100</f>
        <v>7.93</v>
      </c>
      <c r="B795" s="5">
        <f>Dashboard!$C$10*EXP(-Dashboard!$C$12*A795)</f>
        <v>1.2463661948742884E-2</v>
      </c>
      <c r="C795" s="5">
        <f>Dashboard!$C$17*A795</f>
        <v>6344</v>
      </c>
      <c r="D795" s="5">
        <f>Dashboard!$C$15*(1-EXP(-Dashboard!$C$16*A795))</f>
        <v>0.7848255707100561</v>
      </c>
      <c r="E795" s="5">
        <f>1/(1+EXP(MIN(700,MAX(-700,(C795-Dashboard!$C$18)/Dashboard!$C$19))))</f>
        <v>7.1679759276640413E-4</v>
      </c>
      <c r="F795" s="5">
        <f t="shared" si="55"/>
        <v>5.6256107982648748E-4</v>
      </c>
      <c r="G795" s="8">
        <f>Dashboard!$C$9*B795*Dashboard!$C$11*(1-F795)</f>
        <v>24913.300755236814</v>
      </c>
      <c r="H795" s="8">
        <f>Dashboard!$C$20*A795^2</f>
        <v>503079.19999999995</v>
      </c>
      <c r="I795" s="8">
        <f t="shared" si="56"/>
        <v>527992.50075523672</v>
      </c>
      <c r="J795" s="8">
        <f>Dashboard!$C$13*A795</f>
        <v>158600</v>
      </c>
      <c r="K795" s="8">
        <f>Dashboard!$C$14*A795</f>
        <v>237900</v>
      </c>
      <c r="L795" s="8">
        <f>Dashboard!$C$21-K795</f>
        <v>1262100</v>
      </c>
      <c r="M795" s="8">
        <f t="shared" si="57"/>
        <v>575507.49924476328</v>
      </c>
      <c r="N795" s="8">
        <f t="shared" si="58"/>
        <v>396500</v>
      </c>
      <c r="O795" s="8">
        <f>Dashboard!$C$15*(Dashboard!$C$16*EXP(-Dashboard!$C$16*A795)*E795-(1-EXP(-Dashboard!$C$16*A795))*Dashboard!$C$17/Dashboard!$C$19*E795*(1-E795))</f>
        <v>-7.4410528600492721E-4</v>
      </c>
      <c r="P795" s="8">
        <f>Dashboard!$C$9*B795*Dashboard!$C$11*(-Dashboard!$C$12*(1-F795)-O795)+2*Dashboard!$C$20*A795</f>
        <v>118178.8932891452</v>
      </c>
      <c r="Q795" s="8">
        <f>-P795-Dashboard!$C$13-Dashboard!$C$14</f>
        <v>-168178.8932891452</v>
      </c>
    </row>
    <row r="796" spans="1:17" x14ac:dyDescent="0.25">
      <c r="A796" s="5">
        <f>(796-2)/100</f>
        <v>7.94</v>
      </c>
      <c r="B796" s="5">
        <f>Dashboard!$C$10*EXP(-Dashboard!$C$12*A796)</f>
        <v>1.242011538286634E-2</v>
      </c>
      <c r="C796" s="5">
        <f>Dashboard!$C$17*A796</f>
        <v>6352</v>
      </c>
      <c r="D796" s="5">
        <f>Dashboard!$C$15*(1-EXP(-Dashboard!$C$16*A796))</f>
        <v>0.78490125349187889</v>
      </c>
      <c r="E796" s="5">
        <f>1/(1+EXP(MIN(700,MAX(-700,(C796-Dashboard!$C$18)/Dashboard!$C$19))))</f>
        <v>7.0731043974526608E-4</v>
      </c>
      <c r="F796" s="5">
        <f t="shared" si="55"/>
        <v>5.5516885076395146E-4</v>
      </c>
      <c r="G796" s="8">
        <f>Dashboard!$C$9*B796*Dashboard!$C$11*(1-F796)</f>
        <v>24826.440243365756</v>
      </c>
      <c r="H796" s="8">
        <f>Dashboard!$C$20*A796^2</f>
        <v>504348.80000000005</v>
      </c>
      <c r="I796" s="8">
        <f t="shared" si="56"/>
        <v>529175.24024336576</v>
      </c>
      <c r="J796" s="8">
        <f>Dashboard!$C$13*A796</f>
        <v>158800</v>
      </c>
      <c r="K796" s="8">
        <f>Dashboard!$C$14*A796</f>
        <v>238200</v>
      </c>
      <c r="L796" s="8">
        <f>Dashboard!$C$21-K796</f>
        <v>1261800</v>
      </c>
      <c r="M796" s="8">
        <f t="shared" si="57"/>
        <v>573824.75975663424</v>
      </c>
      <c r="N796" s="8">
        <f t="shared" si="58"/>
        <v>397000</v>
      </c>
      <c r="O796" s="8">
        <f>Dashboard!$C$15*(Dashboard!$C$16*EXP(-Dashboard!$C$16*A796)*E796-(1-EXP(-Dashboard!$C$16*A796))*Dashboard!$C$17/Dashboard!$C$19*E796*(1-E796))</f>
        <v>-7.3436181487051546E-4</v>
      </c>
      <c r="P796" s="8">
        <f>Dashboard!$C$9*B796*Dashboard!$C$11*(-Dashboard!$C$12*(1-F796)-O796)+2*Dashboard!$C$20*A796</f>
        <v>118368.98763176892</v>
      </c>
      <c r="Q796" s="8">
        <f>-P796-Dashboard!$C$13-Dashboard!$C$14</f>
        <v>-168368.98763176892</v>
      </c>
    </row>
    <row r="797" spans="1:17" x14ac:dyDescent="0.25">
      <c r="A797" s="5">
        <f>(797-2)/100</f>
        <v>7.95</v>
      </c>
      <c r="B797" s="5">
        <f>Dashboard!$C$10*EXP(-Dashboard!$C$12*A797)</f>
        <v>1.237672096355856E-2</v>
      </c>
      <c r="C797" s="5">
        <f>Dashboard!$C$17*A797</f>
        <v>6360</v>
      </c>
      <c r="D797" s="5">
        <f>Dashboard!$C$15*(1-EXP(-Dashboard!$C$16*A797))</f>
        <v>0.78497655880425254</v>
      </c>
      <c r="E797" s="5">
        <f>1/(1+EXP(MIN(700,MAX(-700,(C797-Dashboard!$C$18)/Dashboard!$C$19))))</f>
        <v>6.9794876595099089E-4</v>
      </c>
      <c r="F797" s="5">
        <f t="shared" si="55"/>
        <v>5.4787342051788347E-4</v>
      </c>
      <c r="G797" s="8">
        <f>Dashboard!$C$9*B797*Dashboard!$C$11*(1-F797)</f>
        <v>24739.880174218921</v>
      </c>
      <c r="H797" s="8">
        <f>Dashboard!$C$20*A797^2</f>
        <v>505620</v>
      </c>
      <c r="I797" s="8">
        <f t="shared" si="56"/>
        <v>530359.88017421891</v>
      </c>
      <c r="J797" s="8">
        <f>Dashboard!$C$13*A797</f>
        <v>159000</v>
      </c>
      <c r="K797" s="8">
        <f>Dashboard!$C$14*A797</f>
        <v>238500</v>
      </c>
      <c r="L797" s="8">
        <f>Dashboard!$C$21-K797</f>
        <v>1261500</v>
      </c>
      <c r="M797" s="8">
        <f t="shared" si="57"/>
        <v>572140.11982578109</v>
      </c>
      <c r="N797" s="8">
        <f t="shared" si="58"/>
        <v>397500</v>
      </c>
      <c r="O797" s="8">
        <f>Dashboard!$C$15*(Dashboard!$C$16*EXP(-Dashboard!$C$16*A797)*E797-(1-EXP(-Dashboard!$C$16*A797))*Dashboard!$C$17/Dashboard!$C$19*E797*(1-E797))</f>
        <v>-7.2474524779872625E-4</v>
      </c>
      <c r="P797" s="8">
        <f>Dashboard!$C$9*B797*Dashboard!$C$11*(-Dashboard!$C$12*(1-F797)-O797)+2*Dashboard!$C$20*A797</f>
        <v>118558.98187842671</v>
      </c>
      <c r="Q797" s="8">
        <f>-P797-Dashboard!$C$13-Dashboard!$C$14</f>
        <v>-168558.98187842671</v>
      </c>
    </row>
    <row r="798" spans="1:17" x14ac:dyDescent="0.25">
      <c r="A798" s="5">
        <f>(798-2)/100</f>
        <v>7.96</v>
      </c>
      <c r="B798" s="5">
        <f>Dashboard!$C$10*EXP(-Dashboard!$C$12*A798)</f>
        <v>1.2333478159237349E-2</v>
      </c>
      <c r="C798" s="5">
        <f>Dashboard!$C$17*A798</f>
        <v>6368</v>
      </c>
      <c r="D798" s="5">
        <f>Dashboard!$C$15*(1-EXP(-Dashboard!$C$16*A798))</f>
        <v>0.78505148852981377</v>
      </c>
      <c r="E798" s="5">
        <f>1/(1+EXP(MIN(700,MAX(-700,(C798-Dashboard!$C$18)/Dashboard!$C$19))))</f>
        <v>6.8871091407325614E-4</v>
      </c>
      <c r="F798" s="5">
        <f t="shared" si="55"/>
        <v>5.4067352825993838E-4</v>
      </c>
      <c r="G798" s="8">
        <f>Dashboard!$C$9*B798*Dashboard!$C$11*(1-F798)</f>
        <v>24653.619548170554</v>
      </c>
      <c r="H798" s="8">
        <f>Dashboard!$C$20*A798^2</f>
        <v>506892.80000000005</v>
      </c>
      <c r="I798" s="8">
        <f t="shared" si="56"/>
        <v>531546.41954817064</v>
      </c>
      <c r="J798" s="8">
        <f>Dashboard!$C$13*A798</f>
        <v>159200</v>
      </c>
      <c r="K798" s="8">
        <f>Dashboard!$C$14*A798</f>
        <v>238800</v>
      </c>
      <c r="L798" s="8">
        <f>Dashboard!$C$21-K798</f>
        <v>1261200</v>
      </c>
      <c r="M798" s="8">
        <f t="shared" si="57"/>
        <v>570453.58045182936</v>
      </c>
      <c r="N798" s="8">
        <f t="shared" si="58"/>
        <v>398000</v>
      </c>
      <c r="O798" s="8">
        <f>Dashboard!$C$15*(Dashboard!$C$16*EXP(-Dashboard!$C$16*A798)*E798-(1-EXP(-Dashboard!$C$16*A798))*Dashboard!$C$17/Dashboard!$C$19*E798*(1-E798))</f>
        <v>-7.1525394583410039E-4</v>
      </c>
      <c r="P798" s="8">
        <f>Dashboard!$C$9*B798*Dashboard!$C$11*(-Dashboard!$C$12*(1-F798)-O798)+2*Dashboard!$C$20*A798</f>
        <v>118748.87629597881</v>
      </c>
      <c r="Q798" s="8">
        <f>-P798-Dashboard!$C$13-Dashboard!$C$14</f>
        <v>-168748.87629597881</v>
      </c>
    </row>
    <row r="799" spans="1:17" x14ac:dyDescent="0.25">
      <c r="A799" s="5">
        <f>(799-2)/100</f>
        <v>7.97</v>
      </c>
      <c r="B799" s="5">
        <f>Dashboard!$C$10*EXP(-Dashboard!$C$12*A799)</f>
        <v>1.229038644017783E-2</v>
      </c>
      <c r="C799" s="5">
        <f>Dashboard!$C$17*A799</f>
        <v>6376</v>
      </c>
      <c r="D799" s="5">
        <f>Dashboard!$C$15*(1-EXP(-Dashboard!$C$16*A799))</f>
        <v>0.78512604454180979</v>
      </c>
      <c r="E799" s="5">
        <f>1/(1+EXP(MIN(700,MAX(-700,(C799-Dashboard!$C$18)/Dashboard!$C$19))))</f>
        <v>6.7959524863059134E-4</v>
      </c>
      <c r="F799" s="5">
        <f t="shared" si="55"/>
        <v>5.3356792944674394E-4</v>
      </c>
      <c r="G799" s="8">
        <f>Dashboard!$C$9*B799*Dashboard!$C$11*(1-F799)</f>
        <v>24567.657368265689</v>
      </c>
      <c r="H799" s="8">
        <f>Dashboard!$C$20*A799^2</f>
        <v>508167.19999999995</v>
      </c>
      <c r="I799" s="8">
        <f t="shared" si="56"/>
        <v>532734.85736826563</v>
      </c>
      <c r="J799" s="8">
        <f>Dashboard!$C$13*A799</f>
        <v>159400</v>
      </c>
      <c r="K799" s="8">
        <f>Dashboard!$C$14*A799</f>
        <v>239100</v>
      </c>
      <c r="L799" s="8">
        <f>Dashboard!$C$21-K799</f>
        <v>1260900</v>
      </c>
      <c r="M799" s="8">
        <f t="shared" si="57"/>
        <v>568765.14263173437</v>
      </c>
      <c r="N799" s="8">
        <f t="shared" si="58"/>
        <v>398500</v>
      </c>
      <c r="O799" s="8">
        <f>Dashboard!$C$15*(Dashboard!$C$16*EXP(-Dashboard!$C$16*A799)*E799-(1-EXP(-Dashboard!$C$16*A799))*Dashboard!$C$17/Dashboard!$C$19*E799*(1-E799))</f>
        <v>-7.0588629089389575E-4</v>
      </c>
      <c r="P799" s="8">
        <f>Dashboard!$C$9*B799*Dashboard!$C$11*(-Dashboard!$C$12*(1-F799)-O799)+2*Dashboard!$C$20*A799</f>
        <v>118938.67115170283</v>
      </c>
      <c r="Q799" s="8">
        <f>-P799-Dashboard!$C$13-Dashboard!$C$14</f>
        <v>-168938.67115170282</v>
      </c>
    </row>
    <row r="800" spans="1:17" x14ac:dyDescent="0.25">
      <c r="A800" s="5">
        <f>(800-2)/100</f>
        <v>7.98</v>
      </c>
      <c r="B800" s="5">
        <f>Dashboard!$C$10*EXP(-Dashboard!$C$12*A800)</f>
        <v>1.2247445278505889E-2</v>
      </c>
      <c r="C800" s="5">
        <f>Dashboard!$C$17*A800</f>
        <v>6384</v>
      </c>
      <c r="D800" s="5">
        <f>Dashboard!$C$15*(1-EXP(-Dashboard!$C$16*A800))</f>
        <v>0.78520022870414463</v>
      </c>
      <c r="E800" s="5">
        <f>1/(1+EXP(MIN(700,MAX(-700,(C800-Dashboard!$C$18)/Dashboard!$C$19))))</f>
        <v>6.7060015568445929E-4</v>
      </c>
      <c r="F800" s="5">
        <f t="shared" si="55"/>
        <v>5.2655539561247242E-4</v>
      </c>
      <c r="G800" s="8">
        <f>Dashboard!$C$9*B800*Dashboard!$C$11*(1-F800)</f>
        <v>24481.992640224045</v>
      </c>
      <c r="H800" s="8">
        <f>Dashboard!$C$20*A800^2</f>
        <v>509443.20000000007</v>
      </c>
      <c r="I800" s="8">
        <f t="shared" si="56"/>
        <v>533925.19264022412</v>
      </c>
      <c r="J800" s="8">
        <f>Dashboard!$C$13*A800</f>
        <v>159600</v>
      </c>
      <c r="K800" s="8">
        <f>Dashboard!$C$14*A800</f>
        <v>239400</v>
      </c>
      <c r="L800" s="8">
        <f>Dashboard!$C$21-K800</f>
        <v>1260600</v>
      </c>
      <c r="M800" s="8">
        <f t="shared" si="57"/>
        <v>567074.80735977588</v>
      </c>
      <c r="N800" s="8">
        <f t="shared" si="58"/>
        <v>399000</v>
      </c>
      <c r="O800" s="8">
        <f>Dashboard!$C$15*(Dashboard!$C$16*EXP(-Dashboard!$C$16*A800)*E800-(1-EXP(-Dashboard!$C$16*A800))*Dashboard!$C$17/Dashboard!$C$19*E800*(1-E800))</f>
        <v>-6.9664068550871674E-4</v>
      </c>
      <c r="P800" s="8">
        <f>Dashboard!$C$9*B800*Dashboard!$C$11*(-Dashboard!$C$12*(1-F800)-O800)+2*Dashboard!$C$20*A800</f>
        <v>119128.36671327069</v>
      </c>
      <c r="Q800" s="8">
        <f>-P800-Dashboard!$C$13-Dashboard!$C$14</f>
        <v>-169128.36671327069</v>
      </c>
    </row>
    <row r="801" spans="1:17" x14ac:dyDescent="0.25">
      <c r="A801" s="5">
        <f>(801-2)/100</f>
        <v>7.99</v>
      </c>
      <c r="B801" s="5">
        <f>Dashboard!$C$10*EXP(-Dashboard!$C$12*A801)</f>
        <v>1.2204654148191774E-2</v>
      </c>
      <c r="C801" s="5">
        <f>Dashboard!$C$17*A801</f>
        <v>6392</v>
      </c>
      <c r="D801" s="5">
        <f>Dashboard!$C$15*(1-EXP(-Dashboard!$C$16*A801))</f>
        <v>0.78527404287142621</v>
      </c>
      <c r="E801" s="5">
        <f>1/(1+EXP(MIN(700,MAX(-700,(C801-Dashboard!$C$18)/Dashboard!$C$19))))</f>
        <v>6.617240425570444E-4</v>
      </c>
      <c r="F801" s="5">
        <f t="shared" si="55"/>
        <v>5.1963471416399394E-4</v>
      </c>
      <c r="G801" s="8">
        <f>Dashboard!$C$9*B801*Dashboard!$C$11*(1-F801)</f>
        <v>24396.624372444017</v>
      </c>
      <c r="H801" s="8">
        <f>Dashboard!$C$20*A801^2</f>
        <v>510720.80000000005</v>
      </c>
      <c r="I801" s="8">
        <f t="shared" si="56"/>
        <v>535117.42437244405</v>
      </c>
      <c r="J801" s="8">
        <f>Dashboard!$C$13*A801</f>
        <v>159800</v>
      </c>
      <c r="K801" s="8">
        <f>Dashboard!$C$14*A801</f>
        <v>239700</v>
      </c>
      <c r="L801" s="8">
        <f>Dashboard!$C$21-K801</f>
        <v>1260300</v>
      </c>
      <c r="M801" s="8">
        <f t="shared" si="57"/>
        <v>565382.57562755595</v>
      </c>
      <c r="N801" s="8">
        <f t="shared" si="58"/>
        <v>399500</v>
      </c>
      <c r="O801" s="8">
        <f>Dashboard!$C$15*(Dashboard!$C$16*EXP(-Dashboard!$C$16*A801)*E801-(1-EXP(-Dashboard!$C$16*A801))*Dashboard!$C$17/Dashboard!$C$19*E801*(1-E801))</f>
        <v>-6.8751555256622507E-4</v>
      </c>
      <c r="P801" s="8">
        <f>Dashboard!$C$9*B801*Dashboard!$C$11*(-Dashboard!$C$12*(1-F801)-O801)+2*Dashboard!$C$20*A801</f>
        <v>119317.96324872575</v>
      </c>
      <c r="Q801" s="8">
        <f>-P801-Dashboard!$C$13-Dashboard!$C$14</f>
        <v>-169317.96324872575</v>
      </c>
    </row>
    <row r="802" spans="1:17" x14ac:dyDescent="0.25">
      <c r="A802" s="5">
        <f>(802-2)/100</f>
        <v>8</v>
      </c>
      <c r="B802" s="5">
        <f>Dashboard!$C$10*EXP(-Dashboard!$C$12*A802)</f>
        <v>1.2162012525043595E-2</v>
      </c>
      <c r="C802" s="5">
        <f>Dashboard!$C$17*A802</f>
        <v>6400</v>
      </c>
      <c r="D802" s="5">
        <f>Dashboard!$C$15*(1-EXP(-Dashboard!$C$16*A802))</f>
        <v>0.78534748888901262</v>
      </c>
      <c r="E802" s="5">
        <f>1/(1+EXP(MIN(700,MAX(-700,(C802-Dashboard!$C$18)/Dashboard!$C$19))))</f>
        <v>6.5296533755269232E-4</v>
      </c>
      <c r="F802" s="5">
        <f t="shared" si="55"/>
        <v>5.1280468817857343E-4</v>
      </c>
      <c r="G802" s="8">
        <f>Dashboard!$C$9*B802*Dashboard!$C$11*(1-F802)</f>
        <v>24311.551576006128</v>
      </c>
      <c r="H802" s="8">
        <f>Dashboard!$C$20*A802^2</f>
        <v>512000</v>
      </c>
      <c r="I802" s="8">
        <f t="shared" si="56"/>
        <v>536311.55157600611</v>
      </c>
      <c r="J802" s="8">
        <f>Dashboard!$C$13*A802</f>
        <v>160000</v>
      </c>
      <c r="K802" s="8">
        <f>Dashboard!$C$14*A802</f>
        <v>240000</v>
      </c>
      <c r="L802" s="8">
        <f>Dashboard!$C$21-K802</f>
        <v>1260000</v>
      </c>
      <c r="M802" s="8">
        <f t="shared" si="57"/>
        <v>563688.44842399389</v>
      </c>
      <c r="N802" s="8">
        <f t="shared" si="58"/>
        <v>400000</v>
      </c>
      <c r="O802" s="8">
        <f>Dashboard!$C$15*(Dashboard!$C$16*EXP(-Dashboard!$C$16*A802)*E802-(1-EXP(-Dashboard!$C$16*A802))*Dashboard!$C$17/Dashboard!$C$19*E802*(1-E802))</f>
        <v>-6.7850933505788757E-4</v>
      </c>
      <c r="P802" s="8">
        <f>Dashboard!$C$9*B802*Dashboard!$C$11*(-Dashboard!$C$12*(1-F802)-O802)+2*Dashboard!$C$20*A802</f>
        <v>119507.46102646051</v>
      </c>
      <c r="Q802" s="8">
        <f>-P802-Dashboard!$C$13-Dashboard!$C$14</f>
        <v>-169507.46102646051</v>
      </c>
    </row>
    <row r="803" spans="1:17" x14ac:dyDescent="0.25">
      <c r="A803" s="5">
        <f>(803-2)/100</f>
        <v>8.01</v>
      </c>
      <c r="B803" s="5">
        <f>Dashboard!$C$10*EXP(-Dashboard!$C$12*A803)</f>
        <v>1.2119519886700937E-2</v>
      </c>
      <c r="C803" s="5">
        <f>Dashboard!$C$17*A803</f>
        <v>6408</v>
      </c>
      <c r="D803" s="5">
        <f>Dashboard!$C$15*(1-EXP(-Dashboard!$C$16*A803))</f>
        <v>0.7854205685930582</v>
      </c>
      <c r="E803" s="5">
        <f>1/(1+EXP(MIN(700,MAX(-700,(C803-Dashboard!$C$18)/Dashboard!$C$19))))</f>
        <v>6.4432248968295859E-4</v>
      </c>
      <c r="F803" s="5">
        <f t="shared" si="55"/>
        <v>5.0606413620408422E-4</v>
      </c>
      <c r="G803" s="8">
        <f>Dashboard!$C$9*B803*Dashboard!$C$11*(1-F803)</f>
        <v>24226.773264676529</v>
      </c>
      <c r="H803" s="8">
        <f>Dashboard!$C$20*A803^2</f>
        <v>513280.8</v>
      </c>
      <c r="I803" s="8">
        <f t="shared" si="56"/>
        <v>537507.5732646765</v>
      </c>
      <c r="J803" s="8">
        <f>Dashboard!$C$13*A803</f>
        <v>160200</v>
      </c>
      <c r="K803" s="8">
        <f>Dashboard!$C$14*A803</f>
        <v>240300</v>
      </c>
      <c r="L803" s="8">
        <f>Dashboard!$C$21-K803</f>
        <v>1259700</v>
      </c>
      <c r="M803" s="8">
        <f t="shared" si="57"/>
        <v>561992.4267353235</v>
      </c>
      <c r="N803" s="8">
        <f t="shared" si="58"/>
        <v>400500</v>
      </c>
      <c r="O803" s="8">
        <f>Dashboard!$C$15*(Dashboard!$C$16*EXP(-Dashboard!$C$16*A803)*E803-(1-EXP(-Dashboard!$C$16*A803))*Dashboard!$C$17/Dashboard!$C$19*E803*(1-E803))</f>
        <v>-6.6962049582873322E-4</v>
      </c>
      <c r="P803" s="8">
        <f>Dashboard!$C$9*B803*Dashboard!$C$11*(-Dashboard!$C$12*(1-F803)-O803)+2*Dashboard!$C$20*A803</f>
        <v>119696.86031519469</v>
      </c>
      <c r="Q803" s="8">
        <f>-P803-Dashboard!$C$13-Dashboard!$C$14</f>
        <v>-169696.8603151947</v>
      </c>
    </row>
    <row r="804" spans="1:17" x14ac:dyDescent="0.25">
      <c r="A804" s="5">
        <f>(804-2)/100</f>
        <v>8.02</v>
      </c>
      <c r="B804" s="5">
        <f>Dashboard!$C$10*EXP(-Dashboard!$C$12*A804)</f>
        <v>1.2077175712628448E-2</v>
      </c>
      <c r="C804" s="5">
        <f>Dashboard!$C$17*A804</f>
        <v>6416</v>
      </c>
      <c r="D804" s="5">
        <f>Dashboard!$C$15*(1-EXP(-Dashboard!$C$16*A804))</f>
        <v>0.78549328381055927</v>
      </c>
      <c r="E804" s="5">
        <f>1/(1+EXP(MIN(700,MAX(-700,(C804-Dashboard!$C$18)/Dashboard!$C$19))))</f>
        <v>6.3579396839522821E-4</v>
      </c>
      <c r="F804" s="5">
        <f t="shared" si="55"/>
        <v>4.9941189206171471E-4</v>
      </c>
      <c r="G804" s="8">
        <f>Dashboard!$C$9*B804*Dashboard!$C$11*(1-F804)</f>
        <v>24142.288454910085</v>
      </c>
      <c r="H804" s="8">
        <f>Dashboard!$C$20*A804^2</f>
        <v>514563.19999999995</v>
      </c>
      <c r="I804" s="8">
        <f t="shared" si="56"/>
        <v>538705.48845491</v>
      </c>
      <c r="J804" s="8">
        <f>Dashboard!$C$13*A804</f>
        <v>160400</v>
      </c>
      <c r="K804" s="8">
        <f>Dashboard!$C$14*A804</f>
        <v>240600</v>
      </c>
      <c r="L804" s="8">
        <f>Dashboard!$C$21-K804</f>
        <v>1259400</v>
      </c>
      <c r="M804" s="8">
        <f t="shared" si="57"/>
        <v>560294.51154509</v>
      </c>
      <c r="N804" s="8">
        <f t="shared" si="58"/>
        <v>401000</v>
      </c>
      <c r="O804" s="8">
        <f>Dashboard!$C$15*(Dashboard!$C$16*EXP(-Dashboard!$C$16*A804)*E804-(1-EXP(-Dashboard!$C$16*A804))*Dashboard!$C$17/Dashboard!$C$19*E804*(1-E804))</f>
        <v>-6.6084751733009553E-4</v>
      </c>
      <c r="P804" s="8">
        <f>Dashboard!$C$9*B804*Dashboard!$C$11*(-Dashboard!$C$12*(1-F804)-O804)+2*Dashboard!$C$20*A804</f>
        <v>119886.16138395357</v>
      </c>
      <c r="Q804" s="8">
        <f>-P804-Dashboard!$C$13-Dashboard!$C$14</f>
        <v>-169886.16138395359</v>
      </c>
    </row>
    <row r="805" spans="1:17" x14ac:dyDescent="0.25">
      <c r="A805" s="5">
        <f>(805-2)/100</f>
        <v>8.0299999999999994</v>
      </c>
      <c r="B805" s="5">
        <f>Dashboard!$C$10*EXP(-Dashboard!$C$12*A805)</f>
        <v>1.2034979484109462E-2</v>
      </c>
      <c r="C805" s="5">
        <f>Dashboard!$C$17*A805</f>
        <v>6423.9999999999991</v>
      </c>
      <c r="D805" s="5">
        <f>Dashboard!$C$15*(1-EXP(-Dashboard!$C$16*A805))</f>
        <v>0.78556563635939991</v>
      </c>
      <c r="E805" s="5">
        <f>1/(1+EXP(MIN(700,MAX(-700,(C805-Dashboard!$C$18)/Dashboard!$C$19))))</f>
        <v>6.2737826330484792E-4</v>
      </c>
      <c r="F805" s="5">
        <f t="shared" si="55"/>
        <v>4.9284680465112797E-4</v>
      </c>
      <c r="G805" s="8">
        <f>Dashboard!$C$9*B805*Dashboard!$C$11*(1-F805)</f>
        <v>24058.096165853356</v>
      </c>
      <c r="H805" s="8">
        <f>Dashboard!$C$20*A805^2</f>
        <v>515847.19999999995</v>
      </c>
      <c r="I805" s="8">
        <f t="shared" si="56"/>
        <v>539905.29616585327</v>
      </c>
      <c r="J805" s="8">
        <f>Dashboard!$C$13*A805</f>
        <v>160600</v>
      </c>
      <c r="K805" s="8">
        <f>Dashboard!$C$14*A805</f>
        <v>240899.99999999997</v>
      </c>
      <c r="L805" s="8">
        <f>Dashboard!$C$21-K805</f>
        <v>1259100</v>
      </c>
      <c r="M805" s="8">
        <f t="shared" si="57"/>
        <v>558594.70383414673</v>
      </c>
      <c r="N805" s="8">
        <f t="shared" si="58"/>
        <v>401500</v>
      </c>
      <c r="O805" s="8">
        <f>Dashboard!$C$15*(Dashboard!$C$16*EXP(-Dashboard!$C$16*A805)*E805-(1-EXP(-Dashboard!$C$16*A805))*Dashboard!$C$17/Dashboard!$C$19*E805*(1-E805))</f>
        <v>-6.5218890137529227E-4</v>
      </c>
      <c r="P805" s="8">
        <f>Dashboard!$C$9*B805*Dashboard!$C$11*(-Dashboard!$C$12*(1-F805)-O805)+2*Dashboard!$C$20*A805</f>
        <v>120075.36450204694</v>
      </c>
      <c r="Q805" s="8">
        <f>-P805-Dashboard!$C$13-Dashboard!$C$14</f>
        <v>-170075.36450204696</v>
      </c>
    </row>
    <row r="806" spans="1:17" x14ac:dyDescent="0.25">
      <c r="A806" s="5">
        <f>(806-2)/100</f>
        <v>8.0399999999999991</v>
      </c>
      <c r="B806" s="5">
        <f>Dashboard!$C$10*EXP(-Dashboard!$C$12*A806)</f>
        <v>1.199293068423966E-2</v>
      </c>
      <c r="C806" s="5">
        <f>Dashboard!$C$17*A806</f>
        <v>6431.9999999999991</v>
      </c>
      <c r="D806" s="5">
        <f>Dashboard!$C$15*(1-EXP(-Dashboard!$C$16*A806))</f>
        <v>0.78563762804839776</v>
      </c>
      <c r="E806" s="5">
        <f>1/(1+EXP(MIN(700,MAX(-700,(C806-Dashboard!$C$18)/Dashboard!$C$19))))</f>
        <v>6.1907388393073117E-4</v>
      </c>
      <c r="F806" s="5">
        <f t="shared" si="55"/>
        <v>4.8636773775804874E-4</v>
      </c>
      <c r="G806" s="8">
        <f>Dashboard!$C$9*B806*Dashboard!$C$11*(1-F806)</f>
        <v>23974.195419347358</v>
      </c>
      <c r="H806" s="8">
        <f>Dashboard!$C$20*A806^2</f>
        <v>517132.79999999987</v>
      </c>
      <c r="I806" s="8">
        <f t="shared" si="56"/>
        <v>541106.99541934719</v>
      </c>
      <c r="J806" s="8">
        <f>Dashboard!$C$13*A806</f>
        <v>160799.99999999997</v>
      </c>
      <c r="K806" s="8">
        <f>Dashboard!$C$14*A806</f>
        <v>241199.99999999997</v>
      </c>
      <c r="L806" s="8">
        <f>Dashboard!$C$21-K806</f>
        <v>1258800</v>
      </c>
      <c r="M806" s="8">
        <f t="shared" si="57"/>
        <v>556893.00458065281</v>
      </c>
      <c r="N806" s="8">
        <f t="shared" si="58"/>
        <v>401999.99999999994</v>
      </c>
      <c r="O806" s="8">
        <f>Dashboard!$C$15*(Dashboard!$C$16*EXP(-Dashboard!$C$16*A806)*E806-(1-EXP(-Dashboard!$C$16*A806))*Dashboard!$C$17/Dashboard!$C$19*E806*(1-E806))</f>
        <v>-6.4364316889822023E-4</v>
      </c>
      <c r="P806" s="8">
        <f>Dashboard!$C$9*B806*Dashboard!$C$11*(-Dashboard!$C$12*(1-F806)-O806)+2*Dashboard!$C$20*A806</f>
        <v>120264.46993904837</v>
      </c>
      <c r="Q806" s="8">
        <f>-P806-Dashboard!$C$13-Dashboard!$C$14</f>
        <v>-170264.46993904837</v>
      </c>
    </row>
    <row r="807" spans="1:17" x14ac:dyDescent="0.25">
      <c r="A807" s="5">
        <f>(807-2)/100</f>
        <v>8.0500000000000007</v>
      </c>
      <c r="B807" s="5">
        <f>Dashboard!$C$10*EXP(-Dashboard!$C$12*A807)</f>
        <v>1.1951028797920711E-2</v>
      </c>
      <c r="C807" s="5">
        <f>Dashboard!$C$17*A807</f>
        <v>6440.0000000000009</v>
      </c>
      <c r="D807" s="5">
        <f>Dashboard!$C$15*(1-EXP(-Dashboard!$C$16*A807))</f>
        <v>0.78570926067734881</v>
      </c>
      <c r="E807" s="5">
        <f>1/(1+EXP(MIN(700,MAX(-700,(C807-Dashboard!$C$18)/Dashboard!$C$19))))</f>
        <v>6.1087935943440047E-4</v>
      </c>
      <c r="F807" s="5">
        <f t="shared" ref="F807:F870" si="59">D807*E807</f>
        <v>4.799735698642552E-4</v>
      </c>
      <c r="G807" s="8">
        <f>Dashboard!$C$9*B807*Dashboard!$C$11*(1-F807)</f>
        <v>23890.585239930046</v>
      </c>
      <c r="H807" s="8">
        <f>Dashboard!$C$20*A807^2</f>
        <v>518420.00000000006</v>
      </c>
      <c r="I807" s="8">
        <f t="shared" ref="I807:I870" si="60">G807+H807</f>
        <v>542310.58523993008</v>
      </c>
      <c r="J807" s="8">
        <f>Dashboard!$C$13*A807</f>
        <v>161000</v>
      </c>
      <c r="K807" s="8">
        <f>Dashboard!$C$14*A807</f>
        <v>241500.00000000003</v>
      </c>
      <c r="L807" s="8">
        <f>Dashboard!$C$21-K807</f>
        <v>1258500</v>
      </c>
      <c r="M807" s="8">
        <f t="shared" ref="M807:M870" si="61">L807-I807-J807</f>
        <v>555189.41476006992</v>
      </c>
      <c r="N807" s="8">
        <f t="shared" ref="N807:N870" si="62">J807+K807</f>
        <v>402500</v>
      </c>
      <c r="O807" s="8">
        <f>Dashboard!$C$15*(Dashboard!$C$16*EXP(-Dashboard!$C$16*A807)*E807-(1-EXP(-Dashboard!$C$16*A807))*Dashboard!$C$17/Dashboard!$C$19*E807*(1-E807))</f>
        <v>-6.3520885971483562E-4</v>
      </c>
      <c r="P807" s="8">
        <f>Dashboard!$C$9*B807*Dashboard!$C$11*(-Dashboard!$C$12*(1-F807)-O807)+2*Dashboard!$C$20*A807</f>
        <v>120453.47796477479</v>
      </c>
      <c r="Q807" s="8">
        <f>-P807-Dashboard!$C$13-Dashboard!$C$14</f>
        <v>-170453.47796477479</v>
      </c>
    </row>
    <row r="808" spans="1:17" x14ac:dyDescent="0.25">
      <c r="A808" s="5">
        <f>(808-2)/100</f>
        <v>8.06</v>
      </c>
      <c r="B808" s="5">
        <f>Dashboard!$C$10*EXP(-Dashboard!$C$12*A808)</f>
        <v>1.1909273311853985E-2</v>
      </c>
      <c r="C808" s="5">
        <f>Dashboard!$C$17*A808</f>
        <v>6448</v>
      </c>
      <c r="D808" s="5">
        <f>Dashboard!$C$15*(1-EXP(-Dashboard!$C$16*A808))</f>
        <v>0.78578053603707243</v>
      </c>
      <c r="E808" s="5">
        <f>1/(1+EXP(MIN(700,MAX(-700,(C808-Dashboard!$C$18)/Dashboard!$C$19))))</f>
        <v>6.0279323836241814E-4</v>
      </c>
      <c r="F808" s="5">
        <f t="shared" si="59"/>
        <v>4.7366319395994368E-4</v>
      </c>
      <c r="G808" s="8">
        <f>Dashboard!$C$9*B808*Dashboard!$C$11*(1-F808)</f>
        <v>23807.264654838702</v>
      </c>
      <c r="H808" s="8">
        <f>Dashboard!$C$20*A808^2</f>
        <v>519708.8000000001</v>
      </c>
      <c r="I808" s="8">
        <f t="shared" si="60"/>
        <v>543516.06465483876</v>
      </c>
      <c r="J808" s="8">
        <f>Dashboard!$C$13*A808</f>
        <v>161200</v>
      </c>
      <c r="K808" s="8">
        <f>Dashboard!$C$14*A808</f>
        <v>241800.00000000003</v>
      </c>
      <c r="L808" s="8">
        <f>Dashboard!$C$21-K808</f>
        <v>1258200</v>
      </c>
      <c r="M808" s="8">
        <f t="shared" si="61"/>
        <v>553483.93534516124</v>
      </c>
      <c r="N808" s="8">
        <f t="shared" si="62"/>
        <v>403000</v>
      </c>
      <c r="O808" s="8">
        <f>Dashboard!$C$15*(Dashboard!$C$16*EXP(-Dashboard!$C$16*A808)*E808-(1-EXP(-Dashboard!$C$16*A808))*Dashboard!$C$17/Dashboard!$C$19*E808*(1-E808))</f>
        <v>-6.2688453228748934E-4</v>
      </c>
      <c r="P808" s="8">
        <f>Dashboard!$C$9*B808*Dashboard!$C$11*(-Dashboard!$C$12*(1-F808)-O808)+2*Dashboard!$C$20*A808</f>
        <v>120642.38884926644</v>
      </c>
      <c r="Q808" s="8">
        <f>-P808-Dashboard!$C$13-Dashboard!$C$14</f>
        <v>-170642.38884926646</v>
      </c>
    </row>
    <row r="809" spans="1:17" x14ac:dyDescent="0.25">
      <c r="A809" s="5">
        <f>(809-2)/100</f>
        <v>8.07</v>
      </c>
      <c r="B809" s="5">
        <f>Dashboard!$C$10*EXP(-Dashboard!$C$12*A809)</f>
        <v>1.1867663714534262E-2</v>
      </c>
      <c r="C809" s="5">
        <f>Dashboard!$C$17*A809</f>
        <v>6456</v>
      </c>
      <c r="D809" s="5">
        <f>Dashboard!$C$15*(1-EXP(-Dashboard!$C$16*A809))</f>
        <v>0.78585145590945649</v>
      </c>
      <c r="E809" s="5">
        <f>1/(1+EXP(MIN(700,MAX(-700,(C809-Dashboard!$C$18)/Dashboard!$C$19))))</f>
        <v>5.9481408839214076E-4</v>
      </c>
      <c r="F809" s="5">
        <f t="shared" si="59"/>
        <v>4.6743551735841998E-4</v>
      </c>
      <c r="G809" s="8">
        <f>Dashboard!$C$9*B809*Dashboard!$C$11*(1-F809)</f>
        <v>23724.232694012047</v>
      </c>
      <c r="H809" s="8">
        <f>Dashboard!$C$20*A809^2</f>
        <v>520999.20000000007</v>
      </c>
      <c r="I809" s="8">
        <f t="shared" si="60"/>
        <v>544723.43269401207</v>
      </c>
      <c r="J809" s="8">
        <f>Dashboard!$C$13*A809</f>
        <v>161400</v>
      </c>
      <c r="K809" s="8">
        <f>Dashboard!$C$14*A809</f>
        <v>242100</v>
      </c>
      <c r="L809" s="8">
        <f>Dashboard!$C$21-K809</f>
        <v>1257900</v>
      </c>
      <c r="M809" s="8">
        <f t="shared" si="61"/>
        <v>551776.56730598793</v>
      </c>
      <c r="N809" s="8">
        <f t="shared" si="62"/>
        <v>403500</v>
      </c>
      <c r="O809" s="8">
        <f>Dashboard!$C$15*(Dashboard!$C$16*EXP(-Dashboard!$C$16*A809)*E809-(1-EXP(-Dashboard!$C$16*A809))*Dashboard!$C$17/Dashboard!$C$19*E809*(1-E809))</f>
        <v>-6.1866876349206076E-4</v>
      </c>
      <c r="P809" s="8">
        <f>Dashboard!$C$9*B809*Dashboard!$C$11*(-Dashboard!$C$12*(1-F809)-O809)+2*Dashboard!$C$20*A809</f>
        <v>120831.2028627674</v>
      </c>
      <c r="Q809" s="8">
        <f>-P809-Dashboard!$C$13-Dashboard!$C$14</f>
        <v>-170831.20286276739</v>
      </c>
    </row>
    <row r="810" spans="1:17" x14ac:dyDescent="0.25">
      <c r="A810" s="5">
        <f>(810-2)/100</f>
        <v>8.08</v>
      </c>
      <c r="B810" s="5">
        <f>Dashboard!$C$10*EXP(-Dashboard!$C$12*A810)</f>
        <v>1.1826199496243452E-2</v>
      </c>
      <c r="C810" s="5">
        <f>Dashboard!$C$17*A810</f>
        <v>6464</v>
      </c>
      <c r="D810" s="5">
        <f>Dashboard!$C$15*(1-EXP(-Dashboard!$C$16*A810))</f>
        <v>0.78592202206750139</v>
      </c>
      <c r="E810" s="5">
        <f>1/(1+EXP(MIN(700,MAX(-700,(C810-Dashboard!$C$18)/Dashboard!$C$19))))</f>
        <v>5.8694049608080218E-4</v>
      </c>
      <c r="F810" s="5">
        <f t="shared" si="59"/>
        <v>4.6128946151312642E-4</v>
      </c>
      <c r="G810" s="8">
        <f>Dashboard!$C$9*B810*Dashboard!$C$11*(1-F810)</f>
        <v>23641.488390092163</v>
      </c>
      <c r="H810" s="8">
        <f>Dashboard!$C$20*A810^2</f>
        <v>522291.20000000001</v>
      </c>
      <c r="I810" s="8">
        <f t="shared" si="60"/>
        <v>545932.68839009223</v>
      </c>
      <c r="J810" s="8">
        <f>Dashboard!$C$13*A810</f>
        <v>161600</v>
      </c>
      <c r="K810" s="8">
        <f>Dashboard!$C$14*A810</f>
        <v>242400</v>
      </c>
      <c r="L810" s="8">
        <f>Dashboard!$C$21-K810</f>
        <v>1257600</v>
      </c>
      <c r="M810" s="8">
        <f t="shared" si="61"/>
        <v>550067.31160990777</v>
      </c>
      <c r="N810" s="8">
        <f t="shared" si="62"/>
        <v>404000</v>
      </c>
      <c r="O810" s="8">
        <f>Dashboard!$C$15*(Dashboard!$C$16*EXP(-Dashboard!$C$16*A810)*E810-(1-EXP(-Dashboard!$C$16*A810))*Dashboard!$C$17/Dashboard!$C$19*E810*(1-E810))</f>
        <v>-6.1056014838790776E-4</v>
      </c>
      <c r="P810" s="8">
        <f>Dashboard!$C$9*B810*Dashboard!$C$11*(-Dashboard!$C$12*(1-F810)-O810)+2*Dashboard!$C$20*A810</f>
        <v>121019.92027570633</v>
      </c>
      <c r="Q810" s="8">
        <f>-P810-Dashboard!$C$13-Dashboard!$C$14</f>
        <v>-171019.92027570633</v>
      </c>
    </row>
    <row r="811" spans="1:17" x14ac:dyDescent="0.25">
      <c r="A811" s="5">
        <f>(811-2)/100</f>
        <v>8.09</v>
      </c>
      <c r="B811" s="5">
        <f>Dashboard!$C$10*EXP(-Dashboard!$C$12*A811)</f>
        <v>1.1784880149044358E-2</v>
      </c>
      <c r="C811" s="5">
        <f>Dashboard!$C$17*A811</f>
        <v>6472</v>
      </c>
      <c r="D811" s="5">
        <f>Dashboard!$C$15*(1-EXP(-Dashboard!$C$16*A811))</f>
        <v>0.78599223627536463</v>
      </c>
      <c r="E811" s="5">
        <f>1/(1+EXP(MIN(700,MAX(-700,(C811-Dashboard!$C$18)/Dashboard!$C$19))))</f>
        <v>5.7917106661783805E-4</v>
      </c>
      <c r="F811" s="5">
        <f t="shared" si="59"/>
        <v>4.5522396183694271E-4</v>
      </c>
      <c r="G811" s="8">
        <f>Dashboard!$C$9*B811*Dashboard!$C$11*(1-F811)</f>
        <v>23559.030778426273</v>
      </c>
      <c r="H811" s="8">
        <f>Dashboard!$C$20*A811^2</f>
        <v>523584.8</v>
      </c>
      <c r="I811" s="8">
        <f t="shared" si="60"/>
        <v>547143.83077842626</v>
      </c>
      <c r="J811" s="8">
        <f>Dashboard!$C$13*A811</f>
        <v>161800</v>
      </c>
      <c r="K811" s="8">
        <f>Dashboard!$C$14*A811</f>
        <v>242700</v>
      </c>
      <c r="L811" s="8">
        <f>Dashboard!$C$21-K811</f>
        <v>1257300</v>
      </c>
      <c r="M811" s="8">
        <f t="shared" si="61"/>
        <v>548356.16922157374</v>
      </c>
      <c r="N811" s="8">
        <f t="shared" si="62"/>
        <v>404500</v>
      </c>
      <c r="O811" s="8">
        <f>Dashboard!$C$15*(Dashboard!$C$16*EXP(-Dashboard!$C$16*A811)*E811-(1-EXP(-Dashboard!$C$16*A811))*Dashboard!$C$17/Dashboard!$C$19*E811*(1-E811))</f>
        <v>-6.0255729999055679E-4</v>
      </c>
      <c r="P811" s="8">
        <f>Dashboard!$C$9*B811*Dashboard!$C$11*(-Dashboard!$C$12*(1-F811)-O811)+2*Dashboard!$C$20*A811</f>
        <v>121208.54135867745</v>
      </c>
      <c r="Q811" s="8">
        <f>-P811-Dashboard!$C$13-Dashboard!$C$14</f>
        <v>-171208.54135867744</v>
      </c>
    </row>
    <row r="812" spans="1:17" x14ac:dyDescent="0.25">
      <c r="A812" s="5">
        <f>(812-2)/100</f>
        <v>8.1</v>
      </c>
      <c r="B812" s="5">
        <f>Dashboard!$C$10*EXP(-Dashboard!$C$12*A812)</f>
        <v>1.1743705166774462E-2</v>
      </c>
      <c r="C812" s="5">
        <f>Dashboard!$C$17*A812</f>
        <v>6480</v>
      </c>
      <c r="D812" s="5">
        <f>Dashboard!$C$15*(1-EXP(-Dashboard!$C$16*A812))</f>
        <v>0.78606210028840529</v>
      </c>
      <c r="E812" s="5">
        <f>1/(1+EXP(MIN(700,MAX(-700,(C812-Dashboard!$C$18)/Dashboard!$C$19))))</f>
        <v>5.7150442358043084E-4</v>
      </c>
      <c r="F812" s="5">
        <f t="shared" si="59"/>
        <v>4.4923796752374787E-4</v>
      </c>
      <c r="G812" s="8">
        <f>Dashboard!$C$9*B812*Dashboard!$C$11*(1-F812)</f>
        <v>23476.858897068283</v>
      </c>
      <c r="H812" s="8">
        <f>Dashboard!$C$20*A812^2</f>
        <v>524880</v>
      </c>
      <c r="I812" s="8">
        <f t="shared" si="60"/>
        <v>548356.8588970683</v>
      </c>
      <c r="J812" s="8">
        <f>Dashboard!$C$13*A812</f>
        <v>162000</v>
      </c>
      <c r="K812" s="8">
        <f>Dashboard!$C$14*A812</f>
        <v>243000</v>
      </c>
      <c r="L812" s="8">
        <f>Dashboard!$C$21-K812</f>
        <v>1257000</v>
      </c>
      <c r="M812" s="8">
        <f t="shared" si="61"/>
        <v>546643.1411029317</v>
      </c>
      <c r="N812" s="8">
        <f t="shared" si="62"/>
        <v>405000</v>
      </c>
      <c r="O812" s="8">
        <f>Dashboard!$C$15*(Dashboard!$C$16*EXP(-Dashboard!$C$16*A812)*E812-(1-EXP(-Dashboard!$C$16*A812))*Dashboard!$C$17/Dashboard!$C$19*E812*(1-E812))</f>
        <v>-5.9465884904712522E-4</v>
      </c>
      <c r="P812" s="8">
        <f>Dashboard!$C$9*B812*Dashboard!$C$11*(-Dashboard!$C$12*(1-F812)-O812)+2*Dashboard!$C$20*A812</f>
        <v>121397.06638242214</v>
      </c>
      <c r="Q812" s="8">
        <f>-P812-Dashboard!$C$13-Dashboard!$C$14</f>
        <v>-171397.06638242214</v>
      </c>
    </row>
    <row r="813" spans="1:17" x14ac:dyDescent="0.25">
      <c r="A813" s="5">
        <f>(813-2)/100</f>
        <v>8.11</v>
      </c>
      <c r="B813" s="5">
        <f>Dashboard!$C$10*EXP(-Dashboard!$C$12*A813)</f>
        <v>1.1702674045039711E-2</v>
      </c>
      <c r="C813" s="5">
        <f>Dashboard!$C$17*A813</f>
        <v>6488</v>
      </c>
      <c r="D813" s="5">
        <f>Dashboard!$C$15*(1-EXP(-Dashboard!$C$16*A813))</f>
        <v>0.78613161585322711</v>
      </c>
      <c r="E813" s="5">
        <f>1/(1+EXP(MIN(700,MAX(-700,(C813-Dashboard!$C$18)/Dashboard!$C$19))))</f>
        <v>5.6393920869223695E-4</v>
      </c>
      <c r="F813" s="5">
        <f t="shared" si="59"/>
        <v>4.4333044137221848E-4</v>
      </c>
      <c r="G813" s="8">
        <f>Dashboard!$C$9*B813*Dashboard!$C$11*(1-F813)</f>
        <v>23394.971786780177</v>
      </c>
      <c r="H813" s="8">
        <f>Dashboard!$C$20*A813^2</f>
        <v>526176.79999999993</v>
      </c>
      <c r="I813" s="8">
        <f t="shared" si="60"/>
        <v>549571.7717867801</v>
      </c>
      <c r="J813" s="8">
        <f>Dashboard!$C$13*A813</f>
        <v>162200</v>
      </c>
      <c r="K813" s="8">
        <f>Dashboard!$C$14*A813</f>
        <v>243299.99999999997</v>
      </c>
      <c r="L813" s="8">
        <f>Dashboard!$C$21-K813</f>
        <v>1256700</v>
      </c>
      <c r="M813" s="8">
        <f t="shared" si="61"/>
        <v>544928.2282132199</v>
      </c>
      <c r="N813" s="8">
        <f t="shared" si="62"/>
        <v>405500</v>
      </c>
      <c r="O813" s="8">
        <f>Dashboard!$C$15*(Dashboard!$C$16*EXP(-Dashboard!$C$16*A813)*E813-(1-EXP(-Dashboard!$C$16*A813))*Dashboard!$C$17/Dashboard!$C$19*E813*(1-E813))</f>
        <v>-5.868634438144435E-4</v>
      </c>
      <c r="P813" s="8">
        <f>Dashboard!$C$9*B813*Dashboard!$C$11*(-Dashboard!$C$12*(1-F813)-O813)+2*Dashboard!$C$20*A813</f>
        <v>121585.49561781074</v>
      </c>
      <c r="Q813" s="8">
        <f>-P813-Dashboard!$C$13-Dashboard!$C$14</f>
        <v>-171585.49561781075</v>
      </c>
    </row>
    <row r="814" spans="1:17" x14ac:dyDescent="0.25">
      <c r="A814" s="5">
        <f>(814-2)/100</f>
        <v>8.1199999999999992</v>
      </c>
      <c r="B814" s="5">
        <f>Dashboard!$C$10*EXP(-Dashboard!$C$12*A814)</f>
        <v>1.1661786281208363E-2</v>
      </c>
      <c r="C814" s="5">
        <f>Dashboard!$C$17*A814</f>
        <v>6495.9999999999991</v>
      </c>
      <c r="D814" s="5">
        <f>Dashboard!$C$15*(1-EXP(-Dashboard!$C$16*A814))</f>
        <v>0.78620078470772303</v>
      </c>
      <c r="E814" s="5">
        <f>1/(1+EXP(MIN(700,MAX(-700,(C814-Dashboard!$C$18)/Dashboard!$C$19))))</f>
        <v>5.564740815852461E-4</v>
      </c>
      <c r="F814" s="5">
        <f t="shared" si="59"/>
        <v>4.3750035961182996E-4</v>
      </c>
      <c r="G814" s="8">
        <f>Dashboard!$C$9*B814*Dashboard!$C$11*(1-F814)</f>
        <v>23313.368491033234</v>
      </c>
      <c r="H814" s="8">
        <f>Dashboard!$C$20*A814^2</f>
        <v>527475.19999999984</v>
      </c>
      <c r="I814" s="8">
        <f t="shared" si="60"/>
        <v>550788.56849103305</v>
      </c>
      <c r="J814" s="8">
        <f>Dashboard!$C$13*A814</f>
        <v>162399.99999999997</v>
      </c>
      <c r="K814" s="8">
        <f>Dashboard!$C$14*A814</f>
        <v>243599.99999999997</v>
      </c>
      <c r="L814" s="8">
        <f>Dashboard!$C$21-K814</f>
        <v>1256400</v>
      </c>
      <c r="M814" s="8">
        <f t="shared" si="61"/>
        <v>543211.43150896695</v>
      </c>
      <c r="N814" s="8">
        <f t="shared" si="62"/>
        <v>405999.99999999994</v>
      </c>
      <c r="O814" s="8">
        <f>Dashboard!$C$15*(Dashboard!$C$16*EXP(-Dashboard!$C$16*A814)*E814-(1-EXP(-Dashboard!$C$16*A814))*Dashboard!$C$17/Dashboard!$C$19*E814*(1-E814))</f>
        <v>-5.7916974983984553E-4</v>
      </c>
      <c r="P814" s="8">
        <f>Dashboard!$C$9*B814*Dashboard!$C$11*(-Dashboard!$C$12*(1-F814)-O814)+2*Dashboard!$C$20*A814</f>
        <v>121773.8293358247</v>
      </c>
      <c r="Q814" s="8">
        <f>-P814-Dashboard!$C$13-Dashboard!$C$14</f>
        <v>-171773.8293358247</v>
      </c>
    </row>
    <row r="815" spans="1:17" x14ac:dyDescent="0.25">
      <c r="A815" s="5">
        <f>(815-2)/100</f>
        <v>8.1300000000000008</v>
      </c>
      <c r="B815" s="5">
        <f>Dashboard!$C$10*EXP(-Dashboard!$C$12*A815)</f>
        <v>1.1621041374404789E-2</v>
      </c>
      <c r="C815" s="5">
        <f>Dashboard!$C$17*A815</f>
        <v>6504.0000000000009</v>
      </c>
      <c r="D815" s="5">
        <f>Dashboard!$C$15*(1-EXP(-Dashboard!$C$16*A815))</f>
        <v>0.78626960858111794</v>
      </c>
      <c r="E815" s="5">
        <f>1/(1+EXP(MIN(700,MAX(-700,(C815-Dashboard!$C$18)/Dashboard!$C$19))))</f>
        <v>5.4910771956472916E-4</v>
      </c>
      <c r="F815" s="5">
        <f t="shared" si="59"/>
        <v>4.3174671173102985E-4</v>
      </c>
      <c r="G815" s="8">
        <f>Dashboard!$C$9*B815*Dashboard!$C$11*(1-F815)</f>
        <v>23232.048056009</v>
      </c>
      <c r="H815" s="8">
        <f>Dashboard!$C$20*A815^2</f>
        <v>528775.20000000019</v>
      </c>
      <c r="I815" s="8">
        <f t="shared" si="60"/>
        <v>552007.24805600918</v>
      </c>
      <c r="J815" s="8">
        <f>Dashboard!$C$13*A815</f>
        <v>162600.00000000003</v>
      </c>
      <c r="K815" s="8">
        <f>Dashboard!$C$14*A815</f>
        <v>243900.00000000003</v>
      </c>
      <c r="L815" s="8">
        <f>Dashboard!$C$21-K815</f>
        <v>1256100</v>
      </c>
      <c r="M815" s="8">
        <f t="shared" si="61"/>
        <v>541492.75194399082</v>
      </c>
      <c r="N815" s="8">
        <f t="shared" si="62"/>
        <v>406500.00000000006</v>
      </c>
      <c r="O815" s="8">
        <f>Dashboard!$C$15*(Dashboard!$C$16*EXP(-Dashboard!$C$16*A815)*E815-(1-EXP(-Dashboard!$C$16*A815))*Dashboard!$C$17/Dashboard!$C$19*E815*(1-E815))</f>
        <v>-5.715764497445855E-4</v>
      </c>
      <c r="P815" s="8">
        <f>Dashboard!$C$9*B815*Dashboard!$C$11*(-Dashboard!$C$12*(1-F815)-O815)+2*Dashboard!$C$20*A815</f>
        <v>121962.0678075391</v>
      </c>
      <c r="Q815" s="8">
        <f>-P815-Dashboard!$C$13-Dashboard!$C$14</f>
        <v>-171962.0678075391</v>
      </c>
    </row>
    <row r="816" spans="1:17" x14ac:dyDescent="0.25">
      <c r="A816" s="5">
        <f>(816-2)/100</f>
        <v>8.14</v>
      </c>
      <c r="B816" s="5">
        <f>Dashboard!$C$10*EXP(-Dashboard!$C$12*A816)</f>
        <v>1.1580438825503372E-2</v>
      </c>
      <c r="C816" s="5">
        <f>Dashboard!$C$17*A816</f>
        <v>6512</v>
      </c>
      <c r="D816" s="5">
        <f>Dashboard!$C$15*(1-EXP(-Dashboard!$C$16*A816))</f>
        <v>0.78633808919401227</v>
      </c>
      <c r="E816" s="5">
        <f>1/(1+EXP(MIN(700,MAX(-700,(C816-Dashboard!$C$18)/Dashboard!$C$19))))</f>
        <v>5.418388173772696E-4</v>
      </c>
      <c r="F816" s="5">
        <f t="shared" si="59"/>
        <v>4.2606850030758555E-4</v>
      </c>
      <c r="G816" s="8">
        <f>Dashboard!$C$9*B816*Dashboard!$C$11*(1-F816)</f>
        <v>23151.009530600171</v>
      </c>
      <c r="H816" s="8">
        <f>Dashboard!$C$20*A816^2</f>
        <v>530076.80000000005</v>
      </c>
      <c r="I816" s="8">
        <f t="shared" si="60"/>
        <v>553227.80953060021</v>
      </c>
      <c r="J816" s="8">
        <f>Dashboard!$C$13*A816</f>
        <v>162800</v>
      </c>
      <c r="K816" s="8">
        <f>Dashboard!$C$14*A816</f>
        <v>244200.00000000003</v>
      </c>
      <c r="L816" s="8">
        <f>Dashboard!$C$21-K816</f>
        <v>1255800</v>
      </c>
      <c r="M816" s="8">
        <f t="shared" si="61"/>
        <v>539772.19046939979</v>
      </c>
      <c r="N816" s="8">
        <f t="shared" si="62"/>
        <v>407000</v>
      </c>
      <c r="O816" s="8">
        <f>Dashboard!$C$15*(Dashboard!$C$16*EXP(-Dashboard!$C$16*A816)*E816-(1-EXP(-Dashboard!$C$16*A816))*Dashboard!$C$17/Dashboard!$C$19*E816*(1-E816))</f>
        <v>-5.6408224300989458E-4</v>
      </c>
      <c r="P816" s="8">
        <f>Dashboard!$C$9*B816*Dashboard!$C$11*(-Dashboard!$C$12*(1-F816)-O816)+2*Dashboard!$C$20*A816</f>
        <v>122150.21130410541</v>
      </c>
      <c r="Q816" s="8">
        <f>-P816-Dashboard!$C$13-Dashboard!$C$14</f>
        <v>-172150.21130410541</v>
      </c>
    </row>
    <row r="817" spans="1:17" x14ac:dyDescent="0.25">
      <c r="A817" s="5">
        <f>(817-2)/100</f>
        <v>8.15</v>
      </c>
      <c r="B817" s="5">
        <f>Dashboard!$C$10*EXP(-Dashboard!$C$12*A817)</f>
        <v>1.1539978137122389E-2</v>
      </c>
      <c r="C817" s="5">
        <f>Dashboard!$C$17*A817</f>
        <v>6520</v>
      </c>
      <c r="D817" s="5">
        <f>Dashboard!$C$15*(1-EXP(-Dashboard!$C$16*A817))</f>
        <v>0.78640622825842477</v>
      </c>
      <c r="E817" s="5">
        <f>1/(1+EXP(MIN(700,MAX(-700,(C817-Dashboard!$C$18)/Dashboard!$C$19))))</f>
        <v>5.3466608698177036E-4</v>
      </c>
      <c r="F817" s="5">
        <f t="shared" si="59"/>
        <v>4.2046474084102487E-4</v>
      </c>
      <c r="G817" s="8">
        <f>Dashboard!$C$9*B817*Dashboard!$C$11*(1-F817)</f>
        <v>23070.251966411306</v>
      </c>
      <c r="H817" s="8">
        <f>Dashboard!$C$20*A817^2</f>
        <v>531380</v>
      </c>
      <c r="I817" s="8">
        <f t="shared" si="60"/>
        <v>554450.25196641125</v>
      </c>
      <c r="J817" s="8">
        <f>Dashboard!$C$13*A817</f>
        <v>163000</v>
      </c>
      <c r="K817" s="8">
        <f>Dashboard!$C$14*A817</f>
        <v>244500</v>
      </c>
      <c r="L817" s="8">
        <f>Dashboard!$C$21-K817</f>
        <v>1255500</v>
      </c>
      <c r="M817" s="8">
        <f t="shared" si="61"/>
        <v>538049.74803358875</v>
      </c>
      <c r="N817" s="8">
        <f t="shared" si="62"/>
        <v>407500</v>
      </c>
      <c r="O817" s="8">
        <f>Dashboard!$C$15*(Dashboard!$C$16*EXP(-Dashboard!$C$16*A817)*E817-(1-EXP(-Dashboard!$C$16*A817))*Dashboard!$C$17/Dashboard!$C$19*E817*(1-E817))</f>
        <v>-5.5668584576557185E-4</v>
      </c>
      <c r="P817" s="8">
        <f>Dashboard!$C$9*B817*Dashboard!$C$11*(-Dashboard!$C$12*(1-F817)-O817)+2*Dashboard!$C$20*A817</f>
        <v>122338.2600967348</v>
      </c>
      <c r="Q817" s="8">
        <f>-P817-Dashboard!$C$13-Dashboard!$C$14</f>
        <v>-172338.2600967348</v>
      </c>
    </row>
    <row r="818" spans="1:17" x14ac:dyDescent="0.25">
      <c r="A818" s="5">
        <f>(818-2)/100</f>
        <v>8.16</v>
      </c>
      <c r="B818" s="5">
        <f>Dashboard!$C$10*EXP(-Dashboard!$C$12*A818)</f>
        <v>1.1499658813617898E-2</v>
      </c>
      <c r="C818" s="5">
        <f>Dashboard!$C$17*A818</f>
        <v>6528</v>
      </c>
      <c r="D818" s="5">
        <f>Dashboard!$C$15*(1-EXP(-Dashboard!$C$16*A818))</f>
        <v>0.78647402747783579</v>
      </c>
      <c r="E818" s="5">
        <f>1/(1+EXP(MIN(700,MAX(-700,(C818-Dashboard!$C$18)/Dashboard!$C$19))))</f>
        <v>5.2758825732348116E-4</v>
      </c>
      <c r="F818" s="5">
        <f t="shared" si="59"/>
        <v>4.1493446158721099E-4</v>
      </c>
      <c r="G818" s="8">
        <f>Dashboard!$C$9*B818*Dashboard!$C$11*(1-F818)</f>
        <v>22989.774417759265</v>
      </c>
      <c r="H818" s="8">
        <f>Dashboard!$C$20*A818^2</f>
        <v>532684.80000000005</v>
      </c>
      <c r="I818" s="8">
        <f t="shared" si="60"/>
        <v>555674.57441775932</v>
      </c>
      <c r="J818" s="8">
        <f>Dashboard!$C$13*A818</f>
        <v>163200</v>
      </c>
      <c r="K818" s="8">
        <f>Dashboard!$C$14*A818</f>
        <v>244800</v>
      </c>
      <c r="L818" s="8">
        <f>Dashboard!$C$21-K818</f>
        <v>1255200</v>
      </c>
      <c r="M818" s="8">
        <f t="shared" si="61"/>
        <v>536325.42558224068</v>
      </c>
      <c r="N818" s="8">
        <f t="shared" si="62"/>
        <v>408000</v>
      </c>
      <c r="O818" s="8">
        <f>Dashboard!$C$15*(Dashboard!$C$16*EXP(-Dashboard!$C$16*A818)*E818-(1-EXP(-Dashboard!$C$16*A818))*Dashboard!$C$17/Dashboard!$C$19*E818*(1-E818))</f>
        <v>-5.4938599058117145E-4</v>
      </c>
      <c r="P818" s="8">
        <f>Dashboard!$C$9*B818*Dashboard!$C$11*(-Dashboard!$C$12*(1-F818)-O818)+2*Dashboard!$C$20*A818</f>
        <v>122526.21445668158</v>
      </c>
      <c r="Q818" s="8">
        <f>-P818-Dashboard!$C$13-Dashboard!$C$14</f>
        <v>-172526.21445668157</v>
      </c>
    </row>
    <row r="819" spans="1:17" x14ac:dyDescent="0.25">
      <c r="A819" s="5">
        <f>(819-2)/100</f>
        <v>8.17</v>
      </c>
      <c r="B819" s="5">
        <f>Dashboard!$C$10*EXP(-Dashboard!$C$12*A819)</f>
        <v>1.1459480361077677E-2</v>
      </c>
      <c r="C819" s="5">
        <f>Dashboard!$C$17*A819</f>
        <v>6536</v>
      </c>
      <c r="D819" s="5">
        <f>Dashboard!$C$15*(1-EXP(-Dashboard!$C$16*A819))</f>
        <v>0.78654148854722938</v>
      </c>
      <c r="E819" s="5">
        <f>1/(1+EXP(MIN(700,MAX(-700,(C819-Dashboard!$C$18)/Dashboard!$C$19))))</f>
        <v>5.2060407411094257E-4</v>
      </c>
      <c r="F819" s="5">
        <f t="shared" si="59"/>
        <v>4.0947670339497289E-4</v>
      </c>
      <c r="G819" s="8">
        <f>Dashboard!$C$9*B819*Dashboard!$C$11*(1-F819)</f>
        <v>22909.575941673607</v>
      </c>
      <c r="H819" s="8">
        <f>Dashboard!$C$20*A819^2</f>
        <v>533991.19999999995</v>
      </c>
      <c r="I819" s="8">
        <f t="shared" si="60"/>
        <v>556900.77594167355</v>
      </c>
      <c r="J819" s="8">
        <f>Dashboard!$C$13*A819</f>
        <v>163400</v>
      </c>
      <c r="K819" s="8">
        <f>Dashboard!$C$14*A819</f>
        <v>245100</v>
      </c>
      <c r="L819" s="8">
        <f>Dashboard!$C$21-K819</f>
        <v>1254900</v>
      </c>
      <c r="M819" s="8">
        <f t="shared" si="61"/>
        <v>534599.22405832645</v>
      </c>
      <c r="N819" s="8">
        <f t="shared" si="62"/>
        <v>408500</v>
      </c>
      <c r="O819" s="8">
        <f>Dashboard!$C$15*(Dashboard!$C$16*EXP(-Dashboard!$C$16*A819)*E819-(1-EXP(-Dashboard!$C$16*A819))*Dashboard!$C$17/Dashboard!$C$19*E819*(1-E819))</f>
        <v>-5.421814262596853E-4</v>
      </c>
      <c r="P819" s="8">
        <f>Dashboard!$C$9*B819*Dashboard!$C$11*(-Dashboard!$C$12*(1-F819)-O819)+2*Dashboard!$C$20*A819</f>
        <v>122714.07465522697</v>
      </c>
      <c r="Q819" s="8">
        <f>-P819-Dashboard!$C$13-Dashboard!$C$14</f>
        <v>-172714.07465522696</v>
      </c>
    </row>
    <row r="820" spans="1:17" x14ac:dyDescent="0.25">
      <c r="A820" s="5">
        <f>(820-2)/100</f>
        <v>8.18</v>
      </c>
      <c r="B820" s="5">
        <f>Dashboard!$C$10*EXP(-Dashboard!$C$12*A820)</f>
        <v>1.1419442287315184E-2</v>
      </c>
      <c r="C820" s="5">
        <f>Dashboard!$C$17*A820</f>
        <v>6544</v>
      </c>
      <c r="D820" s="5">
        <f>Dashboard!$C$15*(1-EXP(-Dashboard!$C$16*A820))</f>
        <v>0.78660861315313557</v>
      </c>
      <c r="E820" s="5">
        <f>1/(1+EXP(MIN(700,MAX(-700,(C820-Dashboard!$C$18)/Dashboard!$C$19))))</f>
        <v>5.1371229959583907E-4</v>
      </c>
      <c r="F820" s="5">
        <f t="shared" si="59"/>
        <v>4.0409051954479105E-4</v>
      </c>
      <c r="G820" s="8">
        <f>Dashboard!$C$9*B820*Dashboard!$C$11*(1-F820)</f>
        <v>22829.655597896784</v>
      </c>
      <c r="H820" s="8">
        <f>Dashboard!$C$20*A820^2</f>
        <v>535299.19999999995</v>
      </c>
      <c r="I820" s="8">
        <f t="shared" si="60"/>
        <v>558128.85559789673</v>
      </c>
      <c r="J820" s="8">
        <f>Dashboard!$C$13*A820</f>
        <v>163600</v>
      </c>
      <c r="K820" s="8">
        <f>Dashboard!$C$14*A820</f>
        <v>245400</v>
      </c>
      <c r="L820" s="8">
        <f>Dashboard!$C$21-K820</f>
        <v>1254600</v>
      </c>
      <c r="M820" s="8">
        <f t="shared" si="61"/>
        <v>532871.14440210327</v>
      </c>
      <c r="N820" s="8">
        <f t="shared" si="62"/>
        <v>409000</v>
      </c>
      <c r="O820" s="8">
        <f>Dashboard!$C$15*(Dashboard!$C$16*EXP(-Dashboard!$C$16*A820)*E820-(1-EXP(-Dashboard!$C$16*A820))*Dashboard!$C$17/Dashboard!$C$19*E820*(1-E820))</f>
        <v>-5.3507091763372759E-4</v>
      </c>
      <c r="P820" s="8">
        <f>Dashboard!$C$9*B820*Dashboard!$C$11*(-Dashboard!$C$12*(1-F820)-O820)+2*Dashboard!$C$20*A820</f>
        <v>122901.8409636632</v>
      </c>
      <c r="Q820" s="8">
        <f>-P820-Dashboard!$C$13-Dashboard!$C$14</f>
        <v>-172901.84096366318</v>
      </c>
    </row>
    <row r="821" spans="1:17" x14ac:dyDescent="0.25">
      <c r="A821" s="5">
        <f>(821-2)/100</f>
        <v>8.19</v>
      </c>
      <c r="B821" s="5">
        <f>Dashboard!$C$10*EXP(-Dashboard!$C$12*A821)</f>
        <v>1.1379544101863507E-2</v>
      </c>
      <c r="C821" s="5">
        <f>Dashboard!$C$17*A821</f>
        <v>6552</v>
      </c>
      <c r="D821" s="5">
        <f>Dashboard!$C$15*(1-EXP(-Dashboard!$C$16*A821))</f>
        <v>0.78667540297367311</v>
      </c>
      <c r="E821" s="5">
        <f>1/(1+EXP(MIN(700,MAX(-700,(C821-Dashboard!$C$18)/Dashboard!$C$19))))</f>
        <v>5.0691171235572321E-4</v>
      </c>
      <c r="F821" s="5">
        <f t="shared" si="59"/>
        <v>3.9877497558951321E-4</v>
      </c>
      <c r="G821" s="8">
        <f>Dashboard!$C$9*B821*Dashboard!$C$11*(1-F821)</f>
        <v>22750.012448884136</v>
      </c>
      <c r="H821" s="8">
        <f>Dashboard!$C$20*A821^2</f>
        <v>536608.79999999993</v>
      </c>
      <c r="I821" s="8">
        <f t="shared" si="60"/>
        <v>559358.81244888401</v>
      </c>
      <c r="J821" s="8">
        <f>Dashboard!$C$13*A821</f>
        <v>163800</v>
      </c>
      <c r="K821" s="8">
        <f>Dashboard!$C$14*A821</f>
        <v>245699.99999999997</v>
      </c>
      <c r="L821" s="8">
        <f>Dashboard!$C$21-K821</f>
        <v>1254300</v>
      </c>
      <c r="M821" s="8">
        <f t="shared" si="61"/>
        <v>531141.18755111599</v>
      </c>
      <c r="N821" s="8">
        <f t="shared" si="62"/>
        <v>409500</v>
      </c>
      <c r="O821" s="8">
        <f>Dashboard!$C$15*(Dashboard!$C$16*EXP(-Dashboard!$C$16*A821)*E821-(1-EXP(-Dashboard!$C$16*A821))*Dashboard!$C$17/Dashboard!$C$19*E821*(1-E821))</f>
        <v>-5.2805324536419078E-4</v>
      </c>
      <c r="P821" s="8">
        <f>Dashboard!$C$9*B821*Dashboard!$C$11*(-Dashboard!$C$12*(1-F821)-O821)+2*Dashboard!$C$20*A821</f>
        <v>123089.51365327805</v>
      </c>
      <c r="Q821" s="8">
        <f>-P821-Dashboard!$C$13-Dashboard!$C$14</f>
        <v>-173089.51365327806</v>
      </c>
    </row>
    <row r="822" spans="1:17" x14ac:dyDescent="0.25">
      <c r="A822" s="5">
        <f>(822-2)/100</f>
        <v>8.1999999999999993</v>
      </c>
      <c r="B822" s="5">
        <f>Dashboard!$C$10*EXP(-Dashboard!$C$12*A822)</f>
        <v>1.1339785315969388E-2</v>
      </c>
      <c r="C822" s="5">
        <f>Dashboard!$C$17*A822</f>
        <v>6559.9999999999991</v>
      </c>
      <c r="D822" s="5">
        <f>Dashboard!$C$15*(1-EXP(-Dashboard!$C$16*A822))</f>
        <v>0.78674185967859112</v>
      </c>
      <c r="E822" s="5">
        <f>1/(1+EXP(MIN(700,MAX(-700,(C822-Dashboard!$C$18)/Dashboard!$C$19))))</f>
        <v>5.0020110707956476E-4</v>
      </c>
      <c r="F822" s="5">
        <f t="shared" si="59"/>
        <v>3.9352914919706686E-4</v>
      </c>
      <c r="G822" s="8">
        <f>Dashboard!$C$9*B822*Dashboard!$C$11*(1-F822)</f>
        <v>22670.645559803834</v>
      </c>
      <c r="H822" s="8">
        <f>Dashboard!$C$20*A822^2</f>
        <v>537920</v>
      </c>
      <c r="I822" s="8">
        <f t="shared" si="60"/>
        <v>560590.64555980382</v>
      </c>
      <c r="J822" s="8">
        <f>Dashboard!$C$13*A822</f>
        <v>164000</v>
      </c>
      <c r="K822" s="8">
        <f>Dashboard!$C$14*A822</f>
        <v>245999.99999999997</v>
      </c>
      <c r="L822" s="8">
        <f>Dashboard!$C$21-K822</f>
        <v>1254000</v>
      </c>
      <c r="M822" s="8">
        <f t="shared" si="61"/>
        <v>529409.35444019618</v>
      </c>
      <c r="N822" s="8">
        <f t="shared" si="62"/>
        <v>410000</v>
      </c>
      <c r="O822" s="8">
        <f>Dashboard!$C$15*(Dashboard!$C$16*EXP(-Dashboard!$C$16*A822)*E822-(1-EXP(-Dashboard!$C$16*A822))*Dashboard!$C$17/Dashboard!$C$19*E822*(1-E822))</f>
        <v>-5.2112720574133469E-4</v>
      </c>
      <c r="P822" s="8">
        <f>Dashboard!$C$9*B822*Dashboard!$C$11*(-Dashboard!$C$12*(1-F822)-O822)+2*Dashboard!$C$20*A822</f>
        <v>123277.0929953395</v>
      </c>
      <c r="Q822" s="8">
        <f>-P822-Dashboard!$C$13-Dashboard!$C$14</f>
        <v>-173277.09299533948</v>
      </c>
    </row>
    <row r="823" spans="1:17" x14ac:dyDescent="0.25">
      <c r="A823" s="5">
        <f>(823-2)/100</f>
        <v>8.2100000000000009</v>
      </c>
      <c r="B823" s="5">
        <f>Dashboard!$C$10*EXP(-Dashboard!$C$12*A823)</f>
        <v>1.130016544258719E-2</v>
      </c>
      <c r="C823" s="5">
        <f>Dashboard!$C$17*A823</f>
        <v>6568.0000000000009</v>
      </c>
      <c r="D823" s="5">
        <f>Dashboard!$C$15*(1-EXP(-Dashboard!$C$16*A823))</f>
        <v>0.78680798492931048</v>
      </c>
      <c r="E823" s="5">
        <f>1/(1+EXP(MIN(700,MAX(-700,(C823-Dashboard!$C$18)/Dashboard!$C$19))))</f>
        <v>4.9357929435609035E-4</v>
      </c>
      <c r="F823" s="5">
        <f t="shared" si="59"/>
        <v>3.8835212999514644E-4</v>
      </c>
      <c r="G823" s="8">
        <f>Dashboard!$C$9*B823*Dashboard!$C$11*(1-F823)</f>
        <v>22591.553998536529</v>
      </c>
      <c r="H823" s="8">
        <f>Dashboard!$C$20*A823^2</f>
        <v>539232.80000000016</v>
      </c>
      <c r="I823" s="8">
        <f t="shared" si="60"/>
        <v>561824.35399853671</v>
      </c>
      <c r="J823" s="8">
        <f>Dashboard!$C$13*A823</f>
        <v>164200.00000000003</v>
      </c>
      <c r="K823" s="8">
        <f>Dashboard!$C$14*A823</f>
        <v>246300.00000000003</v>
      </c>
      <c r="L823" s="8">
        <f>Dashboard!$C$21-K823</f>
        <v>1253700</v>
      </c>
      <c r="M823" s="8">
        <f t="shared" si="61"/>
        <v>527675.64600146329</v>
      </c>
      <c r="N823" s="8">
        <f t="shared" si="62"/>
        <v>410500.00000000006</v>
      </c>
      <c r="O823" s="8">
        <f>Dashboard!$C$15*(Dashboard!$C$16*EXP(-Dashboard!$C$16*A823)*E823-(1-EXP(-Dashboard!$C$16*A823))*Dashboard!$C$17/Dashboard!$C$19*E823*(1-E823))</f>
        <v>-5.1429161048828606E-4</v>
      </c>
      <c r="P823" s="8">
        <f>Dashboard!$C$9*B823*Dashboard!$C$11*(-Dashboard!$C$12*(1-F823)-O823)+2*Dashboard!$C$20*A823</f>
        <v>123464.57926108073</v>
      </c>
      <c r="Q823" s="8">
        <f>-P823-Dashboard!$C$13-Dashboard!$C$14</f>
        <v>-173464.57926108071</v>
      </c>
    </row>
    <row r="824" spans="1:17" x14ac:dyDescent="0.25">
      <c r="A824" s="5">
        <f>(824-2)/100</f>
        <v>8.2200000000000006</v>
      </c>
      <c r="B824" s="5">
        <f>Dashboard!$C$10*EXP(-Dashboard!$C$12*A824)</f>
        <v>1.1260683996372974E-2</v>
      </c>
      <c r="C824" s="5">
        <f>Dashboard!$C$17*A824</f>
        <v>6576.0000000000009</v>
      </c>
      <c r="D824" s="5">
        <f>Dashboard!$C$15*(1-EXP(-Dashboard!$C$16*A824))</f>
        <v>0.78687378037896594</v>
      </c>
      <c r="E824" s="5">
        <f>1/(1+EXP(MIN(700,MAX(-700,(C824-Dashboard!$C$18)/Dashboard!$C$19))))</f>
        <v>4.8704510046489657E-4</v>
      </c>
      <c r="F824" s="5">
        <f t="shared" si="59"/>
        <v>3.8324301941786642E-4</v>
      </c>
      <c r="G824" s="8">
        <f>Dashboard!$C$9*B824*Dashboard!$C$11*(1-F824)</f>
        <v>22512.73683567499</v>
      </c>
      <c r="H824" s="8">
        <f>Dashboard!$C$20*A824^2</f>
        <v>540547.20000000007</v>
      </c>
      <c r="I824" s="8">
        <f t="shared" si="60"/>
        <v>563059.93683567503</v>
      </c>
      <c r="J824" s="8">
        <f>Dashboard!$C$13*A824</f>
        <v>164400</v>
      </c>
      <c r="K824" s="8">
        <f>Dashboard!$C$14*A824</f>
        <v>246600.00000000003</v>
      </c>
      <c r="L824" s="8">
        <f>Dashboard!$C$21-K824</f>
        <v>1253400</v>
      </c>
      <c r="M824" s="8">
        <f t="shared" si="61"/>
        <v>525940.06316432497</v>
      </c>
      <c r="N824" s="8">
        <f t="shared" si="62"/>
        <v>411000</v>
      </c>
      <c r="O824" s="8">
        <f>Dashboard!$C$15*(Dashboard!$C$16*EXP(-Dashboard!$C$16*A824)*E824-(1-EXP(-Dashboard!$C$16*A824))*Dashboard!$C$17/Dashboard!$C$19*E824*(1-E824))</f>
        <v>-5.0754528656693661E-4</v>
      </c>
      <c r="P824" s="8">
        <f>Dashboard!$C$9*B824*Dashboard!$C$11*(-Dashboard!$C$12*(1-F824)-O824)+2*Dashboard!$C$20*A824</f>
        <v>123651.97272168551</v>
      </c>
      <c r="Q824" s="8">
        <f>-P824-Dashboard!$C$13-Dashboard!$C$14</f>
        <v>-173651.97272168551</v>
      </c>
    </row>
    <row r="825" spans="1:17" x14ac:dyDescent="0.25">
      <c r="A825" s="5">
        <f>(825-2)/100</f>
        <v>8.23</v>
      </c>
      <c r="B825" s="5">
        <f>Dashboard!$C$10*EXP(-Dashboard!$C$12*A825)</f>
        <v>1.1221340493678537E-2</v>
      </c>
      <c r="C825" s="5">
        <f>Dashboard!$C$17*A825</f>
        <v>6584</v>
      </c>
      <c r="D825" s="5">
        <f>Dashboard!$C$15*(1-EXP(-Dashboard!$C$16*A825))</f>
        <v>0.78693924767244727</v>
      </c>
      <c r="E825" s="5">
        <f>1/(1+EXP(MIN(700,MAX(-700,(C825-Dashboard!$C$18)/Dashboard!$C$19))))</f>
        <v>4.8059736717026092E-4</v>
      </c>
      <c r="F825" s="5">
        <f t="shared" si="59"/>
        <v>3.7820093055432406E-4</v>
      </c>
      <c r="G825" s="8">
        <f>Dashboard!$C$9*B825*Dashboard!$C$11*(1-F825)</f>
        <v>22434.193144523524</v>
      </c>
      <c r="H825" s="8">
        <f>Dashboard!$C$20*A825^2</f>
        <v>541863.19999999995</v>
      </c>
      <c r="I825" s="8">
        <f t="shared" si="60"/>
        <v>564297.39314452349</v>
      </c>
      <c r="J825" s="8">
        <f>Dashboard!$C$13*A825</f>
        <v>164600</v>
      </c>
      <c r="K825" s="8">
        <f>Dashboard!$C$14*A825</f>
        <v>246900</v>
      </c>
      <c r="L825" s="8">
        <f>Dashboard!$C$21-K825</f>
        <v>1253100</v>
      </c>
      <c r="M825" s="8">
        <f t="shared" si="61"/>
        <v>524202.60685547651</v>
      </c>
      <c r="N825" s="8">
        <f t="shared" si="62"/>
        <v>411500</v>
      </c>
      <c r="O825" s="8">
        <f>Dashboard!$C$15*(Dashboard!$C$16*EXP(-Dashboard!$C$16*A825)*E825-(1-EXP(-Dashboard!$C$16*A825))*Dashboard!$C$17/Dashboard!$C$19*E825*(1-E825))</f>
        <v>-5.0088707598617535E-4</v>
      </c>
      <c r="P825" s="8">
        <f>Dashboard!$C$9*B825*Dashboard!$C$11*(-Dashboard!$C$12*(1-F825)-O825)+2*Dashboard!$C$20*A825</f>
        <v>123839.27364827381</v>
      </c>
      <c r="Q825" s="8">
        <f>-P825-Dashboard!$C$13-Dashboard!$C$14</f>
        <v>-173839.27364827381</v>
      </c>
    </row>
    <row r="826" spans="1:17" x14ac:dyDescent="0.25">
      <c r="A826" s="5">
        <f>(826-2)/100</f>
        <v>8.24</v>
      </c>
      <c r="B826" s="5">
        <f>Dashboard!$C$10*EXP(-Dashboard!$C$12*A826)</f>
        <v>1.1182134452545471E-2</v>
      </c>
      <c r="C826" s="5">
        <f>Dashboard!$C$17*A826</f>
        <v>6592</v>
      </c>
      <c r="D826" s="5">
        <f>Dashboard!$C$15*(1-EXP(-Dashboard!$C$16*A826))</f>
        <v>0.78700438844644016</v>
      </c>
      <c r="E826" s="5">
        <f>1/(1+EXP(MIN(700,MAX(-700,(C826-Dashboard!$C$18)/Dashboard!$C$19))))</f>
        <v>4.7423495151765999E-4</v>
      </c>
      <c r="F826" s="5">
        <f t="shared" si="59"/>
        <v>3.7322498799908322E-4</v>
      </c>
      <c r="G826" s="8">
        <f>Dashboard!$C$9*B826*Dashboard!$C$11*(1-F826)</f>
        <v>22355.922001097231</v>
      </c>
      <c r="H826" s="8">
        <f>Dashboard!$C$20*A826^2</f>
        <v>543180.79999999993</v>
      </c>
      <c r="I826" s="8">
        <f t="shared" si="60"/>
        <v>565536.72200109717</v>
      </c>
      <c r="J826" s="8">
        <f>Dashboard!$C$13*A826</f>
        <v>164800</v>
      </c>
      <c r="K826" s="8">
        <f>Dashboard!$C$14*A826</f>
        <v>247200</v>
      </c>
      <c r="L826" s="8">
        <f>Dashboard!$C$21-K826</f>
        <v>1252800</v>
      </c>
      <c r="M826" s="8">
        <f t="shared" si="61"/>
        <v>522463.27799890283</v>
      </c>
      <c r="N826" s="8">
        <f t="shared" si="62"/>
        <v>412000</v>
      </c>
      <c r="O826" s="8">
        <f>Dashboard!$C$15*(Dashboard!$C$16*EXP(-Dashboard!$C$16*A826)*E826-(1-EXP(-Dashboard!$C$16*A826))*Dashboard!$C$17/Dashboard!$C$19*E826*(1-E826))</f>
        <v>-4.943158356124699E-4</v>
      </c>
      <c r="P826" s="8">
        <f>Dashboard!$C$9*B826*Dashboard!$C$11*(-Dashboard!$C$12*(1-F826)-O826)+2*Dashboard!$C$20*A826</f>
        <v>124026.48231188765</v>
      </c>
      <c r="Q826" s="8">
        <f>-P826-Dashboard!$C$13-Dashboard!$C$14</f>
        <v>-174026.48231188767</v>
      </c>
    </row>
    <row r="827" spans="1:17" x14ac:dyDescent="0.25">
      <c r="A827" s="5">
        <f>(827-2)/100</f>
        <v>8.25</v>
      </c>
      <c r="B827" s="5">
        <f>Dashboard!$C$10*EXP(-Dashboard!$C$12*A827)</f>
        <v>1.1143065392699285E-2</v>
      </c>
      <c r="C827" s="5">
        <f>Dashboard!$C$17*A827</f>
        <v>6600</v>
      </c>
      <c r="D827" s="5">
        <f>Dashboard!$C$15*(1-EXP(-Dashboard!$C$16*A827))</f>
        <v>0.78706920432946736</v>
      </c>
      <c r="E827" s="5">
        <f>1/(1+EXP(MIN(700,MAX(-700,(C827-Dashboard!$C$18)/Dashboard!$C$19))))</f>
        <v>4.6795672563293525E-4</v>
      </c>
      <c r="F827" s="5">
        <f t="shared" si="59"/>
        <v>3.6831432770453724E-4</v>
      </c>
      <c r="G827" s="8">
        <f>Dashboard!$C$9*B827*Dashboard!$C$11*(1-F827)</f>
        <v>22277.922484121209</v>
      </c>
      <c r="H827" s="8">
        <f>Dashboard!$C$20*A827^2</f>
        <v>544500</v>
      </c>
      <c r="I827" s="8">
        <f t="shared" si="60"/>
        <v>566777.92248412117</v>
      </c>
      <c r="J827" s="8">
        <f>Dashboard!$C$13*A827</f>
        <v>165000</v>
      </c>
      <c r="K827" s="8">
        <f>Dashboard!$C$14*A827</f>
        <v>247500</v>
      </c>
      <c r="L827" s="8">
        <f>Dashboard!$C$21-K827</f>
        <v>1252500</v>
      </c>
      <c r="M827" s="8">
        <f t="shared" si="61"/>
        <v>520722.07751587883</v>
      </c>
      <c r="N827" s="8">
        <f t="shared" si="62"/>
        <v>412500</v>
      </c>
      <c r="O827" s="8">
        <f>Dashboard!$C$15*(Dashboard!$C$16*EXP(-Dashboard!$C$16*A827)*E827-(1-EXP(-Dashboard!$C$16*A827))*Dashboard!$C$17/Dashboard!$C$19*E827*(1-E827))</f>
        <v>-4.87830436982749E-4</v>
      </c>
      <c r="P827" s="8">
        <f>Dashboard!$C$9*B827*Dashboard!$C$11*(-Dashboard!$C$12*(1-F827)-O827)+2*Dashboard!$C$20*A827</f>
        <v>124213.59898347728</v>
      </c>
      <c r="Q827" s="8">
        <f>-P827-Dashboard!$C$13-Dashboard!$C$14</f>
        <v>-174213.59898347728</v>
      </c>
    </row>
    <row r="828" spans="1:17" x14ac:dyDescent="0.25">
      <c r="A828" s="5">
        <f>(828-2)/100</f>
        <v>8.26</v>
      </c>
      <c r="B828" s="5">
        <f>Dashboard!$C$10*EXP(-Dashboard!$C$12*A828)</f>
        <v>1.1104132835543505E-2</v>
      </c>
      <c r="C828" s="5">
        <f>Dashboard!$C$17*A828</f>
        <v>6608</v>
      </c>
      <c r="D828" s="5">
        <f>Dashboard!$C$15*(1-EXP(-Dashboard!$C$16*A828))</f>
        <v>0.78713369694192936</v>
      </c>
      <c r="E828" s="5">
        <f>1/(1+EXP(MIN(700,MAX(-700,(C828-Dashboard!$C$18)/Dashboard!$C$19))))</f>
        <v>4.6176157652407537E-4</v>
      </c>
      <c r="F828" s="5">
        <f t="shared" si="59"/>
        <v>3.6346809683512909E-4</v>
      </c>
      <c r="G828" s="8">
        <f>Dashboard!$C$9*B828*Dashboard!$C$11*(1-F828)</f>
        <v>22200.193675029532</v>
      </c>
      <c r="H828" s="8">
        <f>Dashboard!$C$20*A828^2</f>
        <v>545820.79999999993</v>
      </c>
      <c r="I828" s="8">
        <f t="shared" si="60"/>
        <v>568020.99367502949</v>
      </c>
      <c r="J828" s="8">
        <f>Dashboard!$C$13*A828</f>
        <v>165200</v>
      </c>
      <c r="K828" s="8">
        <f>Dashboard!$C$14*A828</f>
        <v>247800</v>
      </c>
      <c r="L828" s="8">
        <f>Dashboard!$C$21-K828</f>
        <v>1252200</v>
      </c>
      <c r="M828" s="8">
        <f t="shared" si="61"/>
        <v>518979.00632497051</v>
      </c>
      <c r="N828" s="8">
        <f t="shared" si="62"/>
        <v>413000</v>
      </c>
      <c r="O828" s="8">
        <f>Dashboard!$C$15*(Dashboard!$C$16*EXP(-Dashboard!$C$16*A828)*E828-(1-EXP(-Dashboard!$C$16*A828))*Dashboard!$C$17/Dashboard!$C$19*E828*(1-E828))</f>
        <v>-4.8142976611955865E-4</v>
      </c>
      <c r="P828" s="8">
        <f>Dashboard!$C$9*B828*Dashboard!$C$11*(-Dashboard!$C$12*(1-F828)-O828)+2*Dashboard!$C$20*A828</f>
        <v>124400.62393388762</v>
      </c>
      <c r="Q828" s="8">
        <f>-P828-Dashboard!$C$13-Dashboard!$C$14</f>
        <v>-174400.62393388763</v>
      </c>
    </row>
    <row r="829" spans="1:17" x14ac:dyDescent="0.25">
      <c r="A829" s="5">
        <f>(829-2)/100</f>
        <v>8.27</v>
      </c>
      <c r="B829" s="5">
        <f>Dashboard!$C$10*EXP(-Dashboard!$C$12*A829)</f>
        <v>1.1065336304153817E-2</v>
      </c>
      <c r="C829" s="5">
        <f>Dashboard!$C$17*A829</f>
        <v>6616</v>
      </c>
      <c r="D829" s="5">
        <f>Dashboard!$C$15*(1-EXP(-Dashboard!$C$16*A829))</f>
        <v>0.78719786789614465</v>
      </c>
      <c r="E829" s="5">
        <f>1/(1+EXP(MIN(700,MAX(-700,(C829-Dashboard!$C$18)/Dashboard!$C$19))))</f>
        <v>4.5564840588558335E-4</v>
      </c>
      <c r="F829" s="5">
        <f t="shared" si="59"/>
        <v>3.5868545362340834E-4</v>
      </c>
      <c r="G829" s="8">
        <f>Dashboard!$C$9*B829*Dashboard!$C$11*(1-F829)</f>
        <v>22122.734657964131</v>
      </c>
      <c r="H829" s="8">
        <f>Dashboard!$C$20*A829^2</f>
        <v>547143.19999999995</v>
      </c>
      <c r="I829" s="8">
        <f t="shared" si="60"/>
        <v>569265.93465796404</v>
      </c>
      <c r="J829" s="8">
        <f>Dashboard!$C$13*A829</f>
        <v>165400</v>
      </c>
      <c r="K829" s="8">
        <f>Dashboard!$C$14*A829</f>
        <v>248100</v>
      </c>
      <c r="L829" s="8">
        <f>Dashboard!$C$21-K829</f>
        <v>1251900</v>
      </c>
      <c r="M829" s="8">
        <f t="shared" si="61"/>
        <v>517234.06534203596</v>
      </c>
      <c r="N829" s="8">
        <f t="shared" si="62"/>
        <v>413500</v>
      </c>
      <c r="O829" s="8">
        <f>Dashboard!$C$15*(Dashboard!$C$16*EXP(-Dashboard!$C$16*A829)*E829-(1-EXP(-Dashboard!$C$16*A829))*Dashboard!$C$17/Dashboard!$C$19*E829*(1-E829))</f>
        <v>-4.7511272334847153E-4</v>
      </c>
      <c r="P829" s="8">
        <f>Dashboard!$C$9*B829*Dashboard!$C$11*(-Dashboard!$C$12*(1-F829)-O829)+2*Dashboard!$C$20*A829</f>
        <v>124587.55743384502</v>
      </c>
      <c r="Q829" s="8">
        <f>-P829-Dashboard!$C$13-Dashboard!$C$14</f>
        <v>-174587.55743384501</v>
      </c>
    </row>
    <row r="830" spans="1:17" x14ac:dyDescent="0.25">
      <c r="A830" s="5">
        <f>(830-2)/100</f>
        <v>8.2799999999999994</v>
      </c>
      <c r="B830" s="5">
        <f>Dashboard!$C$10*EXP(-Dashboard!$C$12*A830)</f>
        <v>1.1026675323272233E-2</v>
      </c>
      <c r="C830" s="5">
        <f>Dashboard!$C$17*A830</f>
        <v>6623.9999999999991</v>
      </c>
      <c r="D830" s="5">
        <f>Dashboard!$C$15*(1-EXP(-Dashboard!$C$16*A830))</f>
        <v>0.78726171879639073</v>
      </c>
      <c r="E830" s="5">
        <f>1/(1+EXP(MIN(700,MAX(-700,(C830-Dashboard!$C$18)/Dashboard!$C$19))))</f>
        <v>4.4961612990540215E-4</v>
      </c>
      <c r="F830" s="5">
        <f t="shared" si="59"/>
        <v>3.5396556722790817E-4</v>
      </c>
      <c r="G830" s="8">
        <f>Dashboard!$C$9*B830*Dashboard!$C$11*(1-F830)</f>
        <v>22045.544519773586</v>
      </c>
      <c r="H830" s="8">
        <f>Dashboard!$C$20*A830^2</f>
        <v>548467.19999999995</v>
      </c>
      <c r="I830" s="8">
        <f t="shared" si="60"/>
        <v>570512.74451977352</v>
      </c>
      <c r="J830" s="8">
        <f>Dashboard!$C$13*A830</f>
        <v>165600</v>
      </c>
      <c r="K830" s="8">
        <f>Dashboard!$C$14*A830</f>
        <v>248399.99999999997</v>
      </c>
      <c r="L830" s="8">
        <f>Dashboard!$C$21-K830</f>
        <v>1251600</v>
      </c>
      <c r="M830" s="8">
        <f t="shared" si="61"/>
        <v>515487.25548022648</v>
      </c>
      <c r="N830" s="8">
        <f t="shared" si="62"/>
        <v>414000</v>
      </c>
      <c r="O830" s="8">
        <f>Dashboard!$C$15*(Dashboard!$C$16*EXP(-Dashboard!$C$16*A830)*E830-(1-EXP(-Dashboard!$C$16*A830))*Dashboard!$C$17/Dashboard!$C$19*E830*(1-E830))</f>
        <v>-4.6887822311772839E-4</v>
      </c>
      <c r="P830" s="8">
        <f>Dashboard!$C$9*B830*Dashboard!$C$11*(-Dashboard!$C$12*(1-F830)-O830)+2*Dashboard!$C$20*A830</f>
        <v>124774.39975394419</v>
      </c>
      <c r="Q830" s="8">
        <f>-P830-Dashboard!$C$13-Dashboard!$C$14</f>
        <v>-174774.39975394419</v>
      </c>
    </row>
    <row r="831" spans="1:17" x14ac:dyDescent="0.25">
      <c r="A831" s="5">
        <f>(831-2)/100</f>
        <v>8.2899999999999991</v>
      </c>
      <c r="B831" s="5">
        <f>Dashboard!$C$10*EXP(-Dashboard!$C$12*A831)</f>
        <v>1.0988149419301251E-2</v>
      </c>
      <c r="C831" s="5">
        <f>Dashboard!$C$17*A831</f>
        <v>6631.9999999999991</v>
      </c>
      <c r="D831" s="5">
        <f>Dashboard!$C$15*(1-EXP(-Dashboard!$C$16*A831))</f>
        <v>0.78732525123894315</v>
      </c>
      <c r="E831" s="5">
        <f>1/(1+EXP(MIN(700,MAX(-700,(C831-Dashboard!$C$18)/Dashboard!$C$19))))</f>
        <v>4.4366367907435074E-4</v>
      </c>
      <c r="F831" s="5">
        <f t="shared" si="59"/>
        <v>3.4930761759280706E-4</v>
      </c>
      <c r="G831" s="8">
        <f>Dashboard!$C$9*B831*Dashboard!$C$11*(1-F831)</f>
        <v>21968.622350011683</v>
      </c>
      <c r="H831" s="8">
        <f>Dashboard!$C$20*A831^2</f>
        <v>549792.79999999993</v>
      </c>
      <c r="I831" s="8">
        <f t="shared" si="60"/>
        <v>571761.42235001165</v>
      </c>
      <c r="J831" s="8">
        <f>Dashboard!$C$13*A831</f>
        <v>165799.99999999997</v>
      </c>
      <c r="K831" s="8">
        <f>Dashboard!$C$14*A831</f>
        <v>248699.99999999997</v>
      </c>
      <c r="L831" s="8">
        <f>Dashboard!$C$21-K831</f>
        <v>1251300</v>
      </c>
      <c r="M831" s="8">
        <f t="shared" si="61"/>
        <v>513738.57764998835</v>
      </c>
      <c r="N831" s="8">
        <f t="shared" si="62"/>
        <v>414499.99999999994</v>
      </c>
      <c r="O831" s="8">
        <f>Dashboard!$C$15*(Dashboard!$C$16*EXP(-Dashboard!$C$16*A831)*E831-(1-EXP(-Dashboard!$C$16*A831))*Dashboard!$C$17/Dashboard!$C$19*E831*(1-E831))</f>
        <v>-4.6272519382007282E-4</v>
      </c>
      <c r="P831" s="8">
        <f>Dashboard!$C$9*B831*Dashboard!$C$11*(-Dashboard!$C$12*(1-F831)-O831)+2*Dashboard!$C$20*A831</f>
        <v>124961.15116463545</v>
      </c>
      <c r="Q831" s="8">
        <f>-P831-Dashboard!$C$13-Dashboard!$C$14</f>
        <v>-174961.15116463543</v>
      </c>
    </row>
    <row r="832" spans="1:17" x14ac:dyDescent="0.25">
      <c r="A832" s="5">
        <f>(832-2)/100</f>
        <v>8.3000000000000007</v>
      </c>
      <c r="B832" s="5">
        <f>Dashboard!$C$10*EXP(-Dashboard!$C$12*A832)</f>
        <v>1.0949758120298053E-2</v>
      </c>
      <c r="C832" s="5">
        <f>Dashboard!$C$17*A832</f>
        <v>6640.0000000000009</v>
      </c>
      <c r="D832" s="5">
        <f>Dashboard!$C$15*(1-EXP(-Dashboard!$C$16*A832))</f>
        <v>0.78738846681211649</v>
      </c>
      <c r="E832" s="5">
        <f>1/(1+EXP(MIN(700,MAX(-700,(C832-Dashboard!$C$18)/Dashboard!$C$19))))</f>
        <v>4.377899979980553E-4</v>
      </c>
      <c r="F832" s="5">
        <f t="shared" si="59"/>
        <v>3.447107953093683E-4</v>
      </c>
      <c r="G832" s="8">
        <f>Dashboard!$C$9*B832*Dashboard!$C$11*(1-F832)</f>
        <v>21891.967240935919</v>
      </c>
      <c r="H832" s="8">
        <f>Dashboard!$C$20*A832^2</f>
        <v>551120.00000000012</v>
      </c>
      <c r="I832" s="8">
        <f t="shared" si="60"/>
        <v>573011.96724093601</v>
      </c>
      <c r="J832" s="8">
        <f>Dashboard!$C$13*A832</f>
        <v>166000</v>
      </c>
      <c r="K832" s="8">
        <f>Dashboard!$C$14*A832</f>
        <v>249000.00000000003</v>
      </c>
      <c r="L832" s="8">
        <f>Dashboard!$C$21-K832</f>
        <v>1251000</v>
      </c>
      <c r="M832" s="8">
        <f t="shared" si="61"/>
        <v>511988.03275906399</v>
      </c>
      <c r="N832" s="8">
        <f t="shared" si="62"/>
        <v>415000</v>
      </c>
      <c r="O832" s="8">
        <f>Dashboard!$C$15*(Dashboard!$C$16*EXP(-Dashboard!$C$16*A832)*E832-(1-EXP(-Dashboard!$C$16*A832))*Dashboard!$C$17/Dashboard!$C$19*E832*(1-E832))</f>
        <v>-4.5665257761676853E-4</v>
      </c>
      <c r="P832" s="8">
        <f>Dashboard!$C$9*B832*Dashboard!$C$11*(-Dashboard!$C$12*(1-F832)-O832)+2*Dashboard!$C$20*A832</f>
        <v>125147.81193621225</v>
      </c>
      <c r="Q832" s="8">
        <f>-P832-Dashboard!$C$13-Dashboard!$C$14</f>
        <v>-175147.81193621224</v>
      </c>
    </row>
    <row r="833" spans="1:17" x14ac:dyDescent="0.25">
      <c r="A833" s="5">
        <f>(833-2)/100</f>
        <v>8.31</v>
      </c>
      <c r="B833" s="5">
        <f>Dashboard!$C$10*EXP(-Dashboard!$C$12*A833)</f>
        <v>1.0911500955968769E-2</v>
      </c>
      <c r="C833" s="5">
        <f>Dashboard!$C$17*A833</f>
        <v>6648</v>
      </c>
      <c r="D833" s="5">
        <f>Dashboard!$C$15*(1-EXP(-Dashboard!$C$16*A833))</f>
        <v>0.78745136709630315</v>
      </c>
      <c r="E833" s="5">
        <f>1/(1+EXP(MIN(700,MAX(-700,(C833-Dashboard!$C$18)/Dashboard!$C$19))))</f>
        <v>4.3199404521133532E-4</v>
      </c>
      <c r="F833" s="5">
        <f t="shared" si="59"/>
        <v>3.4017430147912817E-4</v>
      </c>
      <c r="G833" s="8">
        <f>Dashboard!$C$9*B833*Dashboard!$C$11*(1-F833)</f>
        <v>21815.578287505963</v>
      </c>
      <c r="H833" s="8">
        <f>Dashboard!$C$20*A833^2</f>
        <v>552448.80000000016</v>
      </c>
      <c r="I833" s="8">
        <f t="shared" si="60"/>
        <v>574264.37828750617</v>
      </c>
      <c r="J833" s="8">
        <f>Dashboard!$C$13*A833</f>
        <v>166200</v>
      </c>
      <c r="K833" s="8">
        <f>Dashboard!$C$14*A833</f>
        <v>249300.00000000003</v>
      </c>
      <c r="L833" s="8">
        <f>Dashboard!$C$21-K833</f>
        <v>1250700</v>
      </c>
      <c r="M833" s="8">
        <f t="shared" si="61"/>
        <v>510235.62171249383</v>
      </c>
      <c r="N833" s="8">
        <f t="shared" si="62"/>
        <v>415500</v>
      </c>
      <c r="O833" s="8">
        <f>Dashboard!$C$15*(Dashboard!$C$16*EXP(-Dashboard!$C$16*A833)*E833-(1-EXP(-Dashboard!$C$16*A833))*Dashboard!$C$17/Dashboard!$C$19*E833*(1-E833))</f>
        <v>-4.5065933026377039E-4</v>
      </c>
      <c r="P833" s="8">
        <f>Dashboard!$C$9*B833*Dashboard!$C$11*(-Dashboard!$C$12*(1-F833)-O833)+2*Dashboard!$C$20*A833</f>
        <v>125334.3823387989</v>
      </c>
      <c r="Q833" s="8">
        <f>-P833-Dashboard!$C$13-Dashboard!$C$14</f>
        <v>-175334.3823387989</v>
      </c>
    </row>
    <row r="834" spans="1:17" x14ac:dyDescent="0.25">
      <c r="A834" s="5">
        <f>(834-2)/100</f>
        <v>8.32</v>
      </c>
      <c r="B834" s="5">
        <f>Dashboard!$C$10*EXP(-Dashboard!$C$12*A834)</f>
        <v>1.0873377457662646E-2</v>
      </c>
      <c r="C834" s="5">
        <f>Dashboard!$C$17*A834</f>
        <v>6656</v>
      </c>
      <c r="D834" s="5">
        <f>Dashboard!$C$15*(1-EXP(-Dashboard!$C$16*A834))</f>
        <v>0.78751395366401378</v>
      </c>
      <c r="E834" s="5">
        <f>1/(1+EXP(MIN(700,MAX(-700,(C834-Dashboard!$C$18)/Dashboard!$C$19))))</f>
        <v>4.262747929950007E-4</v>
      </c>
      <c r="F834" s="5">
        <f t="shared" si="59"/>
        <v>3.3569734757880204E-4</v>
      </c>
      <c r="G834" s="8">
        <f>Dashboard!$C$9*B834*Dashboard!$C$11*(1-F834)</f>
        <v>21739.45458738177</v>
      </c>
      <c r="H834" s="8">
        <f>Dashboard!$C$20*A834^2</f>
        <v>553779.20000000007</v>
      </c>
      <c r="I834" s="8">
        <f t="shared" si="60"/>
        <v>575518.65458738187</v>
      </c>
      <c r="J834" s="8">
        <f>Dashboard!$C$13*A834</f>
        <v>166400</v>
      </c>
      <c r="K834" s="8">
        <f>Dashboard!$C$14*A834</f>
        <v>249600</v>
      </c>
      <c r="L834" s="8">
        <f>Dashboard!$C$21-K834</f>
        <v>1250400</v>
      </c>
      <c r="M834" s="8">
        <f t="shared" si="61"/>
        <v>508481.34541261813</v>
      </c>
      <c r="N834" s="8">
        <f t="shared" si="62"/>
        <v>416000</v>
      </c>
      <c r="O834" s="8">
        <f>Dashboard!$C$15*(Dashboard!$C$16*EXP(-Dashboard!$C$16*A834)*E834-(1-EXP(-Dashboard!$C$16*A834))*Dashboard!$C$17/Dashboard!$C$19*E834*(1-E834))</f>
        <v>-4.4474442094000611E-4</v>
      </c>
      <c r="P834" s="8">
        <f>Dashboard!$C$9*B834*Dashboard!$C$11*(-Dashboard!$C$12*(1-F834)-O834)+2*Dashboard!$C$20*A834</f>
        <v>125520.86264233853</v>
      </c>
      <c r="Q834" s="8">
        <f>-P834-Dashboard!$C$13-Dashboard!$C$14</f>
        <v>-175520.86264233853</v>
      </c>
    </row>
    <row r="835" spans="1:17" x14ac:dyDescent="0.25">
      <c r="A835" s="5">
        <f>(835-2)/100</f>
        <v>8.33</v>
      </c>
      <c r="B835" s="5">
        <f>Dashboard!$C$10*EXP(-Dashboard!$C$12*A835)</f>
        <v>1.0835387158366353E-2</v>
      </c>
      <c r="C835" s="5">
        <f>Dashboard!$C$17*A835</f>
        <v>6664</v>
      </c>
      <c r="D835" s="5">
        <f>Dashboard!$C$15*(1-EXP(-Dashboard!$C$16*A835))</f>
        <v>0.78757622807991567</v>
      </c>
      <c r="E835" s="5">
        <f>1/(1+EXP(MIN(700,MAX(-700,(C835-Dashboard!$C$18)/Dashboard!$C$19))))</f>
        <v>4.2063122719505864E-4</v>
      </c>
      <c r="F835" s="5">
        <f t="shared" si="59"/>
        <v>3.3127915532691032E-4</v>
      </c>
      <c r="G835" s="8">
        <f>Dashboard!$C$9*B835*Dashboard!$C$11*(1-F835)</f>
        <v>21663.595240921779</v>
      </c>
      <c r="H835" s="8">
        <f>Dashboard!$C$20*A835^2</f>
        <v>555111.20000000007</v>
      </c>
      <c r="I835" s="8">
        <f t="shared" si="60"/>
        <v>576774.7952409219</v>
      </c>
      <c r="J835" s="8">
        <f>Dashboard!$C$13*A835</f>
        <v>166600</v>
      </c>
      <c r="K835" s="8">
        <f>Dashboard!$C$14*A835</f>
        <v>249900</v>
      </c>
      <c r="L835" s="8">
        <f>Dashboard!$C$21-K835</f>
        <v>1250100</v>
      </c>
      <c r="M835" s="8">
        <f t="shared" si="61"/>
        <v>506725.2047590781</v>
      </c>
      <c r="N835" s="8">
        <f t="shared" si="62"/>
        <v>416500</v>
      </c>
      <c r="O835" s="8">
        <f>Dashboard!$C$15*(Dashboard!$C$16*EXP(-Dashboard!$C$16*A835)*E835-(1-EXP(-Dashboard!$C$16*A835))*Dashboard!$C$17/Dashboard!$C$19*E835*(1-E835))</f>
        <v>-4.389068320777797E-4</v>
      </c>
      <c r="P835" s="8">
        <f>Dashboard!$C$9*B835*Dashboard!$C$11*(-Dashboard!$C$12*(1-F835)-O835)+2*Dashboard!$C$20*A835</f>
        <v>125707.25311658141</v>
      </c>
      <c r="Q835" s="8">
        <f>-P835-Dashboard!$C$13-Dashboard!$C$14</f>
        <v>-175707.25311658141</v>
      </c>
    </row>
    <row r="836" spans="1:17" x14ac:dyDescent="0.25">
      <c r="A836" s="5">
        <f>(836-2)/100</f>
        <v>8.34</v>
      </c>
      <c r="B836" s="5">
        <f>Dashboard!$C$10*EXP(-Dashboard!$C$12*A836)</f>
        <v>1.0797529592698248E-2</v>
      </c>
      <c r="C836" s="5">
        <f>Dashboard!$C$17*A836</f>
        <v>6672</v>
      </c>
      <c r="D836" s="5">
        <f>Dashboard!$C$15*(1-EXP(-Dashboard!$C$16*A836))</f>
        <v>0.78763819190087236</v>
      </c>
      <c r="E836" s="5">
        <f>1/(1+EXP(MIN(700,MAX(-700,(C836-Dashboard!$C$18)/Dashboard!$C$19))))</f>
        <v>4.1506234704427207E-4</v>
      </c>
      <c r="F836" s="5">
        <f t="shared" si="59"/>
        <v>3.2691895655208287E-4</v>
      </c>
      <c r="G836" s="8">
        <f>Dashboard!$C$9*B836*Dashboard!$C$11*(1-F836)</f>
        <v>21587.999351180926</v>
      </c>
      <c r="H836" s="8">
        <f>Dashboard!$C$20*A836^2</f>
        <v>556444.79999999993</v>
      </c>
      <c r="I836" s="8">
        <f t="shared" si="60"/>
        <v>578032.7993511809</v>
      </c>
      <c r="J836" s="8">
        <f>Dashboard!$C$13*A836</f>
        <v>166800</v>
      </c>
      <c r="K836" s="8">
        <f>Dashboard!$C$14*A836</f>
        <v>250200</v>
      </c>
      <c r="L836" s="8">
        <f>Dashboard!$C$21-K836</f>
        <v>1249800</v>
      </c>
      <c r="M836" s="8">
        <f t="shared" si="61"/>
        <v>504967.2006488191</v>
      </c>
      <c r="N836" s="8">
        <f t="shared" si="62"/>
        <v>417000</v>
      </c>
      <c r="O836" s="8">
        <f>Dashboard!$C$15*(Dashboard!$C$16*EXP(-Dashboard!$C$16*A836)*E836-(1-EXP(-Dashboard!$C$16*A836))*Dashboard!$C$17/Dashboard!$C$19*E836*(1-E836))</f>
        <v>-4.331455591952434E-4</v>
      </c>
      <c r="P836" s="8">
        <f>Dashboard!$C$9*B836*Dashboard!$C$11*(-Dashboard!$C$12*(1-F836)-O836)+2*Dashboard!$C$20*A836</f>
        <v>125893.55403107339</v>
      </c>
      <c r="Q836" s="8">
        <f>-P836-Dashboard!$C$13-Dashboard!$C$14</f>
        <v>-175893.55403107341</v>
      </c>
    </row>
    <row r="837" spans="1:17" x14ac:dyDescent="0.25">
      <c r="A837" s="5">
        <f>(837-2)/100</f>
        <v>8.35</v>
      </c>
      <c r="B837" s="5">
        <f>Dashboard!$C$10*EXP(-Dashboard!$C$12*A837)</f>
        <v>1.0759804296902676E-2</v>
      </c>
      <c r="C837" s="5">
        <f>Dashboard!$C$17*A837</f>
        <v>6680</v>
      </c>
      <c r="D837" s="5">
        <f>Dashboard!$C$15*(1-EXP(-Dashboard!$C$16*A837))</f>
        <v>0.78769984667598292</v>
      </c>
      <c r="E837" s="5">
        <f>1/(1+EXP(MIN(700,MAX(-700,(C837-Dashboard!$C$18)/Dashboard!$C$19))))</f>
        <v>4.0956716498605043E-4</v>
      </c>
      <c r="F837" s="5">
        <f t="shared" si="59"/>
        <v>3.2261599306302894E-4</v>
      </c>
      <c r="G837" s="8">
        <f>Dashboard!$C$9*B837*Dashboard!$C$11*(1-F837)</f>
        <v>21512.666023908532</v>
      </c>
      <c r="H837" s="8">
        <f>Dashboard!$C$20*A837^2</f>
        <v>557780</v>
      </c>
      <c r="I837" s="8">
        <f t="shared" si="60"/>
        <v>579292.66602390853</v>
      </c>
      <c r="J837" s="8">
        <f>Dashboard!$C$13*A837</f>
        <v>167000</v>
      </c>
      <c r="K837" s="8">
        <f>Dashboard!$C$14*A837</f>
        <v>250500</v>
      </c>
      <c r="L837" s="8">
        <f>Dashboard!$C$21-K837</f>
        <v>1249500</v>
      </c>
      <c r="M837" s="8">
        <f t="shared" si="61"/>
        <v>503207.33397609147</v>
      </c>
      <c r="N837" s="8">
        <f t="shared" si="62"/>
        <v>417500</v>
      </c>
      <c r="O837" s="8">
        <f>Dashboard!$C$15*(Dashboard!$C$16*EXP(-Dashboard!$C$16*A837)*E837-(1-EXP(-Dashboard!$C$16*A837))*Dashboard!$C$17/Dashboard!$C$19*E837*(1-E837))</f>
        <v>-4.2745961073092209E-4</v>
      </c>
      <c r="P837" s="8">
        <f>Dashboard!$C$9*B837*Dashboard!$C$11*(-Dashboard!$C$12*(1-F837)-O837)+2*Dashboard!$C$20*A837</f>
        <v>126079.7656551446</v>
      </c>
      <c r="Q837" s="8">
        <f>-P837-Dashboard!$C$13-Dashboard!$C$14</f>
        <v>-176079.76565514458</v>
      </c>
    </row>
    <row r="838" spans="1:17" x14ac:dyDescent="0.25">
      <c r="A838" s="5">
        <f>(838-2)/100</f>
        <v>8.36</v>
      </c>
      <c r="B838" s="5">
        <f>Dashboard!$C$10*EXP(-Dashboard!$C$12*A838)</f>
        <v>1.0722210808844298E-2</v>
      </c>
      <c r="C838" s="5">
        <f>Dashboard!$C$17*A838</f>
        <v>6688</v>
      </c>
      <c r="D838" s="5">
        <f>Dashboard!$C$15*(1-EXP(-Dashboard!$C$16*A838))</f>
        <v>0.78776119394661959</v>
      </c>
      <c r="E838" s="5">
        <f>1/(1+EXP(MIN(700,MAX(-700,(C838-Dashboard!$C$18)/Dashboard!$C$19))))</f>
        <v>4.0414470650064179E-4</v>
      </c>
      <c r="F838" s="5">
        <f t="shared" si="59"/>
        <v>3.1836951652015172E-4</v>
      </c>
      <c r="G838" s="8">
        <f>Dashboard!$C$9*B838*Dashboard!$C$11*(1-F838)</f>
        <v>21437.594367546117</v>
      </c>
      <c r="H838" s="8">
        <f>Dashboard!$C$20*A838^2</f>
        <v>559116.79999999993</v>
      </c>
      <c r="I838" s="8">
        <f t="shared" si="60"/>
        <v>580554.39436754608</v>
      </c>
      <c r="J838" s="8">
        <f>Dashboard!$C$13*A838</f>
        <v>167200</v>
      </c>
      <c r="K838" s="8">
        <f>Dashboard!$C$14*A838</f>
        <v>250799.99999999997</v>
      </c>
      <c r="L838" s="8">
        <f>Dashboard!$C$21-K838</f>
        <v>1249200</v>
      </c>
      <c r="M838" s="8">
        <f t="shared" si="61"/>
        <v>501445.60563245392</v>
      </c>
      <c r="N838" s="8">
        <f t="shared" si="62"/>
        <v>418000</v>
      </c>
      <c r="O838" s="8">
        <f>Dashboard!$C$15*(Dashboard!$C$16*EXP(-Dashboard!$C$16*A838)*E838-(1-EXP(-Dashboard!$C$16*A838))*Dashboard!$C$17/Dashboard!$C$19*E838*(1-E838))</f>
        <v>-4.2184800788027115E-4</v>
      </c>
      <c r="P838" s="8">
        <f>Dashboard!$C$9*B838*Dashboard!$C$11*(-Dashboard!$C$12*(1-F838)-O838)+2*Dashboard!$C$20*A838</f>
        <v>126265.88825789842</v>
      </c>
      <c r="Q838" s="8">
        <f>-P838-Dashboard!$C$13-Dashboard!$C$14</f>
        <v>-176265.88825789842</v>
      </c>
    </row>
    <row r="839" spans="1:17" x14ac:dyDescent="0.25">
      <c r="A839" s="5">
        <f>(839-2)/100</f>
        <v>8.3699999999999992</v>
      </c>
      <c r="B839" s="5">
        <f>Dashboard!$C$10*EXP(-Dashboard!$C$12*A839)</f>
        <v>1.0684748668002411E-2</v>
      </c>
      <c r="C839" s="5">
        <f>Dashboard!$C$17*A839</f>
        <v>6695.9999999999991</v>
      </c>
      <c r="D839" s="5">
        <f>Dashboard!$C$15*(1-EXP(-Dashboard!$C$16*A839))</f>
        <v>0.78782223524646755</v>
      </c>
      <c r="E839" s="5">
        <f>1/(1+EXP(MIN(700,MAX(-700,(C839-Dashboard!$C$18)/Dashboard!$C$19))))</f>
        <v>3.987940099335993E-4</v>
      </c>
      <c r="F839" s="5">
        <f t="shared" si="59"/>
        <v>3.1417878830879018E-4</v>
      </c>
      <c r="G839" s="8">
        <f>Dashboard!$C$9*B839*Dashboard!$C$11*(1-F839)</f>
        <v>21362.783493225026</v>
      </c>
      <c r="H839" s="8">
        <f>Dashboard!$C$20*A839^2</f>
        <v>560455.19999999984</v>
      </c>
      <c r="I839" s="8">
        <f t="shared" si="60"/>
        <v>581817.98349322483</v>
      </c>
      <c r="J839" s="8">
        <f>Dashboard!$C$13*A839</f>
        <v>167399.99999999997</v>
      </c>
      <c r="K839" s="8">
        <f>Dashboard!$C$14*A839</f>
        <v>251099.99999999997</v>
      </c>
      <c r="L839" s="8">
        <f>Dashboard!$C$21-K839</f>
        <v>1248900</v>
      </c>
      <c r="M839" s="8">
        <f t="shared" si="61"/>
        <v>499682.01650677517</v>
      </c>
      <c r="N839" s="8">
        <f t="shared" si="62"/>
        <v>418499.99999999994</v>
      </c>
      <c r="O839" s="8">
        <f>Dashboard!$C$15*(Dashboard!$C$16*EXP(-Dashboard!$C$16*A839)*E839-(1-EXP(-Dashboard!$C$16*A839))*Dashboard!$C$17/Dashboard!$C$19*E839*(1-E839))</f>
        <v>-4.1630978443424121E-4</v>
      </c>
      <c r="P839" s="8">
        <f>Dashboard!$C$9*B839*Dashboard!$C$11*(-Dashboard!$C$12*(1-F839)-O839)+2*Dashboard!$C$20*A839</f>
        <v>126451.92210820066</v>
      </c>
      <c r="Q839" s="8">
        <f>-P839-Dashboard!$C$13-Dashboard!$C$14</f>
        <v>-176451.92210820067</v>
      </c>
    </row>
    <row r="840" spans="1:17" x14ac:dyDescent="0.25">
      <c r="A840" s="5">
        <f>(840-2)/100</f>
        <v>8.3800000000000008</v>
      </c>
      <c r="B840" s="5">
        <f>Dashboard!$C$10*EXP(-Dashboard!$C$12*A840)</f>
        <v>1.0647417415465314E-2</v>
      </c>
      <c r="C840" s="5">
        <f>Dashboard!$C$17*A840</f>
        <v>6704.0000000000009</v>
      </c>
      <c r="D840" s="5">
        <f>Dashboard!$C$15*(1-EXP(-Dashboard!$C$16*A840))</f>
        <v>0.78788297210156244</v>
      </c>
      <c r="E840" s="5">
        <f>1/(1+EXP(MIN(700,MAX(-700,(C840-Dashboard!$C$18)/Dashboard!$C$19))))</f>
        <v>3.935141263264824E-4</v>
      </c>
      <c r="F840" s="5">
        <f t="shared" si="59"/>
        <v>3.1004307941405863E-4</v>
      </c>
      <c r="G840" s="8">
        <f>Dashboard!$C$9*B840*Dashboard!$C$11*(1-F840)</f>
        <v>21288.232514764033</v>
      </c>
      <c r="H840" s="8">
        <f>Dashboard!$C$20*A840^2</f>
        <v>561795.20000000019</v>
      </c>
      <c r="I840" s="8">
        <f t="shared" si="60"/>
        <v>583083.43251476425</v>
      </c>
      <c r="J840" s="8">
        <f>Dashboard!$C$13*A840</f>
        <v>167600.00000000003</v>
      </c>
      <c r="K840" s="8">
        <f>Dashboard!$C$14*A840</f>
        <v>251400.00000000003</v>
      </c>
      <c r="L840" s="8">
        <f>Dashboard!$C$21-K840</f>
        <v>1248600</v>
      </c>
      <c r="M840" s="8">
        <f t="shared" si="61"/>
        <v>497916.56748523575</v>
      </c>
      <c r="N840" s="8">
        <f t="shared" si="62"/>
        <v>419000.00000000006</v>
      </c>
      <c r="O840" s="8">
        <f>Dashboard!$C$15*(Dashboard!$C$16*EXP(-Dashboard!$C$16*A840)*E840-(1-EXP(-Dashboard!$C$16*A840))*Dashboard!$C$17/Dashboard!$C$19*E840*(1-E840))</f>
        <v>-4.1084398661982223E-4</v>
      </c>
      <c r="P840" s="8">
        <f>Dashboard!$C$9*B840*Dashboard!$C$11*(-Dashboard!$C$12*(1-F840)-O840)+2*Dashboard!$C$20*A840</f>
        <v>126637.86747466894</v>
      </c>
      <c r="Q840" s="8">
        <f>-P840-Dashboard!$C$13-Dashboard!$C$14</f>
        <v>-176637.86747466895</v>
      </c>
    </row>
    <row r="841" spans="1:17" x14ac:dyDescent="0.25">
      <c r="A841" s="5">
        <f>(841-2)/100</f>
        <v>8.39</v>
      </c>
      <c r="B841" s="5">
        <f>Dashboard!$C$10*EXP(-Dashboard!$C$12*A841)</f>
        <v>1.0610216593924715E-2</v>
      </c>
      <c r="C841" s="5">
        <f>Dashboard!$C$17*A841</f>
        <v>6712</v>
      </c>
      <c r="D841" s="5">
        <f>Dashboard!$C$15*(1-EXP(-Dashboard!$C$16*A841))</f>
        <v>0.78794340603032875</v>
      </c>
      <c r="E841" s="5">
        <f>1/(1+EXP(MIN(700,MAX(-700,(C841-Dashboard!$C$18)/Dashboard!$C$19))))</f>
        <v>3.8830411924978563E-4</v>
      </c>
      <c r="F841" s="5">
        <f t="shared" si="59"/>
        <v>3.05961670297283E-4</v>
      </c>
      <c r="G841" s="8">
        <f>Dashboard!$C$9*B841*Dashboard!$C$11*(1-F841)</f>
        <v>21213.940548666844</v>
      </c>
      <c r="H841" s="8">
        <f>Dashboard!$C$20*A841^2</f>
        <v>563136.80000000016</v>
      </c>
      <c r="I841" s="8">
        <f t="shared" si="60"/>
        <v>584350.74054866703</v>
      </c>
      <c r="J841" s="8">
        <f>Dashboard!$C$13*A841</f>
        <v>167800</v>
      </c>
      <c r="K841" s="8">
        <f>Dashboard!$C$14*A841</f>
        <v>251700.00000000003</v>
      </c>
      <c r="L841" s="8">
        <f>Dashboard!$C$21-K841</f>
        <v>1248300</v>
      </c>
      <c r="M841" s="8">
        <f t="shared" si="61"/>
        <v>496149.25945133297</v>
      </c>
      <c r="N841" s="8">
        <f t="shared" si="62"/>
        <v>419500</v>
      </c>
      <c r="O841" s="8">
        <f>Dashboard!$C$15*(Dashboard!$C$16*EXP(-Dashboard!$C$16*A841)*E841-(1-EXP(-Dashboard!$C$16*A841))*Dashboard!$C$17/Dashboard!$C$19*E841*(1-E841))</f>
        <v>-4.0544967294255932E-4</v>
      </c>
      <c r="P841" s="8">
        <f>Dashboard!$C$9*B841*Dashboard!$C$11*(-Dashboard!$C$12*(1-F841)-O841)+2*Dashboard!$C$20*A841</f>
        <v>126823.72462566232</v>
      </c>
      <c r="Q841" s="8">
        <f>-P841-Dashboard!$C$13-Dashboard!$C$14</f>
        <v>-176823.72462566232</v>
      </c>
    </row>
    <row r="842" spans="1:17" x14ac:dyDescent="0.25">
      <c r="A842" s="5">
        <f>(842-2)/100</f>
        <v>8.4</v>
      </c>
      <c r="B842" s="5">
        <f>Dashboard!$C$10*EXP(-Dashboard!$C$12*A842)</f>
        <v>1.0573145747670074E-2</v>
      </c>
      <c r="C842" s="5">
        <f>Dashboard!$C$17*A842</f>
        <v>6720</v>
      </c>
      <c r="D842" s="5">
        <f>Dashboard!$C$15*(1-EXP(-Dashboard!$C$16*A842))</f>
        <v>0.78800353854361793</v>
      </c>
      <c r="E842" s="5">
        <f>1/(1+EXP(MIN(700,MAX(-700,(C842-Dashboard!$C$18)/Dashboard!$C$19))))</f>
        <v>3.8316306463803131E-4</v>
      </c>
      <c r="F842" s="5">
        <f t="shared" si="59"/>
        <v>3.0193385077398566E-4</v>
      </c>
      <c r="G842" s="8">
        <f>Dashboard!$C$9*B842*Dashboard!$C$11*(1-F842)</f>
        <v>21139.90671411937</v>
      </c>
      <c r="H842" s="8">
        <f>Dashboard!$C$20*A842^2</f>
        <v>564480</v>
      </c>
      <c r="I842" s="8">
        <f t="shared" si="60"/>
        <v>585619.90671411937</v>
      </c>
      <c r="J842" s="8">
        <f>Dashboard!$C$13*A842</f>
        <v>168000</v>
      </c>
      <c r="K842" s="8">
        <f>Dashboard!$C$14*A842</f>
        <v>252000</v>
      </c>
      <c r="L842" s="8">
        <f>Dashboard!$C$21-K842</f>
        <v>1248000</v>
      </c>
      <c r="M842" s="8">
        <f t="shared" si="61"/>
        <v>494380.09328588063</v>
      </c>
      <c r="N842" s="8">
        <f t="shared" si="62"/>
        <v>420000</v>
      </c>
      <c r="O842" s="8">
        <f>Dashboard!$C$15*(Dashboard!$C$16*EXP(-Dashboard!$C$16*A842)*E842-(1-EXP(-Dashboard!$C$16*A842))*Dashboard!$C$17/Dashboard!$C$19*E842*(1-E842))</f>
        <v>-4.0012591403098716E-4</v>
      </c>
      <c r="P842" s="8">
        <f>Dashboard!$C$9*B842*Dashboard!$C$11*(-Dashboard!$C$12*(1-F842)-O842)+2*Dashboard!$C$20*A842</f>
        <v>127009.49382927116</v>
      </c>
      <c r="Q842" s="8">
        <f>-P842-Dashboard!$C$13-Dashboard!$C$14</f>
        <v>-177009.49382927117</v>
      </c>
    </row>
    <row r="843" spans="1:17" x14ac:dyDescent="0.25">
      <c r="A843" s="5">
        <f>(843-2)/100</f>
        <v>8.41</v>
      </c>
      <c r="B843" s="5">
        <f>Dashboard!$C$10*EXP(-Dashboard!$C$12*A843)</f>
        <v>1.0536204422583061E-2</v>
      </c>
      <c r="C843" s="5">
        <f>Dashboard!$C$17*A843</f>
        <v>6728</v>
      </c>
      <c r="D843" s="5">
        <f>Dashboard!$C$15*(1-EXP(-Dashboard!$C$16*A843))</f>
        <v>0.78806337114474578</v>
      </c>
      <c r="E843" s="5">
        <f>1/(1+EXP(MIN(700,MAX(-700,(C843-Dashboard!$C$18)/Dashboard!$C$19))))</f>
        <v>3.7809005062703797E-4</v>
      </c>
      <c r="F843" s="5">
        <f t="shared" si="59"/>
        <v>2.9795891989343115E-4</v>
      </c>
      <c r="G843" s="8">
        <f>Dashboard!$C$9*B843*Dashboard!$C$11*(1-F843)</f>
        <v>21066.130132987062</v>
      </c>
      <c r="H843" s="8">
        <f>Dashboard!$C$20*A843^2</f>
        <v>565824.79999999993</v>
      </c>
      <c r="I843" s="8">
        <f t="shared" si="60"/>
        <v>586890.93013298698</v>
      </c>
      <c r="J843" s="8">
        <f>Dashboard!$C$13*A843</f>
        <v>168200</v>
      </c>
      <c r="K843" s="8">
        <f>Dashboard!$C$14*A843</f>
        <v>252300</v>
      </c>
      <c r="L843" s="8">
        <f>Dashboard!$C$21-K843</f>
        <v>1247700</v>
      </c>
      <c r="M843" s="8">
        <f t="shared" si="61"/>
        <v>492609.06986701302</v>
      </c>
      <c r="N843" s="8">
        <f t="shared" si="62"/>
        <v>420500</v>
      </c>
      <c r="O843" s="8">
        <f>Dashboard!$C$15*(Dashboard!$C$16*EXP(-Dashboard!$C$16*A843)*E843-(1-EXP(-Dashboard!$C$16*A843))*Dashboard!$C$17/Dashboard!$C$19*E843*(1-E843))</f>
        <v>-3.9487179248299891E-4</v>
      </c>
      <c r="P843" s="8">
        <f>Dashboard!$C$9*B843*Dashboard!$C$11*(-Dashboard!$C$12*(1-F843)-O843)+2*Dashboard!$C$20*A843</f>
        <v>127195.17535330716</v>
      </c>
      <c r="Q843" s="8">
        <f>-P843-Dashboard!$C$13-Dashboard!$C$14</f>
        <v>-177195.17535330716</v>
      </c>
    </row>
    <row r="844" spans="1:17" x14ac:dyDescent="0.25">
      <c r="A844" s="5">
        <f>(844-2)/100</f>
        <v>8.42</v>
      </c>
      <c r="B844" s="5">
        <f>Dashboard!$C$10*EXP(-Dashboard!$C$12*A844)</f>
        <v>1.0499392166131981E-2</v>
      </c>
      <c r="C844" s="5">
        <f>Dashboard!$C$17*A844</f>
        <v>6736</v>
      </c>
      <c r="D844" s="5">
        <f>Dashboard!$C$15*(1-EXP(-Dashboard!$C$16*A844))</f>
        <v>0.78812290532953055</v>
      </c>
      <c r="E844" s="5">
        <f>1/(1+EXP(MIN(700,MAX(-700,(C844-Dashboard!$C$18)/Dashboard!$C$19))))</f>
        <v>3.7308417739330771E-4</v>
      </c>
      <c r="F844" s="5">
        <f t="shared" si="59"/>
        <v>2.9403618581969163E-4</v>
      </c>
      <c r="G844" s="8">
        <f>Dashboard!$C$9*B844*Dashboard!$C$11*(1-F844)</f>
        <v>20992.60992981205</v>
      </c>
      <c r="H844" s="8">
        <f>Dashboard!$C$20*A844^2</f>
        <v>567171.19999999995</v>
      </c>
      <c r="I844" s="8">
        <f t="shared" si="60"/>
        <v>588163.80992981198</v>
      </c>
      <c r="J844" s="8">
        <f>Dashboard!$C$13*A844</f>
        <v>168400</v>
      </c>
      <c r="K844" s="8">
        <f>Dashboard!$C$14*A844</f>
        <v>252600</v>
      </c>
      <c r="L844" s="8">
        <f>Dashboard!$C$21-K844</f>
        <v>1247400</v>
      </c>
      <c r="M844" s="8">
        <f t="shared" si="61"/>
        <v>490836.19007018802</v>
      </c>
      <c r="N844" s="8">
        <f t="shared" si="62"/>
        <v>421000</v>
      </c>
      <c r="O844" s="8">
        <f>Dashboard!$C$15*(Dashboard!$C$16*EXP(-Dashboard!$C$16*A844)*E844-(1-EXP(-Dashboard!$C$16*A844))*Dashboard!$C$17/Dashboard!$C$19*E844*(1-E844))</f>
        <v>-3.8968640271409773E-4</v>
      </c>
      <c r="P844" s="8">
        <f>Dashboard!$C$9*B844*Dashboard!$C$11*(-Dashboard!$C$12*(1-F844)-O844)+2*Dashboard!$C$20*A844</f>
        <v>127380.76946529359</v>
      </c>
      <c r="Q844" s="8">
        <f>-P844-Dashboard!$C$13-Dashboard!$C$14</f>
        <v>-177380.76946529359</v>
      </c>
    </row>
    <row r="845" spans="1:17" x14ac:dyDescent="0.25">
      <c r="A845" s="5">
        <f>(845-2)/100</f>
        <v>8.43</v>
      </c>
      <c r="B845" s="5">
        <f>Dashboard!$C$10*EXP(-Dashboard!$C$12*A845)</f>
        <v>1.0462708527366232E-2</v>
      </c>
      <c r="C845" s="5">
        <f>Dashboard!$C$17*A845</f>
        <v>6744</v>
      </c>
      <c r="D845" s="5">
        <f>Dashboard!$C$15*(1-EXP(-Dashboard!$C$16*A845))</f>
        <v>0.78818214258633001</v>
      </c>
      <c r="E845" s="5">
        <f>1/(1+EXP(MIN(700,MAX(-700,(C845-Dashboard!$C$18)/Dashboard!$C$19))))</f>
        <v>3.6814455699551649E-4</v>
      </c>
      <c r="F845" s="5">
        <f t="shared" si="59"/>
        <v>2.9016496571422146E-4</v>
      </c>
      <c r="G845" s="8">
        <f>Dashboard!$C$9*B845*Dashboard!$C$11*(1-F845)</f>
        <v>20919.345231810225</v>
      </c>
      <c r="H845" s="8">
        <f>Dashboard!$C$20*A845^2</f>
        <v>568519.19999999995</v>
      </c>
      <c r="I845" s="8">
        <f t="shared" si="60"/>
        <v>589438.54523181019</v>
      </c>
      <c r="J845" s="8">
        <f>Dashboard!$C$13*A845</f>
        <v>168600</v>
      </c>
      <c r="K845" s="8">
        <f>Dashboard!$C$14*A845</f>
        <v>252900</v>
      </c>
      <c r="L845" s="8">
        <f>Dashboard!$C$21-K845</f>
        <v>1247100</v>
      </c>
      <c r="M845" s="8">
        <f t="shared" si="61"/>
        <v>489061.45476818981</v>
      </c>
      <c r="N845" s="8">
        <f t="shared" si="62"/>
        <v>421500</v>
      </c>
      <c r="O845" s="8">
        <f>Dashboard!$C$15*(Dashboard!$C$16*EXP(-Dashboard!$C$16*A845)*E845-(1-EXP(-Dashboard!$C$16*A845))*Dashboard!$C$17/Dashboard!$C$19*E845*(1-E845))</f>
        <v>-3.845688508075215E-4</v>
      </c>
      <c r="P845" s="8">
        <f>Dashboard!$C$9*B845*Dashboard!$C$11*(-Dashboard!$C$12*(1-F845)-O845)+2*Dashboard!$C$20*A845</f>
        <v>127566.27643245582</v>
      </c>
      <c r="Q845" s="8">
        <f>-P845-Dashboard!$C$13-Dashboard!$C$14</f>
        <v>-177566.27643245581</v>
      </c>
    </row>
    <row r="846" spans="1:17" x14ac:dyDescent="0.25">
      <c r="A846" s="5">
        <f>(846-2)/100</f>
        <v>8.44</v>
      </c>
      <c r="B846" s="5">
        <f>Dashboard!$C$10*EXP(-Dashboard!$C$12*A846)</f>
        <v>1.0426153056910782E-2</v>
      </c>
      <c r="C846" s="5">
        <f>Dashboard!$C$17*A846</f>
        <v>6752</v>
      </c>
      <c r="D846" s="5">
        <f>Dashboard!$C$15*(1-EXP(-Dashboard!$C$16*A846))</f>
        <v>0.78824108439607865</v>
      </c>
      <c r="E846" s="5">
        <f>1/(1+EXP(MIN(700,MAX(-700,(C846-Dashboard!$C$18)/Dashboard!$C$19))))</f>
        <v>3.6327031321807779E-4</v>
      </c>
      <c r="F846" s="5">
        <f t="shared" si="59"/>
        <v>2.8634458561992078E-4</v>
      </c>
      <c r="G846" s="8">
        <f>Dashboard!$C$9*B846*Dashboard!$C$11*(1-F846)</f>
        <v>20846.33516886818</v>
      </c>
      <c r="H846" s="8">
        <f>Dashboard!$C$20*A846^2</f>
        <v>569868.79999999993</v>
      </c>
      <c r="I846" s="8">
        <f t="shared" si="60"/>
        <v>590715.13516886812</v>
      </c>
      <c r="J846" s="8">
        <f>Dashboard!$C$13*A846</f>
        <v>168800</v>
      </c>
      <c r="K846" s="8">
        <f>Dashboard!$C$14*A846</f>
        <v>253199.99999999997</v>
      </c>
      <c r="L846" s="8">
        <f>Dashboard!$C$21-K846</f>
        <v>1246800</v>
      </c>
      <c r="M846" s="8">
        <f t="shared" si="61"/>
        <v>487284.86483113188</v>
      </c>
      <c r="N846" s="8">
        <f t="shared" si="62"/>
        <v>422000</v>
      </c>
      <c r="O846" s="8">
        <f>Dashboard!$C$15*(Dashboard!$C$16*EXP(-Dashboard!$C$16*A846)*E846-(1-EXP(-Dashboard!$C$16*A846))*Dashboard!$C$17/Dashboard!$C$19*E846*(1-E846))</f>
        <v>-3.7951825436621502E-4</v>
      </c>
      <c r="P846" s="8">
        <f>Dashboard!$C$9*B846*Dashboard!$C$11*(-Dashboard!$C$12*(1-F846)-O846)+2*Dashboard!$C$20*A846</f>
        <v>127751.69652171196</v>
      </c>
      <c r="Q846" s="8">
        <f>-P846-Dashboard!$C$13-Dashboard!$C$14</f>
        <v>-177751.69652171194</v>
      </c>
    </row>
    <row r="847" spans="1:17" x14ac:dyDescent="0.25">
      <c r="A847" s="5">
        <f>(847-2)/100</f>
        <v>8.4499999999999993</v>
      </c>
      <c r="B847" s="5">
        <f>Dashboard!$C$10*EXP(-Dashboard!$C$12*A847)</f>
        <v>1.0389725306960664E-2</v>
      </c>
      <c r="C847" s="5">
        <f>Dashboard!$C$17*A847</f>
        <v>6759.9999999999991</v>
      </c>
      <c r="D847" s="5">
        <f>Dashboard!$C$15*(1-EXP(-Dashboard!$C$16*A847))</f>
        <v>0.78829973223232463</v>
      </c>
      <c r="E847" s="5">
        <f>1/(1+EXP(MIN(700,MAX(-700,(C847-Dashboard!$C$18)/Dashboard!$C$19))))</f>
        <v>3.5846058141675671E-4</v>
      </c>
      <c r="F847" s="5">
        <f t="shared" si="59"/>
        <v>2.8257438034667273E-4</v>
      </c>
      <c r="G847" s="8">
        <f>Dashboard!$C$9*B847*Dashboard!$C$11*(1-F847)</f>
        <v>20773.578873540158</v>
      </c>
      <c r="H847" s="8">
        <f>Dashboard!$C$20*A847^2</f>
        <v>571219.99999999988</v>
      </c>
      <c r="I847" s="8">
        <f t="shared" si="60"/>
        <v>591993.57887354004</v>
      </c>
      <c r="J847" s="8">
        <f>Dashboard!$C$13*A847</f>
        <v>169000</v>
      </c>
      <c r="K847" s="8">
        <f>Dashboard!$C$14*A847</f>
        <v>253499.99999999997</v>
      </c>
      <c r="L847" s="8">
        <f>Dashboard!$C$21-K847</f>
        <v>1246500</v>
      </c>
      <c r="M847" s="8">
        <f t="shared" si="61"/>
        <v>485506.42112645996</v>
      </c>
      <c r="N847" s="8">
        <f t="shared" si="62"/>
        <v>422500</v>
      </c>
      <c r="O847" s="8">
        <f>Dashboard!$C$15*(Dashboard!$C$16*EXP(-Dashboard!$C$16*A847)*E847-(1-EXP(-Dashboard!$C$16*A847))*Dashboard!$C$17/Dashboard!$C$19*E847*(1-E847))</f>
        <v>-3.745337423666339E-4</v>
      </c>
      <c r="P847" s="8">
        <f>Dashboard!$C$9*B847*Dashboard!$C$11*(-Dashboard!$C$12*(1-F847)-O847)+2*Dashboard!$C$20*A847</f>
        <v>127937.0299996637</v>
      </c>
      <c r="Q847" s="8">
        <f>-P847-Dashboard!$C$13-Dashboard!$C$14</f>
        <v>-177937.0299996637</v>
      </c>
    </row>
    <row r="848" spans="1:17" x14ac:dyDescent="0.25">
      <c r="A848" s="5">
        <f>(848-2)/100</f>
        <v>8.4600000000000009</v>
      </c>
      <c r="B848" s="5">
        <f>Dashboard!$C$10*EXP(-Dashboard!$C$12*A848)</f>
        <v>1.0353424831275472E-2</v>
      </c>
      <c r="C848" s="5">
        <f>Dashboard!$C$17*A848</f>
        <v>6768.0000000000009</v>
      </c>
      <c r="D848" s="5">
        <f>Dashboard!$C$15*(1-EXP(-Dashboard!$C$16*A848))</f>
        <v>0.78835808756126713</v>
      </c>
      <c r="E848" s="5">
        <f>1/(1+EXP(MIN(700,MAX(-700,(C848-Dashboard!$C$18)/Dashboard!$C$19))))</f>
        <v>3.5371450836629793E-4</v>
      </c>
      <c r="F848" s="5">
        <f t="shared" si="59"/>
        <v>2.7885369335832846E-4</v>
      </c>
      <c r="G848" s="8">
        <f>Dashboard!$C$9*B848*Dashboard!$C$11*(1-F848)</f>
        <v>20701.075481044725</v>
      </c>
      <c r="H848" s="8">
        <f>Dashboard!$C$20*A848^2</f>
        <v>572572.80000000016</v>
      </c>
      <c r="I848" s="8">
        <f t="shared" si="60"/>
        <v>593273.87548104487</v>
      </c>
      <c r="J848" s="8">
        <f>Dashboard!$C$13*A848</f>
        <v>169200.00000000003</v>
      </c>
      <c r="K848" s="8">
        <f>Dashboard!$C$14*A848</f>
        <v>253800.00000000003</v>
      </c>
      <c r="L848" s="8">
        <f>Dashboard!$C$21-K848</f>
        <v>1246200</v>
      </c>
      <c r="M848" s="8">
        <f t="shared" si="61"/>
        <v>483726.12451895513</v>
      </c>
      <c r="N848" s="8">
        <f t="shared" si="62"/>
        <v>423000.00000000006</v>
      </c>
      <c r="O848" s="8">
        <f>Dashboard!$C$15*(Dashboard!$C$16*EXP(-Dashboard!$C$16*A848)*E848-(1-EXP(-Dashboard!$C$16*A848))*Dashboard!$C$17/Dashboard!$C$19*E848*(1-E848))</f>
        <v>-3.6961445501434656E-4</v>
      </c>
      <c r="P848" s="8">
        <f>Dashboard!$C$9*B848*Dashboard!$C$11*(-Dashboard!$C$12*(1-F848)-O848)+2*Dashboard!$C$20*A848</f>
        <v>128122.27713258743</v>
      </c>
      <c r="Q848" s="8">
        <f>-P848-Dashboard!$C$13-Dashboard!$C$14</f>
        <v>-178122.27713258745</v>
      </c>
    </row>
    <row r="849" spans="1:17" x14ac:dyDescent="0.25">
      <c r="A849" s="5">
        <f>(849-2)/100</f>
        <v>8.4700000000000006</v>
      </c>
      <c r="B849" s="5">
        <f>Dashboard!$C$10*EXP(-Dashboard!$C$12*A849)</f>
        <v>1.0317251185173942E-2</v>
      </c>
      <c r="C849" s="5">
        <f>Dashboard!$C$17*A849</f>
        <v>6776.0000000000009</v>
      </c>
      <c r="D849" s="5">
        <f>Dashboard!$C$15*(1-EXP(-Dashboard!$C$16*A849))</f>
        <v>0.78841615184179226</v>
      </c>
      <c r="E849" s="5">
        <f>1/(1+EXP(MIN(700,MAX(-700,(C849-Dashboard!$C$18)/Dashboard!$C$19))))</f>
        <v>3.4903125211006066E-4</v>
      </c>
      <c r="F849" s="5">
        <f t="shared" si="59"/>
        <v>2.7518187666113647E-4</v>
      </c>
      <c r="G849" s="8">
        <f>Dashboard!$C$9*B849*Dashboard!$C$11*(1-F849)</f>
        <v>20628.824129261644</v>
      </c>
      <c r="H849" s="8">
        <f>Dashboard!$C$20*A849^2</f>
        <v>573927.20000000007</v>
      </c>
      <c r="I849" s="8">
        <f t="shared" si="60"/>
        <v>594556.02412926173</v>
      </c>
      <c r="J849" s="8">
        <f>Dashboard!$C$13*A849</f>
        <v>169400</v>
      </c>
      <c r="K849" s="8">
        <f>Dashboard!$C$14*A849</f>
        <v>254100.00000000003</v>
      </c>
      <c r="L849" s="8">
        <f>Dashboard!$C$21-K849</f>
        <v>1245900</v>
      </c>
      <c r="M849" s="8">
        <f t="shared" si="61"/>
        <v>481943.97587073827</v>
      </c>
      <c r="N849" s="8">
        <f t="shared" si="62"/>
        <v>423500</v>
      </c>
      <c r="O849" s="8">
        <f>Dashboard!$C$15*(Dashboard!$C$16*EXP(-Dashboard!$C$16*A849)*E849-(1-EXP(-Dashboard!$C$16*A849))*Dashboard!$C$17/Dashboard!$C$19*E849*(1-E849))</f>
        <v>-3.6475954360143387E-4</v>
      </c>
      <c r="P849" s="8">
        <f>Dashboard!$C$9*B849*Dashboard!$C$11*(-Dashboard!$C$12*(1-F849)-O849)+2*Dashboard!$C$20*A849</f>
        <v>128307.43818642548</v>
      </c>
      <c r="Q849" s="8">
        <f>-P849-Dashboard!$C$13-Dashboard!$C$14</f>
        <v>-178307.43818642548</v>
      </c>
    </row>
    <row r="850" spans="1:17" x14ac:dyDescent="0.25">
      <c r="A850" s="5">
        <f>(850-2)/100</f>
        <v>8.48</v>
      </c>
      <c r="B850" s="5">
        <f>Dashboard!$C$10*EXP(-Dashboard!$C$12*A850)</f>
        <v>1.0281203925528452E-2</v>
      </c>
      <c r="C850" s="5">
        <f>Dashboard!$C$17*A850</f>
        <v>6784</v>
      </c>
      <c r="D850" s="5">
        <f>Dashboard!$C$15*(1-EXP(-Dashboard!$C$16*A850))</f>
        <v>0.78847392652551018</v>
      </c>
      <c r="E850" s="5">
        <f>1/(1+EXP(MIN(700,MAX(-700,(C850-Dashboard!$C$18)/Dashboard!$C$19))))</f>
        <v>3.4440998181160673E-4</v>
      </c>
      <c r="F850" s="5">
        <f t="shared" si="59"/>
        <v>2.715582906935771E-4</v>
      </c>
      <c r="G850" s="8">
        <f>Dashboard!$C$9*B850*Dashboard!$C$11*(1-F850)</f>
        <v>20556.823958728324</v>
      </c>
      <c r="H850" s="8">
        <f>Dashboard!$C$20*A850^2</f>
        <v>575283.20000000007</v>
      </c>
      <c r="I850" s="8">
        <f t="shared" si="60"/>
        <v>595840.02395872842</v>
      </c>
      <c r="J850" s="8">
        <f>Dashboard!$C$13*A850</f>
        <v>169600</v>
      </c>
      <c r="K850" s="8">
        <f>Dashboard!$C$14*A850</f>
        <v>254400</v>
      </c>
      <c r="L850" s="8">
        <f>Dashboard!$C$21-K850</f>
        <v>1245600</v>
      </c>
      <c r="M850" s="8">
        <f t="shared" si="61"/>
        <v>480159.97604127158</v>
      </c>
      <c r="N850" s="8">
        <f t="shared" si="62"/>
        <v>424000</v>
      </c>
      <c r="O850" s="8">
        <f>Dashboard!$C$15*(Dashboard!$C$16*EXP(-Dashboard!$C$16*A850)*E850-(1-EXP(-Dashboard!$C$16*A850))*Dashboard!$C$17/Dashboard!$C$19*E850*(1-E850))</f>
        <v>-3.5996817036563724E-4</v>
      </c>
      <c r="P850" s="8">
        <f>Dashboard!$C$9*B850*Dashboard!$C$11*(-Dashboard!$C$12*(1-F850)-O850)+2*Dashboard!$C$20*A850</f>
        <v>128492.51342677754</v>
      </c>
      <c r="Q850" s="8">
        <f>-P850-Dashboard!$C$13-Dashboard!$C$14</f>
        <v>-178492.51342677756</v>
      </c>
    </row>
    <row r="851" spans="1:17" x14ac:dyDescent="0.25">
      <c r="A851" s="5">
        <f>(851-2)/100</f>
        <v>8.49</v>
      </c>
      <c r="B851" s="5">
        <f>Dashboard!$C$10*EXP(-Dashboard!$C$12*A851)</f>
        <v>1.0245282610759618E-2</v>
      </c>
      <c r="C851" s="5">
        <f>Dashboard!$C$17*A851</f>
        <v>6792</v>
      </c>
      <c r="D851" s="5">
        <f>Dashboard!$C$15*(1-EXP(-Dashboard!$C$16*A851))</f>
        <v>0.78853141305679086</v>
      </c>
      <c r="E851" s="5">
        <f>1/(1+EXP(MIN(700,MAX(-700,(C851-Dashboard!$C$18)/Dashboard!$C$19))))</f>
        <v>3.3984987760824267E-4</v>
      </c>
      <c r="F851" s="5">
        <f t="shared" si="59"/>
        <v>2.6798230421760504E-4</v>
      </c>
      <c r="G851" s="8">
        <f>Dashboard!$C$9*B851*Dashboard!$C$11*(1-F851)</f>
        <v>20485.074112636452</v>
      </c>
      <c r="H851" s="8">
        <f>Dashboard!$C$20*A851^2</f>
        <v>576640.80000000005</v>
      </c>
      <c r="I851" s="8">
        <f t="shared" si="60"/>
        <v>597125.87411263655</v>
      </c>
      <c r="J851" s="8">
        <f>Dashboard!$C$13*A851</f>
        <v>169800</v>
      </c>
      <c r="K851" s="8">
        <f>Dashboard!$C$14*A851</f>
        <v>254700</v>
      </c>
      <c r="L851" s="8">
        <f>Dashboard!$C$21-K851</f>
        <v>1245300</v>
      </c>
      <c r="M851" s="8">
        <f t="shared" si="61"/>
        <v>478374.12588736345</v>
      </c>
      <c r="N851" s="8">
        <f t="shared" si="62"/>
        <v>424500</v>
      </c>
      <c r="O851" s="8">
        <f>Dashboard!$C$15*(Dashboard!$C$16*EXP(-Dashboard!$C$16*A851)*E851-(1-EXP(-Dashboard!$C$16*A851))*Dashboard!$C$17/Dashboard!$C$19*E851*(1-E851))</f>
        <v>-3.5523950835125945E-4</v>
      </c>
      <c r="P851" s="8">
        <f>Dashboard!$C$9*B851*Dashboard!$C$11*(-Dashboard!$C$12*(1-F851)-O851)+2*Dashboard!$C$20*A851</f>
        <v>128677.50311889237</v>
      </c>
      <c r="Q851" s="8">
        <f>-P851-Dashboard!$C$13-Dashboard!$C$14</f>
        <v>-178677.50311889237</v>
      </c>
    </row>
    <row r="852" spans="1:17" x14ac:dyDescent="0.25">
      <c r="A852" s="5">
        <f>(852-2)/100</f>
        <v>8.5</v>
      </c>
      <c r="B852" s="5">
        <f>Dashboard!$C$10*EXP(-Dashboard!$C$12*A852)</f>
        <v>1.0209486800830885E-2</v>
      </c>
      <c r="C852" s="5">
        <f>Dashboard!$C$17*A852</f>
        <v>6800</v>
      </c>
      <c r="D852" s="5">
        <f>Dashboard!$C$15*(1-EXP(-Dashboard!$C$16*A852))</f>
        <v>0.78858861287280069</v>
      </c>
      <c r="E852" s="5">
        <f>1/(1+EXP(MIN(700,MAX(-700,(C852-Dashboard!$C$18)/Dashboard!$C$19))))</f>
        <v>3.3535013046647811E-4</v>
      </c>
      <c r="F852" s="5">
        <f t="shared" si="59"/>
        <v>2.6445329421127269E-4</v>
      </c>
      <c r="G852" s="8">
        <f>Dashboard!$C$9*B852*Dashboard!$C$11*(1-F852)</f>
        <v>20413.573736828395</v>
      </c>
      <c r="H852" s="8">
        <f>Dashboard!$C$20*A852^2</f>
        <v>578000</v>
      </c>
      <c r="I852" s="8">
        <f t="shared" si="60"/>
        <v>598413.5737368284</v>
      </c>
      <c r="J852" s="8">
        <f>Dashboard!$C$13*A852</f>
        <v>170000</v>
      </c>
      <c r="K852" s="8">
        <f>Dashboard!$C$14*A852</f>
        <v>255000</v>
      </c>
      <c r="L852" s="8">
        <f>Dashboard!$C$21-K852</f>
        <v>1245000</v>
      </c>
      <c r="M852" s="8">
        <f t="shared" si="61"/>
        <v>476586.4262631716</v>
      </c>
      <c r="N852" s="8">
        <f t="shared" si="62"/>
        <v>425000</v>
      </c>
      <c r="O852" s="8">
        <f>Dashboard!$C$15*(Dashboard!$C$16*EXP(-Dashboard!$C$16*A852)*E852-(1-EXP(-Dashboard!$C$16*A852))*Dashboard!$C$17/Dashboard!$C$19*E852*(1-E852))</f>
        <v>-3.5057274127178734E-4</v>
      </c>
      <c r="P852" s="8">
        <f>Dashboard!$C$9*B852*Dashboard!$C$11*(-Dashboard!$C$12*(1-F852)-O852)+2*Dashboard!$C$20*A852</f>
        <v>128862.40752765955</v>
      </c>
      <c r="Q852" s="8">
        <f>-P852-Dashboard!$C$13-Dashboard!$C$14</f>
        <v>-178862.40752765955</v>
      </c>
    </row>
    <row r="853" spans="1:17" x14ac:dyDescent="0.25">
      <c r="A853" s="5">
        <f>(853-2)/100</f>
        <v>8.51</v>
      </c>
      <c r="B853" s="5">
        <f>Dashboard!$C$10*EXP(-Dashboard!$C$12*A853)</f>
        <v>1.0173816057243129E-2</v>
      </c>
      <c r="C853" s="5">
        <f>Dashboard!$C$17*A853</f>
        <v>6808</v>
      </c>
      <c r="D853" s="5">
        <f>Dashboard!$C$15*(1-EXP(-Dashboard!$C$16*A853))</f>
        <v>0.78864552740353788</v>
      </c>
      <c r="E853" s="5">
        <f>1/(1+EXP(MIN(700,MAX(-700,(C853-Dashboard!$C$18)/Dashboard!$C$19))))</f>
        <v>3.3090994203937646E-4</v>
      </c>
      <c r="F853" s="5">
        <f t="shared" si="59"/>
        <v>2.6097064576271822E-4</v>
      </c>
      <c r="G853" s="8">
        <f>Dashboard!$C$9*B853*Dashboard!$C$11*(1-F853)</f>
        <v>20342.3219797936</v>
      </c>
      <c r="H853" s="8">
        <f>Dashboard!$C$20*A853^2</f>
        <v>579360.79999999993</v>
      </c>
      <c r="I853" s="8">
        <f t="shared" si="60"/>
        <v>599703.12197979353</v>
      </c>
      <c r="J853" s="8">
        <f>Dashboard!$C$13*A853</f>
        <v>170200</v>
      </c>
      <c r="K853" s="8">
        <f>Dashboard!$C$14*A853</f>
        <v>255300</v>
      </c>
      <c r="L853" s="8">
        <f>Dashboard!$C$21-K853</f>
        <v>1244700</v>
      </c>
      <c r="M853" s="8">
        <f t="shared" si="61"/>
        <v>474796.87802020647</v>
      </c>
      <c r="N853" s="8">
        <f t="shared" si="62"/>
        <v>425500</v>
      </c>
      <c r="O853" s="8">
        <f>Dashboard!$C$15*(Dashboard!$C$16*EXP(-Dashboard!$C$16*A853)*E853-(1-EXP(-Dashboard!$C$16*A853))*Dashboard!$C$17/Dashboard!$C$19*E853*(1-E853))</f>
        <v>-3.4596706337421503E-4</v>
      </c>
      <c r="P853" s="8">
        <f>Dashboard!$C$9*B853*Dashboard!$C$11*(-Dashboard!$C$12*(1-F853)-O853)+2*Dashboard!$C$20*A853</f>
        <v>129047.22691760151</v>
      </c>
      <c r="Q853" s="8">
        <f>-P853-Dashboard!$C$13-Dashboard!$C$14</f>
        <v>-179047.22691760151</v>
      </c>
    </row>
    <row r="854" spans="1:17" x14ac:dyDescent="0.25">
      <c r="A854" s="5">
        <f>(854-2)/100</f>
        <v>8.52</v>
      </c>
      <c r="B854" s="5">
        <f>Dashboard!$C$10*EXP(-Dashboard!$C$12*A854)</f>
        <v>1.0138269943029304E-2</v>
      </c>
      <c r="C854" s="5">
        <f>Dashboard!$C$17*A854</f>
        <v>6816</v>
      </c>
      <c r="D854" s="5">
        <f>Dashboard!$C$15*(1-EXP(-Dashboard!$C$16*A854))</f>
        <v>0.78870215807186883</v>
      </c>
      <c r="E854" s="5">
        <f>1/(1+EXP(MIN(700,MAX(-700,(C854-Dashboard!$C$18)/Dashboard!$C$19))))</f>
        <v>3.2652852452577381E-4</v>
      </c>
      <c r="F854" s="5">
        <f t="shared" si="59"/>
        <v>2.5753375196550094E-4</v>
      </c>
      <c r="G854" s="8">
        <f>Dashboard!$C$9*B854*Dashboard!$C$11*(1-F854)</f>
        <v>20271.317992664877</v>
      </c>
      <c r="H854" s="8">
        <f>Dashboard!$C$20*A854^2</f>
        <v>580723.19999999995</v>
      </c>
      <c r="I854" s="8">
        <f t="shared" si="60"/>
        <v>600994.51799266483</v>
      </c>
      <c r="J854" s="8">
        <f>Dashboard!$C$13*A854</f>
        <v>170400</v>
      </c>
      <c r="K854" s="8">
        <f>Dashboard!$C$14*A854</f>
        <v>255600</v>
      </c>
      <c r="L854" s="8">
        <f>Dashboard!$C$21-K854</f>
        <v>1244400</v>
      </c>
      <c r="M854" s="8">
        <f t="shared" si="61"/>
        <v>473005.48200733517</v>
      </c>
      <c r="N854" s="8">
        <f t="shared" si="62"/>
        <v>426000</v>
      </c>
      <c r="O854" s="8">
        <f>Dashboard!$C$15*(Dashboard!$C$16*EXP(-Dashboard!$C$16*A854)*E854-(1-EXP(-Dashboard!$C$16*A854))*Dashboard!$C$17/Dashboard!$C$19*E854*(1-E854))</f>
        <v>-3.4142167930504907E-4</v>
      </c>
      <c r="P854" s="8">
        <f>Dashboard!$C$9*B854*Dashboard!$C$11*(-Dashboard!$C$12*(1-F854)-O854)+2*Dashboard!$C$20*A854</f>
        <v>129231.96155286569</v>
      </c>
      <c r="Q854" s="8">
        <f>-P854-Dashboard!$C$13-Dashboard!$C$14</f>
        <v>-179231.96155286569</v>
      </c>
    </row>
    <row r="855" spans="1:17" x14ac:dyDescent="0.25">
      <c r="A855" s="5">
        <f>(855-2)/100</f>
        <v>8.5299999999999994</v>
      </c>
      <c r="B855" s="5">
        <f>Dashboard!$C$10*EXP(-Dashboard!$C$12*A855)</f>
        <v>1.0102848022749064E-2</v>
      </c>
      <c r="C855" s="5">
        <f>Dashboard!$C$17*A855</f>
        <v>6823.9999999999991</v>
      </c>
      <c r="D855" s="5">
        <f>Dashboard!$C$15*(1-EXP(-Dashboard!$C$16*A855))</f>
        <v>0.78875850629356314</v>
      </c>
      <c r="E855" s="5">
        <f>1/(1+EXP(MIN(700,MAX(-700,(C855-Dashboard!$C$18)/Dashboard!$C$19))))</f>
        <v>3.2220510053134382E-4</v>
      </c>
      <c r="F855" s="5">
        <f t="shared" si="59"/>
        <v>2.5414201381527012E-4</v>
      </c>
      <c r="G855" s="8">
        <f>Dashboard!$C$9*B855*Dashboard!$C$11*(1-F855)</f>
        <v>20200.560929214585</v>
      </c>
      <c r="H855" s="8">
        <f>Dashboard!$C$20*A855^2</f>
        <v>582087.19999999995</v>
      </c>
      <c r="I855" s="8">
        <f t="shared" si="60"/>
        <v>602287.76092921454</v>
      </c>
      <c r="J855" s="8">
        <f>Dashboard!$C$13*A855</f>
        <v>170600</v>
      </c>
      <c r="K855" s="8">
        <f>Dashboard!$C$14*A855</f>
        <v>255899.99999999997</v>
      </c>
      <c r="L855" s="8">
        <f>Dashboard!$C$21-K855</f>
        <v>1244100</v>
      </c>
      <c r="M855" s="8">
        <f t="shared" si="61"/>
        <v>471212.23907078546</v>
      </c>
      <c r="N855" s="8">
        <f t="shared" si="62"/>
        <v>426500</v>
      </c>
      <c r="O855" s="8">
        <f>Dashboard!$C$15*(Dashboard!$C$16*EXP(-Dashboard!$C$16*A855)*E855-(1-EXP(-Dashboard!$C$16*A855))*Dashboard!$C$17/Dashboard!$C$19*E855*(1-E855))</f>
        <v>-3.3693580397797692E-4</v>
      </c>
      <c r="P855" s="8">
        <f>Dashboard!$C$9*B855*Dashboard!$C$11*(-Dashboard!$C$12*(1-F855)-O855)+2*Dashboard!$C$20*A855</f>
        <v>129416.61169721693</v>
      </c>
      <c r="Q855" s="8">
        <f>-P855-Dashboard!$C$13-Dashboard!$C$14</f>
        <v>-179416.61169721693</v>
      </c>
    </row>
    <row r="856" spans="1:17" x14ac:dyDescent="0.25">
      <c r="A856" s="5">
        <f>(856-2)/100</f>
        <v>8.5399999999999991</v>
      </c>
      <c r="B856" s="5">
        <f>Dashboard!$C$10*EXP(-Dashboard!$C$12*A856)</f>
        <v>1.0067549862483439E-2</v>
      </c>
      <c r="C856" s="5">
        <f>Dashboard!$C$17*A856</f>
        <v>6831.9999999999991</v>
      </c>
      <c r="D856" s="5">
        <f>Dashboard!$C$15*(1-EXP(-Dashboard!$C$16*A856))</f>
        <v>0.78881457347732942</v>
      </c>
      <c r="E856" s="5">
        <f>1/(1+EXP(MIN(700,MAX(-700,(C856-Dashboard!$C$18)/Dashboard!$C$19))))</f>
        <v>3.1793890293148141E-4</v>
      </c>
      <c r="F856" s="5">
        <f t="shared" si="59"/>
        <v>2.5079484010774654E-4</v>
      </c>
      <c r="G856" s="8">
        <f>Dashboard!$C$9*B856*Dashboard!$C$11*(1-F856)</f>
        <v>20130.049945850806</v>
      </c>
      <c r="H856" s="8">
        <f>Dashboard!$C$20*A856^2</f>
        <v>583452.79999999993</v>
      </c>
      <c r="I856" s="8">
        <f t="shared" si="60"/>
        <v>603582.84994585079</v>
      </c>
      <c r="J856" s="8">
        <f>Dashboard!$C$13*A856</f>
        <v>170799.99999999997</v>
      </c>
      <c r="K856" s="8">
        <f>Dashboard!$C$14*A856</f>
        <v>256199.99999999997</v>
      </c>
      <c r="L856" s="8">
        <f>Dashboard!$C$21-K856</f>
        <v>1243800</v>
      </c>
      <c r="M856" s="8">
        <f t="shared" si="61"/>
        <v>469417.15005414921</v>
      </c>
      <c r="N856" s="8">
        <f t="shared" si="62"/>
        <v>426999.99999999994</v>
      </c>
      <c r="O856" s="8">
        <f>Dashboard!$C$15*(Dashboard!$C$16*EXP(-Dashboard!$C$16*A856)*E856-(1-EXP(-Dashboard!$C$16*A856))*Dashboard!$C$17/Dashboard!$C$19*E856*(1-E856))</f>
        <v>-3.325086624431764E-4</v>
      </c>
      <c r="P856" s="8">
        <f>Dashboard!$C$9*B856*Dashboard!$C$11*(-Dashboard!$C$12*(1-F856)-O856)+2*Dashboard!$C$20*A856</f>
        <v>129601.17761402993</v>
      </c>
      <c r="Q856" s="8">
        <f>-P856-Dashboard!$C$13-Dashboard!$C$14</f>
        <v>-179601.17761402993</v>
      </c>
    </row>
    <row r="857" spans="1:17" x14ac:dyDescent="0.25">
      <c r="A857" s="5">
        <f>(857-2)/100</f>
        <v>8.5500000000000007</v>
      </c>
      <c r="B857" s="5">
        <f>Dashboard!$C$10*EXP(-Dashboard!$C$12*A857)</f>
        <v>1.0032375029829517E-2</v>
      </c>
      <c r="C857" s="5">
        <f>Dashboard!$C$17*A857</f>
        <v>6840.0000000000009</v>
      </c>
      <c r="D857" s="5">
        <f>Dashboard!$C$15*(1-EXP(-Dashboard!$C$16*A857))</f>
        <v>0.78887036102484998</v>
      </c>
      <c r="E857" s="5">
        <f>1/(1+EXP(MIN(700,MAX(-700,(C857-Dashboard!$C$18)/Dashboard!$C$19))))</f>
        <v>3.1372917473598437E-4</v>
      </c>
      <c r="F857" s="5">
        <f t="shared" si="59"/>
        <v>2.4749164733800424E-4</v>
      </c>
      <c r="G857" s="8">
        <f>Dashboard!$C$9*B857*Dashboard!$C$11*(1-F857)</f>
        <v>20059.784201613344</v>
      </c>
      <c r="H857" s="8">
        <f>Dashboard!$C$20*A857^2</f>
        <v>584820</v>
      </c>
      <c r="I857" s="8">
        <f t="shared" si="60"/>
        <v>604879.78420161339</v>
      </c>
      <c r="J857" s="8">
        <f>Dashboard!$C$13*A857</f>
        <v>171000</v>
      </c>
      <c r="K857" s="8">
        <f>Dashboard!$C$14*A857</f>
        <v>256500.00000000003</v>
      </c>
      <c r="L857" s="8">
        <f>Dashboard!$C$21-K857</f>
        <v>1243500</v>
      </c>
      <c r="M857" s="8">
        <f t="shared" si="61"/>
        <v>467620.21579838661</v>
      </c>
      <c r="N857" s="8">
        <f t="shared" si="62"/>
        <v>427500</v>
      </c>
      <c r="O857" s="8">
        <f>Dashboard!$C$15*(Dashboard!$C$16*EXP(-Dashboard!$C$16*A857)*E857-(1-EXP(-Dashboard!$C$16*A857))*Dashboard!$C$17/Dashboard!$C$19*E857*(1-E857))</f>
        <v>-3.281394897582495E-4</v>
      </c>
      <c r="P857" s="8">
        <f>Dashboard!$C$9*B857*Dashboard!$C$11*(-Dashboard!$C$12*(1-F857)-O857)+2*Dashboard!$C$20*A857</f>
        <v>129785.65956628203</v>
      </c>
      <c r="Q857" s="8">
        <f>-P857-Dashboard!$C$13-Dashboard!$C$14</f>
        <v>-179785.65956628203</v>
      </c>
    </row>
    <row r="858" spans="1:17" x14ac:dyDescent="0.25">
      <c r="A858" s="5">
        <f>(858-2)/100</f>
        <v>8.56</v>
      </c>
      <c r="B858" s="5">
        <f>Dashboard!$C$10*EXP(-Dashboard!$C$12*A858)</f>
        <v>9.9973230938951788E-3</v>
      </c>
      <c r="C858" s="5">
        <f>Dashboard!$C$17*A858</f>
        <v>6848</v>
      </c>
      <c r="D858" s="5">
        <f>Dashboard!$C$15*(1-EXP(-Dashboard!$C$16*A858))</f>
        <v>0.7889258703308164</v>
      </c>
      <c r="E858" s="5">
        <f>1/(1+EXP(MIN(700,MAX(-700,(C858-Dashboard!$C$18)/Dashboard!$C$19))))</f>
        <v>3.0957516895551584E-4</v>
      </c>
      <c r="F858" s="5">
        <f t="shared" si="59"/>
        <v>2.4423185960103984E-4</v>
      </c>
      <c r="G858" s="8">
        <f>Dashboard!$C$9*B858*Dashboard!$C$11*(1-F858)</f>
        <v>19989.762858169848</v>
      </c>
      <c r="H858" s="8">
        <f>Dashboard!$C$20*A858^2</f>
        <v>586188.80000000005</v>
      </c>
      <c r="I858" s="8">
        <f t="shared" si="60"/>
        <v>606178.5628581699</v>
      </c>
      <c r="J858" s="8">
        <f>Dashboard!$C$13*A858</f>
        <v>171200</v>
      </c>
      <c r="K858" s="8">
        <f>Dashboard!$C$14*A858</f>
        <v>256800.00000000003</v>
      </c>
      <c r="L858" s="8">
        <f>Dashboard!$C$21-K858</f>
        <v>1243200</v>
      </c>
      <c r="M858" s="8">
        <f t="shared" si="61"/>
        <v>465821.4371418301</v>
      </c>
      <c r="N858" s="8">
        <f t="shared" si="62"/>
        <v>428000</v>
      </c>
      <c r="O858" s="8">
        <f>Dashboard!$C$15*(Dashboard!$C$16*EXP(-Dashboard!$C$16*A858)*E858-(1-EXP(-Dashboard!$C$16*A858))*Dashboard!$C$17/Dashboard!$C$19*E858*(1-E858))</f>
        <v>-3.2382753086076637E-4</v>
      </c>
      <c r="P858" s="8">
        <f>Dashboard!$C$9*B858*Dashboard!$C$11*(-Dashboard!$C$12*(1-F858)-O858)+2*Dashboard!$C$20*A858</f>
        <v>129970.05781654597</v>
      </c>
      <c r="Q858" s="8">
        <f>-P858-Dashboard!$C$13-Dashboard!$C$14</f>
        <v>-179970.05781654597</v>
      </c>
    </row>
    <row r="859" spans="1:17" x14ac:dyDescent="0.25">
      <c r="A859" s="5">
        <f>(859-2)/100</f>
        <v>8.57</v>
      </c>
      <c r="B859" s="5">
        <f>Dashboard!$C$10*EXP(-Dashboard!$C$12*A859)</f>
        <v>9.9623936252937594E-3</v>
      </c>
      <c r="C859" s="5">
        <f>Dashboard!$C$17*A859</f>
        <v>6856</v>
      </c>
      <c r="D859" s="5">
        <f>Dashboard!$C$15*(1-EXP(-Dashboard!$C$16*A859))</f>
        <v>0.78898110278296452</v>
      </c>
      <c r="E859" s="5">
        <f>1/(1+EXP(MIN(700,MAX(-700,(C859-Dashboard!$C$18)/Dashboard!$C$19))))</f>
        <v>3.0547614846980015E-4</v>
      </c>
      <c r="F859" s="5">
        <f t="shared" si="59"/>
        <v>2.4101490849359552E-4</v>
      </c>
      <c r="G859" s="8">
        <f>Dashboard!$C$9*B859*Dashboard!$C$11*(1-F859)</f>
        <v>19919.985079811566</v>
      </c>
      <c r="H859" s="8">
        <f>Dashboard!$C$20*A859^2</f>
        <v>587559.20000000007</v>
      </c>
      <c r="I859" s="8">
        <f t="shared" si="60"/>
        <v>607479.18507981161</v>
      </c>
      <c r="J859" s="8">
        <f>Dashboard!$C$13*A859</f>
        <v>171400</v>
      </c>
      <c r="K859" s="8">
        <f>Dashboard!$C$14*A859</f>
        <v>257100</v>
      </c>
      <c r="L859" s="8">
        <f>Dashboard!$C$21-K859</f>
        <v>1242900</v>
      </c>
      <c r="M859" s="8">
        <f t="shared" si="61"/>
        <v>464020.81492018839</v>
      </c>
      <c r="N859" s="8">
        <f t="shared" si="62"/>
        <v>428500</v>
      </c>
      <c r="O859" s="8">
        <f>Dashboard!$C$15*(Dashboard!$C$16*EXP(-Dashboard!$C$16*A859)*E859-(1-EXP(-Dashboard!$C$16*A859))*Dashboard!$C$17/Dashboard!$C$19*E859*(1-E859))</f>
        <v>-3.1957204044237775E-4</v>
      </c>
      <c r="P859" s="8">
        <f>Dashboard!$C$9*B859*Dashboard!$C$11*(-Dashboard!$C$12*(1-F859)-O859)+2*Dashboard!$C$20*A859</f>
        <v>130154.37262698301</v>
      </c>
      <c r="Q859" s="8">
        <f>-P859-Dashboard!$C$13-Dashboard!$C$14</f>
        <v>-180154.37262698301</v>
      </c>
    </row>
    <row r="860" spans="1:17" x14ac:dyDescent="0.25">
      <c r="A860" s="5">
        <f>(860-2)/100</f>
        <v>8.58</v>
      </c>
      <c r="B860" s="5">
        <f>Dashboard!$C$10*EXP(-Dashboard!$C$12*A860)</f>
        <v>9.9275861961388295E-3</v>
      </c>
      <c r="C860" s="5">
        <f>Dashboard!$C$17*A860</f>
        <v>6864</v>
      </c>
      <c r="D860" s="5">
        <f>Dashboard!$C$15*(1-EXP(-Dashboard!$C$16*A860))</f>
        <v>0.78903605976210811</v>
      </c>
      <c r="E860" s="5">
        <f>1/(1+EXP(MIN(700,MAX(-700,(C860-Dashboard!$C$18)/Dashboard!$C$19))))</f>
        <v>3.0143138589756575E-4</v>
      </c>
      <c r="F860" s="5">
        <f t="shared" si="59"/>
        <v>2.3784023301724676E-4</v>
      </c>
      <c r="G860" s="8">
        <f>Dashboard!$C$9*B860*Dashboard!$C$11*(1-F860)</f>
        <v>19850.45003344928</v>
      </c>
      <c r="H860" s="8">
        <f>Dashboard!$C$20*A860^2</f>
        <v>588931.19999999995</v>
      </c>
      <c r="I860" s="8">
        <f t="shared" si="60"/>
        <v>608781.65003344929</v>
      </c>
      <c r="J860" s="8">
        <f>Dashboard!$C$13*A860</f>
        <v>171600</v>
      </c>
      <c r="K860" s="8">
        <f>Dashboard!$C$14*A860</f>
        <v>257400</v>
      </c>
      <c r="L860" s="8">
        <f>Dashboard!$C$21-K860</f>
        <v>1242600</v>
      </c>
      <c r="M860" s="8">
        <f t="shared" si="61"/>
        <v>462218.34996655071</v>
      </c>
      <c r="N860" s="8">
        <f t="shared" si="62"/>
        <v>429000</v>
      </c>
      <c r="O860" s="8">
        <f>Dashboard!$C$15*(Dashboard!$C$16*EXP(-Dashboard!$C$16*A860)*E860-(1-EXP(-Dashboard!$C$16*A860))*Dashboard!$C$17/Dashboard!$C$19*E860*(1-E860))</f>
        <v>-3.1537228282451198E-4</v>
      </c>
      <c r="P860" s="8">
        <f>Dashboard!$C$9*B860*Dashboard!$C$11*(-Dashboard!$C$12*(1-F860)-O860)+2*Dashboard!$C$20*A860</f>
        <v>130338.60425933597</v>
      </c>
      <c r="Q860" s="8">
        <f>-P860-Dashboard!$C$13-Dashboard!$C$14</f>
        <v>-180338.60425933596</v>
      </c>
    </row>
    <row r="861" spans="1:17" x14ac:dyDescent="0.25">
      <c r="A861" s="5">
        <f>(861-2)/100</f>
        <v>8.59</v>
      </c>
      <c r="B861" s="5">
        <f>Dashboard!$C$10*EXP(-Dashboard!$C$12*A861)</f>
        <v>9.8929003800389461E-3</v>
      </c>
      <c r="C861" s="5">
        <f>Dashboard!$C$17*A861</f>
        <v>6872</v>
      </c>
      <c r="D861" s="5">
        <f>Dashboard!$C$15*(1-EXP(-Dashboard!$C$16*A861))</f>
        <v>0.78909074264217471</v>
      </c>
      <c r="E861" s="5">
        <f>1/(1+EXP(MIN(700,MAX(-700,(C861-Dashboard!$C$18)/Dashboard!$C$19))))</f>
        <v>2.9744016346818311E-4</v>
      </c>
      <c r="F861" s="5">
        <f t="shared" si="59"/>
        <v>2.3470727948271845E-4</v>
      </c>
      <c r="G861" s="8">
        <f>Dashboard!$C$9*B861*Dashboard!$C$11*(1-F861)</f>
        <v>19781.156888609108</v>
      </c>
      <c r="H861" s="8">
        <f>Dashboard!$C$20*A861^2</f>
        <v>590304.80000000005</v>
      </c>
      <c r="I861" s="8">
        <f t="shared" si="60"/>
        <v>610085.9568886091</v>
      </c>
      <c r="J861" s="8">
        <f>Dashboard!$C$13*A861</f>
        <v>171800</v>
      </c>
      <c r="K861" s="8">
        <f>Dashboard!$C$14*A861</f>
        <v>257700</v>
      </c>
      <c r="L861" s="8">
        <f>Dashboard!$C$21-K861</f>
        <v>1242300</v>
      </c>
      <c r="M861" s="8">
        <f t="shared" si="61"/>
        <v>460414.0431113909</v>
      </c>
      <c r="N861" s="8">
        <f t="shared" si="62"/>
        <v>429500</v>
      </c>
      <c r="O861" s="8">
        <f>Dashboard!$C$15*(Dashboard!$C$16*EXP(-Dashboard!$C$16*A861)*E861-(1-EXP(-Dashboard!$C$16*A861))*Dashboard!$C$17/Dashboard!$C$19*E861*(1-E861))</f>
        <v>-3.1122753183560861E-4</v>
      </c>
      <c r="P861" s="8">
        <f>Dashboard!$C$9*B861*Dashboard!$C$11*(-Dashboard!$C$12*(1-F861)-O861)+2*Dashboard!$C$20*A861</f>
        <v>130522.75297492277</v>
      </c>
      <c r="Q861" s="8">
        <f>-P861-Dashboard!$C$13-Dashboard!$C$14</f>
        <v>-180522.75297492277</v>
      </c>
    </row>
    <row r="862" spans="1:17" x14ac:dyDescent="0.25">
      <c r="A862" s="5">
        <f>(862-2)/100</f>
        <v>8.6</v>
      </c>
      <c r="B862" s="5">
        <f>Dashboard!$C$10*EXP(-Dashboard!$C$12*A862)</f>
        <v>9.8583357520924345E-3</v>
      </c>
      <c r="C862" s="5">
        <f>Dashboard!$C$17*A862</f>
        <v>6880</v>
      </c>
      <c r="D862" s="5">
        <f>Dashboard!$C$15*(1-EXP(-Dashboard!$C$16*A862))</f>
        <v>0.78914515279023933</v>
      </c>
      <c r="E862" s="5">
        <f>1/(1+EXP(MIN(700,MAX(-700,(C862-Dashboard!$C$18)/Dashboard!$C$19))))</f>
        <v>2.9350177289498683E-4</v>
      </c>
      <c r="F862" s="5">
        <f t="shared" si="59"/>
        <v>2.3161550141542051E-4</v>
      </c>
      <c r="G862" s="8">
        <f>Dashboard!$C$9*B862*Dashboard!$C$11*(1-F862)</f>
        <v>19712.104817428186</v>
      </c>
      <c r="H862" s="8">
        <f>Dashboard!$C$20*A862^2</f>
        <v>591680</v>
      </c>
      <c r="I862" s="8">
        <f t="shared" si="60"/>
        <v>611392.10481742816</v>
      </c>
      <c r="J862" s="8">
        <f>Dashboard!$C$13*A862</f>
        <v>172000</v>
      </c>
      <c r="K862" s="8">
        <f>Dashboard!$C$14*A862</f>
        <v>258000</v>
      </c>
      <c r="L862" s="8">
        <f>Dashboard!$C$21-K862</f>
        <v>1242000</v>
      </c>
      <c r="M862" s="8">
        <f t="shared" si="61"/>
        <v>458607.89518257184</v>
      </c>
      <c r="N862" s="8">
        <f t="shared" si="62"/>
        <v>430000</v>
      </c>
      <c r="O862" s="8">
        <f>Dashboard!$C$15*(Dashboard!$C$16*EXP(-Dashboard!$C$16*A862)*E862-(1-EXP(-Dashboard!$C$16*A862))*Dashboard!$C$17/Dashboard!$C$19*E862*(1-E862))</f>
        <v>-3.071370706898823E-4</v>
      </c>
      <c r="P862" s="8">
        <f>Dashboard!$C$9*B862*Dashboard!$C$11*(-Dashboard!$C$12*(1-F862)-O862)+2*Dashboard!$C$20*A862</f>
        <v>130706.81903462969</v>
      </c>
      <c r="Q862" s="8">
        <f>-P862-Dashboard!$C$13-Dashboard!$C$14</f>
        <v>-180706.81903462968</v>
      </c>
    </row>
    <row r="863" spans="1:17" x14ac:dyDescent="0.25">
      <c r="A863" s="5">
        <f>(863-2)/100</f>
        <v>8.61</v>
      </c>
      <c r="B863" s="5">
        <f>Dashboard!$C$10*EXP(-Dashboard!$C$12*A863)</f>
        <v>9.8238918888821671E-3</v>
      </c>
      <c r="C863" s="5">
        <f>Dashboard!$C$17*A863</f>
        <v>6888</v>
      </c>
      <c r="D863" s="5">
        <f>Dashboard!$C$15*(1-EXP(-Dashboard!$C$16*A863))</f>
        <v>0.78919929156655821</v>
      </c>
      <c r="E863" s="5">
        <f>1/(1+EXP(MIN(700,MAX(-700,(C863-Dashboard!$C$18)/Dashboard!$C$19))))</f>
        <v>2.8961551525026423E-4</v>
      </c>
      <c r="F863" s="5">
        <f t="shared" si="59"/>
        <v>2.2856435946219227E-4</v>
      </c>
      <c r="G863" s="8">
        <f>Dashboard!$C$9*B863*Dashboard!$C$11*(1-F863)</f>
        <v>19643.292994650317</v>
      </c>
      <c r="H863" s="8">
        <f>Dashboard!$C$20*A863^2</f>
        <v>593056.79999999993</v>
      </c>
      <c r="I863" s="8">
        <f t="shared" si="60"/>
        <v>612700.09299465024</v>
      </c>
      <c r="J863" s="8">
        <f>Dashboard!$C$13*A863</f>
        <v>172200</v>
      </c>
      <c r="K863" s="8">
        <f>Dashboard!$C$14*A863</f>
        <v>258299.99999999997</v>
      </c>
      <c r="L863" s="8">
        <f>Dashboard!$C$21-K863</f>
        <v>1241700</v>
      </c>
      <c r="M863" s="8">
        <f t="shared" si="61"/>
        <v>456799.90700534976</v>
      </c>
      <c r="N863" s="8">
        <f t="shared" si="62"/>
        <v>430500</v>
      </c>
      <c r="O863" s="8">
        <f>Dashboard!$C$15*(Dashboard!$C$16*EXP(-Dashboard!$C$16*A863)*E863-(1-EXP(-Dashboard!$C$16*A863))*Dashboard!$C$17/Dashboard!$C$19*E863*(1-E863))</f>
        <v>-3.031001918676021E-4</v>
      </c>
      <c r="P863" s="8">
        <f>Dashboard!$C$9*B863*Dashboard!$C$11*(-Dashboard!$C$12*(1-F863)-O863)+2*Dashboard!$C$20*A863</f>
        <v>130890.8026989052</v>
      </c>
      <c r="Q863" s="8">
        <f>-P863-Dashboard!$C$13-Dashboard!$C$14</f>
        <v>-180890.8026989052</v>
      </c>
    </row>
    <row r="864" spans="1:17" x14ac:dyDescent="0.25">
      <c r="A864" s="5">
        <f>(864-2)/100</f>
        <v>8.6199999999999992</v>
      </c>
      <c r="B864" s="5">
        <f>Dashboard!$C$10*EXP(-Dashboard!$C$12*A864)</f>
        <v>9.7895683684703881E-3</v>
      </c>
      <c r="C864" s="5">
        <f>Dashboard!$C$17*A864</f>
        <v>6895.9999999999991</v>
      </c>
      <c r="D864" s="5">
        <f>Dashboard!$C$15*(1-EXP(-Dashboard!$C$16*A864))</f>
        <v>0.7892531603246038</v>
      </c>
      <c r="E864" s="5">
        <f>1/(1+EXP(MIN(700,MAX(-700,(C864-Dashboard!$C$18)/Dashboard!$C$19))))</f>
        <v>2.8578070084187967E-4</v>
      </c>
      <c r="F864" s="5">
        <f t="shared" si="59"/>
        <v>2.2555332129923369E-4</v>
      </c>
      <c r="G864" s="8">
        <f>Dashboard!$C$9*B864*Dashboard!$C$11*(1-F864)</f>
        <v>19574.720597621588</v>
      </c>
      <c r="H864" s="8">
        <f>Dashboard!$C$20*A864^2</f>
        <v>594435.19999999995</v>
      </c>
      <c r="I864" s="8">
        <f t="shared" si="60"/>
        <v>614009.92059762159</v>
      </c>
      <c r="J864" s="8">
        <f>Dashboard!$C$13*A864</f>
        <v>172399.99999999997</v>
      </c>
      <c r="K864" s="8">
        <f>Dashboard!$C$14*A864</f>
        <v>258599.99999999997</v>
      </c>
      <c r="L864" s="8">
        <f>Dashboard!$C$21-K864</f>
        <v>1241400</v>
      </c>
      <c r="M864" s="8">
        <f t="shared" si="61"/>
        <v>454990.07940237841</v>
      </c>
      <c r="N864" s="8">
        <f t="shared" si="62"/>
        <v>430999.99999999994</v>
      </c>
      <c r="O864" s="8">
        <f>Dashboard!$C$15*(Dashboard!$C$16*EXP(-Dashboard!$C$16*A864)*E864-(1-EXP(-Dashboard!$C$16*A864))*Dashboard!$C$17/Dashboard!$C$19*E864*(1-E864))</f>
        <v>-2.9911619699685908E-4</v>
      </c>
      <c r="P864" s="8">
        <f>Dashboard!$C$9*B864*Dashboard!$C$11*(-Dashboard!$C$12*(1-F864)-O864)+2*Dashboard!$C$20*A864</f>
        <v>131074.70422775368</v>
      </c>
      <c r="Q864" s="8">
        <f>-P864-Dashboard!$C$13-Dashboard!$C$14</f>
        <v>-181074.70422775368</v>
      </c>
    </row>
    <row r="865" spans="1:17" x14ac:dyDescent="0.25">
      <c r="A865" s="5">
        <f>(865-2)/100</f>
        <v>8.6300000000000008</v>
      </c>
      <c r="B865" s="5">
        <f>Dashboard!$C$10*EXP(-Dashboard!$C$12*A865)</f>
        <v>9.7553647703935362E-3</v>
      </c>
      <c r="C865" s="5">
        <f>Dashboard!$C$17*A865</f>
        <v>6904.0000000000009</v>
      </c>
      <c r="D865" s="5">
        <f>Dashboard!$C$15*(1-EXP(-Dashboard!$C$16*A865))</f>
        <v>0.78930676041109771</v>
      </c>
      <c r="E865" s="5">
        <f>1/(1+EXP(MIN(700,MAX(-700,(C865-Dashboard!$C$18)/Dashboard!$C$19))))</f>
        <v>2.819966490915159E-4</v>
      </c>
      <c r="F865" s="5">
        <f t="shared" si="59"/>
        <v>2.2258186154120954E-4</v>
      </c>
      <c r="G865" s="8">
        <f>Dashboard!$C$9*B865*Dashboard!$C$11*(1-F865)</f>
        <v>19506.386806285856</v>
      </c>
      <c r="H865" s="8">
        <f>Dashboard!$C$20*A865^2</f>
        <v>595815.20000000007</v>
      </c>
      <c r="I865" s="8">
        <f t="shared" si="60"/>
        <v>615321.58680628589</v>
      </c>
      <c r="J865" s="8">
        <f>Dashboard!$C$13*A865</f>
        <v>172600.00000000003</v>
      </c>
      <c r="K865" s="8">
        <f>Dashboard!$C$14*A865</f>
        <v>258900.00000000003</v>
      </c>
      <c r="L865" s="8">
        <f>Dashboard!$C$21-K865</f>
        <v>1241100</v>
      </c>
      <c r="M865" s="8">
        <f t="shared" si="61"/>
        <v>453178.41319371411</v>
      </c>
      <c r="N865" s="8">
        <f t="shared" si="62"/>
        <v>431500.00000000006</v>
      </c>
      <c r="O865" s="8">
        <f>Dashboard!$C$15*(Dashboard!$C$16*EXP(-Dashboard!$C$16*A865)*E865-(1-EXP(-Dashboard!$C$16*A865))*Dashboard!$C$17/Dashboard!$C$19*E865*(1-E865))</f>
        <v>-2.9518439673680686E-4</v>
      </c>
      <c r="P865" s="8">
        <f>Dashboard!$C$9*B865*Dashboard!$C$11*(-Dashboard!$C$12*(1-F865)-O865)+2*Dashboard!$C$20*A865</f>
        <v>131258.52388072934</v>
      </c>
      <c r="Q865" s="8">
        <f>-P865-Dashboard!$C$13-Dashboard!$C$14</f>
        <v>-181258.52388072934</v>
      </c>
    </row>
    <row r="866" spans="1:17" x14ac:dyDescent="0.25">
      <c r="A866" s="5">
        <f>(866-2)/100</f>
        <v>8.64</v>
      </c>
      <c r="B866" s="5">
        <f>Dashboard!$C$10*EXP(-Dashboard!$C$12*A866)</f>
        <v>9.7212806756571211E-3</v>
      </c>
      <c r="C866" s="5">
        <f>Dashboard!$C$17*A866</f>
        <v>6912</v>
      </c>
      <c r="D866" s="5">
        <f>Dashboard!$C$15*(1-EXP(-Dashboard!$C$16*A866))</f>
        <v>0.78936009316604505</v>
      </c>
      <c r="E866" s="5">
        <f>1/(1+EXP(MIN(700,MAX(-700,(C866-Dashboard!$C$18)/Dashboard!$C$19))))</f>
        <v>2.782626884145241E-4</v>
      </c>
      <c r="F866" s="5">
        <f t="shared" si="59"/>
        <v>2.196494616515229E-4</v>
      </c>
      <c r="G866" s="8">
        <f>Dashboard!$C$9*B866*Dashboard!$C$11*(1-F866)</f>
        <v>19438.290803180298</v>
      </c>
      <c r="H866" s="8">
        <f>Dashboard!$C$20*A866^2</f>
        <v>597196.80000000005</v>
      </c>
      <c r="I866" s="8">
        <f t="shared" si="60"/>
        <v>616635.09080318036</v>
      </c>
      <c r="J866" s="8">
        <f>Dashboard!$C$13*A866</f>
        <v>172800</v>
      </c>
      <c r="K866" s="8">
        <f>Dashboard!$C$14*A866</f>
        <v>259200.00000000003</v>
      </c>
      <c r="L866" s="8">
        <f>Dashboard!$C$21-K866</f>
        <v>1240800</v>
      </c>
      <c r="M866" s="8">
        <f t="shared" si="61"/>
        <v>451364.90919681964</v>
      </c>
      <c r="N866" s="8">
        <f t="shared" si="62"/>
        <v>432000</v>
      </c>
      <c r="O866" s="8">
        <f>Dashboard!$C$15*(Dashboard!$C$16*EXP(-Dashboard!$C$16*A866)*E866-(1-EXP(-Dashboard!$C$16*A866))*Dashboard!$C$17/Dashboard!$C$19*E866*(1-E866))</f>
        <v>-2.9130411066237167E-4</v>
      </c>
      <c r="P866" s="8">
        <f>Dashboard!$C$9*B866*Dashboard!$C$11*(-Dashboard!$C$12*(1-F866)-O866)+2*Dashboard!$C$20*A866</f>
        <v>131442.26191693035</v>
      </c>
      <c r="Q866" s="8">
        <f>-P866-Dashboard!$C$13-Dashboard!$C$14</f>
        <v>-181442.26191693035</v>
      </c>
    </row>
    <row r="867" spans="1:17" x14ac:dyDescent="0.25">
      <c r="A867" s="5">
        <f>(867-2)/100</f>
        <v>8.65</v>
      </c>
      <c r="B867" s="5">
        <f>Dashboard!$C$10*EXP(-Dashboard!$C$12*A867)</f>
        <v>9.6873156667305511E-3</v>
      </c>
      <c r="C867" s="5">
        <f>Dashboard!$C$17*A867</f>
        <v>6920</v>
      </c>
      <c r="D867" s="5">
        <f>Dashboard!$C$15*(1-EXP(-Dashboard!$C$16*A867))</f>
        <v>0.78941315992276728</v>
      </c>
      <c r="E867" s="5">
        <f>1/(1+EXP(MIN(700,MAX(-700,(C867-Dashboard!$C$18)/Dashboard!$C$19))))</f>
        <v>2.7457815610133291E-4</v>
      </c>
      <c r="F867" s="5">
        <f t="shared" si="59"/>
        <v>2.1675560985372008E-4</v>
      </c>
      <c r="G867" s="8">
        <f>Dashboard!$C$9*B867*Dashboard!$C$11*(1-F867)</f>
        <v>19370.431773430726</v>
      </c>
      <c r="H867" s="8">
        <f>Dashboard!$C$20*A867^2</f>
        <v>598580</v>
      </c>
      <c r="I867" s="8">
        <f t="shared" si="60"/>
        <v>617950.43177343067</v>
      </c>
      <c r="J867" s="8">
        <f>Dashboard!$C$13*A867</f>
        <v>173000</v>
      </c>
      <c r="K867" s="8">
        <f>Dashboard!$C$14*A867</f>
        <v>259500</v>
      </c>
      <c r="L867" s="8">
        <f>Dashboard!$C$21-K867</f>
        <v>1240500</v>
      </c>
      <c r="M867" s="8">
        <f t="shared" si="61"/>
        <v>449549.56822656933</v>
      </c>
      <c r="N867" s="8">
        <f t="shared" si="62"/>
        <v>432500</v>
      </c>
      <c r="O867" s="8">
        <f>Dashboard!$C$15*(Dashboard!$C$16*EXP(-Dashboard!$C$16*A867)*E867-(1-EXP(-Dashboard!$C$16*A867))*Dashboard!$C$17/Dashboard!$C$19*E867*(1-E867))</f>
        <v>-2.8747466715038265E-4</v>
      </c>
      <c r="P867" s="8">
        <f>Dashboard!$C$9*B867*Dashboard!$C$11*(-Dashboard!$C$12*(1-F867)-O867)+2*Dashboard!$C$20*A867</f>
        <v>131625.91859499298</v>
      </c>
      <c r="Q867" s="8">
        <f>-P867-Dashboard!$C$13-Dashboard!$C$14</f>
        <v>-181625.91859499298</v>
      </c>
    </row>
    <row r="868" spans="1:17" x14ac:dyDescent="0.25">
      <c r="A868" s="5">
        <f>(868-2)/100</f>
        <v>8.66</v>
      </c>
      <c r="B868" s="5">
        <f>Dashboard!$C$10*EXP(-Dashboard!$C$12*A868)</f>
        <v>9.65346932754204E-3</v>
      </c>
      <c r="C868" s="5">
        <f>Dashboard!$C$17*A868</f>
        <v>6928</v>
      </c>
      <c r="D868" s="5">
        <f>Dashboard!$C$15*(1-EXP(-Dashboard!$C$16*A868))</f>
        <v>0.78946596200793628</v>
      </c>
      <c r="E868" s="5">
        <f>1/(1+EXP(MIN(700,MAX(-700,(C868-Dashboard!$C$18)/Dashboard!$C$19))))</f>
        <v>2.7094239820042964E-4</v>
      </c>
      <c r="F868" s="5">
        <f t="shared" si="59"/>
        <v>2.1389980104403954E-4</v>
      </c>
      <c r="G868" s="8">
        <f>Dashboard!$C$9*B868*Dashboard!$C$11*(1-F868)</f>
        <v>19302.808904746988</v>
      </c>
      <c r="H868" s="8">
        <f>Dashboard!$C$20*A868^2</f>
        <v>599964.79999999993</v>
      </c>
      <c r="I868" s="8">
        <f t="shared" si="60"/>
        <v>619267.60890474694</v>
      </c>
      <c r="J868" s="8">
        <f>Dashboard!$C$13*A868</f>
        <v>173200</v>
      </c>
      <c r="K868" s="8">
        <f>Dashboard!$C$14*A868</f>
        <v>259800</v>
      </c>
      <c r="L868" s="8">
        <f>Dashboard!$C$21-K868</f>
        <v>1240200</v>
      </c>
      <c r="M868" s="8">
        <f t="shared" si="61"/>
        <v>447732.39109525306</v>
      </c>
      <c r="N868" s="8">
        <f t="shared" si="62"/>
        <v>433000</v>
      </c>
      <c r="O868" s="8">
        <f>Dashboard!$C$15*(Dashboard!$C$16*EXP(-Dashboard!$C$16*A868)*E868-(1-EXP(-Dashboard!$C$16*A868))*Dashboard!$C$17/Dashboard!$C$19*E868*(1-E868))</f>
        <v>-2.8369540326714124E-4</v>
      </c>
      <c r="P868" s="8">
        <f>Dashboard!$C$9*B868*Dashboard!$C$11*(-Dashboard!$C$12*(1-F868)-O868)+2*Dashboard!$C$20*A868</f>
        <v>131809.49417308616</v>
      </c>
      <c r="Q868" s="8">
        <f>-P868-Dashboard!$C$13-Dashboard!$C$14</f>
        <v>-181809.49417308616</v>
      </c>
    </row>
    <row r="869" spans="1:17" x14ac:dyDescent="0.25">
      <c r="A869" s="5">
        <f>(869-2)/100</f>
        <v>8.67</v>
      </c>
      <c r="B869" s="5">
        <f>Dashboard!$C$10*EXP(-Dashboard!$C$12*A869)</f>
        <v>9.6197412434735063E-3</v>
      </c>
      <c r="C869" s="5">
        <f>Dashboard!$C$17*A869</f>
        <v>6936</v>
      </c>
      <c r="D869" s="5">
        <f>Dashboard!$C$15*(1-EXP(-Dashboard!$C$16*A869))</f>
        <v>0.78951850074160668</v>
      </c>
      <c r="E869" s="5">
        <f>1/(1+EXP(MIN(700,MAX(-700,(C869-Dashboard!$C$18)/Dashboard!$C$19))))</f>
        <v>2.6735476940287152E-4</v>
      </c>
      <c r="F869" s="5">
        <f t="shared" si="59"/>
        <v>2.1108153670507311E-4</v>
      </c>
      <c r="G869" s="8">
        <f>Dashboard!$C$9*B869*Dashboard!$C$11*(1-F869)</f>
        <v>19235.421387418257</v>
      </c>
      <c r="H869" s="8">
        <f>Dashboard!$C$20*A869^2</f>
        <v>601351.19999999995</v>
      </c>
      <c r="I869" s="8">
        <f t="shared" si="60"/>
        <v>620586.62138741824</v>
      </c>
      <c r="J869" s="8">
        <f>Dashboard!$C$13*A869</f>
        <v>173400</v>
      </c>
      <c r="K869" s="8">
        <f>Dashboard!$C$14*A869</f>
        <v>260100</v>
      </c>
      <c r="L869" s="8">
        <f>Dashboard!$C$21-K869</f>
        <v>1239900</v>
      </c>
      <c r="M869" s="8">
        <f t="shared" si="61"/>
        <v>445913.37861258176</v>
      </c>
      <c r="N869" s="8">
        <f t="shared" si="62"/>
        <v>433500</v>
      </c>
      <c r="O869" s="8">
        <f>Dashboard!$C$15*(Dashboard!$C$16*EXP(-Dashboard!$C$16*A869)*E869-(1-EXP(-Dashboard!$C$16*A869))*Dashboard!$C$17/Dashboard!$C$19*E869*(1-E869))</f>
        <v>-2.7996566465739078E-4</v>
      </c>
      <c r="P869" s="8">
        <f>Dashboard!$C$9*B869*Dashboard!$C$11*(-Dashboard!$C$12*(1-F869)-O869)+2*Dashboard!$C$20*A869</f>
        <v>131992.98890890574</v>
      </c>
      <c r="Q869" s="8">
        <f>-P869-Dashboard!$C$13-Dashboard!$C$14</f>
        <v>-181992.98890890574</v>
      </c>
    </row>
    <row r="870" spans="1:17" x14ac:dyDescent="0.25">
      <c r="A870" s="5">
        <f>(870-2)/100</f>
        <v>8.68</v>
      </c>
      <c r="B870" s="5">
        <f>Dashboard!$C$10*EXP(-Dashboard!$C$12*A870)</f>
        <v>9.5861310013555037E-3</v>
      </c>
      <c r="C870" s="5">
        <f>Dashboard!$C$17*A870</f>
        <v>6944</v>
      </c>
      <c r="D870" s="5">
        <f>Dashboard!$C$15*(1-EXP(-Dashboard!$C$16*A870))</f>
        <v>0.7895707774372499</v>
      </c>
      <c r="E870" s="5">
        <f>1/(1+EXP(MIN(700,MAX(-700,(C870-Dashboard!$C$18)/Dashboard!$C$19))))</f>
        <v>2.6381463292831248E-4</v>
      </c>
      <c r="F870" s="5">
        <f t="shared" si="59"/>
        <v>2.0830032482053038E-4</v>
      </c>
      <c r="G870" s="8">
        <f>Dashboard!$C$9*B870*Dashboard!$C$11*(1-F870)</f>
        <v>19168.268414308295</v>
      </c>
      <c r="H870" s="8">
        <f>Dashboard!$C$20*A870^2</f>
        <v>602739.19999999995</v>
      </c>
      <c r="I870" s="8">
        <f t="shared" si="60"/>
        <v>621907.46841430827</v>
      </c>
      <c r="J870" s="8">
        <f>Dashboard!$C$13*A870</f>
        <v>173600</v>
      </c>
      <c r="K870" s="8">
        <f>Dashboard!$C$14*A870</f>
        <v>260400</v>
      </c>
      <c r="L870" s="8">
        <f>Dashboard!$C$21-K870</f>
        <v>1239600</v>
      </c>
      <c r="M870" s="8">
        <f t="shared" si="61"/>
        <v>444092.53158569173</v>
      </c>
      <c r="N870" s="8">
        <f t="shared" si="62"/>
        <v>434000</v>
      </c>
      <c r="O870" s="8">
        <f>Dashboard!$C$15*(Dashboard!$C$16*EXP(-Dashboard!$C$16*A870)*E870-(1-EXP(-Dashboard!$C$16*A870))*Dashboard!$C$17/Dashboard!$C$19*E870*(1-E870))</f>
        <v>-2.762848054346722E-4</v>
      </c>
      <c r="P870" s="8">
        <f>Dashboard!$C$9*B870*Dashboard!$C$11*(-Dashboard!$C$12*(1-F870)-O870)+2*Dashboard!$C$20*A870</f>
        <v>132176.40305966925</v>
      </c>
      <c r="Q870" s="8">
        <f>-P870-Dashboard!$C$13-Dashboard!$C$14</f>
        <v>-182176.40305966925</v>
      </c>
    </row>
    <row r="871" spans="1:17" x14ac:dyDescent="0.25">
      <c r="A871" s="5">
        <f>(871-2)/100</f>
        <v>8.69</v>
      </c>
      <c r="B871" s="5">
        <f>Dashboard!$C$10*EXP(-Dashboard!$C$12*A871)</f>
        <v>9.5526381894621478E-3</v>
      </c>
      <c r="C871" s="5">
        <f>Dashboard!$C$17*A871</f>
        <v>6952</v>
      </c>
      <c r="D871" s="5">
        <f>Dashboard!$C$15*(1-EXP(-Dashboard!$C$16*A871))</f>
        <v>0.78962279340178565</v>
      </c>
      <c r="E871" s="5">
        <f>1/(1+EXP(MIN(700,MAX(-700,(C871-Dashboard!$C$18)/Dashboard!$C$19))))</f>
        <v>2.6032136041252739E-4</v>
      </c>
      <c r="F871" s="5">
        <f t="shared" ref="F871:F934" si="63">D871*E871</f>
        <v>2.0555567979109289E-4</v>
      </c>
      <c r="G871" s="8">
        <f>Dashboard!$C$9*B871*Dashboard!$C$11*(1-F871)</f>
        <v>19101.34918085063</v>
      </c>
      <c r="H871" s="8">
        <f>Dashboard!$C$20*A871^2</f>
        <v>604128.79999999993</v>
      </c>
      <c r="I871" s="8">
        <f t="shared" ref="I871:I934" si="64">G871+H871</f>
        <v>623230.1491808506</v>
      </c>
      <c r="J871" s="8">
        <f>Dashboard!$C$13*A871</f>
        <v>173800</v>
      </c>
      <c r="K871" s="8">
        <f>Dashboard!$C$14*A871</f>
        <v>260699.99999999997</v>
      </c>
      <c r="L871" s="8">
        <f>Dashboard!$C$21-K871</f>
        <v>1239300</v>
      </c>
      <c r="M871" s="8">
        <f t="shared" ref="M871:M934" si="65">L871-I871-J871</f>
        <v>442269.8508191494</v>
      </c>
      <c r="N871" s="8">
        <f t="shared" ref="N871:N934" si="66">J871+K871</f>
        <v>434500</v>
      </c>
      <c r="O871" s="8">
        <f>Dashboard!$C$15*(Dashboard!$C$16*EXP(-Dashboard!$C$16*A871)*E871-(1-EXP(-Dashboard!$C$16*A871))*Dashboard!$C$17/Dashboard!$C$19*E871*(1-E871))</f>
        <v>-2.7265218807305438E-4</v>
      </c>
      <c r="P871" s="8">
        <f>Dashboard!$C$9*B871*Dashboard!$C$11*(-Dashboard!$C$12*(1-F871)-O871)+2*Dashboard!$C$20*A871</f>
        <v>132359.73688211074</v>
      </c>
      <c r="Q871" s="8">
        <f>-P871-Dashboard!$C$13-Dashboard!$C$14</f>
        <v>-182359.73688211074</v>
      </c>
    </row>
    <row r="872" spans="1:17" x14ac:dyDescent="0.25">
      <c r="A872" s="5">
        <f>(872-2)/100</f>
        <v>8.6999999999999993</v>
      </c>
      <c r="B872" s="5">
        <f>Dashboard!$C$10*EXP(-Dashboard!$C$12*A872)</f>
        <v>9.5192623975060685E-3</v>
      </c>
      <c r="C872" s="5">
        <f>Dashboard!$C$17*A872</f>
        <v>6959.9999999999991</v>
      </c>
      <c r="D872" s="5">
        <f>Dashboard!$C$15*(1-EXP(-Dashboard!$C$16*A872))</f>
        <v>0.78967454993561614</v>
      </c>
      <c r="E872" s="5">
        <f>1/(1+EXP(MIN(700,MAX(-700,(C872-Dashboard!$C$18)/Dashboard!$C$19))))</f>
        <v>2.5687433179641427E-4</v>
      </c>
      <c r="F872" s="5">
        <f t="shared" si="63"/>
        <v>2.0284712235134556E-4</v>
      </c>
      <c r="G872" s="8">
        <f>Dashboard!$C$9*B872*Dashboard!$C$11*(1-F872)</f>
        <v>19034.662885043654</v>
      </c>
      <c r="H872" s="8">
        <f>Dashboard!$C$20*A872^2</f>
        <v>605519.99999999988</v>
      </c>
      <c r="I872" s="8">
        <f t="shared" si="64"/>
        <v>624554.66288504354</v>
      </c>
      <c r="J872" s="8">
        <f>Dashboard!$C$13*A872</f>
        <v>174000</v>
      </c>
      <c r="K872" s="8">
        <f>Dashboard!$C$14*A872</f>
        <v>260999.99999999997</v>
      </c>
      <c r="L872" s="8">
        <f>Dashboard!$C$21-K872</f>
        <v>1239000</v>
      </c>
      <c r="M872" s="8">
        <f t="shared" si="65"/>
        <v>440445.33711495646</v>
      </c>
      <c r="N872" s="8">
        <f t="shared" si="66"/>
        <v>435000</v>
      </c>
      <c r="O872" s="8">
        <f>Dashboard!$C$15*(Dashboard!$C$16*EXP(-Dashboard!$C$16*A872)*E872-(1-EXP(-Dashboard!$C$16*A872))*Dashboard!$C$17/Dashboard!$C$19*E872*(1-E872))</f>
        <v>-2.6906718330022006E-4</v>
      </c>
      <c r="P872" s="8">
        <f>Dashboard!$C$9*B872*Dashboard!$C$11*(-Dashboard!$C$12*(1-F872)-O872)+2*Dashboard!$C$20*A872</f>
        <v>132542.9906324755</v>
      </c>
      <c r="Q872" s="8">
        <f>-P872-Dashboard!$C$13-Dashboard!$C$14</f>
        <v>-182542.9906324755</v>
      </c>
    </row>
    <row r="873" spans="1:17" x14ac:dyDescent="0.25">
      <c r="A873" s="5">
        <f>(873-2)/100</f>
        <v>8.7100000000000009</v>
      </c>
      <c r="B873" s="5">
        <f>Dashboard!$C$10*EXP(-Dashboard!$C$12*A873)</f>
        <v>9.4860032166333916E-3</v>
      </c>
      <c r="C873" s="5">
        <f>Dashboard!$C$17*A873</f>
        <v>6968.0000000000009</v>
      </c>
      <c r="D873" s="5">
        <f>Dashboard!$C$15*(1-EXP(-Dashboard!$C$16*A873))</f>
        <v>0.78972604833265725</v>
      </c>
      <c r="E873" s="5">
        <f>1/(1+EXP(MIN(700,MAX(-700,(C873-Dashboard!$C$18)/Dashboard!$C$19))))</f>
        <v>2.5347293521645059E-4</v>
      </c>
      <c r="F873" s="5">
        <f t="shared" si="63"/>
        <v>2.0017417948776716E-4</v>
      </c>
      <c r="G873" s="8">
        <f>Dashboard!$C$9*B873*Dashboard!$C$11*(1-F873)</f>
        <v>18968.208727445766</v>
      </c>
      <c r="H873" s="8">
        <f>Dashboard!$C$20*A873^2</f>
        <v>606912.80000000016</v>
      </c>
      <c r="I873" s="8">
        <f t="shared" si="64"/>
        <v>625881.00872744597</v>
      </c>
      <c r="J873" s="8">
        <f>Dashboard!$C$13*A873</f>
        <v>174200.00000000003</v>
      </c>
      <c r="K873" s="8">
        <f>Dashboard!$C$14*A873</f>
        <v>261300.00000000003</v>
      </c>
      <c r="L873" s="8">
        <f>Dashboard!$C$21-K873</f>
        <v>1238700</v>
      </c>
      <c r="M873" s="8">
        <f t="shared" si="65"/>
        <v>438618.99127255403</v>
      </c>
      <c r="N873" s="8">
        <f t="shared" si="66"/>
        <v>435500.00000000006</v>
      </c>
      <c r="O873" s="8">
        <f>Dashboard!$C$15*(Dashboard!$C$16*EXP(-Dashboard!$C$16*A873)*E873-(1-EXP(-Dashboard!$C$16*A873))*Dashboard!$C$17/Dashboard!$C$19*E873*(1-E873))</f>
        <v>-2.6552916999188713E-4</v>
      </c>
      <c r="P873" s="8">
        <f>Dashboard!$C$9*B873*Dashboard!$C$11*(-Dashboard!$C$12*(1-F873)-O873)+2*Dashboard!$C$20*A873</f>
        <v>132726.16456651528</v>
      </c>
      <c r="Q873" s="8">
        <f>-P873-Dashboard!$C$13-Dashboard!$C$14</f>
        <v>-182726.16456651528</v>
      </c>
    </row>
    <row r="874" spans="1:17" x14ac:dyDescent="0.25">
      <c r="A874" s="5">
        <f>(874-2)/100</f>
        <v>8.7200000000000006</v>
      </c>
      <c r="B874" s="5">
        <f>Dashboard!$C$10*EXP(-Dashboard!$C$12*A874)</f>
        <v>9.4528602394187491E-3</v>
      </c>
      <c r="C874" s="5">
        <f>Dashboard!$C$17*A874</f>
        <v>6976.0000000000009</v>
      </c>
      <c r="D874" s="5">
        <f>Dashboard!$C$15*(1-EXP(-Dashboard!$C$16*A874))</f>
        <v>0.78977728988037144</v>
      </c>
      <c r="E874" s="5">
        <f>1/(1+EXP(MIN(700,MAX(-700,(C874-Dashboard!$C$18)/Dashboard!$C$19))))</f>
        <v>2.5011656689659606E-4</v>
      </c>
      <c r="F874" s="5">
        <f t="shared" si="63"/>
        <v>1.9753638435777627E-4</v>
      </c>
      <c r="G874" s="8">
        <f>Dashboard!$C$9*B874*Dashboard!$C$11*(1-F874)</f>
        <v>18901.985911170428</v>
      </c>
      <c r="H874" s="8">
        <f>Dashboard!$C$20*A874^2</f>
        <v>608307.20000000007</v>
      </c>
      <c r="I874" s="8">
        <f t="shared" si="64"/>
        <v>627209.18591117044</v>
      </c>
      <c r="J874" s="8">
        <f>Dashboard!$C$13*A874</f>
        <v>174400</v>
      </c>
      <c r="K874" s="8">
        <f>Dashboard!$C$14*A874</f>
        <v>261600.00000000003</v>
      </c>
      <c r="L874" s="8">
        <f>Dashboard!$C$21-K874</f>
        <v>1238400</v>
      </c>
      <c r="M874" s="8">
        <f t="shared" si="65"/>
        <v>436790.81408882956</v>
      </c>
      <c r="N874" s="8">
        <f t="shared" si="66"/>
        <v>436000</v>
      </c>
      <c r="O874" s="8">
        <f>Dashboard!$C$15*(Dashboard!$C$16*EXP(-Dashboard!$C$16*A874)*E874-(1-EXP(-Dashboard!$C$16*A874))*Dashboard!$C$17/Dashboard!$C$19*E874*(1-E874))</f>
        <v>-2.6203753506756107E-4</v>
      </c>
      <c r="P874" s="8">
        <f>Dashboard!$C$9*B874*Dashboard!$C$11*(-Dashboard!$C$12*(1-F874)-O874)+2*Dashboard!$C$20*A874</f>
        <v>132909.25893948329</v>
      </c>
      <c r="Q874" s="8">
        <f>-P874-Dashboard!$C$13-Dashboard!$C$14</f>
        <v>-182909.25893948329</v>
      </c>
    </row>
    <row r="875" spans="1:17" x14ac:dyDescent="0.25">
      <c r="A875" s="5">
        <f>(875-2)/100</f>
        <v>8.73</v>
      </c>
      <c r="B875" s="5">
        <f>Dashboard!$C$10*EXP(-Dashboard!$C$12*A875)</f>
        <v>9.4198330598602512E-3</v>
      </c>
      <c r="C875" s="5">
        <f>Dashboard!$C$17*A875</f>
        <v>6984</v>
      </c>
      <c r="D875" s="5">
        <f>Dashboard!$C$15*(1-EXP(-Dashboard!$C$16*A875))</f>
        <v>0.78982827585980031</v>
      </c>
      <c r="E875" s="5">
        <f>1/(1+EXP(MIN(700,MAX(-700,(C875-Dashboard!$C$18)/Dashboard!$C$19))))</f>
        <v>2.4680463104160622E-4</v>
      </c>
      <c r="F875" s="5">
        <f t="shared" si="63"/>
        <v>1.94933276209806E-4</v>
      </c>
      <c r="G875" s="8">
        <f>Dashboard!$C$9*B875*Dashboard!$C$11*(1-F875)</f>
        <v>18835.993641881087</v>
      </c>
      <c r="H875" s="8">
        <f>Dashboard!$C$20*A875^2</f>
        <v>609703.20000000007</v>
      </c>
      <c r="I875" s="8">
        <f t="shared" si="64"/>
        <v>628539.19364188111</v>
      </c>
      <c r="J875" s="8">
        <f>Dashboard!$C$13*A875</f>
        <v>174600</v>
      </c>
      <c r="K875" s="8">
        <f>Dashboard!$C$14*A875</f>
        <v>261900</v>
      </c>
      <c r="L875" s="8">
        <f>Dashboard!$C$21-K875</f>
        <v>1238100</v>
      </c>
      <c r="M875" s="8">
        <f t="shared" si="65"/>
        <v>434960.80635811889</v>
      </c>
      <c r="N875" s="8">
        <f t="shared" si="66"/>
        <v>436500</v>
      </c>
      <c r="O875" s="8">
        <f>Dashboard!$C$15*(Dashboard!$C$16*EXP(-Dashboard!$C$16*A875)*E875-(1-EXP(-Dashboard!$C$16*A875))*Dashboard!$C$17/Dashboard!$C$19*E875*(1-E875))</f>
        <v>-2.5859167338758486E-4</v>
      </c>
      <c r="P875" s="8">
        <f>Dashboard!$C$9*B875*Dashboard!$C$11*(-Dashboard!$C$12*(1-F875)-O875)+2*Dashboard!$C$20*A875</f>
        <v>133092.27400612959</v>
      </c>
      <c r="Q875" s="8">
        <f>-P875-Dashboard!$C$13-Dashboard!$C$14</f>
        <v>-183092.27400612959</v>
      </c>
    </row>
    <row r="876" spans="1:17" x14ac:dyDescent="0.25">
      <c r="A876" s="5">
        <f>(876-2)/100</f>
        <v>8.74</v>
      </c>
      <c r="B876" s="5">
        <f>Dashboard!$C$10*EXP(-Dashboard!$C$12*A876)</f>
        <v>9.3869212733745343E-3</v>
      </c>
      <c r="C876" s="5">
        <f>Dashboard!$C$17*A876</f>
        <v>6992</v>
      </c>
      <c r="D876" s="5">
        <f>Dashboard!$C$15*(1-EXP(-Dashboard!$C$16*A876))</f>
        <v>0.78987900754559581</v>
      </c>
      <c r="E876" s="5">
        <f>1/(1+EXP(MIN(700,MAX(-700,(C876-Dashboard!$C$18)/Dashboard!$C$19))))</f>
        <v>2.435365397317523E-4</v>
      </c>
      <c r="F876" s="5">
        <f t="shared" si="63"/>
        <v>1.9236440030440507E-4</v>
      </c>
      <c r="G876" s="8">
        <f>Dashboard!$C$9*B876*Dashboard!$C$11*(1-F876)</f>
        <v>18770.231127786155</v>
      </c>
      <c r="H876" s="8">
        <f>Dashboard!$C$20*A876^2</f>
        <v>611100.80000000005</v>
      </c>
      <c r="I876" s="8">
        <f t="shared" si="64"/>
        <v>629871.03112778615</v>
      </c>
      <c r="J876" s="8">
        <f>Dashboard!$C$13*A876</f>
        <v>174800</v>
      </c>
      <c r="K876" s="8">
        <f>Dashboard!$C$14*A876</f>
        <v>262200</v>
      </c>
      <c r="L876" s="8">
        <f>Dashboard!$C$21-K876</f>
        <v>1237800</v>
      </c>
      <c r="M876" s="8">
        <f t="shared" si="65"/>
        <v>433128.96887221385</v>
      </c>
      <c r="N876" s="8">
        <f t="shared" si="66"/>
        <v>437000</v>
      </c>
      <c r="O876" s="8">
        <f>Dashboard!$C$15*(Dashboard!$C$16*EXP(-Dashboard!$C$16*A876)*E876-(1-EXP(-Dashboard!$C$16*A876))*Dashboard!$C$17/Dashboard!$C$19*E876*(1-E876))</f>
        <v>-2.5519098765148477E-4</v>
      </c>
      <c r="P876" s="8">
        <f>Dashboard!$C$9*B876*Dashboard!$C$11*(-Dashboard!$C$12*(1-F876)-O876)+2*Dashboard!$C$20*A876</f>
        <v>133275.21002069637</v>
      </c>
      <c r="Q876" s="8">
        <f>-P876-Dashboard!$C$13-Dashboard!$C$14</f>
        <v>-183275.21002069637</v>
      </c>
    </row>
    <row r="877" spans="1:17" x14ac:dyDescent="0.25">
      <c r="A877" s="5">
        <f>(877-2)/100</f>
        <v>8.75</v>
      </c>
      <c r="B877" s="5">
        <f>Dashboard!$C$10*EXP(-Dashboard!$C$12*A877)</f>
        <v>9.3541244767917971E-3</v>
      </c>
      <c r="C877" s="5">
        <f>Dashboard!$C$17*A877</f>
        <v>7000</v>
      </c>
      <c r="D877" s="5">
        <f>Dashboard!$C$15*(1-EXP(-Dashboard!$C$16*A877))</f>
        <v>0.78992948620605286</v>
      </c>
      <c r="E877" s="5">
        <f>1/(1+EXP(MIN(700,MAX(-700,(C877-Dashboard!$C$18)/Dashboard!$C$19))))</f>
        <v>2.4031171281892628E-4</v>
      </c>
      <c r="F877" s="5">
        <f t="shared" si="63"/>
        <v>1.8982930783635095E-4</v>
      </c>
      <c r="G877" s="8">
        <f>Dashboard!$C$9*B877*Dashboard!$C$11*(1-F877)</f>
        <v>18704.697579633907</v>
      </c>
      <c r="H877" s="8">
        <f>Dashboard!$C$20*A877^2</f>
        <v>612500</v>
      </c>
      <c r="I877" s="8">
        <f t="shared" si="64"/>
        <v>631204.69757963391</v>
      </c>
      <c r="J877" s="8">
        <f>Dashboard!$C$13*A877</f>
        <v>175000</v>
      </c>
      <c r="K877" s="8">
        <f>Dashboard!$C$14*A877</f>
        <v>262500</v>
      </c>
      <c r="L877" s="8">
        <f>Dashboard!$C$21-K877</f>
        <v>1237500</v>
      </c>
      <c r="M877" s="8">
        <f t="shared" si="65"/>
        <v>431295.30242036609</v>
      </c>
      <c r="N877" s="8">
        <f t="shared" si="66"/>
        <v>437500</v>
      </c>
      <c r="O877" s="8">
        <f>Dashboard!$C$15*(Dashboard!$C$16*EXP(-Dashboard!$C$16*A877)*E877-(1-EXP(-Dashboard!$C$16*A877))*Dashboard!$C$17/Dashboard!$C$19*E877*(1-E877))</f>
        <v>-2.5183488829759373E-4</v>
      </c>
      <c r="P877" s="8">
        <f>Dashboard!$C$9*B877*Dashboard!$C$11*(-Dashboard!$C$12*(1-F877)-O877)+2*Dashboard!$C$20*A877</f>
        <v>133458.0672369136</v>
      </c>
      <c r="Q877" s="8">
        <f>-P877-Dashboard!$C$13-Dashboard!$C$14</f>
        <v>-183458.0672369136</v>
      </c>
    </row>
    <row r="878" spans="1:17" x14ac:dyDescent="0.25">
      <c r="A878" s="5">
        <f>(878-2)/100</f>
        <v>8.76</v>
      </c>
      <c r="B878" s="5">
        <f>Dashboard!$C$10*EXP(-Dashboard!$C$12*A878)</f>
        <v>9.3214422683508807E-3</v>
      </c>
      <c r="C878" s="5">
        <f>Dashboard!$C$17*A878</f>
        <v>7008</v>
      </c>
      <c r="D878" s="5">
        <f>Dashboard!$C$15*(1-EXP(-Dashboard!$C$16*A878))</f>
        <v>0.78997971310314052</v>
      </c>
      <c r="E878" s="5">
        <f>1/(1+EXP(MIN(700,MAX(-700,(C878-Dashboard!$C$18)/Dashboard!$C$19))))</f>
        <v>2.371295778241075E-4</v>
      </c>
      <c r="F878" s="5">
        <f t="shared" si="63"/>
        <v>1.8732755585775727E-4</v>
      </c>
      <c r="G878" s="8">
        <f>Dashboard!$C$9*B878*Dashboard!$C$11*(1-F878)</f>
        <v>18639.392210707367</v>
      </c>
      <c r="H878" s="8">
        <f>Dashboard!$C$20*A878^2</f>
        <v>613900.80000000005</v>
      </c>
      <c r="I878" s="8">
        <f t="shared" si="64"/>
        <v>632540.19221070746</v>
      </c>
      <c r="J878" s="8">
        <f>Dashboard!$C$13*A878</f>
        <v>175200</v>
      </c>
      <c r="K878" s="8">
        <f>Dashboard!$C$14*A878</f>
        <v>262800</v>
      </c>
      <c r="L878" s="8">
        <f>Dashboard!$C$21-K878</f>
        <v>1237200</v>
      </c>
      <c r="M878" s="8">
        <f t="shared" si="65"/>
        <v>429459.80778929254</v>
      </c>
      <c r="N878" s="8">
        <f t="shared" si="66"/>
        <v>438000</v>
      </c>
      <c r="O878" s="8">
        <f>Dashboard!$C$15*(Dashboard!$C$16*EXP(-Dashboard!$C$16*A878)*E878-(1-EXP(-Dashboard!$C$16*A878))*Dashboard!$C$17/Dashboard!$C$19*E878*(1-E878))</f>
        <v>-2.4852279340393152E-4</v>
      </c>
      <c r="P878" s="8">
        <f>Dashboard!$C$9*B878*Dashboard!$C$11*(-Dashboard!$C$12*(1-F878)-O878)+2*Dashboard!$C$20*A878</f>
        <v>133640.8459079946</v>
      </c>
      <c r="Q878" s="8">
        <f>-P878-Dashboard!$C$13-Dashboard!$C$14</f>
        <v>-183640.8459079946</v>
      </c>
    </row>
    <row r="879" spans="1:17" x14ac:dyDescent="0.25">
      <c r="A879" s="5">
        <f>(879-2)/100</f>
        <v>8.77</v>
      </c>
      <c r="B879" s="5">
        <f>Dashboard!$C$10*EXP(-Dashboard!$C$12*A879)</f>
        <v>9.2888742476943172E-3</v>
      </c>
      <c r="C879" s="5">
        <f>Dashboard!$C$17*A879</f>
        <v>7016</v>
      </c>
      <c r="D879" s="5">
        <f>Dashboard!$C$15*(1-EXP(-Dashboard!$C$16*A879))</f>
        <v>0.79002968949253383</v>
      </c>
      <c r="E879" s="5">
        <f>1/(1+EXP(MIN(700,MAX(-700,(C879-Dashboard!$C$18)/Dashboard!$C$19))))</f>
        <v>2.3398956983617674E-4</v>
      </c>
      <c r="F879" s="5">
        <f t="shared" si="63"/>
        <v>1.8485870720216628E-4</v>
      </c>
      <c r="G879" s="8">
        <f>Dashboard!$C$9*B879*Dashboard!$C$11*(1-F879)</f>
        <v>18574.314236819049</v>
      </c>
      <c r="H879" s="8">
        <f>Dashboard!$C$20*A879^2</f>
        <v>615303.19999999995</v>
      </c>
      <c r="I879" s="8">
        <f t="shared" si="64"/>
        <v>633877.514236819</v>
      </c>
      <c r="J879" s="8">
        <f>Dashboard!$C$13*A879</f>
        <v>175400</v>
      </c>
      <c r="K879" s="8">
        <f>Dashboard!$C$14*A879</f>
        <v>263100</v>
      </c>
      <c r="L879" s="8">
        <f>Dashboard!$C$21-K879</f>
        <v>1236900</v>
      </c>
      <c r="M879" s="8">
        <f t="shared" si="65"/>
        <v>427622.485763181</v>
      </c>
      <c r="N879" s="8">
        <f t="shared" si="66"/>
        <v>438500</v>
      </c>
      <c r="O879" s="8">
        <f>Dashboard!$C$15*(Dashboard!$C$16*EXP(-Dashboard!$C$16*A879)*E879-(1-EXP(-Dashboard!$C$16*A879))*Dashboard!$C$17/Dashboard!$C$19*E879*(1-E879))</f>
        <v>-2.4525412859032917E-4</v>
      </c>
      <c r="P879" s="8">
        <f>Dashboard!$C$9*B879*Dashboard!$C$11*(-Dashboard!$C$12*(1-F879)-O879)+2*Dashboard!$C$20*A879</f>
        <v>133823.54628663175</v>
      </c>
      <c r="Q879" s="8">
        <f>-P879-Dashboard!$C$13-Dashboard!$C$14</f>
        <v>-183823.54628663175</v>
      </c>
    </row>
    <row r="880" spans="1:17" x14ac:dyDescent="0.25">
      <c r="A880" s="5">
        <f>(880-2)/100</f>
        <v>8.7799999999999994</v>
      </c>
      <c r="B880" s="5">
        <f>Dashboard!$C$10*EXP(-Dashboard!$C$12*A880)</f>
        <v>9.2564200158634473E-3</v>
      </c>
      <c r="C880" s="5">
        <f>Dashboard!$C$17*A880</f>
        <v>7023.9999999999991</v>
      </c>
      <c r="D880" s="5">
        <f>Dashboard!$C$15*(1-EXP(-Dashboard!$C$16*A880))</f>
        <v>0.79007941662364534</v>
      </c>
      <c r="E880" s="5">
        <f>1/(1+EXP(MIN(700,MAX(-700,(C880-Dashboard!$C$18)/Dashboard!$C$19))))</f>
        <v>2.3089113141206447E-4</v>
      </c>
      <c r="F880" s="5">
        <f t="shared" si="63"/>
        <v>1.8242233040961732E-4</v>
      </c>
      <c r="G880" s="8">
        <f>Dashboard!$C$9*B880*Dashboard!$C$11*(1-F880)</f>
        <v>18509.46287630581</v>
      </c>
      <c r="H880" s="8">
        <f>Dashboard!$C$20*A880^2</f>
        <v>616707.19999999995</v>
      </c>
      <c r="I880" s="8">
        <f t="shared" si="64"/>
        <v>635216.66287630575</v>
      </c>
      <c r="J880" s="8">
        <f>Dashboard!$C$13*A880</f>
        <v>175600</v>
      </c>
      <c r="K880" s="8">
        <f>Dashboard!$C$14*A880</f>
        <v>263400</v>
      </c>
      <c r="L880" s="8">
        <f>Dashboard!$C$21-K880</f>
        <v>1236600</v>
      </c>
      <c r="M880" s="8">
        <f t="shared" si="65"/>
        <v>425783.33712369425</v>
      </c>
      <c r="N880" s="8">
        <f t="shared" si="66"/>
        <v>439000</v>
      </c>
      <c r="O880" s="8">
        <f>Dashboard!$C$15*(Dashboard!$C$16*EXP(-Dashboard!$C$16*A880)*E880-(1-EXP(-Dashboard!$C$16*A880))*Dashboard!$C$17/Dashboard!$C$19*E880*(1-E880))</f>
        <v>-2.4202832692178848E-4</v>
      </c>
      <c r="P880" s="8">
        <f>Dashboard!$C$9*B880*Dashboard!$C$11*(-Dashboard!$C$12*(1-F880)-O880)+2*Dashboard!$C$20*A880</f>
        <v>134006.16862499242</v>
      </c>
      <c r="Q880" s="8">
        <f>-P880-Dashboard!$C$13-Dashboard!$C$14</f>
        <v>-184006.16862499242</v>
      </c>
    </row>
    <row r="881" spans="1:17" x14ac:dyDescent="0.25">
      <c r="A881" s="5">
        <f>(881-2)/100</f>
        <v>8.7899999999999991</v>
      </c>
      <c r="B881" s="5">
        <f>Dashboard!$C$10*EXP(-Dashboard!$C$12*A881)</f>
        <v>9.2240791752935241E-3</v>
      </c>
      <c r="C881" s="5">
        <f>Dashboard!$C$17*A881</f>
        <v>7031.9999999999991</v>
      </c>
      <c r="D881" s="5">
        <f>Dashboard!$C$15*(1-EXP(-Dashboard!$C$16*A881))</f>
        <v>0.79012889573965561</v>
      </c>
      <c r="E881" s="5">
        <f>1/(1+EXP(MIN(700,MAX(-700,(C881-Dashboard!$C$18)/Dashboard!$C$19))))</f>
        <v>2.2783371247820568E-4</v>
      </c>
      <c r="F881" s="5">
        <f t="shared" si="63"/>
        <v>1.8001799965267084E-4</v>
      </c>
      <c r="G881" s="8">
        <f>Dashboard!$C$9*B881*Dashboard!$C$11*(1-F881)</f>
        <v>18444.837350023499</v>
      </c>
      <c r="H881" s="8">
        <f>Dashboard!$C$20*A881^2</f>
        <v>618112.79999999993</v>
      </c>
      <c r="I881" s="8">
        <f t="shared" si="64"/>
        <v>636557.63735002337</v>
      </c>
      <c r="J881" s="8">
        <f>Dashboard!$C$13*A881</f>
        <v>175799.99999999997</v>
      </c>
      <c r="K881" s="8">
        <f>Dashboard!$C$14*A881</f>
        <v>263700</v>
      </c>
      <c r="L881" s="8">
        <f>Dashboard!$C$21-K881</f>
        <v>1236300</v>
      </c>
      <c r="M881" s="8">
        <f t="shared" si="65"/>
        <v>423942.36264997663</v>
      </c>
      <c r="N881" s="8">
        <f t="shared" si="66"/>
        <v>439500</v>
      </c>
      <c r="O881" s="8">
        <f>Dashboard!$C$15*(Dashboard!$C$16*EXP(-Dashboard!$C$16*A881)*E881-(1-EXP(-Dashboard!$C$16*A881))*Dashboard!$C$17/Dashboard!$C$19*E881*(1-E881))</f>
        <v>-2.3884482881304927E-4</v>
      </c>
      <c r="P881" s="8">
        <f>Dashboard!$C$9*B881*Dashboard!$C$11*(-Dashboard!$C$12*(1-F881)-O881)+2*Dashboard!$C$20*A881</f>
        <v>134188.71317471494</v>
      </c>
      <c r="Q881" s="8">
        <f>-P881-Dashboard!$C$13-Dashboard!$C$14</f>
        <v>-184188.71317471494</v>
      </c>
    </row>
    <row r="882" spans="1:17" x14ac:dyDescent="0.25">
      <c r="A882" s="5">
        <f>(882-2)/100</f>
        <v>8.8000000000000007</v>
      </c>
      <c r="B882" s="5">
        <f>Dashboard!$C$10*EXP(-Dashboard!$C$12*A882)</f>
        <v>9.1918513298088408E-3</v>
      </c>
      <c r="C882" s="5">
        <f>Dashboard!$C$17*A882</f>
        <v>7040.0000000000009</v>
      </c>
      <c r="D882" s="5">
        <f>Dashboard!$C$15*(1-EXP(-Dashboard!$C$16*A882))</f>
        <v>0.79017812807754528</v>
      </c>
      <c r="E882" s="5">
        <f>1/(1+EXP(MIN(700,MAX(-700,(C882-Dashboard!$C$18)/Dashboard!$C$19))))</f>
        <v>2.2481677023329492E-4</v>
      </c>
      <c r="F882" s="5">
        <f t="shared" si="63"/>
        <v>1.7764529466338458E-4</v>
      </c>
      <c r="G882" s="8">
        <f>Dashboard!$C$9*B882*Dashboard!$C$11*(1-F882)</f>
        <v>18380.43688134171</v>
      </c>
      <c r="H882" s="8">
        <f>Dashboard!$C$20*A882^2</f>
        <v>619520.00000000012</v>
      </c>
      <c r="I882" s="8">
        <f t="shared" si="64"/>
        <v>637900.43688134186</v>
      </c>
      <c r="J882" s="8">
        <f>Dashboard!$C$13*A882</f>
        <v>176000</v>
      </c>
      <c r="K882" s="8">
        <f>Dashboard!$C$14*A882</f>
        <v>264000</v>
      </c>
      <c r="L882" s="8">
        <f>Dashboard!$C$21-K882</f>
        <v>1236000</v>
      </c>
      <c r="M882" s="8">
        <f t="shared" si="65"/>
        <v>422099.56311865814</v>
      </c>
      <c r="N882" s="8">
        <f t="shared" si="66"/>
        <v>440000</v>
      </c>
      <c r="O882" s="8">
        <f>Dashboard!$C$15*(Dashboard!$C$16*EXP(-Dashboard!$C$16*A882)*E882-(1-EXP(-Dashboard!$C$16*A882))*Dashboard!$C$17/Dashboard!$C$19*E882*(1-E882))</f>
        <v>-2.3570308193436259E-4</v>
      </c>
      <c r="P882" s="8">
        <f>Dashboard!$C$9*B882*Dashboard!$C$11*(-Dashboard!$C$12*(1-F882)-O882)+2*Dashboard!$C$20*A882</f>
        <v>134371.18018690465</v>
      </c>
      <c r="Q882" s="8">
        <f>-P882-Dashboard!$C$13-Dashboard!$C$14</f>
        <v>-184371.18018690465</v>
      </c>
    </row>
    <row r="883" spans="1:17" x14ac:dyDescent="0.25">
      <c r="A883" s="5">
        <f>(883-2)/100</f>
        <v>8.81</v>
      </c>
      <c r="B883" s="5">
        <f>Dashboard!$C$10*EXP(-Dashboard!$C$12*A883)</f>
        <v>9.1597360846179029E-3</v>
      </c>
      <c r="C883" s="5">
        <f>Dashboard!$C$17*A883</f>
        <v>7048</v>
      </c>
      <c r="D883" s="5">
        <f>Dashboard!$C$15*(1-EXP(-Dashboard!$C$16*A883))</f>
        <v>0.79022711486812536</v>
      </c>
      <c r="E883" s="5">
        <f>1/(1+EXP(MIN(700,MAX(-700,(C883-Dashboard!$C$18)/Dashboard!$C$19))))</f>
        <v>2.2183976905232016E-4</v>
      </c>
      <c r="F883" s="5">
        <f t="shared" si="63"/>
        <v>1.753038006612262E-4</v>
      </c>
      <c r="G883" s="8">
        <f>Dashboard!$C$9*B883*Dashboard!$C$11*(1-F883)</f>
        <v>18316.260696138434</v>
      </c>
      <c r="H883" s="8">
        <f>Dashboard!$C$20*A883^2</f>
        <v>620928.80000000005</v>
      </c>
      <c r="I883" s="8">
        <f t="shared" si="64"/>
        <v>639245.06069613853</v>
      </c>
      <c r="J883" s="8">
        <f>Dashboard!$C$13*A883</f>
        <v>176200</v>
      </c>
      <c r="K883" s="8">
        <f>Dashboard!$C$14*A883</f>
        <v>264300</v>
      </c>
      <c r="L883" s="8">
        <f>Dashboard!$C$21-K883</f>
        <v>1235700</v>
      </c>
      <c r="M883" s="8">
        <f t="shared" si="65"/>
        <v>420254.93930386147</v>
      </c>
      <c r="N883" s="8">
        <f t="shared" si="66"/>
        <v>440500</v>
      </c>
      <c r="O883" s="8">
        <f>Dashboard!$C$15*(Dashboard!$C$16*EXP(-Dashboard!$C$16*A883)*E883-(1-EXP(-Dashboard!$C$16*A883))*Dashboard!$C$17/Dashboard!$C$19*E883*(1-E883))</f>
        <v>-2.3260254111844974E-4</v>
      </c>
      <c r="P883" s="8">
        <f>Dashboard!$C$9*B883*Dashboard!$C$11*(-Dashboard!$C$12*(1-F883)-O883)+2*Dashboard!$C$20*A883</f>
        <v>134553.56991213007</v>
      </c>
      <c r="Q883" s="8">
        <f>-P883-Dashboard!$C$13-Dashboard!$C$14</f>
        <v>-184553.56991213007</v>
      </c>
    </row>
    <row r="884" spans="1:17" x14ac:dyDescent="0.25">
      <c r="A884" s="5">
        <f>(884-2)/100</f>
        <v>8.82</v>
      </c>
      <c r="B884" s="5">
        <f>Dashboard!$C$10*EXP(-Dashboard!$C$12*A884)</f>
        <v>9.1277330463085445E-3</v>
      </c>
      <c r="C884" s="5">
        <f>Dashboard!$C$17*A884</f>
        <v>7056</v>
      </c>
      <c r="D884" s="5">
        <f>Dashboard!$C$15*(1-EXP(-Dashboard!$C$16*A884))</f>
        <v>0.79027585733606809</v>
      </c>
      <c r="E884" s="5">
        <f>1/(1+EXP(MIN(700,MAX(-700,(C884-Dashboard!$C$18)/Dashboard!$C$19))))</f>
        <v>2.1890218039185096E-4</v>
      </c>
      <c r="F884" s="5">
        <f t="shared" si="63"/>
        <v>1.7299310828190466E-4</v>
      </c>
      <c r="G884" s="8">
        <f>Dashboard!$C$9*B884*Dashboard!$C$11*(1-F884)</f>
        <v>18252.308022794594</v>
      </c>
      <c r="H884" s="8">
        <f>Dashboard!$C$20*A884^2</f>
        <v>622339.19999999995</v>
      </c>
      <c r="I884" s="8">
        <f t="shared" si="64"/>
        <v>640591.5080227945</v>
      </c>
      <c r="J884" s="8">
        <f>Dashboard!$C$13*A884</f>
        <v>176400</v>
      </c>
      <c r="K884" s="8">
        <f>Dashboard!$C$14*A884</f>
        <v>264600</v>
      </c>
      <c r="L884" s="8">
        <f>Dashboard!$C$21-K884</f>
        <v>1235400</v>
      </c>
      <c r="M884" s="8">
        <f t="shared" si="65"/>
        <v>418408.4919772055</v>
      </c>
      <c r="N884" s="8">
        <f t="shared" si="66"/>
        <v>441000</v>
      </c>
      <c r="O884" s="8">
        <f>Dashboard!$C$15*(Dashboard!$C$16*EXP(-Dashboard!$C$16*A884)*E884-(1-EXP(-Dashboard!$C$16*A884))*Dashboard!$C$17/Dashboard!$C$19*E884*(1-E884))</f>
        <v>-2.2954266826862393E-4</v>
      </c>
      <c r="P884" s="8">
        <f>Dashboard!$C$9*B884*Dashboard!$C$11*(-Dashboard!$C$12*(1-F884)-O884)+2*Dashboard!$C$20*A884</f>
        <v>134735.88260041928</v>
      </c>
      <c r="Q884" s="8">
        <f>-P884-Dashboard!$C$13-Dashboard!$C$14</f>
        <v>-184735.88260041928</v>
      </c>
    </row>
    <row r="885" spans="1:17" x14ac:dyDescent="0.25">
      <c r="A885" s="5">
        <f>(885-2)/100</f>
        <v>8.83</v>
      </c>
      <c r="B885" s="5">
        <f>Dashboard!$C$10*EXP(-Dashboard!$C$12*A885)</f>
        <v>9.0958418228431429E-3</v>
      </c>
      <c r="C885" s="5">
        <f>Dashboard!$C$17*A885</f>
        <v>7064</v>
      </c>
      <c r="D885" s="5">
        <f>Dashboard!$C$15*(1-EXP(-Dashboard!$C$16*A885))</f>
        <v>0.79032435669993772</v>
      </c>
      <c r="E885" s="5">
        <f>1/(1+EXP(MIN(700,MAX(-700,(C885-Dashboard!$C$18)/Dashboard!$C$19))))</f>
        <v>2.1600348269658145E-4</v>
      </c>
      <c r="F885" s="5">
        <f t="shared" si="63"/>
        <v>1.7071281350712186E-4</v>
      </c>
      <c r="G885" s="8">
        <f>Dashboard!$C$9*B885*Dashboard!$C$11*(1-F885)</f>
        <v>18188.578092188698</v>
      </c>
      <c r="H885" s="8">
        <f>Dashboard!$C$20*A885^2</f>
        <v>623751.20000000007</v>
      </c>
      <c r="I885" s="8">
        <f t="shared" si="64"/>
        <v>641939.77809218876</v>
      </c>
      <c r="J885" s="8">
        <f>Dashboard!$C$13*A885</f>
        <v>176600</v>
      </c>
      <c r="K885" s="8">
        <f>Dashboard!$C$14*A885</f>
        <v>264900</v>
      </c>
      <c r="L885" s="8">
        <f>Dashboard!$C$21-K885</f>
        <v>1235100</v>
      </c>
      <c r="M885" s="8">
        <f t="shared" si="65"/>
        <v>416560.22190781124</v>
      </c>
      <c r="N885" s="8">
        <f t="shared" si="66"/>
        <v>441500</v>
      </c>
      <c r="O885" s="8">
        <f>Dashboard!$C$15*(Dashboard!$C$16*EXP(-Dashboard!$C$16*A885)*E885-(1-EXP(-Dashboard!$C$16*A885))*Dashboard!$C$17/Dashboard!$C$19*E885*(1-E885))</f>
        <v>-2.2652293226807954E-4</v>
      </c>
      <c r="P885" s="8">
        <f>Dashboard!$C$9*B885*Dashboard!$C$11*(-Dashboard!$C$12*(1-F885)-O885)+2*Dashboard!$C$20*A885</f>
        <v>134918.11850125628</v>
      </c>
      <c r="Q885" s="8">
        <f>-P885-Dashboard!$C$13-Dashboard!$C$14</f>
        <v>-184918.11850125628</v>
      </c>
    </row>
    <row r="886" spans="1:17" x14ac:dyDescent="0.25">
      <c r="A886" s="5">
        <f>(886-2)/100</f>
        <v>8.84</v>
      </c>
      <c r="B886" s="5">
        <f>Dashboard!$C$10*EXP(-Dashboard!$C$12*A886)</f>
        <v>9.0640620235538216E-3</v>
      </c>
      <c r="C886" s="5">
        <f>Dashboard!$C$17*A886</f>
        <v>7072</v>
      </c>
      <c r="D886" s="5">
        <f>Dashboard!$C$15*(1-EXP(-Dashboard!$C$16*A886))</f>
        <v>0.79037261417222104</v>
      </c>
      <c r="E886" s="5">
        <f>1/(1+EXP(MIN(700,MAX(-700,(C886-Dashboard!$C$18)/Dashboard!$C$19))))</f>
        <v>2.1314316130709843E-4</v>
      </c>
      <c r="F886" s="5">
        <f t="shared" si="63"/>
        <v>1.6846251759522279E-4</v>
      </c>
      <c r="G886" s="8">
        <f>Dashboard!$C$9*B886*Dashboard!$C$11*(1-F886)</f>
        <v>18125.070137691393</v>
      </c>
      <c r="H886" s="8">
        <f>Dashboard!$C$20*A886^2</f>
        <v>625164.80000000005</v>
      </c>
      <c r="I886" s="8">
        <f t="shared" si="64"/>
        <v>643289.8701376915</v>
      </c>
      <c r="J886" s="8">
        <f>Dashboard!$C$13*A886</f>
        <v>176800</v>
      </c>
      <c r="K886" s="8">
        <f>Dashboard!$C$14*A886</f>
        <v>265200</v>
      </c>
      <c r="L886" s="8">
        <f>Dashboard!$C$21-K886</f>
        <v>1234800</v>
      </c>
      <c r="M886" s="8">
        <f t="shared" si="65"/>
        <v>414710.1298623085</v>
      </c>
      <c r="N886" s="8">
        <f t="shared" si="66"/>
        <v>442000</v>
      </c>
      <c r="O886" s="8">
        <f>Dashboard!$C$15*(Dashboard!$C$16*EXP(-Dashboard!$C$16*A886)*E886-(1-EXP(-Dashboard!$C$16*A886))*Dashboard!$C$17/Dashboard!$C$19*E886*(1-E886))</f>
        <v>-2.2354280889031971E-4</v>
      </c>
      <c r="P886" s="8">
        <f>Dashboard!$C$9*B886*Dashboard!$C$11*(-Dashboard!$C$12*(1-F886)-O886)+2*Dashboard!$C$20*A886</f>
        <v>135100.27786357742</v>
      </c>
      <c r="Q886" s="8">
        <f>-P886-Dashboard!$C$13-Dashboard!$C$14</f>
        <v>-185100.27786357742</v>
      </c>
    </row>
    <row r="887" spans="1:17" x14ac:dyDescent="0.25">
      <c r="A887" s="5">
        <f>(887-2)/100</f>
        <v>8.85</v>
      </c>
      <c r="B887" s="5">
        <f>Dashboard!$C$10*EXP(-Dashboard!$C$12*A887)</f>
        <v>9.0323932591376381E-3</v>
      </c>
      <c r="C887" s="5">
        <f>Dashboard!$C$17*A887</f>
        <v>7080</v>
      </c>
      <c r="D887" s="5">
        <f>Dashboard!$C$15*(1-EXP(-Dashboard!$C$16*A887))</f>
        <v>0.79042063095935711</v>
      </c>
      <c r="E887" s="5">
        <f>1/(1+EXP(MIN(700,MAX(-700,(C887-Dashboard!$C$18)/Dashboard!$C$19))))</f>
        <v>2.1032070836886124E-4</v>
      </c>
      <c r="F887" s="5">
        <f t="shared" si="63"/>
        <v>1.6624182701273425E-4</v>
      </c>
      <c r="G887" s="8">
        <f>Dashboard!$C$9*B887*Dashboard!$C$11*(1-F887)</f>
        <v>18061.783395159888</v>
      </c>
      <c r="H887" s="8">
        <f>Dashboard!$C$20*A887^2</f>
        <v>626579.99999999988</v>
      </c>
      <c r="I887" s="8">
        <f t="shared" si="64"/>
        <v>644641.78339515976</v>
      </c>
      <c r="J887" s="8">
        <f>Dashboard!$C$13*A887</f>
        <v>177000</v>
      </c>
      <c r="K887" s="8">
        <f>Dashboard!$C$14*A887</f>
        <v>265500</v>
      </c>
      <c r="L887" s="8">
        <f>Dashboard!$C$21-K887</f>
        <v>1234500</v>
      </c>
      <c r="M887" s="8">
        <f t="shared" si="65"/>
        <v>412858.21660484024</v>
      </c>
      <c r="N887" s="8">
        <f t="shared" si="66"/>
        <v>442500</v>
      </c>
      <c r="O887" s="8">
        <f>Dashboard!$C$15*(Dashboard!$C$16*EXP(-Dashboard!$C$16*A887)*E887-(1-EXP(-Dashboard!$C$16*A887))*Dashboard!$C$17/Dashboard!$C$19*E887*(1-E887))</f>
        <v>-2.2060178071071107E-4</v>
      </c>
      <c r="P887" s="8">
        <f>Dashboard!$C$9*B887*Dashboard!$C$11*(-Dashboard!$C$12*(1-F887)-O887)+2*Dashboard!$C$20*A887</f>
        <v>135282.36093576814</v>
      </c>
      <c r="Q887" s="8">
        <f>-P887-Dashboard!$C$13-Dashboard!$C$14</f>
        <v>-185282.36093576814</v>
      </c>
    </row>
    <row r="888" spans="1:17" x14ac:dyDescent="0.25">
      <c r="A888" s="5">
        <f>(888-2)/100</f>
        <v>8.86</v>
      </c>
      <c r="B888" s="5">
        <f>Dashboard!$C$10*EXP(-Dashboard!$C$12*A888)</f>
        <v>9.0008351416518279E-3</v>
      </c>
      <c r="C888" s="5">
        <f>Dashboard!$C$17*A888</f>
        <v>7088</v>
      </c>
      <c r="D888" s="5">
        <f>Dashboard!$C$15*(1-EXP(-Dashboard!$C$16*A888))</f>
        <v>0.79046840826176834</v>
      </c>
      <c r="E888" s="5">
        <f>1/(1+EXP(MIN(700,MAX(-700,(C888-Dashboard!$C$18)/Dashboard!$C$19))))</f>
        <v>2.0753562274238095E-4</v>
      </c>
      <c r="F888" s="5">
        <f t="shared" si="63"/>
        <v>1.6405035336678473E-4</v>
      </c>
      <c r="G888" s="8">
        <f>Dashboard!$C$9*B888*Dashboard!$C$11*(1-F888)</f>
        <v>17998.717102932485</v>
      </c>
      <c r="H888" s="8">
        <f>Dashboard!$C$20*A888^2</f>
        <v>627996.79999999993</v>
      </c>
      <c r="I888" s="8">
        <f t="shared" si="64"/>
        <v>645995.51710293244</v>
      </c>
      <c r="J888" s="8">
        <f>Dashboard!$C$13*A888</f>
        <v>177200</v>
      </c>
      <c r="K888" s="8">
        <f>Dashboard!$C$14*A888</f>
        <v>265800</v>
      </c>
      <c r="L888" s="8">
        <f>Dashboard!$C$21-K888</f>
        <v>1234200</v>
      </c>
      <c r="M888" s="8">
        <f t="shared" si="65"/>
        <v>411004.48289706756</v>
      </c>
      <c r="N888" s="8">
        <f t="shared" si="66"/>
        <v>443000</v>
      </c>
      <c r="O888" s="8">
        <f>Dashboard!$C$15*(Dashboard!$C$16*EXP(-Dashboard!$C$16*A888)*E888-(1-EXP(-Dashboard!$C$16*A888))*Dashboard!$C$17/Dashboard!$C$19*E888*(1-E888))</f>
        <v>-2.1769933701915685E-4</v>
      </c>
      <c r="P888" s="8">
        <f>Dashboard!$C$9*B888*Dashboard!$C$11*(-Dashboard!$C$12*(1-F888)-O888)+2*Dashboard!$C$20*A888</f>
        <v>135464.36796565953</v>
      </c>
      <c r="Q888" s="8">
        <f>-P888-Dashboard!$C$13-Dashboard!$C$14</f>
        <v>-185464.36796565953</v>
      </c>
    </row>
    <row r="889" spans="1:17" x14ac:dyDescent="0.25">
      <c r="A889" s="5">
        <f>(889-2)/100</f>
        <v>8.8699999999999992</v>
      </c>
      <c r="B889" s="5">
        <f>Dashboard!$C$10*EXP(-Dashboard!$C$12*A889)</f>
        <v>8.9693872845090627E-3</v>
      </c>
      <c r="C889" s="5">
        <f>Dashboard!$C$17*A889</f>
        <v>7095.9999999999991</v>
      </c>
      <c r="D889" s="5">
        <f>Dashboard!$C$15*(1-EXP(-Dashboard!$C$16*A889))</f>
        <v>0.79051594727388963</v>
      </c>
      <c r="E889" s="5">
        <f>1/(1+EXP(MIN(700,MAX(-700,(C889-Dashboard!$C$18)/Dashboard!$C$19))))</f>
        <v>2.0478740991458028E-4</v>
      </c>
      <c r="F889" s="5">
        <f t="shared" si="63"/>
        <v>1.6188771333839076E-4</v>
      </c>
      <c r="G889" s="8">
        <f>Dashboard!$C$9*B889*Dashboard!$C$11*(1-F889)</f>
        <v>17935.870501823054</v>
      </c>
      <c r="H889" s="8">
        <f>Dashboard!$C$20*A889^2</f>
        <v>629415.19999999995</v>
      </c>
      <c r="I889" s="8">
        <f t="shared" si="64"/>
        <v>647351.07050182298</v>
      </c>
      <c r="J889" s="8">
        <f>Dashboard!$C$13*A889</f>
        <v>177399.99999999997</v>
      </c>
      <c r="K889" s="8">
        <f>Dashboard!$C$14*A889</f>
        <v>266100</v>
      </c>
      <c r="L889" s="8">
        <f>Dashboard!$C$21-K889</f>
        <v>1233900</v>
      </c>
      <c r="M889" s="8">
        <f t="shared" si="65"/>
        <v>409148.92949817702</v>
      </c>
      <c r="N889" s="8">
        <f t="shared" si="66"/>
        <v>443500</v>
      </c>
      <c r="O889" s="8">
        <f>Dashboard!$C$15*(Dashboard!$C$16*EXP(-Dashboard!$C$16*A889)*E889-(1-EXP(-Dashboard!$C$16*A889))*Dashboard!$C$17/Dashboard!$C$19*E889*(1-E889))</f>
        <v>-2.1483497373386888E-4</v>
      </c>
      <c r="P889" s="8">
        <f>Dashboard!$C$9*B889*Dashboard!$C$11*(-Dashboard!$C$12*(1-F889)-O889)+2*Dashboard!$C$20*A889</f>
        <v>135646.29920052527</v>
      </c>
      <c r="Q889" s="8">
        <f>-P889-Dashboard!$C$13-Dashboard!$C$14</f>
        <v>-185646.29920052527</v>
      </c>
    </row>
    <row r="890" spans="1:17" x14ac:dyDescent="0.25">
      <c r="A890" s="5">
        <f>(890-2)/100</f>
        <v>8.8800000000000008</v>
      </c>
      <c r="B890" s="5">
        <f>Dashboard!$C$10*EXP(-Dashboard!$C$12*A890)</f>
        <v>8.9380493024726875E-3</v>
      </c>
      <c r="C890" s="5">
        <f>Dashboard!$C$17*A890</f>
        <v>7104.0000000000009</v>
      </c>
      <c r="D890" s="5">
        <f>Dashboard!$C$15*(1-EXP(-Dashboard!$C$16*A890))</f>
        <v>0.79056324918419874</v>
      </c>
      <c r="E890" s="5">
        <f>1/(1+EXP(MIN(700,MAX(-700,(C890-Dashboard!$C$18)/Dashboard!$C$19))))</f>
        <v>2.0207558191131822E-4</v>
      </c>
      <c r="F890" s="5">
        <f t="shared" si="63"/>
        <v>1.5975352861659944E-4</v>
      </c>
      <c r="G890" s="8">
        <f>Dashboard!$C$9*B890*Dashboard!$C$11*(1-F890)</f>
        <v>17873.242835115336</v>
      </c>
      <c r="H890" s="8">
        <f>Dashboard!$C$20*A890^2</f>
        <v>630835.20000000007</v>
      </c>
      <c r="I890" s="8">
        <f t="shared" si="64"/>
        <v>648708.44283511536</v>
      </c>
      <c r="J890" s="8">
        <f>Dashboard!$C$13*A890</f>
        <v>177600.00000000003</v>
      </c>
      <c r="K890" s="8">
        <f>Dashboard!$C$14*A890</f>
        <v>266400</v>
      </c>
      <c r="L890" s="8">
        <f>Dashboard!$C$21-K890</f>
        <v>1233600</v>
      </c>
      <c r="M890" s="8">
        <f t="shared" si="65"/>
        <v>407291.55716488464</v>
      </c>
      <c r="N890" s="8">
        <f t="shared" si="66"/>
        <v>444000</v>
      </c>
      <c r="O890" s="8">
        <f>Dashboard!$C$15*(Dashboard!$C$16*EXP(-Dashboard!$C$16*A890)*E890-(1-EXP(-Dashboard!$C$16*A890))*Dashboard!$C$17/Dashboard!$C$19*E890*(1-E890))</f>
        <v>-2.1200819331622825E-4</v>
      </c>
      <c r="P890" s="8">
        <f>Dashboard!$C$9*B890*Dashboard!$C$11*(-Dashboard!$C$12*(1-F890)-O890)+2*Dashboard!$C$20*A890</f>
        <v>135828.15488707842</v>
      </c>
      <c r="Q890" s="8">
        <f>-P890-Dashboard!$C$13-Dashboard!$C$14</f>
        <v>-185828.15488707842</v>
      </c>
    </row>
    <row r="891" spans="1:17" x14ac:dyDescent="0.25">
      <c r="A891" s="5">
        <f>(891-2)/100</f>
        <v>8.89</v>
      </c>
      <c r="B891" s="5">
        <f>Dashboard!$C$10*EXP(-Dashboard!$C$12*A891)</f>
        <v>8.9068208116520504E-3</v>
      </c>
      <c r="C891" s="5">
        <f>Dashboard!$C$17*A891</f>
        <v>7112</v>
      </c>
      <c r="D891" s="5">
        <f>Dashboard!$C$15*(1-EXP(-Dashboard!$C$16*A891))</f>
        <v>0.79061031517524605</v>
      </c>
      <c r="E891" s="5">
        <f>1/(1+EXP(MIN(700,MAX(-700,(C891-Dashboard!$C$18)/Dashboard!$C$19))))</f>
        <v>1.9939965721107084E-4</v>
      </c>
      <c r="F891" s="5">
        <f t="shared" si="63"/>
        <v>1.5764742583348074E-4</v>
      </c>
      <c r="G891" s="8">
        <f>Dashboard!$C$9*B891*Dashboard!$C$11*(1-F891)</f>
        <v>17810.833348557466</v>
      </c>
      <c r="H891" s="8">
        <f>Dashboard!$C$20*A891^2</f>
        <v>632256.80000000016</v>
      </c>
      <c r="I891" s="8">
        <f t="shared" si="64"/>
        <v>650067.63334855763</v>
      </c>
      <c r="J891" s="8">
        <f>Dashboard!$C$13*A891</f>
        <v>177800</v>
      </c>
      <c r="K891" s="8">
        <f>Dashboard!$C$14*A891</f>
        <v>266700</v>
      </c>
      <c r="L891" s="8">
        <f>Dashboard!$C$21-K891</f>
        <v>1233300</v>
      </c>
      <c r="M891" s="8">
        <f t="shared" si="65"/>
        <v>405432.36665144237</v>
      </c>
      <c r="N891" s="8">
        <f t="shared" si="66"/>
        <v>444500</v>
      </c>
      <c r="O891" s="8">
        <f>Dashboard!$C$15*(Dashboard!$C$16*EXP(-Dashboard!$C$16*A891)*E891-(1-EXP(-Dashboard!$C$16*A891))*Dashboard!$C$17/Dashboard!$C$19*E891*(1-E891))</f>
        <v>-2.0921850468672454E-4</v>
      </c>
      <c r="P891" s="8">
        <f>Dashboard!$C$9*B891*Dashboard!$C$11*(-Dashboard!$C$12*(1-F891)-O891)+2*Dashboard!$C$20*A891</f>
        <v>136009.93527146833</v>
      </c>
      <c r="Q891" s="8">
        <f>-P891-Dashboard!$C$13-Dashboard!$C$14</f>
        <v>-186009.93527146833</v>
      </c>
    </row>
    <row r="892" spans="1:17" x14ac:dyDescent="0.25">
      <c r="A892" s="5">
        <f>(892-2)/100</f>
        <v>8.9</v>
      </c>
      <c r="B892" s="5">
        <f>Dashboard!$C$10*EXP(-Dashboard!$C$12*A892)</f>
        <v>8.875701429497734E-3</v>
      </c>
      <c r="C892" s="5">
        <f>Dashboard!$C$17*A892</f>
        <v>7120</v>
      </c>
      <c r="D892" s="5">
        <f>Dashboard!$C$15*(1-EXP(-Dashboard!$C$16*A892))</f>
        <v>0.79065714642368368</v>
      </c>
      <c r="E892" s="5">
        <f>1/(1+EXP(MIN(700,MAX(-700,(C892-Dashboard!$C$18)/Dashboard!$C$19))))</f>
        <v>1.9675916065973944E-4</v>
      </c>
      <c r="F892" s="5">
        <f t="shared" si="63"/>
        <v>1.5556903649994869E-4</v>
      </c>
      <c r="G892" s="8">
        <f>Dashboard!$C$9*B892*Dashboard!$C$11*(1-F892)</f>
        <v>17748.641290356172</v>
      </c>
      <c r="H892" s="8">
        <f>Dashboard!$C$20*A892^2</f>
        <v>633680.00000000012</v>
      </c>
      <c r="I892" s="8">
        <f t="shared" si="64"/>
        <v>651428.64129035629</v>
      </c>
      <c r="J892" s="8">
        <f>Dashboard!$C$13*A892</f>
        <v>178000</v>
      </c>
      <c r="K892" s="8">
        <f>Dashboard!$C$14*A892</f>
        <v>267000</v>
      </c>
      <c r="L892" s="8">
        <f>Dashboard!$C$21-K892</f>
        <v>1233000</v>
      </c>
      <c r="M892" s="8">
        <f t="shared" si="65"/>
        <v>403571.35870964371</v>
      </c>
      <c r="N892" s="8">
        <f t="shared" si="66"/>
        <v>445000</v>
      </c>
      <c r="O892" s="8">
        <f>Dashboard!$C$15*(Dashboard!$C$16*EXP(-Dashboard!$C$16*A892)*E892-(1-EXP(-Dashboard!$C$16*A892))*Dashboard!$C$17/Dashboard!$C$19*E892*(1-E892))</f>
        <v>-2.0646542314194832E-4</v>
      </c>
      <c r="P892" s="8">
        <f>Dashboard!$C$9*B892*Dashboard!$C$11*(-Dashboard!$C$12*(1-F892)-O892)+2*Dashboard!$C$20*A892</f>
        <v>136191.64059927798</v>
      </c>
      <c r="Q892" s="8">
        <f>-P892-Dashboard!$C$13-Dashboard!$C$14</f>
        <v>-186191.64059927798</v>
      </c>
    </row>
    <row r="893" spans="1:17" x14ac:dyDescent="0.25">
      <c r="A893" s="5">
        <f>(893-2)/100</f>
        <v>8.91</v>
      </c>
      <c r="B893" s="5">
        <f>Dashboard!$C$10*EXP(-Dashboard!$C$12*A893)</f>
        <v>8.8446907747969216E-3</v>
      </c>
      <c r="C893" s="5">
        <f>Dashboard!$C$17*A893</f>
        <v>7128</v>
      </c>
      <c r="D893" s="5">
        <f>Dashboard!$C$15*(1-EXP(-Dashboard!$C$16*A893))</f>
        <v>0.79070374410029531</v>
      </c>
      <c r="E893" s="5">
        <f>1/(1+EXP(MIN(700,MAX(-700,(C893-Dashboard!$C$18)/Dashboard!$C$19))))</f>
        <v>1.9415362338658803E-4</v>
      </c>
      <c r="F893" s="5">
        <f t="shared" si="63"/>
        <v>1.5351799694241381E-4</v>
      </c>
      <c r="G893" s="8">
        <f>Dashboard!$C$9*B893*Dashboard!$C$11*(1-F893)</f>
        <v>17686.6659111712</v>
      </c>
      <c r="H893" s="8">
        <f>Dashboard!$C$20*A893^2</f>
        <v>635104.80000000005</v>
      </c>
      <c r="I893" s="8">
        <f t="shared" si="64"/>
        <v>652791.46591117128</v>
      </c>
      <c r="J893" s="8">
        <f>Dashboard!$C$13*A893</f>
        <v>178200</v>
      </c>
      <c r="K893" s="8">
        <f>Dashboard!$C$14*A893</f>
        <v>267300</v>
      </c>
      <c r="L893" s="8">
        <f>Dashboard!$C$21-K893</f>
        <v>1232700</v>
      </c>
      <c r="M893" s="8">
        <f t="shared" si="65"/>
        <v>401708.53408882872</v>
      </c>
      <c r="N893" s="8">
        <f t="shared" si="66"/>
        <v>445500</v>
      </c>
      <c r="O893" s="8">
        <f>Dashboard!$C$15*(Dashboard!$C$16*EXP(-Dashboard!$C$16*A893)*E893-(1-EXP(-Dashboard!$C$16*A893))*Dashboard!$C$17/Dashboard!$C$19*E893*(1-E893))</f>
        <v>-2.0374847027264148E-4</v>
      </c>
      <c r="P893" s="8">
        <f>Dashboard!$C$9*B893*Dashboard!$C$11*(-Dashboard!$C$12*(1-F893)-O893)+2*Dashboard!$C$20*A893</f>
        <v>136373.27111552088</v>
      </c>
      <c r="Q893" s="8">
        <f>-P893-Dashboard!$C$13-Dashboard!$C$14</f>
        <v>-186373.27111552088</v>
      </c>
    </row>
    <row r="894" spans="1:17" x14ac:dyDescent="0.25">
      <c r="A894" s="5">
        <f>(894-2)/100</f>
        <v>8.92</v>
      </c>
      <c r="B894" s="5">
        <f>Dashboard!$C$10*EXP(-Dashboard!$C$12*A894)</f>
        <v>8.8137884676687053E-3</v>
      </c>
      <c r="C894" s="5">
        <f>Dashboard!$C$17*A894</f>
        <v>7136</v>
      </c>
      <c r="D894" s="5">
        <f>Dashboard!$C$15*(1-EXP(-Dashboard!$C$16*A894))</f>
        <v>0.79075010937002521</v>
      </c>
      <c r="E894" s="5">
        <f>1/(1+EXP(MIN(700,MAX(-700,(C894-Dashboard!$C$18)/Dashboard!$C$19))))</f>
        <v>1.9158258272128215E-4</v>
      </c>
      <c r="F894" s="5">
        <f t="shared" si="63"/>
        <v>1.5149394824024576E-4</v>
      </c>
      <c r="G894" s="8">
        <f>Dashboard!$C$9*B894*Dashboard!$C$11*(1-F894)</f>
        <v>17624.906464109568</v>
      </c>
      <c r="H894" s="8">
        <f>Dashboard!$C$20*A894^2</f>
        <v>636531.20000000007</v>
      </c>
      <c r="I894" s="8">
        <f t="shared" si="64"/>
        <v>654156.10646410962</v>
      </c>
      <c r="J894" s="8">
        <f>Dashboard!$C$13*A894</f>
        <v>178400</v>
      </c>
      <c r="K894" s="8">
        <f>Dashboard!$C$14*A894</f>
        <v>267600</v>
      </c>
      <c r="L894" s="8">
        <f>Dashboard!$C$21-K894</f>
        <v>1232400</v>
      </c>
      <c r="M894" s="8">
        <f t="shared" si="65"/>
        <v>399843.89353589038</v>
      </c>
      <c r="N894" s="8">
        <f t="shared" si="66"/>
        <v>446000</v>
      </c>
      <c r="O894" s="8">
        <f>Dashboard!$C$15*(Dashboard!$C$16*EXP(-Dashboard!$C$16*A894)*E894-(1-EXP(-Dashboard!$C$16*A894))*Dashboard!$C$17/Dashboard!$C$19*E894*(1-E894))</f>
        <v>-2.0106717388277702E-4</v>
      </c>
      <c r="P894" s="8">
        <f>Dashboard!$C$9*B894*Dashboard!$C$11*(-Dashboard!$C$12*(1-F894)-O894)+2*Dashboard!$C$20*A894</f>
        <v>136554.82706463843</v>
      </c>
      <c r="Q894" s="8">
        <f>-P894-Dashboard!$C$13-Dashboard!$C$14</f>
        <v>-186554.82706463843</v>
      </c>
    </row>
    <row r="895" spans="1:17" x14ac:dyDescent="0.25">
      <c r="A895" s="5">
        <f>(895-2)/100</f>
        <v>8.93</v>
      </c>
      <c r="B895" s="5">
        <f>Dashboard!$C$10*EXP(-Dashboard!$C$12*A895)</f>
        <v>8.7829941295594384E-3</v>
      </c>
      <c r="C895" s="5">
        <f>Dashboard!$C$17*A895</f>
        <v>7144</v>
      </c>
      <c r="D895" s="5">
        <f>Dashboard!$C$15*(1-EXP(-Dashboard!$C$16*A895))</f>
        <v>0.79079624339200771</v>
      </c>
      <c r="E895" s="5">
        <f>1/(1+EXP(MIN(700,MAX(-700,(C895-Dashboard!$C$18)/Dashboard!$C$19))))</f>
        <v>1.8904558211202123E-4</v>
      </c>
      <c r="F895" s="5">
        <f t="shared" si="63"/>
        <v>1.4949653616404171E-4</v>
      </c>
      <c r="G895" s="8">
        <f>Dashboard!$C$9*B895*Dashboard!$C$11*(1-F895)</f>
        <v>17563.362204719841</v>
      </c>
      <c r="H895" s="8">
        <f>Dashboard!$C$20*A895^2</f>
        <v>637959.19999999995</v>
      </c>
      <c r="I895" s="8">
        <f t="shared" si="64"/>
        <v>655522.56220471975</v>
      </c>
      <c r="J895" s="8">
        <f>Dashboard!$C$13*A895</f>
        <v>178600</v>
      </c>
      <c r="K895" s="8">
        <f>Dashboard!$C$14*A895</f>
        <v>267900</v>
      </c>
      <c r="L895" s="8">
        <f>Dashboard!$C$21-K895</f>
        <v>1232100</v>
      </c>
      <c r="M895" s="8">
        <f t="shared" si="65"/>
        <v>397977.43779528025</v>
      </c>
      <c r="N895" s="8">
        <f t="shared" si="66"/>
        <v>446500</v>
      </c>
      <c r="O895" s="8">
        <f>Dashboard!$C$15*(Dashboard!$C$16*EXP(-Dashboard!$C$16*A895)*E895-(1-EXP(-Dashboard!$C$16*A895))*Dashboard!$C$17/Dashboard!$C$19*E895*(1-E895))</f>
        <v>-1.984210679096642E-4</v>
      </c>
      <c r="P895" s="8">
        <f>Dashboard!$C$9*B895*Dashboard!$C$11*(-Dashboard!$C$12*(1-F895)-O895)+2*Dashboard!$C$20*A895</f>
        <v>136736.30869049733</v>
      </c>
      <c r="Q895" s="8">
        <f>-P895-Dashboard!$C$13-Dashboard!$C$14</f>
        <v>-186736.30869049733</v>
      </c>
    </row>
    <row r="896" spans="1:17" x14ac:dyDescent="0.25">
      <c r="A896" s="5">
        <f>(896-2)/100</f>
        <v>8.94</v>
      </c>
      <c r="B896" s="5">
        <f>Dashboard!$C$10*EXP(-Dashboard!$C$12*A896)</f>
        <v>8.7523073832380914E-3</v>
      </c>
      <c r="C896" s="5">
        <f>Dashboard!$C$17*A896</f>
        <v>7152</v>
      </c>
      <c r="D896" s="5">
        <f>Dashboard!$C$15*(1-EXP(-Dashboard!$C$16*A896))</f>
        <v>0.79084214731959546</v>
      </c>
      <c r="E896" s="5">
        <f>1/(1+EXP(MIN(700,MAX(-700,(C896-Dashboard!$C$18)/Dashboard!$C$19))))</f>
        <v>1.8654217104474869E-4</v>
      </c>
      <c r="F896" s="5">
        <f t="shared" si="63"/>
        <v>1.4752541111468832E-4</v>
      </c>
      <c r="G896" s="8">
        <f>Dashboard!$C$9*B896*Dashboard!$C$11*(1-F896)</f>
        <v>17502.032390986355</v>
      </c>
      <c r="H896" s="8">
        <f>Dashboard!$C$20*A896^2</f>
        <v>639388.79999999993</v>
      </c>
      <c r="I896" s="8">
        <f t="shared" si="64"/>
        <v>656890.83239098627</v>
      </c>
      <c r="J896" s="8">
        <f>Dashboard!$C$13*A896</f>
        <v>178800</v>
      </c>
      <c r="K896" s="8">
        <f>Dashboard!$C$14*A896</f>
        <v>268200</v>
      </c>
      <c r="L896" s="8">
        <f>Dashboard!$C$21-K896</f>
        <v>1231800</v>
      </c>
      <c r="M896" s="8">
        <f t="shared" si="65"/>
        <v>396109.16760901373</v>
      </c>
      <c r="N896" s="8">
        <f t="shared" si="66"/>
        <v>447000</v>
      </c>
      <c r="O896" s="8">
        <f>Dashboard!$C$15*(Dashboard!$C$16*EXP(-Dashboard!$C$16*A896)*E896-(1-EXP(-Dashboard!$C$16*A896))*Dashboard!$C$17/Dashboard!$C$19*E896*(1-E896))</f>
        <v>-1.9580969234506422E-4</v>
      </c>
      <c r="P896" s="8">
        <f>Dashboard!$C$9*B896*Dashboard!$C$11*(-Dashboard!$C$12*(1-F896)-O896)+2*Dashboard!$C$20*A896</f>
        <v>136917.71623638683</v>
      </c>
      <c r="Q896" s="8">
        <f>-P896-Dashboard!$C$13-Dashboard!$C$14</f>
        <v>-186917.71623638683</v>
      </c>
    </row>
    <row r="897" spans="1:17" x14ac:dyDescent="0.25">
      <c r="A897" s="5">
        <f>(897-2)/100</f>
        <v>8.9499999999999993</v>
      </c>
      <c r="B897" s="5">
        <f>Dashboard!$C$10*EXP(-Dashboard!$C$12*A897)</f>
        <v>8.7217278527916397E-3</v>
      </c>
      <c r="C897" s="5">
        <f>Dashboard!$C$17*A897</f>
        <v>7159.9999999999991</v>
      </c>
      <c r="D897" s="5">
        <f>Dashboard!$C$15*(1-EXP(-Dashboard!$C$16*A897))</f>
        <v>0.79088782230038934</v>
      </c>
      <c r="E897" s="5">
        <f>1/(1+EXP(MIN(700,MAX(-700,(C897-Dashboard!$C$18)/Dashboard!$C$19))))</f>
        <v>1.8407190496342433E-4</v>
      </c>
      <c r="F897" s="5">
        <f t="shared" si="63"/>
        <v>1.4558022806320688E-4</v>
      </c>
      <c r="G897" s="8">
        <f>Dashboard!$C$9*B897*Dashboard!$C$11*(1-F897)</f>
        <v>17440.916283323451</v>
      </c>
      <c r="H897" s="8">
        <f>Dashboard!$C$20*A897^2</f>
        <v>640819.99999999988</v>
      </c>
      <c r="I897" s="8">
        <f t="shared" si="64"/>
        <v>658260.91628332331</v>
      </c>
      <c r="J897" s="8">
        <f>Dashboard!$C$13*A897</f>
        <v>179000</v>
      </c>
      <c r="K897" s="8">
        <f>Dashboard!$C$14*A897</f>
        <v>268500</v>
      </c>
      <c r="L897" s="8">
        <f>Dashboard!$C$21-K897</f>
        <v>1231500</v>
      </c>
      <c r="M897" s="8">
        <f t="shared" si="65"/>
        <v>394239.08371667669</v>
      </c>
      <c r="N897" s="8">
        <f t="shared" si="66"/>
        <v>447500</v>
      </c>
      <c r="O897" s="8">
        <f>Dashboard!$C$15*(Dashboard!$C$16*EXP(-Dashboard!$C$16*A897)*E897-(1-EXP(-Dashboard!$C$16*A897))*Dashboard!$C$17/Dashboard!$C$19*E897*(1-E897))</f>
        <v>-1.9323259315730346E-4</v>
      </c>
      <c r="P897" s="8">
        <f>Dashboard!$C$9*B897*Dashboard!$C$11*(-Dashboard!$C$12*(1-F897)-O897)+2*Dashboard!$C$20*A897</f>
        <v>137099.04994501639</v>
      </c>
      <c r="Q897" s="8">
        <f>-P897-Dashboard!$C$13-Dashboard!$C$14</f>
        <v>-187099.04994501639</v>
      </c>
    </row>
    <row r="898" spans="1:17" x14ac:dyDescent="0.25">
      <c r="A898" s="5">
        <f>(898-2)/100</f>
        <v>8.9600000000000009</v>
      </c>
      <c r="B898" s="5">
        <f>Dashboard!$C$10*EXP(-Dashboard!$C$12*A898)</f>
        <v>8.691255163620442E-3</v>
      </c>
      <c r="C898" s="5">
        <f>Dashboard!$C$17*A898</f>
        <v>7168.0000000000009</v>
      </c>
      <c r="D898" s="5">
        <f>Dashboard!$C$15*(1-EXP(-Dashboard!$C$16*A898))</f>
        <v>0.79093326947626608</v>
      </c>
      <c r="E898" s="5">
        <f>1/(1+EXP(MIN(700,MAX(-700,(C898-Dashboard!$C$18)/Dashboard!$C$19))))</f>
        <v>1.8163434519134712E-4</v>
      </c>
      <c r="F898" s="5">
        <f t="shared" si="63"/>
        <v>1.4366064649137288E-4</v>
      </c>
      <c r="G898" s="8">
        <f>Dashboard!$C$9*B898*Dashboard!$C$11*(1-F898)</f>
        <v>17380.013144569632</v>
      </c>
      <c r="H898" s="8">
        <f>Dashboard!$C$20*A898^2</f>
        <v>642252.80000000005</v>
      </c>
      <c r="I898" s="8">
        <f t="shared" si="64"/>
        <v>659632.81314456963</v>
      </c>
      <c r="J898" s="8">
        <f>Dashboard!$C$13*A898</f>
        <v>179200.00000000003</v>
      </c>
      <c r="K898" s="8">
        <f>Dashboard!$C$14*A898</f>
        <v>268800</v>
      </c>
      <c r="L898" s="8">
        <f>Dashboard!$C$21-K898</f>
        <v>1231200</v>
      </c>
      <c r="M898" s="8">
        <f t="shared" si="65"/>
        <v>392367.18685543037</v>
      </c>
      <c r="N898" s="8">
        <f t="shared" si="66"/>
        <v>448000</v>
      </c>
      <c r="O898" s="8">
        <f>Dashboard!$C$15*(Dashboard!$C$16*EXP(-Dashboard!$C$16*A898)*E898-(1-EXP(-Dashboard!$C$16*A898))*Dashboard!$C$17/Dashboard!$C$19*E898*(1-E898))</f>
        <v>-1.9068932221437114E-4</v>
      </c>
      <c r="P898" s="8">
        <f>Dashboard!$C$9*B898*Dashboard!$C$11*(-Dashboard!$C$12*(1-F898)-O898)+2*Dashboard!$C$20*A898</f>
        <v>137280.31005851331</v>
      </c>
      <c r="Q898" s="8">
        <f>-P898-Dashboard!$C$13-Dashboard!$C$14</f>
        <v>-187280.31005851331</v>
      </c>
    </row>
    <row r="899" spans="1:17" x14ac:dyDescent="0.25">
      <c r="A899" s="5">
        <f>(899-2)/100</f>
        <v>8.9700000000000006</v>
      </c>
      <c r="B899" s="5">
        <f>Dashboard!$C$10*EXP(-Dashboard!$C$12*A899)</f>
        <v>8.6608889424336921E-3</v>
      </c>
      <c r="C899" s="5">
        <f>Dashboard!$C$17*A899</f>
        <v>7176.0000000000009</v>
      </c>
      <c r="D899" s="5">
        <f>Dashboard!$C$15*(1-EXP(-Dashboard!$C$16*A899))</f>
        <v>0.79097848998340758</v>
      </c>
      <c r="E899" s="5">
        <f>1/(1+EXP(MIN(700,MAX(-700,(C899-Dashboard!$C$18)/Dashboard!$C$19))))</f>
        <v>1.7922905885351729E-4</v>
      </c>
      <c r="F899" s="5">
        <f t="shared" si="63"/>
        <v>1.4176633033310238E-4</v>
      </c>
      <c r="G899" s="8">
        <f>Dashboard!$C$9*B899*Dashboard!$C$11*(1-F899)</f>
        <v>17319.322239981801</v>
      </c>
      <c r="H899" s="8">
        <f>Dashboard!$C$20*A899^2</f>
        <v>643687.20000000007</v>
      </c>
      <c r="I899" s="8">
        <f t="shared" si="64"/>
        <v>661006.52223998192</v>
      </c>
      <c r="J899" s="8">
        <f>Dashboard!$C$13*A899</f>
        <v>179400</v>
      </c>
      <c r="K899" s="8">
        <f>Dashboard!$C$14*A899</f>
        <v>269100</v>
      </c>
      <c r="L899" s="8">
        <f>Dashboard!$C$21-K899</f>
        <v>1230900</v>
      </c>
      <c r="M899" s="8">
        <f t="shared" si="65"/>
        <v>390493.47776001808</v>
      </c>
      <c r="N899" s="8">
        <f t="shared" si="66"/>
        <v>448500</v>
      </c>
      <c r="O899" s="8">
        <f>Dashboard!$C$15*(Dashboard!$C$16*EXP(-Dashboard!$C$16*A899)*E899-(1-EXP(-Dashboard!$C$16*A899))*Dashboard!$C$17/Dashboard!$C$19*E899*(1-E899))</f>
        <v>-1.8817943720799717E-4</v>
      </c>
      <c r="P899" s="8">
        <f>Dashboard!$C$9*B899*Dashboard!$C$11*(-Dashboard!$C$12*(1-F899)-O899)+2*Dashboard!$C$20*A899</f>
        <v>137461.49681842019</v>
      </c>
      <c r="Q899" s="8">
        <f>-P899-Dashboard!$C$13-Dashboard!$C$14</f>
        <v>-187461.49681842019</v>
      </c>
    </row>
    <row r="900" spans="1:17" x14ac:dyDescent="0.25">
      <c r="A900" s="5">
        <f>(900-2)/100</f>
        <v>8.98</v>
      </c>
      <c r="B900" s="5">
        <f>Dashboard!$C$10*EXP(-Dashboard!$C$12*A900)</f>
        <v>8.630628817244794E-3</v>
      </c>
      <c r="C900" s="5">
        <f>Dashboard!$C$17*A900</f>
        <v>7184</v>
      </c>
      <c r="D900" s="5">
        <f>Dashboard!$C$15*(1-EXP(-Dashboard!$C$16*A900))</f>
        <v>0.79102348495232877</v>
      </c>
      <c r="E900" s="5">
        <f>1/(1+EXP(MIN(700,MAX(-700,(C900-Dashboard!$C$18)/Dashboard!$C$19))))</f>
        <v>1.7685561880001287E-4</v>
      </c>
      <c r="F900" s="5">
        <f t="shared" si="63"/>
        <v>1.3989694791658678E-4</v>
      </c>
      <c r="G900" s="8">
        <f>Dashboard!$C$9*B900*Dashboard!$C$11*(1-F900)</f>
        <v>17258.842837229324</v>
      </c>
      <c r="H900" s="8">
        <f>Dashboard!$C$20*A900^2</f>
        <v>645123.20000000007</v>
      </c>
      <c r="I900" s="8">
        <f t="shared" si="64"/>
        <v>662382.04283722944</v>
      </c>
      <c r="J900" s="8">
        <f>Dashboard!$C$13*A900</f>
        <v>179600</v>
      </c>
      <c r="K900" s="8">
        <f>Dashboard!$C$14*A900</f>
        <v>269400</v>
      </c>
      <c r="L900" s="8">
        <f>Dashboard!$C$21-K900</f>
        <v>1230600</v>
      </c>
      <c r="M900" s="8">
        <f t="shared" si="65"/>
        <v>388617.95716277056</v>
      </c>
      <c r="N900" s="8">
        <f t="shared" si="66"/>
        <v>449000</v>
      </c>
      <c r="O900" s="8">
        <f>Dashboard!$C$15*(Dashboard!$C$16*EXP(-Dashboard!$C$16*A900)*E900-(1-EXP(-Dashboard!$C$16*A900))*Dashboard!$C$17/Dashboard!$C$19*E900*(1-E900))</f>
        <v>-1.8570250157868122E-4</v>
      </c>
      <c r="P900" s="8">
        <f>Dashboard!$C$9*B900*Dashboard!$C$11*(-Dashboard!$C$12*(1-F900)-O900)+2*Dashboard!$C$20*A900</f>
        <v>137642.61046569285</v>
      </c>
      <c r="Q900" s="8">
        <f>-P900-Dashboard!$C$13-Dashboard!$C$14</f>
        <v>-187642.61046569285</v>
      </c>
    </row>
    <row r="901" spans="1:17" x14ac:dyDescent="0.25">
      <c r="A901" s="5">
        <f>(901-2)/100</f>
        <v>8.99</v>
      </c>
      <c r="B901" s="5">
        <f>Dashboard!$C$10*EXP(-Dashboard!$C$12*A901)</f>
        <v>8.6004744173668324E-3</v>
      </c>
      <c r="C901" s="5">
        <f>Dashboard!$C$17*A901</f>
        <v>7192</v>
      </c>
      <c r="D901" s="5">
        <f>Dashboard!$C$15*(1-EXP(-Dashboard!$C$16*A901))</f>
        <v>0.79106825550790627</v>
      </c>
      <c r="E901" s="5">
        <f>1/(1+EXP(MIN(700,MAX(-700,(C901-Dashboard!$C$18)/Dashboard!$C$19))))</f>
        <v>1.7451360353038111E-4</v>
      </c>
      <c r="F901" s="5">
        <f t="shared" si="63"/>
        <v>1.3805217190717697E-4</v>
      </c>
      <c r="G901" s="8">
        <f>Dashboard!$C$9*B901*Dashboard!$C$11*(1-F901)</f>
        <v>17198.574206388166</v>
      </c>
      <c r="H901" s="8">
        <f>Dashboard!$C$20*A901^2</f>
        <v>646560.80000000005</v>
      </c>
      <c r="I901" s="8">
        <f t="shared" si="64"/>
        <v>663759.37420638825</v>
      </c>
      <c r="J901" s="8">
        <f>Dashboard!$C$13*A901</f>
        <v>179800</v>
      </c>
      <c r="K901" s="8">
        <f>Dashboard!$C$14*A901</f>
        <v>269700</v>
      </c>
      <c r="L901" s="8">
        <f>Dashboard!$C$21-K901</f>
        <v>1230300</v>
      </c>
      <c r="M901" s="8">
        <f t="shared" si="65"/>
        <v>386740.62579361175</v>
      </c>
      <c r="N901" s="8">
        <f t="shared" si="66"/>
        <v>449500</v>
      </c>
      <c r="O901" s="8">
        <f>Dashboard!$C$15*(Dashboard!$C$16*EXP(-Dashboard!$C$16*A901)*E901-(1-EXP(-Dashboard!$C$16*A901))*Dashboard!$C$17/Dashboard!$C$19*E901*(1-E901))</f>
        <v>-1.8325808444167907E-4</v>
      </c>
      <c r="P901" s="8">
        <f>Dashboard!$C$9*B901*Dashboard!$C$11*(-Dashboard!$C$12*(1-F901)-O901)+2*Dashboard!$C$20*A901</f>
        <v>137823.65124069818</v>
      </c>
      <c r="Q901" s="8">
        <f>-P901-Dashboard!$C$13-Dashboard!$C$14</f>
        <v>-187823.65124069818</v>
      </c>
    </row>
    <row r="902" spans="1:17" x14ac:dyDescent="0.25">
      <c r="A902" s="5">
        <f>(902-2)/100</f>
        <v>9</v>
      </c>
      <c r="B902" s="5">
        <f>Dashboard!$C$10*EXP(-Dashboard!$C$12*A902)</f>
        <v>8.5704253734080384E-3</v>
      </c>
      <c r="C902" s="5">
        <f>Dashboard!$C$17*A902</f>
        <v>7200</v>
      </c>
      <c r="D902" s="5">
        <f>Dashboard!$C$15*(1-EXP(-Dashboard!$C$16*A902))</f>
        <v>0.79111280276940621</v>
      </c>
      <c r="E902" s="5">
        <f>1/(1+EXP(MIN(700,MAX(-700,(C902-Dashboard!$C$18)/Dashboard!$C$19))))</f>
        <v>1.7220259711902601E-4</v>
      </c>
      <c r="F902" s="5">
        <f t="shared" si="63"/>
        <v>1.3623167925100354E-4</v>
      </c>
      <c r="G902" s="8">
        <f>Dashboard!$C$9*B902*Dashboard!$C$11*(1-F902)</f>
        <v>17138.515619935049</v>
      </c>
      <c r="H902" s="8">
        <f>Dashboard!$C$20*A902^2</f>
        <v>648000</v>
      </c>
      <c r="I902" s="8">
        <f t="shared" si="64"/>
        <v>665138.515619935</v>
      </c>
      <c r="J902" s="8">
        <f>Dashboard!$C$13*A902</f>
        <v>180000</v>
      </c>
      <c r="K902" s="8">
        <f>Dashboard!$C$14*A902</f>
        <v>270000</v>
      </c>
      <c r="L902" s="8">
        <f>Dashboard!$C$21-K902</f>
        <v>1230000</v>
      </c>
      <c r="M902" s="8">
        <f t="shared" si="65"/>
        <v>384861.484380065</v>
      </c>
      <c r="N902" s="8">
        <f t="shared" si="66"/>
        <v>450000</v>
      </c>
      <c r="O902" s="8">
        <f>Dashboard!$C$15*(Dashboard!$C$16*EXP(-Dashboard!$C$16*A902)*E902-(1-EXP(-Dashboard!$C$16*A902))*Dashboard!$C$17/Dashboard!$C$19*E902*(1-E902))</f>
        <v>-1.8084576051392691E-4</v>
      </c>
      <c r="P902" s="8">
        <f>Dashboard!$C$9*B902*Dashboard!$C$11*(-Dashboard!$C$12*(1-F902)-O902)+2*Dashboard!$C$20*A902</f>
        <v>138004.61938321189</v>
      </c>
      <c r="Q902" s="8">
        <f>-P902-Dashboard!$C$13-Dashboard!$C$14</f>
        <v>-188004.61938321189</v>
      </c>
    </row>
    <row r="903" spans="1:17" x14ac:dyDescent="0.25">
      <c r="A903" s="5">
        <f>(903-2)/100</f>
        <v>9.01</v>
      </c>
      <c r="B903" s="5">
        <f>Dashboard!$C$10*EXP(-Dashboard!$C$12*A903)</f>
        <v>8.5404813172672411E-3</v>
      </c>
      <c r="C903" s="5">
        <f>Dashboard!$C$17*A903</f>
        <v>7208</v>
      </c>
      <c r="D903" s="5">
        <f>Dashboard!$C$15*(1-EXP(-Dashboard!$C$16*A903))</f>
        <v>0.79115712785051251</v>
      </c>
      <c r="E903" s="5">
        <f>1/(1+EXP(MIN(700,MAX(-700,(C903-Dashboard!$C$18)/Dashboard!$C$19))))</f>
        <v>1.6992218914157415E-4</v>
      </c>
      <c r="F903" s="5">
        <f t="shared" si="63"/>
        <v>1.3443515111931934E-4</v>
      </c>
      <c r="G903" s="8">
        <f>Dashboard!$C$9*B903*Dashboard!$C$11*(1-F903)</f>
        <v>17078.666352741446</v>
      </c>
      <c r="H903" s="8">
        <f>Dashboard!$C$20*A903^2</f>
        <v>649440.79999999993</v>
      </c>
      <c r="I903" s="8">
        <f t="shared" si="64"/>
        <v>666519.46635274135</v>
      </c>
      <c r="J903" s="8">
        <f>Dashboard!$C$13*A903</f>
        <v>180200</v>
      </c>
      <c r="K903" s="8">
        <f>Dashboard!$C$14*A903</f>
        <v>270300</v>
      </c>
      <c r="L903" s="8">
        <f>Dashboard!$C$21-K903</f>
        <v>1229700</v>
      </c>
      <c r="M903" s="8">
        <f t="shared" si="65"/>
        <v>382980.53364725865</v>
      </c>
      <c r="N903" s="8">
        <f t="shared" si="66"/>
        <v>450500</v>
      </c>
      <c r="O903" s="8">
        <f>Dashboard!$C$15*(Dashboard!$C$16*EXP(-Dashboard!$C$16*A903)*E903-(1-EXP(-Dashboard!$C$16*A903))*Dashboard!$C$17/Dashboard!$C$19*E903*(1-E903))</f>
        <v>-1.7846511004188814E-4</v>
      </c>
      <c r="P903" s="8">
        <f>Dashboard!$C$9*B903*Dashboard!$C$11*(-Dashboard!$C$12*(1-F903)-O903)+2*Dashboard!$C$20*A903</f>
        <v>138185.51513241668</v>
      </c>
      <c r="Q903" s="8">
        <f>-P903-Dashboard!$C$13-Dashboard!$C$14</f>
        <v>-188185.51513241668</v>
      </c>
    </row>
    <row r="904" spans="1:17" x14ac:dyDescent="0.25">
      <c r="A904" s="5">
        <f>(904-2)/100</f>
        <v>9.02</v>
      </c>
      <c r="B904" s="5">
        <f>Dashboard!$C$10*EXP(-Dashboard!$C$12*A904)</f>
        <v>8.510641882129381E-3</v>
      </c>
      <c r="C904" s="5">
        <f>Dashboard!$C$17*A904</f>
        <v>7216</v>
      </c>
      <c r="D904" s="5">
        <f>Dashboard!$C$15*(1-EXP(-Dashboard!$C$16*A904))</f>
        <v>0.79120123185935454</v>
      </c>
      <c r="E904" s="5">
        <f>1/(1+EXP(MIN(700,MAX(-700,(C904-Dashboard!$C$18)/Dashboard!$C$19))))</f>
        <v>1.6767197460221484E-4</v>
      </c>
      <c r="F904" s="5">
        <f t="shared" si="63"/>
        <v>1.3266227285356279E-4</v>
      </c>
      <c r="G904" s="8">
        <f>Dashboard!$C$9*B904*Dashboard!$C$11*(1-F904)</f>
        <v>17019.02568206771</v>
      </c>
      <c r="H904" s="8">
        <f>Dashboard!$C$20*A904^2</f>
        <v>650883.19999999995</v>
      </c>
      <c r="I904" s="8">
        <f t="shared" si="64"/>
        <v>667902.22568206768</v>
      </c>
      <c r="J904" s="8">
        <f>Dashboard!$C$13*A904</f>
        <v>180400</v>
      </c>
      <c r="K904" s="8">
        <f>Dashboard!$C$14*A904</f>
        <v>270600</v>
      </c>
      <c r="L904" s="8">
        <f>Dashboard!$C$21-K904</f>
        <v>1229400</v>
      </c>
      <c r="M904" s="8">
        <f t="shared" si="65"/>
        <v>381097.77431793232</v>
      </c>
      <c r="N904" s="8">
        <f t="shared" si="66"/>
        <v>451000</v>
      </c>
      <c r="O904" s="8">
        <f>Dashboard!$C$15*(Dashboard!$C$16*EXP(-Dashboard!$C$16*A904)*E904-(1-EXP(-Dashboard!$C$16*A904))*Dashboard!$C$17/Dashboard!$C$19*E904*(1-E904))</f>
        <v>-1.7611571873031974E-4</v>
      </c>
      <c r="P904" s="8">
        <f>Dashboard!$C$9*B904*Dashboard!$C$11*(-Dashboard!$C$12*(1-F904)-O904)+2*Dashboard!$C$20*A904</f>
        <v>138366.33872690017</v>
      </c>
      <c r="Q904" s="8">
        <f>-P904-Dashboard!$C$13-Dashboard!$C$14</f>
        <v>-188366.33872690017</v>
      </c>
    </row>
    <row r="905" spans="1:17" x14ac:dyDescent="0.25">
      <c r="A905" s="5">
        <f>(905-2)/100</f>
        <v>9.0299999999999994</v>
      </c>
      <c r="B905" s="5">
        <f>Dashboard!$C$10*EXP(-Dashboard!$C$12*A905)</f>
        <v>8.4809067024610076E-3</v>
      </c>
      <c r="C905" s="5">
        <f>Dashboard!$C$17*A905</f>
        <v>7223.9999999999991</v>
      </c>
      <c r="D905" s="5">
        <f>Dashboard!$C$15*(1-EXP(-Dashboard!$C$16*A905))</f>
        <v>0.79124511589853475</v>
      </c>
      <c r="E905" s="5">
        <f>1/(1+EXP(MIN(700,MAX(-700,(C905-Dashboard!$C$18)/Dashboard!$C$19))))</f>
        <v>1.6545155386199481E-4</v>
      </c>
      <c r="F905" s="5">
        <f t="shared" si="63"/>
        <v>1.3091273391112676E-4</v>
      </c>
      <c r="G905" s="8">
        <f>Dashboard!$C$9*B905*Dashboard!$C$11*(1-F905)</f>
        <v>16959.59288755709</v>
      </c>
      <c r="H905" s="8">
        <f>Dashboard!$C$20*A905^2</f>
        <v>652327.19999999995</v>
      </c>
      <c r="I905" s="8">
        <f t="shared" si="64"/>
        <v>669286.79288755707</v>
      </c>
      <c r="J905" s="8">
        <f>Dashboard!$C$13*A905</f>
        <v>180600</v>
      </c>
      <c r="K905" s="8">
        <f>Dashboard!$C$14*A905</f>
        <v>270900</v>
      </c>
      <c r="L905" s="8">
        <f>Dashboard!$C$21-K905</f>
        <v>1229100</v>
      </c>
      <c r="M905" s="8">
        <f t="shared" si="65"/>
        <v>379213.20711244293</v>
      </c>
      <c r="N905" s="8">
        <f t="shared" si="66"/>
        <v>451500</v>
      </c>
      <c r="O905" s="8">
        <f>Dashboard!$C$15*(Dashboard!$C$16*EXP(-Dashboard!$C$16*A905)*E905-(1-EXP(-Dashboard!$C$16*A905))*Dashboard!$C$17/Dashboard!$C$19*E905*(1-E905))</f>
        <v>-1.7379717767193991E-4</v>
      </c>
      <c r="P905" s="8">
        <f>Dashboard!$C$9*B905*Dashboard!$C$11*(-Dashboard!$C$12*(1-F905)-O905)+2*Dashboard!$C$20*A905</f>
        <v>138547.09040465299</v>
      </c>
      <c r="Q905" s="8">
        <f>-P905-Dashboard!$C$13-Dashboard!$C$14</f>
        <v>-188547.09040465299</v>
      </c>
    </row>
    <row r="906" spans="1:17" x14ac:dyDescent="0.25">
      <c r="A906" s="5">
        <f>(906-2)/100</f>
        <v>9.0399999999999991</v>
      </c>
      <c r="B906" s="5">
        <f>Dashboard!$C$10*EXP(-Dashboard!$C$12*A906)</f>
        <v>8.4512754140057874E-3</v>
      </c>
      <c r="C906" s="5">
        <f>Dashboard!$C$17*A906</f>
        <v>7231.9999999999991</v>
      </c>
      <c r="D906" s="5">
        <f>Dashboard!$C$15*(1-EXP(-Dashboard!$C$16*A906))</f>
        <v>0.79128878106515643</v>
      </c>
      <c r="E906" s="5">
        <f>1/(1+EXP(MIN(700,MAX(-700,(C906-Dashboard!$C$18)/Dashboard!$C$19))))</f>
        <v>1.6326053256805691E-4</v>
      </c>
      <c r="F906" s="5">
        <f t="shared" si="63"/>
        <v>1.2918622781182604E-4</v>
      </c>
      <c r="G906" s="8">
        <f>Dashboard!$C$9*B906*Dashboard!$C$11*(1-F906)</f>
        <v>16900.367251229709</v>
      </c>
      <c r="H906" s="8">
        <f>Dashboard!$C$20*A906^2</f>
        <v>653772.79999999981</v>
      </c>
      <c r="I906" s="8">
        <f t="shared" si="64"/>
        <v>670673.16725122952</v>
      </c>
      <c r="J906" s="8">
        <f>Dashboard!$C$13*A906</f>
        <v>180799.99999999997</v>
      </c>
      <c r="K906" s="8">
        <f>Dashboard!$C$14*A906</f>
        <v>271200</v>
      </c>
      <c r="L906" s="8">
        <f>Dashboard!$C$21-K906</f>
        <v>1228800</v>
      </c>
      <c r="M906" s="8">
        <f t="shared" si="65"/>
        <v>377326.83274877048</v>
      </c>
      <c r="N906" s="8">
        <f t="shared" si="66"/>
        <v>452000</v>
      </c>
      <c r="O906" s="8">
        <f>Dashboard!$C$15*(Dashboard!$C$16*EXP(-Dashboard!$C$16*A906)*E906-(1-EXP(-Dashboard!$C$16*A906))*Dashboard!$C$17/Dashboard!$C$19*E906*(1-E906))</f>
        <v>-1.7150908327798759E-4</v>
      </c>
      <c r="P906" s="8">
        <f>Dashboard!$C$9*B906*Dashboard!$C$11*(-Dashboard!$C$12*(1-F906)-O906)+2*Dashboard!$C$20*A906</f>
        <v>138727.77040306717</v>
      </c>
      <c r="Q906" s="8">
        <f>-P906-Dashboard!$C$13-Dashboard!$C$14</f>
        <v>-188727.77040306717</v>
      </c>
    </row>
    <row r="907" spans="1:17" x14ac:dyDescent="0.25">
      <c r="A907" s="5">
        <f>(907-2)/100</f>
        <v>9.0500000000000007</v>
      </c>
      <c r="B907" s="5">
        <f>Dashboard!$C$10*EXP(-Dashboard!$C$12*A907)</f>
        <v>8.4217476537800772E-3</v>
      </c>
      <c r="C907" s="5">
        <f>Dashboard!$C$17*A907</f>
        <v>7240.0000000000009</v>
      </c>
      <c r="D907" s="5">
        <f>Dashboard!$C$15*(1-EXP(-Dashboard!$C$16*A907))</f>
        <v>0.79133222845085116</v>
      </c>
      <c r="E907" s="5">
        <f>1/(1+EXP(MIN(700,MAX(-700,(C907-Dashboard!$C$18)/Dashboard!$C$19))))</f>
        <v>1.6109852158381396E-4</v>
      </c>
      <c r="F907" s="5">
        <f t="shared" si="63"/>
        <v>1.2748245208505705E-4</v>
      </c>
      <c r="G907" s="8">
        <f>Dashboard!$C$9*B907*Dashboard!$C$11*(1-F907)</f>
        <v>16841.348057476665</v>
      </c>
      <c r="H907" s="8">
        <f>Dashboard!$C$20*A907^2</f>
        <v>655220.00000000012</v>
      </c>
      <c r="I907" s="8">
        <f t="shared" si="64"/>
        <v>672061.3480574768</v>
      </c>
      <c r="J907" s="8">
        <f>Dashboard!$C$13*A907</f>
        <v>181000</v>
      </c>
      <c r="K907" s="8">
        <f>Dashboard!$C$14*A907</f>
        <v>271500</v>
      </c>
      <c r="L907" s="8">
        <f>Dashboard!$C$21-K907</f>
        <v>1228500</v>
      </c>
      <c r="M907" s="8">
        <f t="shared" si="65"/>
        <v>375438.6519425232</v>
      </c>
      <c r="N907" s="8">
        <f t="shared" si="66"/>
        <v>452500</v>
      </c>
      <c r="O907" s="8">
        <f>Dashboard!$C$15*(Dashboard!$C$16*EXP(-Dashboard!$C$16*A907)*E907-(1-EXP(-Dashboard!$C$16*A907))*Dashboard!$C$17/Dashboard!$C$19*E907*(1-E907))</f>
        <v>-1.6925103720966727E-4</v>
      </c>
      <c r="P907" s="8">
        <f>Dashboard!$C$9*B907*Dashboard!$C$11*(-Dashboard!$C$12*(1-F907)-O907)+2*Dashboard!$C$20*A907</f>
        <v>138908.37895893422</v>
      </c>
      <c r="Q907" s="8">
        <f>-P907-Dashboard!$C$13-Dashboard!$C$14</f>
        <v>-188908.37895893422</v>
      </c>
    </row>
    <row r="908" spans="1:17" x14ac:dyDescent="0.25">
      <c r="A908" s="5">
        <f>(908-2)/100</f>
        <v>9.06</v>
      </c>
      <c r="B908" s="5">
        <f>Dashboard!$C$10*EXP(-Dashboard!$C$12*A908)</f>
        <v>8.3923230600684417E-3</v>
      </c>
      <c r="C908" s="5">
        <f>Dashboard!$C$17*A908</f>
        <v>7248</v>
      </c>
      <c r="D908" s="5">
        <f>Dashboard!$C$15*(1-EXP(-Dashboard!$C$16*A908))</f>
        <v>0.79137545914180552</v>
      </c>
      <c r="E908" s="5">
        <f>1/(1+EXP(MIN(700,MAX(-700,(C908-Dashboard!$C$18)/Dashboard!$C$19))))</f>
        <v>1.589651369200408E-4</v>
      </c>
      <c r="F908" s="5">
        <f t="shared" si="63"/>
        <v>1.2580110821763725E-4</v>
      </c>
      <c r="G908" s="8">
        <f>Dashboard!$C$9*B908*Dashboard!$C$11*(1-F908)</f>
        <v>16782.53459305393</v>
      </c>
      <c r="H908" s="8">
        <f>Dashboard!$C$20*A908^2</f>
        <v>656668.80000000005</v>
      </c>
      <c r="I908" s="8">
        <f t="shared" si="64"/>
        <v>673451.33459305402</v>
      </c>
      <c r="J908" s="8">
        <f>Dashboard!$C$13*A908</f>
        <v>181200</v>
      </c>
      <c r="K908" s="8">
        <f>Dashboard!$C$14*A908</f>
        <v>271800</v>
      </c>
      <c r="L908" s="8">
        <f>Dashboard!$C$21-K908</f>
        <v>1228200</v>
      </c>
      <c r="M908" s="8">
        <f t="shared" si="65"/>
        <v>373548.66540694598</v>
      </c>
      <c r="N908" s="8">
        <f t="shared" si="66"/>
        <v>453000</v>
      </c>
      <c r="O908" s="8">
        <f>Dashboard!$C$15*(Dashboard!$C$16*EXP(-Dashboard!$C$16*A908)*E908-(1-EXP(-Dashboard!$C$16*A908))*Dashboard!$C$17/Dashboard!$C$19*E908*(1-E908))</f>
        <v>-1.6702264631046203E-4</v>
      </c>
      <c r="P908" s="8">
        <f>Dashboard!$C$9*B908*Dashboard!$C$11*(-Dashboard!$C$12*(1-F908)-O908)+2*Dashboard!$C$20*A908</f>
        <v>139088.9163084435</v>
      </c>
      <c r="Q908" s="8">
        <f>-P908-Dashboard!$C$13-Dashboard!$C$14</f>
        <v>-189088.9163084435</v>
      </c>
    </row>
    <row r="909" spans="1:17" x14ac:dyDescent="0.25">
      <c r="A909" s="5">
        <f>(909-2)/100</f>
        <v>9.07</v>
      </c>
      <c r="B909" s="5">
        <f>Dashboard!$C$10*EXP(-Dashboard!$C$12*A909)</f>
        <v>8.3630012724192401E-3</v>
      </c>
      <c r="C909" s="5">
        <f>Dashboard!$C$17*A909</f>
        <v>7256</v>
      </c>
      <c r="D909" s="5">
        <f>Dashboard!$C$15*(1-EXP(-Dashboard!$C$16*A909))</f>
        <v>0.7914184742187893</v>
      </c>
      <c r="E909" s="5">
        <f>1/(1+EXP(MIN(700,MAX(-700,(C909-Dashboard!$C$18)/Dashboard!$C$19))))</f>
        <v>1.5685999966687179E-4</v>
      </c>
      <c r="F909" s="5">
        <f t="shared" si="63"/>
        <v>1.2414190160231546E-4</v>
      </c>
      <c r="G909" s="8">
        <f>Dashboard!$C$9*B909*Dashboard!$C$11*(1-F909)</f>
        <v>16723.926147076359</v>
      </c>
      <c r="H909" s="8">
        <f>Dashboard!$C$20*A909^2</f>
        <v>658119.20000000007</v>
      </c>
      <c r="I909" s="8">
        <f t="shared" si="64"/>
        <v>674843.12614707649</v>
      </c>
      <c r="J909" s="8">
        <f>Dashboard!$C$13*A909</f>
        <v>181400</v>
      </c>
      <c r="K909" s="8">
        <f>Dashboard!$C$14*A909</f>
        <v>272100</v>
      </c>
      <c r="L909" s="8">
        <f>Dashboard!$C$21-K909</f>
        <v>1227900</v>
      </c>
      <c r="M909" s="8">
        <f t="shared" si="65"/>
        <v>371656.87385292351</v>
      </c>
      <c r="N909" s="8">
        <f t="shared" si="66"/>
        <v>453500</v>
      </c>
      <c r="O909" s="8">
        <f>Dashboard!$C$15*(Dashboard!$C$16*EXP(-Dashboard!$C$16*A909)*E909-(1-EXP(-Dashboard!$C$16*A909))*Dashboard!$C$17/Dashboard!$C$19*E909*(1-E909))</f>
        <v>-1.6482352253930439E-4</v>
      </c>
      <c r="P909" s="8">
        <f>Dashboard!$C$9*B909*Dashboard!$C$11*(-Dashboard!$C$12*(1-F909)-O909)+2*Dashboard!$C$20*A909</f>
        <v>139269.38268718071</v>
      </c>
      <c r="Q909" s="8">
        <f>-P909-Dashboard!$C$13-Dashboard!$C$14</f>
        <v>-189269.38268718071</v>
      </c>
    </row>
    <row r="910" spans="1:17" x14ac:dyDescent="0.25">
      <c r="A910" s="5">
        <f>(910-2)/100</f>
        <v>9.08</v>
      </c>
      <c r="B910" s="5">
        <f>Dashboard!$C$10*EXP(-Dashboard!$C$12*A910)</f>
        <v>8.3337819316402079E-3</v>
      </c>
      <c r="C910" s="5">
        <f>Dashboard!$C$17*A910</f>
        <v>7264</v>
      </c>
      <c r="D910" s="5">
        <f>Dashboard!$C$15*(1-EXP(-Dashboard!$C$16*A910))</f>
        <v>0.79146127475718175</v>
      </c>
      <c r="E910" s="5">
        <f>1/(1+EXP(MIN(700,MAX(-700,(C910-Dashboard!$C$18)/Dashboard!$C$19))))</f>
        <v>1.5478273592669983E-4</v>
      </c>
      <c r="F910" s="5">
        <f t="shared" si="63"/>
        <v>1.2250454148695006E-4</v>
      </c>
      <c r="G910" s="8">
        <f>Dashboard!$C$9*B910*Dashboard!$C$11*(1-F910)</f>
        <v>16665.522011011639</v>
      </c>
      <c r="H910" s="8">
        <f>Dashboard!$C$20*A910^2</f>
        <v>659571.19999999995</v>
      </c>
      <c r="I910" s="8">
        <f t="shared" si="64"/>
        <v>676236.72201101156</v>
      </c>
      <c r="J910" s="8">
        <f>Dashboard!$C$13*A910</f>
        <v>181600</v>
      </c>
      <c r="K910" s="8">
        <f>Dashboard!$C$14*A910</f>
        <v>272400</v>
      </c>
      <c r="L910" s="8">
        <f>Dashboard!$C$21-K910</f>
        <v>1227600</v>
      </c>
      <c r="M910" s="8">
        <f t="shared" si="65"/>
        <v>369763.27798898844</v>
      </c>
      <c r="N910" s="8">
        <f t="shared" si="66"/>
        <v>454000</v>
      </c>
      <c r="O910" s="8">
        <f>Dashboard!$C$15*(Dashboard!$C$16*EXP(-Dashboard!$C$16*A910)*E910-(1-EXP(-Dashboard!$C$16*A910))*Dashboard!$C$17/Dashboard!$C$19*E910*(1-E910))</f>
        <v>-1.6265328290460216E-4</v>
      </c>
      <c r="P910" s="8">
        <f>Dashboard!$C$9*B910*Dashboard!$C$11*(-Dashboard!$C$12*(1-F910)-O910)+2*Dashboard!$C$20*A910</f>
        <v>139449.77833012631</v>
      </c>
      <c r="Q910" s="8">
        <f>-P910-Dashboard!$C$13-Dashboard!$C$14</f>
        <v>-189449.77833012631</v>
      </c>
    </row>
    <row r="911" spans="1:17" x14ac:dyDescent="0.25">
      <c r="A911" s="5">
        <f>(911-2)/100</f>
        <v>9.09</v>
      </c>
      <c r="B911" s="5">
        <f>Dashboard!$C$10*EXP(-Dashboard!$C$12*A911)</f>
        <v>8.3046646797940542E-3</v>
      </c>
      <c r="C911" s="5">
        <f>Dashboard!$C$17*A911</f>
        <v>7272</v>
      </c>
      <c r="D911" s="5">
        <f>Dashboard!$C$15*(1-EXP(-Dashboard!$C$16*A911))</f>
        <v>0.79150386182699828</v>
      </c>
      <c r="E911" s="5">
        <f>1/(1+EXP(MIN(700,MAX(-700,(C911-Dashboard!$C$18)/Dashboard!$C$19))))</f>
        <v>1.5273297674795483E-4</v>
      </c>
      <c r="F911" s="5">
        <f t="shared" si="63"/>
        <v>1.2088874092433938E-4</v>
      </c>
      <c r="G911" s="8">
        <f>Dashboard!$C$9*B911*Dashboard!$C$11*(1-F911)</f>
        <v>16607.321478674232</v>
      </c>
      <c r="H911" s="8">
        <f>Dashboard!$C$20*A911^2</f>
        <v>661024.80000000005</v>
      </c>
      <c r="I911" s="8">
        <f t="shared" si="64"/>
        <v>677632.12147867423</v>
      </c>
      <c r="J911" s="8">
        <f>Dashboard!$C$13*A911</f>
        <v>181800</v>
      </c>
      <c r="K911" s="8">
        <f>Dashboard!$C$14*A911</f>
        <v>272700</v>
      </c>
      <c r="L911" s="8">
        <f>Dashboard!$C$21-K911</f>
        <v>1227300</v>
      </c>
      <c r="M911" s="8">
        <f t="shared" si="65"/>
        <v>367867.87852132577</v>
      </c>
      <c r="N911" s="8">
        <f t="shared" si="66"/>
        <v>454500</v>
      </c>
      <c r="O911" s="8">
        <f>Dashboard!$C$15*(Dashboard!$C$16*EXP(-Dashboard!$C$16*A911)*E911-(1-EXP(-Dashboard!$C$16*A911))*Dashboard!$C$17/Dashboard!$C$19*E911*(1-E911))</f>
        <v>-1.6051154939909803E-4</v>
      </c>
      <c r="P911" s="8">
        <f>Dashboard!$C$9*B911*Dashboard!$C$11*(-Dashboard!$C$12*(1-F911)-O911)+2*Dashboard!$C$20*A911</f>
        <v>139630.103471654</v>
      </c>
      <c r="Q911" s="8">
        <f>-P911-Dashboard!$C$13-Dashboard!$C$14</f>
        <v>-189630.103471654</v>
      </c>
    </row>
    <row r="912" spans="1:17" x14ac:dyDescent="0.25">
      <c r="A912" s="5">
        <f>(912-2)/100</f>
        <v>9.1</v>
      </c>
      <c r="B912" s="5">
        <f>Dashboard!$C$10*EXP(-Dashboard!$C$12*A912)</f>
        <v>8.2756491601940797E-3</v>
      </c>
      <c r="C912" s="5">
        <f>Dashboard!$C$17*A912</f>
        <v>7280</v>
      </c>
      <c r="D912" s="5">
        <f>Dashboard!$C$15*(1-EXP(-Dashboard!$C$16*A912))</f>
        <v>0.791546236492918</v>
      </c>
      <c r="E912" s="5">
        <f>1/(1+EXP(MIN(700,MAX(-700,(C912-Dashboard!$C$18)/Dashboard!$C$19))))</f>
        <v>1.5071035805975741E-4</v>
      </c>
      <c r="F912" s="5">
        <f t="shared" si="63"/>
        <v>1.1929421672270109E-4</v>
      </c>
      <c r="G912" s="8">
        <f>Dashboard!$C$9*B912*Dashboard!$C$11*(1-F912)</f>
        <v>16549.323846219286</v>
      </c>
      <c r="H912" s="8">
        <f>Dashboard!$C$20*A912^2</f>
        <v>662479.99999999988</v>
      </c>
      <c r="I912" s="8">
        <f t="shared" si="64"/>
        <v>679029.32384621922</v>
      </c>
      <c r="J912" s="8">
        <f>Dashboard!$C$13*A912</f>
        <v>182000</v>
      </c>
      <c r="K912" s="8">
        <f>Dashboard!$C$14*A912</f>
        <v>273000</v>
      </c>
      <c r="L912" s="8">
        <f>Dashboard!$C$21-K912</f>
        <v>1227000</v>
      </c>
      <c r="M912" s="8">
        <f t="shared" si="65"/>
        <v>365970.67615378078</v>
      </c>
      <c r="N912" s="8">
        <f t="shared" si="66"/>
        <v>455000</v>
      </c>
      <c r="O912" s="8">
        <f>Dashboard!$C$15*(Dashboard!$C$16*EXP(-Dashboard!$C$16*A912)*E912-(1-EXP(-Dashboard!$C$16*A912))*Dashboard!$C$17/Dashboard!$C$19*E912*(1-E912))</f>
        <v>-1.5839794893556002E-4</v>
      </c>
      <c r="P912" s="8">
        <f>Dashboard!$C$9*B912*Dashboard!$C$11*(-Dashboard!$C$12*(1-F912)-O912)+2*Dashboard!$C$20*A912</f>
        <v>139810.35834552941</v>
      </c>
      <c r="Q912" s="8">
        <f>-P912-Dashboard!$C$13-Dashboard!$C$14</f>
        <v>-189810.35834552941</v>
      </c>
    </row>
    <row r="913" spans="1:17" x14ac:dyDescent="0.25">
      <c r="A913" s="5">
        <f>(913-2)/100</f>
        <v>9.11</v>
      </c>
      <c r="B913" s="5">
        <f>Dashboard!$C$10*EXP(-Dashboard!$C$12*A913)</f>
        <v>8.2467350173998071E-3</v>
      </c>
      <c r="C913" s="5">
        <f>Dashboard!$C$17*A913</f>
        <v>7288</v>
      </c>
      <c r="D913" s="5">
        <f>Dashboard!$C$15*(1-EXP(-Dashboard!$C$16*A913))</f>
        <v>0.79158839981430962</v>
      </c>
      <c r="E913" s="5">
        <f>1/(1+EXP(MIN(700,MAX(-700,(C913-Dashboard!$C$18)/Dashboard!$C$19))))</f>
        <v>1.4871452060743299E-4</v>
      </c>
      <c r="F913" s="5">
        <f t="shared" si="63"/>
        <v>1.1772068939679005E-4</v>
      </c>
      <c r="G913" s="8">
        <f>Dashboard!$C$9*B913*Dashboard!$C$11*(1-F913)</f>
        <v>16491.528412136573</v>
      </c>
      <c r="H913" s="8">
        <f>Dashboard!$C$20*A913^2</f>
        <v>663936.79999999993</v>
      </c>
      <c r="I913" s="8">
        <f t="shared" si="64"/>
        <v>680428.32841213653</v>
      </c>
      <c r="J913" s="8">
        <f>Dashboard!$C$13*A913</f>
        <v>182200</v>
      </c>
      <c r="K913" s="8">
        <f>Dashboard!$C$14*A913</f>
        <v>273300</v>
      </c>
      <c r="L913" s="8">
        <f>Dashboard!$C$21-K913</f>
        <v>1226700</v>
      </c>
      <c r="M913" s="8">
        <f t="shared" si="65"/>
        <v>364071.67158786347</v>
      </c>
      <c r="N913" s="8">
        <f t="shared" si="66"/>
        <v>455500</v>
      </c>
      <c r="O913" s="8">
        <f>Dashboard!$C$15*(Dashboard!$C$16*EXP(-Dashboard!$C$16*A913)*E913-(1-EXP(-Dashboard!$C$16*A913))*Dashboard!$C$17/Dashboard!$C$19*E913*(1-E913))</f>
        <v>-1.563121132832896E-4</v>
      </c>
      <c r="P913" s="8">
        <f>Dashboard!$C$9*B913*Dashboard!$C$11*(-Dashboard!$C$12*(1-F913)-O913)+2*Dashboard!$C$20*A913</f>
        <v>139990.54318490872</v>
      </c>
      <c r="Q913" s="8">
        <f>-P913-Dashboard!$C$13-Dashboard!$C$14</f>
        <v>-189990.54318490872</v>
      </c>
    </row>
    <row r="914" spans="1:17" x14ac:dyDescent="0.25">
      <c r="A914" s="5">
        <f>(914-2)/100</f>
        <v>9.1199999999999992</v>
      </c>
      <c r="B914" s="5">
        <f>Dashboard!$C$10*EXP(-Dashboard!$C$12*A914)</f>
        <v>8.2179218972126197E-3</v>
      </c>
      <c r="C914" s="5">
        <f>Dashboard!$C$17*A914</f>
        <v>7295.9999999999991</v>
      </c>
      <c r="D914" s="5">
        <f>Dashboard!$C$15*(1-EXP(-Dashboard!$C$16*A914))</f>
        <v>0.79163035284525862</v>
      </c>
      <c r="E914" s="5">
        <f>1/(1+EXP(MIN(700,MAX(-700,(C914-Dashboard!$C$18)/Dashboard!$C$19))))</f>
        <v>1.4674510988887536E-4</v>
      </c>
      <c r="F914" s="5">
        <f t="shared" si="63"/>
        <v>1.1616788311964665E-4</v>
      </c>
      <c r="G914" s="8">
        <f>Dashboard!$C$9*B914*Dashboard!$C$11*(1-F914)</f>
        <v>16433.934477244358</v>
      </c>
      <c r="H914" s="8">
        <f>Dashboard!$C$20*A914^2</f>
        <v>665395.19999999995</v>
      </c>
      <c r="I914" s="8">
        <f t="shared" si="64"/>
        <v>681829.13447724434</v>
      </c>
      <c r="J914" s="8">
        <f>Dashboard!$C$13*A914</f>
        <v>182399.99999999997</v>
      </c>
      <c r="K914" s="8">
        <f>Dashboard!$C$14*A914</f>
        <v>273600</v>
      </c>
      <c r="L914" s="8">
        <f>Dashboard!$C$21-K914</f>
        <v>1226400</v>
      </c>
      <c r="M914" s="8">
        <f t="shared" si="65"/>
        <v>362170.86552275566</v>
      </c>
      <c r="N914" s="8">
        <f t="shared" si="66"/>
        <v>456000</v>
      </c>
      <c r="O914" s="8">
        <f>Dashboard!$C$15*(Dashboard!$C$16*EXP(-Dashboard!$C$16*A914)*E914-(1-EXP(-Dashboard!$C$16*A914))*Dashboard!$C$17/Dashboard!$C$19*E914*(1-E914))</f>
        <v>-1.5425367900543676E-4</v>
      </c>
      <c r="P914" s="8">
        <f>Dashboard!$C$9*B914*Dashboard!$C$11*(-Dashboard!$C$12*(1-F914)-O914)+2*Dashboard!$C$20*A914</f>
        <v>140170.65822233731</v>
      </c>
      <c r="Q914" s="8">
        <f>-P914-Dashboard!$C$13-Dashboard!$C$14</f>
        <v>-190170.65822233731</v>
      </c>
    </row>
    <row r="915" spans="1:17" x14ac:dyDescent="0.25">
      <c r="A915" s="5">
        <f>(915-2)/100</f>
        <v>9.1300000000000008</v>
      </c>
      <c r="B915" s="5">
        <f>Dashboard!$C$10*EXP(-Dashboard!$C$12*A915)</f>
        <v>8.1892094466714423E-3</v>
      </c>
      <c r="C915" s="5">
        <f>Dashboard!$C$17*A915</f>
        <v>7304.0000000000009</v>
      </c>
      <c r="D915" s="5">
        <f>Dashboard!$C$15*(1-EXP(-Dashboard!$C$16*A915))</f>
        <v>0.79167209663459281</v>
      </c>
      <c r="E915" s="5">
        <f>1/(1+EXP(MIN(700,MAX(-700,(C915-Dashboard!$C$18)/Dashboard!$C$19))))</f>
        <v>1.4480177609174961E-4</v>
      </c>
      <c r="F915" s="5">
        <f t="shared" si="63"/>
        <v>1.1463552567496827E-4</v>
      </c>
      <c r="G915" s="8">
        <f>Dashboard!$C$9*B915*Dashboard!$C$11*(1-F915)</f>
        <v>16376.541344683321</v>
      </c>
      <c r="H915" s="8">
        <f>Dashboard!$C$20*A915^2</f>
        <v>666855.20000000007</v>
      </c>
      <c r="I915" s="8">
        <f t="shared" si="64"/>
        <v>683231.74134468334</v>
      </c>
      <c r="J915" s="8">
        <f>Dashboard!$C$13*A915</f>
        <v>182600.00000000003</v>
      </c>
      <c r="K915" s="8">
        <f>Dashboard!$C$14*A915</f>
        <v>273900</v>
      </c>
      <c r="L915" s="8">
        <f>Dashboard!$C$21-K915</f>
        <v>1226100</v>
      </c>
      <c r="M915" s="8">
        <f t="shared" si="65"/>
        <v>360268.25865531666</v>
      </c>
      <c r="N915" s="8">
        <f t="shared" si="66"/>
        <v>456500</v>
      </c>
      <c r="O915" s="8">
        <f>Dashboard!$C$15*(Dashboard!$C$16*EXP(-Dashboard!$C$16*A915)*E915-(1-EXP(-Dashboard!$C$16*A915))*Dashboard!$C$17/Dashboard!$C$19*E915*(1-E915))</f>
        <v>-1.5222228739711404E-4</v>
      </c>
      <c r="P915" s="8">
        <f>Dashboard!$C$9*B915*Dashboard!$C$11*(-Dashboard!$C$12*(1-F915)-O915)+2*Dashboard!$C$20*A915</f>
        <v>140350.70368974874</v>
      </c>
      <c r="Q915" s="8">
        <f>-P915-Dashboard!$C$13-Dashboard!$C$14</f>
        <v>-190350.70368974874</v>
      </c>
    </row>
    <row r="916" spans="1:17" x14ac:dyDescent="0.25">
      <c r="A916" s="5">
        <f>(916-2)/100</f>
        <v>9.14</v>
      </c>
      <c r="B916" s="5">
        <f>Dashboard!$C$10*EXP(-Dashboard!$C$12*A916)</f>
        <v>8.1605973140483953E-3</v>
      </c>
      <c r="C916" s="5">
        <f>Dashboard!$C$17*A916</f>
        <v>7312</v>
      </c>
      <c r="D916" s="5">
        <f>Dashboard!$C$15*(1-EXP(-Dashboard!$C$16*A916))</f>
        <v>0.79171363222590907</v>
      </c>
      <c r="E916" s="5">
        <f>1/(1+EXP(MIN(700,MAX(-700,(C916-Dashboard!$C$18)/Dashboard!$C$19))))</f>
        <v>1.4288417403152554E-4</v>
      </c>
      <c r="F916" s="5">
        <f t="shared" si="63"/>
        <v>1.1312334841009799E-4</v>
      </c>
      <c r="G916" s="8">
        <f>Dashboard!$C$9*B916*Dashboard!$C$11*(1-F916)</f>
        <v>16319.348319910408</v>
      </c>
      <c r="H916" s="8">
        <f>Dashboard!$C$20*A916^2</f>
        <v>668316.80000000005</v>
      </c>
      <c r="I916" s="8">
        <f t="shared" si="64"/>
        <v>684636.14831991051</v>
      </c>
      <c r="J916" s="8">
        <f>Dashboard!$C$13*A916</f>
        <v>182800</v>
      </c>
      <c r="K916" s="8">
        <f>Dashboard!$C$14*A916</f>
        <v>274200</v>
      </c>
      <c r="L916" s="8">
        <f>Dashboard!$C$21-K916</f>
        <v>1225800</v>
      </c>
      <c r="M916" s="8">
        <f t="shared" si="65"/>
        <v>358363.85168008949</v>
      </c>
      <c r="N916" s="8">
        <f t="shared" si="66"/>
        <v>457000</v>
      </c>
      <c r="O916" s="8">
        <f>Dashboard!$C$15*(Dashboard!$C$16*EXP(-Dashboard!$C$16*A916)*E916-(1-EXP(-Dashboard!$C$16*A916))*Dashboard!$C$17/Dashboard!$C$19*E916*(1-E916))</f>
        <v>-1.5021758442430112E-4</v>
      </c>
      <c r="P916" s="8">
        <f>Dashboard!$C$9*B916*Dashboard!$C$11*(-Dashboard!$C$12*(1-F916)-O916)+2*Dashboard!$C$20*A916</f>
        <v>140530.67981846331</v>
      </c>
      <c r="Q916" s="8">
        <f>-P916-Dashboard!$C$13-Dashboard!$C$14</f>
        <v>-190530.67981846331</v>
      </c>
    </row>
    <row r="917" spans="1:17" x14ac:dyDescent="0.25">
      <c r="A917" s="5">
        <f>(917-2)/100</f>
        <v>9.15</v>
      </c>
      <c r="B917" s="5">
        <f>Dashboard!$C$10*EXP(-Dashboard!$C$12*A917)</f>
        <v>8.1320851488444947E-3</v>
      </c>
      <c r="C917" s="5">
        <f>Dashboard!$C$17*A917</f>
        <v>7320</v>
      </c>
      <c r="D917" s="5">
        <f>Dashboard!$C$15*(1-EXP(-Dashboard!$C$16*A917))</f>
        <v>0.79175496065759943</v>
      </c>
      <c r="E917" s="5">
        <f>1/(1+EXP(MIN(700,MAX(-700,(C917-Dashboard!$C$18)/Dashboard!$C$19))))</f>
        <v>1.4099196309032069E-4</v>
      </c>
      <c r="F917" s="5">
        <f t="shared" si="63"/>
        <v>1.1163108618961457E-4</v>
      </c>
      <c r="G917" s="8">
        <f>Dashboard!$C$9*B917*Dashboard!$C$11*(1-F917)</f>
        <v>16262.354710692687</v>
      </c>
      <c r="H917" s="8">
        <f>Dashboard!$C$20*A917^2</f>
        <v>669780.00000000012</v>
      </c>
      <c r="I917" s="8">
        <f t="shared" si="64"/>
        <v>686042.35471069277</v>
      </c>
      <c r="J917" s="8">
        <f>Dashboard!$C$13*A917</f>
        <v>183000</v>
      </c>
      <c r="K917" s="8">
        <f>Dashboard!$C$14*A917</f>
        <v>274500</v>
      </c>
      <c r="L917" s="8">
        <f>Dashboard!$C$21-K917</f>
        <v>1225500</v>
      </c>
      <c r="M917" s="8">
        <f t="shared" si="65"/>
        <v>356457.64528930723</v>
      </c>
      <c r="N917" s="8">
        <f t="shared" si="66"/>
        <v>457500</v>
      </c>
      <c r="O917" s="8">
        <f>Dashboard!$C$15*(Dashboard!$C$16*EXP(-Dashboard!$C$16*A917)*E917-(1-EXP(-Dashboard!$C$16*A917))*Dashboard!$C$17/Dashboard!$C$19*E917*(1-E917))</f>
        <v>-1.482392206635201E-4</v>
      </c>
      <c r="P917" s="8">
        <f>Dashboard!$C$9*B917*Dashboard!$C$11*(-Dashboard!$C$12*(1-F917)-O917)+2*Dashboard!$C$20*A917</f>
        <v>140710.58683918722</v>
      </c>
      <c r="Q917" s="8">
        <f>-P917-Dashboard!$C$13-Dashboard!$C$14</f>
        <v>-190710.58683918722</v>
      </c>
    </row>
    <row r="918" spans="1:17" x14ac:dyDescent="0.25">
      <c r="A918" s="5">
        <f>(918-2)/100</f>
        <v>9.16</v>
      </c>
      <c r="B918" s="5">
        <f>Dashboard!$C$10*EXP(-Dashboard!$C$12*A918)</f>
        <v>8.1036726017853621E-3</v>
      </c>
      <c r="C918" s="5">
        <f>Dashboard!$C$17*A918</f>
        <v>7328</v>
      </c>
      <c r="D918" s="5">
        <f>Dashboard!$C$15*(1-EXP(-Dashboard!$C$16*A918))</f>
        <v>0.79179608296287685</v>
      </c>
      <c r="E918" s="5">
        <f>1/(1+EXP(MIN(700,MAX(-700,(C918-Dashboard!$C$18)/Dashboard!$C$19))))</f>
        <v>1.3912480715655792E-4</v>
      </c>
      <c r="F918" s="5">
        <f t="shared" si="63"/>
        <v>1.1015847734952818E-4</v>
      </c>
      <c r="G918" s="8">
        <f>Dashboard!$C$9*B918*Dashboard!$C$11*(1-F918)</f>
        <v>16205.559827101222</v>
      </c>
      <c r="H918" s="8">
        <f>Dashboard!$C$20*A918^2</f>
        <v>671244.80000000005</v>
      </c>
      <c r="I918" s="8">
        <f t="shared" si="64"/>
        <v>687450.35982710123</v>
      </c>
      <c r="J918" s="8">
        <f>Dashboard!$C$13*A918</f>
        <v>183200</v>
      </c>
      <c r="K918" s="8">
        <f>Dashboard!$C$14*A918</f>
        <v>274800</v>
      </c>
      <c r="L918" s="8">
        <f>Dashboard!$C$21-K918</f>
        <v>1225200</v>
      </c>
      <c r="M918" s="8">
        <f t="shared" si="65"/>
        <v>354549.64017289877</v>
      </c>
      <c r="N918" s="8">
        <f t="shared" si="66"/>
        <v>458000</v>
      </c>
      <c r="O918" s="8">
        <f>Dashboard!$C$15*(Dashboard!$C$16*EXP(-Dashboard!$C$16*A918)*E918-(1-EXP(-Dashboard!$C$16*A918))*Dashboard!$C$17/Dashboard!$C$19*E918*(1-E918))</f>
        <v>-1.4628685124228792E-4</v>
      </c>
      <c r="P918" s="8">
        <f>Dashboard!$C$9*B918*Dashboard!$C$11*(-Dashboard!$C$12*(1-F918)-O918)+2*Dashboard!$C$20*A918</f>
        <v>140890.42498201141</v>
      </c>
      <c r="Q918" s="8">
        <f>-P918-Dashboard!$C$13-Dashboard!$C$14</f>
        <v>-190890.42498201141</v>
      </c>
    </row>
    <row r="919" spans="1:17" x14ac:dyDescent="0.25">
      <c r="A919" s="5">
        <f>(919-2)/100</f>
        <v>9.17</v>
      </c>
      <c r="B919" s="5">
        <f>Dashboard!$C$10*EXP(-Dashboard!$C$12*A919)</f>
        <v>8.0753593248169397E-3</v>
      </c>
      <c r="C919" s="5">
        <f>Dashboard!$C$17*A919</f>
        <v>7336</v>
      </c>
      <c r="D919" s="5">
        <f>Dashboard!$C$15*(1-EXP(-Dashboard!$C$16*A919))</f>
        <v>0.79183700016980096</v>
      </c>
      <c r="E919" s="5">
        <f>1/(1+EXP(MIN(700,MAX(-700,(C919-Dashboard!$C$18)/Dashboard!$C$19))))</f>
        <v>1.3728237456541356E-4</v>
      </c>
      <c r="F919" s="5">
        <f t="shared" si="63"/>
        <v>1.0870526365206406E-4</v>
      </c>
      <c r="G919" s="8">
        <f>Dashboard!$C$9*B919*Dashboard!$C$11*(1-F919)</f>
        <v>16148.962981504901</v>
      </c>
      <c r="H919" s="8">
        <f>Dashboard!$C$20*A919^2</f>
        <v>672711.2</v>
      </c>
      <c r="I919" s="8">
        <f t="shared" si="64"/>
        <v>688860.16298150481</v>
      </c>
      <c r="J919" s="8">
        <f>Dashboard!$C$13*A919</f>
        <v>183400</v>
      </c>
      <c r="K919" s="8">
        <f>Dashboard!$C$14*A919</f>
        <v>275100</v>
      </c>
      <c r="L919" s="8">
        <f>Dashboard!$C$21-K919</f>
        <v>1224900</v>
      </c>
      <c r="M919" s="8">
        <f t="shared" si="65"/>
        <v>352639.83701849519</v>
      </c>
      <c r="N919" s="8">
        <f t="shared" si="66"/>
        <v>458500</v>
      </c>
      <c r="O919" s="8">
        <f>Dashboard!$C$15*(Dashboard!$C$16*EXP(-Dashboard!$C$16*A919)*E919-(1-EXP(-Dashboard!$C$16*A919))*Dashboard!$C$17/Dashboard!$C$19*E919*(1-E919))</f>
        <v>-1.4436013578032278E-4</v>
      </c>
      <c r="P919" s="8">
        <f>Dashboard!$C$9*B919*Dashboard!$C$11*(-Dashboard!$C$12*(1-F919)-O919)+2*Dashboard!$C$20*A919</f>
        <v>141070.19447641048</v>
      </c>
      <c r="Q919" s="8">
        <f>-P919-Dashboard!$C$13-Dashboard!$C$14</f>
        <v>-191070.19447641048</v>
      </c>
    </row>
    <row r="920" spans="1:17" x14ac:dyDescent="0.25">
      <c r="A920" s="5">
        <f>(920-2)/100</f>
        <v>9.18</v>
      </c>
      <c r="B920" s="5">
        <f>Dashboard!$C$10*EXP(-Dashboard!$C$12*A920)</f>
        <v>8.0471449711012315E-3</v>
      </c>
      <c r="C920" s="5">
        <f>Dashboard!$C$17*A920</f>
        <v>7344</v>
      </c>
      <c r="D920" s="5">
        <f>Dashboard!$C$15*(1-EXP(-Dashboard!$C$16*A920))</f>
        <v>0.79187771330130419</v>
      </c>
      <c r="E920" s="5">
        <f>1/(1+EXP(MIN(700,MAX(-700,(C920-Dashboard!$C$18)/Dashboard!$C$19))))</f>
        <v>1.3546433804005167E-4</v>
      </c>
      <c r="F920" s="5">
        <f t="shared" si="63"/>
        <v>1.0727119024103099E-4</v>
      </c>
      <c r="G920" s="8">
        <f>Dashboard!$C$9*B920*Dashboard!$C$11*(1-F920)</f>
        <v>16092.563488564279</v>
      </c>
      <c r="H920" s="8">
        <f>Dashboard!$C$20*A920^2</f>
        <v>674179.2</v>
      </c>
      <c r="I920" s="8">
        <f t="shared" si="64"/>
        <v>690271.76348856417</v>
      </c>
      <c r="J920" s="8">
        <f>Dashboard!$C$13*A920</f>
        <v>183600</v>
      </c>
      <c r="K920" s="8">
        <f>Dashboard!$C$14*A920</f>
        <v>275400</v>
      </c>
      <c r="L920" s="8">
        <f>Dashboard!$C$21-K920</f>
        <v>1224600</v>
      </c>
      <c r="M920" s="8">
        <f t="shared" si="65"/>
        <v>350728.23651143583</v>
      </c>
      <c r="N920" s="8">
        <f t="shared" si="66"/>
        <v>459000</v>
      </c>
      <c r="O920" s="8">
        <f>Dashboard!$C$15*(Dashboard!$C$16*EXP(-Dashboard!$C$16*A920)*E920-(1-EXP(-Dashboard!$C$16*A920))*Dashboard!$C$17/Dashboard!$C$19*E920*(1-E920))</f>
        <v>-1.4245873833150047E-4</v>
      </c>
      <c r="P920" s="8">
        <f>Dashboard!$C$9*B920*Dashboard!$C$11*(-Dashboard!$C$12*(1-F920)-O920)+2*Dashboard!$C$20*A920</f>
        <v>141249.89555124202</v>
      </c>
      <c r="Q920" s="8">
        <f>-P920-Dashboard!$C$13-Dashboard!$C$14</f>
        <v>-191249.89555124202</v>
      </c>
    </row>
    <row r="921" spans="1:17" x14ac:dyDescent="0.25">
      <c r="A921" s="5">
        <f>(921-2)/100</f>
        <v>9.19</v>
      </c>
      <c r="B921" s="5">
        <f>Dashboard!$C$10*EXP(-Dashboard!$C$12*A921)</f>
        <v>8.0190291950120503E-3</v>
      </c>
      <c r="C921" s="5">
        <f>Dashboard!$C$17*A921</f>
        <v>7352</v>
      </c>
      <c r="D921" s="5">
        <f>Dashboard!$C$15*(1-EXP(-Dashboard!$C$16*A921))</f>
        <v>0.79191822337521689</v>
      </c>
      <c r="E921" s="5">
        <f>1/(1+EXP(MIN(700,MAX(-700,(C921-Dashboard!$C$18)/Dashboard!$C$19))))</f>
        <v>1.3367037463363484E-4</v>
      </c>
      <c r="F921" s="5">
        <f t="shared" si="63"/>
        <v>1.0585600559776776E-4</v>
      </c>
      <c r="G921" s="8">
        <f>Dashboard!$C$9*B921*Dashboard!$C$11*(1-F921)</f>
        <v>16036.360665225389</v>
      </c>
      <c r="H921" s="8">
        <f>Dashboard!$C$20*A921^2</f>
        <v>675648.79999999993</v>
      </c>
      <c r="I921" s="8">
        <f t="shared" si="64"/>
        <v>691685.16066522535</v>
      </c>
      <c r="J921" s="8">
        <f>Dashboard!$C$13*A921</f>
        <v>183800</v>
      </c>
      <c r="K921" s="8">
        <f>Dashboard!$C$14*A921</f>
        <v>275700</v>
      </c>
      <c r="L921" s="8">
        <f>Dashboard!$C$21-K921</f>
        <v>1224300</v>
      </c>
      <c r="M921" s="8">
        <f t="shared" si="65"/>
        <v>348814.83933477465</v>
      </c>
      <c r="N921" s="8">
        <f t="shared" si="66"/>
        <v>459500</v>
      </c>
      <c r="O921" s="8">
        <f>Dashboard!$C$15*(Dashboard!$C$16*EXP(-Dashboard!$C$16*A921)*E921-(1-EXP(-Dashboard!$C$16*A921))*Dashboard!$C$17/Dashboard!$C$19*E921*(1-E921))</f>
        <v>-1.4058232732655301E-4</v>
      </c>
      <c r="P921" s="8">
        <f>Dashboard!$C$9*B921*Dashboard!$C$11*(-Dashboard!$C$12*(1-F921)-O921)+2*Dashboard!$C$20*A921</f>
        <v>141429.52843474539</v>
      </c>
      <c r="Q921" s="8">
        <f>-P921-Dashboard!$C$13-Dashboard!$C$14</f>
        <v>-191429.52843474539</v>
      </c>
    </row>
    <row r="922" spans="1:17" x14ac:dyDescent="0.25">
      <c r="A922" s="5">
        <f>(922-2)/100</f>
        <v>9.1999999999999993</v>
      </c>
      <c r="B922" s="5">
        <f>Dashboard!$C$10*EXP(-Dashboard!$C$12*A922)</f>
        <v>7.9910116521307844E-3</v>
      </c>
      <c r="C922" s="5">
        <f>Dashboard!$C$17*A922</f>
        <v>7359.9999999999991</v>
      </c>
      <c r="D922" s="5">
        <f>Dashboard!$C$15*(1-EXP(-Dashboard!$C$16*A922))</f>
        <v>0.79195853140429318</v>
      </c>
      <c r="E922" s="5">
        <f>1/(1+EXP(MIN(700,MAX(-700,(C922-Dashboard!$C$18)/Dashboard!$C$19))))</f>
        <v>1.3190016567209785E-4</v>
      </c>
      <c r="F922" s="5">
        <f t="shared" si="63"/>
        <v>1.0445946149765758E-4</v>
      </c>
      <c r="G922" s="8">
        <f>Dashboard!$C$9*B922*Dashboard!$C$11*(1-F922)</f>
        <v>15980.353830713564</v>
      </c>
      <c r="H922" s="8">
        <f>Dashboard!$C$20*A922^2</f>
        <v>677119.99999999988</v>
      </c>
      <c r="I922" s="8">
        <f t="shared" si="64"/>
        <v>693100.35383071343</v>
      </c>
      <c r="J922" s="8">
        <f>Dashboard!$C$13*A922</f>
        <v>184000</v>
      </c>
      <c r="K922" s="8">
        <f>Dashboard!$C$14*A922</f>
        <v>276000</v>
      </c>
      <c r="L922" s="8">
        <f>Dashboard!$C$21-K922</f>
        <v>1224000</v>
      </c>
      <c r="M922" s="8">
        <f t="shared" si="65"/>
        <v>346899.64616928657</v>
      </c>
      <c r="N922" s="8">
        <f t="shared" si="66"/>
        <v>460000</v>
      </c>
      <c r="O922" s="8">
        <f>Dashboard!$C$15*(Dashboard!$C$16*EXP(-Dashboard!$C$16*A922)*E922-(1-EXP(-Dashboard!$C$16*A922))*Dashboard!$C$17/Dashboard!$C$19*E922*(1-E922))</f>
        <v>-1.3873057551649632E-4</v>
      </c>
      <c r="P922" s="8">
        <f>Dashboard!$C$9*B922*Dashboard!$C$11*(-Dashboard!$C$12*(1-F922)-O922)+2*Dashboard!$C$20*A922</f>
        <v>141609.09335454117</v>
      </c>
      <c r="Q922" s="8">
        <f>-P922-Dashboard!$C$13-Dashboard!$C$14</f>
        <v>-191609.09335454117</v>
      </c>
    </row>
    <row r="923" spans="1:17" x14ac:dyDescent="0.25">
      <c r="A923" s="5">
        <f>(923-2)/100</f>
        <v>9.2100000000000009</v>
      </c>
      <c r="B923" s="5">
        <f>Dashboard!$C$10*EXP(-Dashboard!$C$12*A923)</f>
        <v>7.9630919992421858E-3</v>
      </c>
      <c r="C923" s="5">
        <f>Dashboard!$C$17*A923</f>
        <v>7368.0000000000009</v>
      </c>
      <c r="D923" s="5">
        <f>Dashboard!$C$15*(1-EXP(-Dashboard!$C$16*A923))</f>
        <v>0.79199863839623563</v>
      </c>
      <c r="E923" s="5">
        <f>1/(1+EXP(MIN(700,MAX(-700,(C923-Dashboard!$C$18)/Dashboard!$C$19))))</f>
        <v>1.3015339669767556E-4</v>
      </c>
      <c r="F923" s="5">
        <f t="shared" si="63"/>
        <v>1.0308131296720415E-4</v>
      </c>
      <c r="G923" s="8">
        <f>Dashboard!$C$9*B923*Dashboard!$C$11*(1-F923)</f>
        <v>15924.54230652725</v>
      </c>
      <c r="H923" s="8">
        <f>Dashboard!$C$20*A923^2</f>
        <v>678592.80000000016</v>
      </c>
      <c r="I923" s="8">
        <f t="shared" si="64"/>
        <v>694517.34230652743</v>
      </c>
      <c r="J923" s="8">
        <f>Dashboard!$C$13*A923</f>
        <v>184200.00000000003</v>
      </c>
      <c r="K923" s="8">
        <f>Dashboard!$C$14*A923</f>
        <v>276300</v>
      </c>
      <c r="L923" s="8">
        <f>Dashboard!$C$21-K923</f>
        <v>1223700</v>
      </c>
      <c r="M923" s="8">
        <f t="shared" si="65"/>
        <v>344982.65769347257</v>
      </c>
      <c r="N923" s="8">
        <f t="shared" si="66"/>
        <v>460500</v>
      </c>
      <c r="O923" s="8">
        <f>Dashboard!$C$15*(Dashboard!$C$16*EXP(-Dashboard!$C$16*A923)*E923-(1-EXP(-Dashboard!$C$16*A923))*Dashboard!$C$17/Dashboard!$C$19*E923*(1-E923))</f>
        <v>-1.3690315991677908E-4</v>
      </c>
      <c r="P923" s="8">
        <f>Dashboard!$C$9*B923*Dashboard!$C$11*(-Dashboard!$C$12*(1-F923)-O923)+2*Dashboard!$C$20*A923</f>
        <v>141788.59053763028</v>
      </c>
      <c r="Q923" s="8">
        <f>-P923-Dashboard!$C$13-Dashboard!$C$14</f>
        <v>-191788.59053763028</v>
      </c>
    </row>
    <row r="924" spans="1:17" x14ac:dyDescent="0.25">
      <c r="A924" s="5">
        <f>(924-2)/100</f>
        <v>9.2200000000000006</v>
      </c>
      <c r="B924" s="5">
        <f>Dashboard!$C$10*EXP(-Dashboard!$C$12*A924)</f>
        <v>7.9352698943301603E-3</v>
      </c>
      <c r="C924" s="5">
        <f>Dashboard!$C$17*A924</f>
        <v>7376.0000000000009</v>
      </c>
      <c r="D924" s="5">
        <f>Dashboard!$C$15*(1-EXP(-Dashboard!$C$16*A924))</f>
        <v>0.79203854535372131</v>
      </c>
      <c r="E924" s="5">
        <f>1/(1+EXP(MIN(700,MAX(-700,(C924-Dashboard!$C$18)/Dashboard!$C$19))))</f>
        <v>1.2842975741318005E-4</v>
      </c>
      <c r="F924" s="5">
        <f t="shared" si="63"/>
        <v>1.0172131824166644E-4</v>
      </c>
      <c r="G924" s="8">
        <f>Dashboard!$C$9*B924*Dashboard!$C$11*(1-F924)</f>
        <v>15868.92541643181</v>
      </c>
      <c r="H924" s="8">
        <f>Dashboard!$C$20*A924^2</f>
        <v>680067.20000000007</v>
      </c>
      <c r="I924" s="8">
        <f t="shared" si="64"/>
        <v>695936.12541643193</v>
      </c>
      <c r="J924" s="8">
        <f>Dashboard!$C$13*A924</f>
        <v>184400</v>
      </c>
      <c r="K924" s="8">
        <f>Dashboard!$C$14*A924</f>
        <v>276600</v>
      </c>
      <c r="L924" s="8">
        <f>Dashboard!$C$21-K924</f>
        <v>1223400</v>
      </c>
      <c r="M924" s="8">
        <f t="shared" si="65"/>
        <v>343063.87458356807</v>
      </c>
      <c r="N924" s="8">
        <f t="shared" si="66"/>
        <v>461000</v>
      </c>
      <c r="O924" s="8">
        <f>Dashboard!$C$15*(Dashboard!$C$16*EXP(-Dashboard!$C$16*A924)*E924-(1-EXP(-Dashboard!$C$16*A924))*Dashboard!$C$17/Dashboard!$C$19*E924*(1-E924))</f>
        <v>-1.3509976175214906E-4</v>
      </c>
      <c r="P924" s="8">
        <f>Dashboard!$C$9*B924*Dashboard!$C$11*(-Dashboard!$C$12*(1-F924)-O924)+2*Dashboard!$C$20*A924</f>
        <v>141968.02021039318</v>
      </c>
      <c r="Q924" s="8">
        <f>-P924-Dashboard!$C$13-Dashboard!$C$14</f>
        <v>-191968.02021039318</v>
      </c>
    </row>
    <row r="925" spans="1:17" x14ac:dyDescent="0.25">
      <c r="A925" s="5">
        <f>(925-2)/100</f>
        <v>9.23</v>
      </c>
      <c r="B925" s="5">
        <f>Dashboard!$C$10*EXP(-Dashboard!$C$12*A925)</f>
        <v>7.9075449965735709E-3</v>
      </c>
      <c r="C925" s="5">
        <f>Dashboard!$C$17*A925</f>
        <v>7384</v>
      </c>
      <c r="D925" s="5">
        <f>Dashboard!$C$15*(1-EXP(-Dashboard!$C$16*A925))</f>
        <v>0.79207825327442616</v>
      </c>
      <c r="E925" s="5">
        <f>1/(1+EXP(MIN(700,MAX(-700,(C925-Dashboard!$C$18)/Dashboard!$C$19))))</f>
        <v>1.2672894162700499E-4</v>
      </c>
      <c r="F925" s="5">
        <f t="shared" si="63"/>
        <v>1.0037923872323483E-4</v>
      </c>
      <c r="G925" s="8">
        <f>Dashboard!$C$9*B925*Dashboard!$C$11*(1-F925)</f>
        <v>15813.50248645329</v>
      </c>
      <c r="H925" s="8">
        <f>Dashboard!$C$20*A925^2</f>
        <v>681543.20000000007</v>
      </c>
      <c r="I925" s="8">
        <f t="shared" si="64"/>
        <v>697356.70248645335</v>
      </c>
      <c r="J925" s="8">
        <f>Dashboard!$C$13*A925</f>
        <v>184600</v>
      </c>
      <c r="K925" s="8">
        <f>Dashboard!$C$14*A925</f>
        <v>276900</v>
      </c>
      <c r="L925" s="8">
        <f>Dashboard!$C$21-K925</f>
        <v>1223100</v>
      </c>
      <c r="M925" s="8">
        <f t="shared" si="65"/>
        <v>341143.29751354665</v>
      </c>
      <c r="N925" s="8">
        <f t="shared" si="66"/>
        <v>461500</v>
      </c>
      <c r="O925" s="8">
        <f>Dashboard!$C$15*(Dashboard!$C$16*EXP(-Dashboard!$C$16*A925)*E925-(1-EXP(-Dashboard!$C$16*A925))*Dashboard!$C$17/Dashboard!$C$19*E925*(1-E925))</f>
        <v>-1.3332006640221554E-4</v>
      </c>
      <c r="P925" s="8">
        <f>Dashboard!$C$9*B925*Dashboard!$C$11*(-Dashboard!$C$12*(1-F925)-O925)+2*Dashboard!$C$20*A925</f>
        <v>142147.38259858938</v>
      </c>
      <c r="Q925" s="8">
        <f>-P925-Dashboard!$C$13-Dashboard!$C$14</f>
        <v>-192147.38259858938</v>
      </c>
    </row>
    <row r="926" spans="1:17" x14ac:dyDescent="0.25">
      <c r="A926" s="5">
        <f>(926-2)/100</f>
        <v>9.24</v>
      </c>
      <c r="B926" s="5">
        <f>Dashboard!$C$10*EXP(-Dashboard!$C$12*A926)</f>
        <v>7.8799169663420782E-3</v>
      </c>
      <c r="C926" s="5">
        <f>Dashboard!$C$17*A926</f>
        <v>7392</v>
      </c>
      <c r="D926" s="5">
        <f>Dashboard!$C$15*(1-EXP(-Dashboard!$C$16*A926))</f>
        <v>0.7921177631510502</v>
      </c>
      <c r="E926" s="5">
        <f>1/(1+EXP(MIN(700,MAX(-700,(C926-Dashboard!$C$18)/Dashboard!$C$19))))</f>
        <v>1.2505064719886224E-4</v>
      </c>
      <c r="F926" s="5">
        <f t="shared" si="63"/>
        <v>9.9054838939753907E-5</v>
      </c>
      <c r="G926" s="8">
        <f>Dashboard!$C$9*B926*Dashboard!$C$11*(1-F926)</f>
        <v>15758.272844872236</v>
      </c>
      <c r="H926" s="8">
        <f>Dashboard!$C$20*A926^2</f>
        <v>683020.80000000005</v>
      </c>
      <c r="I926" s="8">
        <f t="shared" si="64"/>
        <v>698779.07284487225</v>
      </c>
      <c r="J926" s="8">
        <f>Dashboard!$C$13*A926</f>
        <v>184800</v>
      </c>
      <c r="K926" s="8">
        <f>Dashboard!$C$14*A926</f>
        <v>277200</v>
      </c>
      <c r="L926" s="8">
        <f>Dashboard!$C$21-K926</f>
        <v>1222800</v>
      </c>
      <c r="M926" s="8">
        <f t="shared" si="65"/>
        <v>339220.92715512775</v>
      </c>
      <c r="N926" s="8">
        <f t="shared" si="66"/>
        <v>462000</v>
      </c>
      <c r="O926" s="8">
        <f>Dashboard!$C$15*(Dashboard!$C$16*EXP(-Dashboard!$C$16*A926)*E926-(1-EXP(-Dashboard!$C$16*A926))*Dashboard!$C$17/Dashboard!$C$19*E926*(1-E926))</f>
        <v>-1.315637633477138E-4</v>
      </c>
      <c r="P926" s="8">
        <f>Dashboard!$C$9*B926*Dashboard!$C$11*(-Dashboard!$C$12*(1-F926)-O926)+2*Dashboard!$C$20*A926</f>
        <v>142326.67792735665</v>
      </c>
      <c r="Q926" s="8">
        <f>-P926-Dashboard!$C$13-Dashboard!$C$14</f>
        <v>-192326.67792735665</v>
      </c>
    </row>
    <row r="927" spans="1:17" x14ac:dyDescent="0.25">
      <c r="A927" s="5">
        <f>(927-2)/100</f>
        <v>9.25</v>
      </c>
      <c r="B927" s="5">
        <f>Dashboard!$C$10*EXP(-Dashboard!$C$12*A927)</f>
        <v>7.852385465191963E-3</v>
      </c>
      <c r="C927" s="5">
        <f>Dashboard!$C$17*A927</f>
        <v>7400</v>
      </c>
      <c r="D927" s="5">
        <f>Dashboard!$C$15*(1-EXP(-Dashboard!$C$16*A927))</f>
        <v>0.79215707597134255</v>
      </c>
      <c r="E927" s="5">
        <f>1/(1+EXP(MIN(700,MAX(-700,(C927-Dashboard!$C$18)/Dashboard!$C$19))))</f>
        <v>1.2339457598623172E-4</v>
      </c>
      <c r="F927" s="5">
        <f t="shared" si="63"/>
        <v>9.7747886503976968E-5</v>
      </c>
      <c r="G927" s="8">
        <f>Dashboard!$C$9*B927*Dashboard!$C$11*(1-F927)</f>
        <v>15703.235822217453</v>
      </c>
      <c r="H927" s="8">
        <f>Dashboard!$C$20*A927^2</f>
        <v>684500</v>
      </c>
      <c r="I927" s="8">
        <f t="shared" si="64"/>
        <v>700203.23582221742</v>
      </c>
      <c r="J927" s="8">
        <f>Dashboard!$C$13*A927</f>
        <v>185000</v>
      </c>
      <c r="K927" s="8">
        <f>Dashboard!$C$14*A927</f>
        <v>277500</v>
      </c>
      <c r="L927" s="8">
        <f>Dashboard!$C$21-K927</f>
        <v>1222500</v>
      </c>
      <c r="M927" s="8">
        <f t="shared" si="65"/>
        <v>337296.76417778258</v>
      </c>
      <c r="N927" s="8">
        <f t="shared" si="66"/>
        <v>462500</v>
      </c>
      <c r="O927" s="8">
        <f>Dashboard!$C$15*(Dashboard!$C$16*EXP(-Dashboard!$C$16*A927)*E927-(1-EXP(-Dashboard!$C$16*A927))*Dashboard!$C$17/Dashboard!$C$19*E927*(1-E927))</f>
        <v>-1.2983054611745347E-4</v>
      </c>
      <c r="P927" s="8">
        <f>Dashboard!$C$9*B927*Dashboard!$C$11*(-Dashboard!$C$12*(1-F927)-O927)+2*Dashboard!$C$20*A927</f>
        <v>142505.90642121044</v>
      </c>
      <c r="Q927" s="8">
        <f>-P927-Dashboard!$C$13-Dashboard!$C$14</f>
        <v>-192505.90642121044</v>
      </c>
    </row>
    <row r="928" spans="1:17" x14ac:dyDescent="0.25">
      <c r="A928" s="5">
        <f>(928-2)/100</f>
        <v>9.26</v>
      </c>
      <c r="B928" s="5">
        <f>Dashboard!$C$10*EXP(-Dashboard!$C$12*A928)</f>
        <v>7.8249501558619924E-3</v>
      </c>
      <c r="C928" s="5">
        <f>Dashboard!$C$17*A928</f>
        <v>7408</v>
      </c>
      <c r="D928" s="5">
        <f>Dashboard!$C$15*(1-EXP(-Dashboard!$C$16*A928))</f>
        <v>0.79219619271812569</v>
      </c>
      <c r="E928" s="5">
        <f>1/(1+EXP(MIN(700,MAX(-700,(C928-Dashboard!$C$18)/Dashboard!$C$19))))</f>
        <v>1.2176043379151696E-4</v>
      </c>
      <c r="F928" s="5">
        <f t="shared" si="63"/>
        <v>9.6458152073347151E-5</v>
      </c>
      <c r="G928" s="8">
        <f>Dashboard!$C$9*B928*Dashboard!$C$11*(1-F928)</f>
        <v>15648.390751259785</v>
      </c>
      <c r="H928" s="8">
        <f>Dashboard!$C$20*A928^2</f>
        <v>685980.79999999993</v>
      </c>
      <c r="I928" s="8">
        <f t="shared" si="64"/>
        <v>701629.19075125968</v>
      </c>
      <c r="J928" s="8">
        <f>Dashboard!$C$13*A928</f>
        <v>185200</v>
      </c>
      <c r="K928" s="8">
        <f>Dashboard!$C$14*A928</f>
        <v>277800</v>
      </c>
      <c r="L928" s="8">
        <f>Dashboard!$C$21-K928</f>
        <v>1222200</v>
      </c>
      <c r="M928" s="8">
        <f t="shared" si="65"/>
        <v>335370.80924874032</v>
      </c>
      <c r="N928" s="8">
        <f t="shared" si="66"/>
        <v>463000</v>
      </c>
      <c r="O928" s="8">
        <f>Dashboard!$C$15*(Dashboard!$C$16*EXP(-Dashboard!$C$16*A928)*E928-(1-EXP(-Dashboard!$C$16*A928))*Dashboard!$C$17/Dashboard!$C$19*E928*(1-E928))</f>
        <v>-1.2812011223594408E-4</v>
      </c>
      <c r="P928" s="8">
        <f>Dashboard!$C$9*B928*Dashboard!$C$11*(-Dashboard!$C$12*(1-F928)-O928)+2*Dashboard!$C$20*A928</f>
        <v>142685.0683040435</v>
      </c>
      <c r="Q928" s="8">
        <f>-P928-Dashboard!$C$13-Dashboard!$C$14</f>
        <v>-192685.0683040435</v>
      </c>
    </row>
    <row r="929" spans="1:17" x14ac:dyDescent="0.25">
      <c r="A929" s="5">
        <f>(929-2)/100</f>
        <v>9.27</v>
      </c>
      <c r="B929" s="5">
        <f>Dashboard!$C$10*EXP(-Dashboard!$C$12*A929)</f>
        <v>7.7976107022692852E-3</v>
      </c>
      <c r="C929" s="5">
        <f>Dashboard!$C$17*A929</f>
        <v>7416</v>
      </c>
      <c r="D929" s="5">
        <f>Dashboard!$C$15*(1-EXP(-Dashboard!$C$16*A929))</f>
        <v>0.79223511436932037</v>
      </c>
      <c r="E929" s="5">
        <f>1/(1+EXP(MIN(700,MAX(-700,(C929-Dashboard!$C$18)/Dashboard!$C$19))))</f>
        <v>1.2014793030989868E-4</v>
      </c>
      <c r="F929" s="5">
        <f t="shared" si="63"/>
        <v>9.5185409310299715E-5</v>
      </c>
      <c r="G929" s="8">
        <f>Dashboard!$C$9*B929*Dashboard!$C$11*(1-F929)</f>
        <v>15593.736967005894</v>
      </c>
      <c r="H929" s="8">
        <f>Dashboard!$C$20*A929^2</f>
        <v>687463.2</v>
      </c>
      <c r="I929" s="8">
        <f t="shared" si="64"/>
        <v>703056.93696700584</v>
      </c>
      <c r="J929" s="8">
        <f>Dashboard!$C$13*A929</f>
        <v>185400</v>
      </c>
      <c r="K929" s="8">
        <f>Dashboard!$C$14*A929</f>
        <v>278100</v>
      </c>
      <c r="L929" s="8">
        <f>Dashboard!$C$21-K929</f>
        <v>1221900</v>
      </c>
      <c r="M929" s="8">
        <f t="shared" si="65"/>
        <v>333443.06303299416</v>
      </c>
      <c r="N929" s="8">
        <f t="shared" si="66"/>
        <v>463500</v>
      </c>
      <c r="O929" s="8">
        <f>Dashboard!$C$15*(Dashboard!$C$16*EXP(-Dashboard!$C$16*A929)*E929-(1-EXP(-Dashboard!$C$16*A929))*Dashboard!$C$17/Dashboard!$C$19*E929*(1-E929))</f>
        <v>-1.2643216317169087E-4</v>
      </c>
      <c r="P929" s="8">
        <f>Dashboard!$C$9*B929*Dashboard!$C$11*(-Dashboard!$C$12*(1-F929)-O929)+2*Dashboard!$C$20*A929</f>
        <v>142864.16379912526</v>
      </c>
      <c r="Q929" s="8">
        <f>-P929-Dashboard!$C$13-Dashboard!$C$14</f>
        <v>-192864.16379912526</v>
      </c>
    </row>
    <row r="930" spans="1:17" x14ac:dyDescent="0.25">
      <c r="A930" s="5">
        <f>(930-2)/100</f>
        <v>9.2799999999999994</v>
      </c>
      <c r="B930" s="5">
        <f>Dashboard!$C$10*EXP(-Dashboard!$C$12*A930)</f>
        <v>7.770366769505186E-3</v>
      </c>
      <c r="C930" s="5">
        <f>Dashboard!$C$17*A930</f>
        <v>7423.9999999999991</v>
      </c>
      <c r="D930" s="5">
        <f>Dashboard!$C$15*(1-EXP(-Dashboard!$C$16*A930))</f>
        <v>0.79227384189796979</v>
      </c>
      <c r="E930" s="5">
        <f>1/(1+EXP(MIN(700,MAX(-700,(C930-Dashboard!$C$18)/Dashboard!$C$19))))</f>
        <v>1.1855677907787642E-4</v>
      </c>
      <c r="F930" s="5">
        <f t="shared" si="63"/>
        <v>9.3929434843077997E-5</v>
      </c>
      <c r="G930" s="8">
        <f>Dashboard!$C$9*B930*Dashboard!$C$11*(1-F930)</f>
        <v>15539.273806692005</v>
      </c>
      <c r="H930" s="8">
        <f>Dashboard!$C$20*A930^2</f>
        <v>688947.19999999995</v>
      </c>
      <c r="I930" s="8">
        <f t="shared" si="64"/>
        <v>704486.47380669194</v>
      </c>
      <c r="J930" s="8">
        <f>Dashboard!$C$13*A930</f>
        <v>185600</v>
      </c>
      <c r="K930" s="8">
        <f>Dashboard!$C$14*A930</f>
        <v>278400</v>
      </c>
      <c r="L930" s="8">
        <f>Dashboard!$C$21-K930</f>
        <v>1221600</v>
      </c>
      <c r="M930" s="8">
        <f t="shared" si="65"/>
        <v>331513.52619330806</v>
      </c>
      <c r="N930" s="8">
        <f t="shared" si="66"/>
        <v>464000</v>
      </c>
      <c r="O930" s="8">
        <f>Dashboard!$C$15*(Dashboard!$C$16*EXP(-Dashboard!$C$16*A930)*E930-(1-EXP(-Dashboard!$C$16*A930))*Dashboard!$C$17/Dashboard!$C$19*E930*(1-E930))</f>
        <v>-1.2476640428615163E-4</v>
      </c>
      <c r="P930" s="8">
        <f>Dashboard!$C$9*B930*Dashboard!$C$11*(-Dashboard!$C$12*(1-F930)-O930)+2*Dashboard!$C$20*A930</f>
        <v>143043.19312910142</v>
      </c>
      <c r="Q930" s="8">
        <f>-P930-Dashboard!$C$13-Dashboard!$C$14</f>
        <v>-193043.19312910142</v>
      </c>
    </row>
    <row r="931" spans="1:17" x14ac:dyDescent="0.25">
      <c r="A931" s="5">
        <f>(931-2)/100</f>
        <v>9.2899999999999991</v>
      </c>
      <c r="B931" s="5">
        <f>Dashboard!$C$10*EXP(-Dashboard!$C$12*A931)</f>
        <v>7.7432180238311875E-3</v>
      </c>
      <c r="C931" s="5">
        <f>Dashboard!$C$17*A931</f>
        <v>7431.9999999999991</v>
      </c>
      <c r="D931" s="5">
        <f>Dashboard!$C$15*(1-EXP(-Dashboard!$C$16*A931))</f>
        <v>0.79231237627226436</v>
      </c>
      <c r="E931" s="5">
        <f>1/(1+EXP(MIN(700,MAX(-700,(C931-Dashboard!$C$18)/Dashboard!$C$19))))</f>
        <v>1.1698669742248812E-4</v>
      </c>
      <c r="F931" s="5">
        <f t="shared" si="63"/>
        <v>9.2690008227055954E-5</v>
      </c>
      <c r="G931" s="8">
        <f>Dashboard!$C$9*B931*Dashboard!$C$11*(1-F931)</f>
        <v>15485.00060977771</v>
      </c>
      <c r="H931" s="8">
        <f>Dashboard!$C$20*A931^2</f>
        <v>690432.79999999993</v>
      </c>
      <c r="I931" s="8">
        <f t="shared" si="64"/>
        <v>705917.80060977768</v>
      </c>
      <c r="J931" s="8">
        <f>Dashboard!$C$13*A931</f>
        <v>185799.99999999997</v>
      </c>
      <c r="K931" s="8">
        <f>Dashboard!$C$14*A931</f>
        <v>278700</v>
      </c>
      <c r="L931" s="8">
        <f>Dashboard!$C$21-K931</f>
        <v>1221300</v>
      </c>
      <c r="M931" s="8">
        <f t="shared" si="65"/>
        <v>329582.19939022232</v>
      </c>
      <c r="N931" s="8">
        <f t="shared" si="66"/>
        <v>464500</v>
      </c>
      <c r="O931" s="8">
        <f>Dashboard!$C$15*(Dashboard!$C$16*EXP(-Dashboard!$C$16*A931)*E931-(1-EXP(-Dashboard!$C$16*A931))*Dashboard!$C$17/Dashboard!$C$19*E931*(1-E931))</f>
        <v>-1.2312254478334526E-4</v>
      </c>
      <c r="P931" s="8">
        <f>Dashboard!$C$9*B931*Dashboard!$C$11*(-Dashboard!$C$12*(1-F931)-O931)+2*Dashboard!$C$20*A931</f>
        <v>143222.15651599361</v>
      </c>
      <c r="Q931" s="8">
        <f>-P931-Dashboard!$C$13-Dashboard!$C$14</f>
        <v>-193222.15651599361</v>
      </c>
    </row>
    <row r="932" spans="1:17" x14ac:dyDescent="0.25">
      <c r="A932" s="5">
        <f>(932-2)/100</f>
        <v>9.3000000000000007</v>
      </c>
      <c r="B932" s="5">
        <f>Dashboard!$C$10*EXP(-Dashboard!$C$12*A932)</f>
        <v>7.716164132674808E-3</v>
      </c>
      <c r="C932" s="5">
        <f>Dashboard!$C$17*A932</f>
        <v>7440.0000000000009</v>
      </c>
      <c r="D932" s="5">
        <f>Dashboard!$C$15*(1-EXP(-Dashboard!$C$16*A932))</f>
        <v>0.79235071845556526</v>
      </c>
      <c r="E932" s="5">
        <f>1/(1+EXP(MIN(700,MAX(-700,(C932-Dashboard!$C$18)/Dashboard!$C$19))))</f>
        <v>1.1543740641120029E-4</v>
      </c>
      <c r="F932" s="5">
        <f t="shared" si="63"/>
        <v>9.1466911906561623E-5</v>
      </c>
      <c r="G932" s="8">
        <f>Dashboard!$C$9*B932*Dashboard!$C$11*(1-F932)</f>
        <v>15430.916717939655</v>
      </c>
      <c r="H932" s="8">
        <f>Dashboard!$C$20*A932^2</f>
        <v>691920.00000000012</v>
      </c>
      <c r="I932" s="8">
        <f t="shared" si="64"/>
        <v>707350.91671793978</v>
      </c>
      <c r="J932" s="8">
        <f>Dashboard!$C$13*A932</f>
        <v>186000</v>
      </c>
      <c r="K932" s="8">
        <f>Dashboard!$C$14*A932</f>
        <v>279000</v>
      </c>
      <c r="L932" s="8">
        <f>Dashboard!$C$21-K932</f>
        <v>1221000</v>
      </c>
      <c r="M932" s="8">
        <f t="shared" si="65"/>
        <v>327649.08328206022</v>
      </c>
      <c r="N932" s="8">
        <f t="shared" si="66"/>
        <v>465000</v>
      </c>
      <c r="O932" s="8">
        <f>Dashboard!$C$15*(Dashboard!$C$16*EXP(-Dashboard!$C$16*A932)*E932-(1-EXP(-Dashboard!$C$16*A932))*Dashboard!$C$17/Dashboard!$C$19*E932*(1-E932))</f>
        <v>-1.2150029766010561E-4</v>
      </c>
      <c r="P932" s="8">
        <f>Dashboard!$C$9*B932*Dashboard!$C$11*(-Dashboard!$C$12*(1-F932)-O932)+2*Dashboard!$C$20*A932</f>
        <v>143401.05418119894</v>
      </c>
      <c r="Q932" s="8">
        <f>-P932-Dashboard!$C$13-Dashboard!$C$14</f>
        <v>-193401.05418119894</v>
      </c>
    </row>
    <row r="933" spans="1:17" x14ac:dyDescent="0.25">
      <c r="A933" s="5">
        <f>(933-2)/100</f>
        <v>9.31</v>
      </c>
      <c r="B933" s="5">
        <f>Dashboard!$C$10*EXP(-Dashboard!$C$12*A933)</f>
        <v>7.6892047646255459E-3</v>
      </c>
      <c r="C933" s="5">
        <f>Dashboard!$C$17*A933</f>
        <v>7448</v>
      </c>
      <c r="D933" s="5">
        <f>Dashboard!$C$15*(1-EXP(-Dashboard!$C$16*A933))</f>
        <v>0.79238886940642916</v>
      </c>
      <c r="E933" s="5">
        <f>1/(1+EXP(MIN(700,MAX(-700,(C933-Dashboard!$C$18)/Dashboard!$C$19))))</f>
        <v>1.1390863080246191E-4</v>
      </c>
      <c r="F933" s="5">
        <f t="shared" si="63"/>
        <v>9.0259931177197149E-5</v>
      </c>
      <c r="G933" s="8">
        <f>Dashboard!$C$9*B933*Dashboard!$C$11*(1-F933)</f>
        <v>15377.021475065367</v>
      </c>
      <c r="H933" s="8">
        <f>Dashboard!$C$20*A933^2</f>
        <v>693408.8</v>
      </c>
      <c r="I933" s="8">
        <f t="shared" si="64"/>
        <v>708785.82147506543</v>
      </c>
      <c r="J933" s="8">
        <f>Dashboard!$C$13*A933</f>
        <v>186200</v>
      </c>
      <c r="K933" s="8">
        <f>Dashboard!$C$14*A933</f>
        <v>279300</v>
      </c>
      <c r="L933" s="8">
        <f>Dashboard!$C$21-K933</f>
        <v>1220700</v>
      </c>
      <c r="M933" s="8">
        <f t="shared" si="65"/>
        <v>325714.17852493457</v>
      </c>
      <c r="N933" s="8">
        <f t="shared" si="66"/>
        <v>465500</v>
      </c>
      <c r="O933" s="8">
        <f>Dashboard!$C$15*(Dashboard!$C$16*EXP(-Dashboard!$C$16*A933)*E933-(1-EXP(-Dashboard!$C$16*A933))*Dashboard!$C$17/Dashboard!$C$19*E933*(1-E933))</f>
        <v>-1.1989937965697435E-4</v>
      </c>
      <c r="P933" s="8">
        <f>Dashboard!$C$9*B933*Dashboard!$C$11*(-Dashboard!$C$12*(1-F933)-O933)+2*Dashboard!$C$20*A933</f>
        <v>143579.88634548979</v>
      </c>
      <c r="Q933" s="8">
        <f>-P933-Dashboard!$C$13-Dashboard!$C$14</f>
        <v>-193579.88634548979</v>
      </c>
    </row>
    <row r="934" spans="1:17" x14ac:dyDescent="0.25">
      <c r="A934" s="5">
        <f>(934-2)/100</f>
        <v>9.32</v>
      </c>
      <c r="B934" s="5">
        <f>Dashboard!$C$10*EXP(-Dashboard!$C$12*A934)</f>
        <v>7.6623395894308104E-3</v>
      </c>
      <c r="C934" s="5">
        <f>Dashboard!$C$17*A934</f>
        <v>7456</v>
      </c>
      <c r="D934" s="5">
        <f>Dashboard!$C$15*(1-EXP(-Dashboard!$C$16*A934))</f>
        <v>0.79242683007863179</v>
      </c>
      <c r="E934" s="5">
        <f>1/(1+EXP(MIN(700,MAX(-700,(C934-Dashboard!$C$18)/Dashboard!$C$19))))</f>
        <v>1.1240009899690428E-4</v>
      </c>
      <c r="F934" s="5">
        <f t="shared" si="63"/>
        <v>8.9068854148641256E-5</v>
      </c>
      <c r="G934" s="8">
        <f>Dashboard!$C$9*B934*Dashboard!$C$11*(1-F934)</f>
        <v>15323.314227246967</v>
      </c>
      <c r="H934" s="8">
        <f>Dashboard!$C$20*A934^2</f>
        <v>694899.20000000007</v>
      </c>
      <c r="I934" s="8">
        <f t="shared" si="64"/>
        <v>710222.51422724698</v>
      </c>
      <c r="J934" s="8">
        <f>Dashboard!$C$13*A934</f>
        <v>186400</v>
      </c>
      <c r="K934" s="8">
        <f>Dashboard!$C$14*A934</f>
        <v>279600</v>
      </c>
      <c r="L934" s="8">
        <f>Dashboard!$C$21-K934</f>
        <v>1220400</v>
      </c>
      <c r="M934" s="8">
        <f t="shared" si="65"/>
        <v>323777.48577275302</v>
      </c>
      <c r="N934" s="8">
        <f t="shared" si="66"/>
        <v>466000</v>
      </c>
      <c r="O934" s="8">
        <f>Dashboard!$C$15*(Dashboard!$C$16*EXP(-Dashboard!$C$16*A934)*E934-(1-EXP(-Dashboard!$C$16*A934))*Dashboard!$C$17/Dashboard!$C$19*E934*(1-E934))</f>
        <v>-1.1831951120971547E-4</v>
      </c>
      <c r="P934" s="8">
        <f>Dashboard!$C$9*B934*Dashboard!$C$11*(-Dashboard!$C$12*(1-F934)-O934)+2*Dashboard!$C$20*A934</f>
        <v>143758.65322901346</v>
      </c>
      <c r="Q934" s="8">
        <f>-P934-Dashboard!$C$13-Dashboard!$C$14</f>
        <v>-193758.65322901346</v>
      </c>
    </row>
    <row r="935" spans="1:17" x14ac:dyDescent="0.25">
      <c r="A935" s="5">
        <f>(935-2)/100</f>
        <v>9.33</v>
      </c>
      <c r="B935" s="5">
        <f>Dashboard!$C$10*EXP(-Dashboard!$C$12*A935)</f>
        <v>7.6355682779918627E-3</v>
      </c>
      <c r="C935" s="5">
        <f>Dashboard!$C$17*A935</f>
        <v>7464</v>
      </c>
      <c r="D935" s="5">
        <f>Dashboard!$C$15*(1-EXP(-Dashboard!$C$16*A935))</f>
        <v>0.79246460142119191</v>
      </c>
      <c r="E935" s="5">
        <f>1/(1+EXP(MIN(700,MAX(-700,(C935-Dashboard!$C$18)/Dashboard!$C$19))))</f>
        <v>1.10911542989192E-4</v>
      </c>
      <c r="F935" s="5">
        <f t="shared" ref="F935:F998" si="67">D935*E935</f>
        <v>8.7893471707939426E-5</v>
      </c>
      <c r="G935" s="8">
        <f>Dashboard!$C$9*B935*Dashboard!$C$11*(1-F935)</f>
        <v>15269.794322774895</v>
      </c>
      <c r="H935" s="8">
        <f>Dashboard!$C$20*A935^2</f>
        <v>696391.20000000007</v>
      </c>
      <c r="I935" s="8">
        <f t="shared" ref="I935:I998" si="68">G935+H935</f>
        <v>711660.99432277493</v>
      </c>
      <c r="J935" s="8">
        <f>Dashboard!$C$13*A935</f>
        <v>186600</v>
      </c>
      <c r="K935" s="8">
        <f>Dashboard!$C$14*A935</f>
        <v>279900</v>
      </c>
      <c r="L935" s="8">
        <f>Dashboard!$C$21-K935</f>
        <v>1220100</v>
      </c>
      <c r="M935" s="8">
        <f t="shared" ref="M935:M998" si="69">L935-I935-J935</f>
        <v>321839.00567722507</v>
      </c>
      <c r="N935" s="8">
        <f t="shared" ref="N935:N1002" si="70">J935+K935</f>
        <v>466500</v>
      </c>
      <c r="O935" s="8">
        <f>Dashboard!$C$15*(Dashboard!$C$16*EXP(-Dashboard!$C$16*A935)*E935-(1-EXP(-Dashboard!$C$16*A935))*Dashboard!$C$17/Dashboard!$C$19*E935*(1-E935))</f>
        <v>-1.1676041640145779E-4</v>
      </c>
      <c r="P935" s="8">
        <f>Dashboard!$C$9*B935*Dashboard!$C$11*(-Dashboard!$C$12*(1-F935)-O935)+2*Dashboard!$C$20*A935</f>
        <v>143937.35505129199</v>
      </c>
      <c r="Q935" s="8">
        <f>-P935-Dashboard!$C$13-Dashboard!$C$14</f>
        <v>-193937.35505129199</v>
      </c>
    </row>
    <row r="936" spans="1:17" x14ac:dyDescent="0.25">
      <c r="A936" s="5">
        <f>(936-2)/100</f>
        <v>9.34</v>
      </c>
      <c r="B936" s="5">
        <f>Dashboard!$C$10*EXP(-Dashboard!$C$12*A936)</f>
        <v>7.6088905023598058E-3</v>
      </c>
      <c r="C936" s="5">
        <f>Dashboard!$C$17*A936</f>
        <v>7472</v>
      </c>
      <c r="D936" s="5">
        <f>Dashboard!$C$15*(1-EXP(-Dashboard!$C$16*A936))</f>
        <v>0.79250218437839515</v>
      </c>
      <c r="E936" s="5">
        <f>1/(1+EXP(MIN(700,MAX(-700,(C936-Dashboard!$C$18)/Dashboard!$C$19))))</f>
        <v>1.0944269832050534E-4</v>
      </c>
      <c r="F936" s="5">
        <f t="shared" si="67"/>
        <v>8.6733577483266201E-5</v>
      </c>
      <c r="G936" s="8">
        <f>Dashboard!$C$9*B936*Dashboard!$C$11*(1-F936)</f>
        <v>15216.461112131716</v>
      </c>
      <c r="H936" s="8">
        <f>Dashboard!$C$20*A936^2</f>
        <v>697884.79999999993</v>
      </c>
      <c r="I936" s="8">
        <f t="shared" si="68"/>
        <v>713101.26111213164</v>
      </c>
      <c r="J936" s="8">
        <f>Dashboard!$C$13*A936</f>
        <v>186800</v>
      </c>
      <c r="K936" s="8">
        <f>Dashboard!$C$14*A936</f>
        <v>280200</v>
      </c>
      <c r="L936" s="8">
        <f>Dashboard!$C$21-K936</f>
        <v>1219800</v>
      </c>
      <c r="M936" s="8">
        <f t="shared" si="69"/>
        <v>319898.73888786836</v>
      </c>
      <c r="N936" s="8">
        <f t="shared" si="70"/>
        <v>467000</v>
      </c>
      <c r="O936" s="8">
        <f>Dashboard!$C$15*(Dashboard!$C$16*EXP(-Dashboard!$C$16*A936)*E936-(1-EXP(-Dashboard!$C$16*A936))*Dashboard!$C$17/Dashboard!$C$19*E936*(1-E936))</f>
        <v>-1.1522182291544622E-4</v>
      </c>
      <c r="P936" s="8">
        <f>Dashboard!$C$9*B936*Dashboard!$C$11*(-Dashboard!$C$12*(1-F936)-O936)+2*Dashboard!$C$20*A936</f>
        <v>144115.99203122201</v>
      </c>
      <c r="Q936" s="8">
        <f>-P936-Dashboard!$C$13-Dashboard!$C$14</f>
        <v>-194115.99203122201</v>
      </c>
    </row>
    <row r="937" spans="1:17" x14ac:dyDescent="0.25">
      <c r="A937" s="5">
        <f>(937-2)/100</f>
        <v>9.35</v>
      </c>
      <c r="B937" s="5">
        <f>Dashboard!$C$10*EXP(-Dashboard!$C$12*A937)</f>
        <v>7.582305935731554E-3</v>
      </c>
      <c r="C937" s="5">
        <f>Dashboard!$C$17*A937</f>
        <v>7480</v>
      </c>
      <c r="D937" s="5">
        <f>Dashboard!$C$15*(1-EXP(-Dashboard!$C$16*A937))</f>
        <v>0.79253957988981738</v>
      </c>
      <c r="E937" s="5">
        <f>1/(1+EXP(MIN(700,MAX(-700,(C937-Dashboard!$C$18)/Dashboard!$C$19))))</f>
        <v>1.0799330403164989E-4</v>
      </c>
      <c r="F937" s="5">
        <f t="shared" si="67"/>
        <v>8.5588967808157123E-5</v>
      </c>
      <c r="G937" s="8">
        <f>Dashboard!$C$9*B937*Dashboard!$C$11*(1-F937)</f>
        <v>15163.313947985816</v>
      </c>
      <c r="H937" s="8">
        <f>Dashboard!$C$20*A937^2</f>
        <v>699380</v>
      </c>
      <c r="I937" s="8">
        <f t="shared" si="68"/>
        <v>714543.31394798576</v>
      </c>
      <c r="J937" s="8">
        <f>Dashboard!$C$13*A937</f>
        <v>187000</v>
      </c>
      <c r="K937" s="8">
        <f>Dashboard!$C$14*A937</f>
        <v>280500</v>
      </c>
      <c r="L937" s="8">
        <f>Dashboard!$C$21-K937</f>
        <v>1219500</v>
      </c>
      <c r="M937" s="8">
        <f t="shared" si="69"/>
        <v>317956.68605201424</v>
      </c>
      <c r="N937" s="8">
        <f t="shared" si="70"/>
        <v>467500</v>
      </c>
      <c r="O937" s="8">
        <f>Dashboard!$C$15*(Dashboard!$C$16*EXP(-Dashboard!$C$16*A937)*E937-(1-EXP(-Dashboard!$C$16*A937))*Dashboard!$C$17/Dashboard!$C$19*E937*(1-E937))</f>
        <v>-1.1370346198839843E-4</v>
      </c>
      <c r="P937" s="8">
        <f>Dashboard!$C$9*B937*Dashboard!$C$11*(-Dashboard!$C$12*(1-F937)-O937)+2*Dashboard!$C$20*A937</f>
        <v>144294.56438707447</v>
      </c>
      <c r="Q937" s="8">
        <f>-P937-Dashboard!$C$13-Dashboard!$C$14</f>
        <v>-194294.56438707447</v>
      </c>
    </row>
    <row r="938" spans="1:17" x14ac:dyDescent="0.25">
      <c r="A938" s="5">
        <f>(938-2)/100</f>
        <v>9.36</v>
      </c>
      <c r="B938" s="5">
        <f>Dashboard!$C$10*EXP(-Dashboard!$C$12*A938)</f>
        <v>7.5558142524458282E-3</v>
      </c>
      <c r="C938" s="5">
        <f>Dashboard!$C$17*A938</f>
        <v>7488</v>
      </c>
      <c r="D938" s="5">
        <f>Dashboard!$C$15*(1-EXP(-Dashboard!$C$16*A938))</f>
        <v>0.79257678889034822</v>
      </c>
      <c r="E938" s="5">
        <f>1/(1+EXP(MIN(700,MAX(-700,(C938-Dashboard!$C$18)/Dashboard!$C$19))))</f>
        <v>1.0656310261678711E-4</v>
      </c>
      <c r="F938" s="5">
        <f t="shared" si="67"/>
        <v>8.4459441686205797E-5</v>
      </c>
      <c r="G938" s="8">
        <f>Dashboard!$C$9*B938*Dashboard!$C$11*(1-F938)</f>
        <v>15110.352185185164</v>
      </c>
      <c r="H938" s="8">
        <f>Dashboard!$C$20*A938^2</f>
        <v>700876.79999999993</v>
      </c>
      <c r="I938" s="8">
        <f t="shared" si="68"/>
        <v>715987.15218518511</v>
      </c>
      <c r="J938" s="8">
        <f>Dashboard!$C$13*A938</f>
        <v>187200</v>
      </c>
      <c r="K938" s="8">
        <f>Dashboard!$C$14*A938</f>
        <v>280800</v>
      </c>
      <c r="L938" s="8">
        <f>Dashboard!$C$21-K938</f>
        <v>1219200</v>
      </c>
      <c r="M938" s="8">
        <f t="shared" si="69"/>
        <v>316012.84781481489</v>
      </c>
      <c r="N938" s="8">
        <f t="shared" si="70"/>
        <v>468000</v>
      </c>
      <c r="O938" s="8">
        <f>Dashboard!$C$15*(Dashboard!$C$16*EXP(-Dashboard!$C$16*A938)*E938-(1-EXP(-Dashboard!$C$16*A938))*Dashboard!$C$17/Dashboard!$C$19*E938*(1-E938))</f>
        <v>-1.1220506836446062E-4</v>
      </c>
      <c r="P938" s="8">
        <f>Dashboard!$C$9*B938*Dashboard!$C$11*(-Dashboard!$C$12*(1-F938)-O938)+2*Dashboard!$C$20*A938</f>
        <v>144473.07233649469</v>
      </c>
      <c r="Q938" s="8">
        <f>-P938-Dashboard!$C$13-Dashboard!$C$14</f>
        <v>-194473.07233649469</v>
      </c>
    </row>
    <row r="939" spans="1:17" x14ac:dyDescent="0.25">
      <c r="A939" s="5">
        <f>(939-2)/100</f>
        <v>9.3699999999999992</v>
      </c>
      <c r="B939" s="5">
        <f>Dashboard!$C$10*EXP(-Dashboard!$C$12*A939)</f>
        <v>7.5294151279791865E-3</v>
      </c>
      <c r="C939" s="5">
        <f>Dashboard!$C$17*A939</f>
        <v>7495.9999999999991</v>
      </c>
      <c r="D939" s="5">
        <f>Dashboard!$C$15*(1-EXP(-Dashboard!$C$16*A939))</f>
        <v>0.79261381231021477</v>
      </c>
      <c r="E939" s="5">
        <f>1/(1+EXP(MIN(700,MAX(-700,(C939-Dashboard!$C$18)/Dashboard!$C$19))))</f>
        <v>1.0515183997777376E-4</v>
      </c>
      <c r="F939" s="5">
        <f t="shared" si="67"/>
        <v>8.3344800756216916E-5</v>
      </c>
      <c r="G939" s="8">
        <f>Dashboard!$C$9*B939*Dashboard!$C$11*(1-F939)</f>
        <v>15057.575180751068</v>
      </c>
      <c r="H939" s="8">
        <f>Dashboard!$C$20*A939^2</f>
        <v>702375.19999999984</v>
      </c>
      <c r="I939" s="8">
        <f t="shared" si="68"/>
        <v>717432.77518075088</v>
      </c>
      <c r="J939" s="8">
        <f>Dashboard!$C$13*A939</f>
        <v>187399.99999999997</v>
      </c>
      <c r="K939" s="8">
        <f>Dashboard!$C$14*A939</f>
        <v>281100</v>
      </c>
      <c r="L939" s="8">
        <f>Dashboard!$C$21-K939</f>
        <v>1218900</v>
      </c>
      <c r="M939" s="8">
        <f t="shared" si="69"/>
        <v>314067.22481924912</v>
      </c>
      <c r="N939" s="8">
        <f t="shared" si="70"/>
        <v>468500</v>
      </c>
      <c r="O939" s="8">
        <f>Dashboard!$C$15*(Dashboard!$C$16*EXP(-Dashboard!$C$16*A939)*E939-(1-EXP(-Dashboard!$C$16*A939))*Dashboard!$C$17/Dashboard!$C$19*E939*(1-E939))</f>
        <v>-1.1072638024975204E-4</v>
      </c>
      <c r="P939" s="8">
        <f>Dashboard!$C$9*B939*Dashboard!$C$11*(-Dashboard!$C$12*(1-F939)-O939)+2*Dashboard!$C$20*A939</f>
        <v>144651.51609650216</v>
      </c>
      <c r="Q939" s="8">
        <f>-P939-Dashboard!$C$13-Dashboard!$C$14</f>
        <v>-194651.51609650216</v>
      </c>
    </row>
    <row r="940" spans="1:17" x14ac:dyDescent="0.25">
      <c r="A940" s="5">
        <f>(940-2)/100</f>
        <v>9.3800000000000008</v>
      </c>
      <c r="B940" s="5">
        <f>Dashboard!$C$10*EXP(-Dashboard!$C$12*A940)</f>
        <v>7.5031082389420169E-3</v>
      </c>
      <c r="C940" s="5">
        <f>Dashboard!$C$17*A940</f>
        <v>7504.0000000000009</v>
      </c>
      <c r="D940" s="5">
        <f>Dashboard!$C$15*(1-EXP(-Dashboard!$C$16*A940))</f>
        <v>0.79265065107500432</v>
      </c>
      <c r="E940" s="5">
        <f>1/(1+EXP(MIN(700,MAX(-700,(C940-Dashboard!$C$18)/Dashboard!$C$19))))</f>
        <v>1.0375926537910344E-4</v>
      </c>
      <c r="F940" s="5">
        <f t="shared" si="67"/>
        <v>8.22448492578105E-5</v>
      </c>
      <c r="G940" s="8">
        <f>Dashboard!$C$9*B940*Dashboard!$C$11*(1-F940)</f>
        <v>15004.982293871879</v>
      </c>
      <c r="H940" s="8">
        <f>Dashboard!$C$20*A940^2</f>
        <v>703875.20000000007</v>
      </c>
      <c r="I940" s="8">
        <f t="shared" si="68"/>
        <v>718880.182293872</v>
      </c>
      <c r="J940" s="8">
        <f>Dashboard!$C$13*A940</f>
        <v>187600.00000000003</v>
      </c>
      <c r="K940" s="8">
        <f>Dashboard!$C$14*A940</f>
        <v>281400</v>
      </c>
      <c r="L940" s="8">
        <f>Dashboard!$C$21-K940</f>
        <v>1218600</v>
      </c>
      <c r="M940" s="8">
        <f t="shared" si="69"/>
        <v>312119.817706128</v>
      </c>
      <c r="N940" s="8">
        <f t="shared" si="70"/>
        <v>469000</v>
      </c>
      <c r="O940" s="8">
        <f>Dashboard!$C$15*(Dashboard!$C$16*EXP(-Dashboard!$C$16*A940)*E940-(1-EXP(-Dashboard!$C$16*A940))*Dashboard!$C$17/Dashboard!$C$19*E940*(1-E940))</f>
        <v>-1.0926713926749093E-4</v>
      </c>
      <c r="P940" s="8">
        <f>Dashboard!$C$9*B940*Dashboard!$C$11*(-Dashboard!$C$12*(1-F940)-O940)+2*Dashboard!$C$20*A940</f>
        <v>144829.89588349062</v>
      </c>
      <c r="Q940" s="8">
        <f>-P940-Dashboard!$C$13-Dashboard!$C$14</f>
        <v>-194829.89588349062</v>
      </c>
    </row>
    <row r="941" spans="1:17" x14ac:dyDescent="0.25">
      <c r="A941" s="5">
        <f>(941-2)/100</f>
        <v>9.39</v>
      </c>
      <c r="B941" s="5">
        <f>Dashboard!$C$10*EXP(-Dashboard!$C$12*A941)</f>
        <v>7.4768932630746012E-3</v>
      </c>
      <c r="C941" s="5">
        <f>Dashboard!$C$17*A941</f>
        <v>7512</v>
      </c>
      <c r="D941" s="5">
        <f>Dashboard!$C$15*(1-EXP(-Dashboard!$C$16*A941))</f>
        <v>0.79268730610568794</v>
      </c>
      <c r="E941" s="5">
        <f>1/(1+EXP(MIN(700,MAX(-700,(C941-Dashboard!$C$18)/Dashboard!$C$19))))</f>
        <v>1.0238513140344691E-4</v>
      </c>
      <c r="F941" s="5">
        <f t="shared" si="67"/>
        <v>8.1159393997475203E-5</v>
      </c>
      <c r="G941" s="8">
        <f>Dashboard!$C$9*B941*Dashboard!$C$11*(1-F941)</f>
        <v>14952.57288589677</v>
      </c>
      <c r="H941" s="8">
        <f>Dashboard!$C$20*A941^2</f>
        <v>705376.80000000016</v>
      </c>
      <c r="I941" s="8">
        <f t="shared" si="68"/>
        <v>720329.37288589694</v>
      </c>
      <c r="J941" s="8">
        <f>Dashboard!$C$13*A941</f>
        <v>187800</v>
      </c>
      <c r="K941" s="8">
        <f>Dashboard!$C$14*A941</f>
        <v>281700</v>
      </c>
      <c r="L941" s="8">
        <f>Dashboard!$C$21-K941</f>
        <v>1218300</v>
      </c>
      <c r="M941" s="8">
        <f t="shared" si="69"/>
        <v>310170.62711410306</v>
      </c>
      <c r="N941" s="8">
        <f t="shared" si="70"/>
        <v>469500</v>
      </c>
      <c r="O941" s="8">
        <f>Dashboard!$C$15*(Dashboard!$C$16*EXP(-Dashboard!$C$16*A941)*E941-(1-EXP(-Dashboard!$C$16*A941))*Dashboard!$C$17/Dashboard!$C$19*E941*(1-E941))</f>
        <v>-1.0782709041370035E-4</v>
      </c>
      <c r="P941" s="8">
        <f>Dashboard!$C$9*B941*Dashboard!$C$11*(-Dashboard!$C$12*(1-F941)-O941)+2*Dashboard!$C$20*A941</f>
        <v>145008.21191322792</v>
      </c>
      <c r="Q941" s="8">
        <f>-P941-Dashboard!$C$13-Dashboard!$C$14</f>
        <v>-195008.21191322792</v>
      </c>
    </row>
    <row r="942" spans="1:17" x14ac:dyDescent="0.25">
      <c r="A942" s="5">
        <f>(942-2)/100</f>
        <v>9.4</v>
      </c>
      <c r="B942" s="5">
        <f>Dashboard!$C$10*EXP(-Dashboard!$C$12*A942)</f>
        <v>7.4507698792431621E-3</v>
      </c>
      <c r="C942" s="5">
        <f>Dashboard!$C$17*A942</f>
        <v>7520</v>
      </c>
      <c r="D942" s="5">
        <f>Dashboard!$C$15*(1-EXP(-Dashboard!$C$16*A942))</f>
        <v>0.79272377831864338</v>
      </c>
      <c r="E942" s="5">
        <f>1/(1+EXP(MIN(700,MAX(-700,(C942-Dashboard!$C$18)/Dashboard!$C$19))))</f>
        <v>1.0102919390777289E-4</v>
      </c>
      <c r="F942" s="5">
        <f t="shared" si="67"/>
        <v>8.0088244315056599E-5</v>
      </c>
      <c r="G942" s="8">
        <f>Dashboard!$C$9*B942*Dashboard!$C$11*(1-F942)</f>
        <v>14900.346320329476</v>
      </c>
      <c r="H942" s="8">
        <f>Dashboard!$C$20*A942^2</f>
        <v>706880.00000000012</v>
      </c>
      <c r="I942" s="8">
        <f t="shared" si="68"/>
        <v>721780.34632032958</v>
      </c>
      <c r="J942" s="8">
        <f>Dashboard!$C$13*A942</f>
        <v>188000</v>
      </c>
      <c r="K942" s="8">
        <f>Dashboard!$C$14*A942</f>
        <v>282000</v>
      </c>
      <c r="L942" s="8">
        <f>Dashboard!$C$21-K942</f>
        <v>1218000</v>
      </c>
      <c r="M942" s="8">
        <f t="shared" si="69"/>
        <v>308219.65367967042</v>
      </c>
      <c r="N942" s="8">
        <f t="shared" si="70"/>
        <v>470000</v>
      </c>
      <c r="O942" s="8">
        <f>Dashboard!$C$15*(Dashboard!$C$16*EXP(-Dashboard!$C$16*A942)*E942-(1-EXP(-Dashboard!$C$16*A942))*Dashboard!$C$17/Dashboard!$C$19*E942*(1-E942))</f>
        <v>-1.0640598201347508E-4</v>
      </c>
      <c r="P942" s="8">
        <f>Dashboard!$C$9*B942*Dashboard!$C$11*(-Dashboard!$C$12*(1-F942)-O942)+2*Dashboard!$C$20*A942</f>
        <v>145186.4644008562</v>
      </c>
      <c r="Q942" s="8">
        <f>-P942-Dashboard!$C$13-Dashboard!$C$14</f>
        <v>-195186.4644008562</v>
      </c>
    </row>
    <row r="943" spans="1:17" x14ac:dyDescent="0.25">
      <c r="A943" s="5">
        <f>(943-2)/100</f>
        <v>9.41</v>
      </c>
      <c r="B943" s="5">
        <f>Dashboard!$C$10*EXP(-Dashboard!$C$12*A943)</f>
        <v>7.4247377674359176E-3</v>
      </c>
      <c r="C943" s="5">
        <f>Dashboard!$C$17*A943</f>
        <v>7528</v>
      </c>
      <c r="D943" s="5">
        <f>Dashboard!$C$15*(1-EXP(-Dashboard!$C$16*A943))</f>
        <v>0.79276006862567783</v>
      </c>
      <c r="E943" s="5">
        <f>1/(1+EXP(MIN(700,MAX(-700,(C943-Dashboard!$C$18)/Dashboard!$C$19))))</f>
        <v>9.9691211980053592E-5</v>
      </c>
      <c r="F943" s="5">
        <f t="shared" si="67"/>
        <v>7.9031212050684286E-5</v>
      </c>
      <c r="G943" s="8">
        <f>Dashboard!$C$9*B943*Dashboard!$C$11*(1-F943)</f>
        <v>14848.301962821999</v>
      </c>
      <c r="H943" s="8">
        <f>Dashboard!$C$20*A943^2</f>
        <v>708384.8</v>
      </c>
      <c r="I943" s="8">
        <f t="shared" si="68"/>
        <v>723233.10196282202</v>
      </c>
      <c r="J943" s="8">
        <f>Dashboard!$C$13*A943</f>
        <v>188200</v>
      </c>
      <c r="K943" s="8">
        <f>Dashboard!$C$14*A943</f>
        <v>282300</v>
      </c>
      <c r="L943" s="8">
        <f>Dashboard!$C$21-K943</f>
        <v>1217700</v>
      </c>
      <c r="M943" s="8">
        <f t="shared" si="69"/>
        <v>306266.89803717798</v>
      </c>
      <c r="N943" s="8">
        <f t="shared" si="70"/>
        <v>470500</v>
      </c>
      <c r="O943" s="8">
        <f>Dashboard!$C$15*(Dashboard!$C$16*EXP(-Dashboard!$C$16*A943)*E943-(1-EXP(-Dashboard!$C$16*A943))*Dashboard!$C$17/Dashboard!$C$19*E943*(1-E943))</f>
        <v>-1.0500356567781497E-4</v>
      </c>
      <c r="P943" s="8">
        <f>Dashboard!$C$9*B943*Dashboard!$C$11*(-Dashboard!$C$12*(1-F943)-O943)+2*Dashboard!$C$20*A943</f>
        <v>145364.65356089192</v>
      </c>
      <c r="Q943" s="8">
        <f>-P943-Dashboard!$C$13-Dashboard!$C$14</f>
        <v>-195364.65356089192</v>
      </c>
    </row>
    <row r="944" spans="1:17" x14ac:dyDescent="0.25">
      <c r="A944" s="5">
        <f>(944-2)/100</f>
        <v>9.42</v>
      </c>
      <c r="B944" s="5">
        <f>Dashboard!$C$10*EXP(-Dashboard!$C$12*A944)</f>
        <v>7.3987966087591707E-3</v>
      </c>
      <c r="C944" s="5">
        <f>Dashboard!$C$17*A944</f>
        <v>7536</v>
      </c>
      <c r="D944" s="5">
        <f>Dashboard!$C$15*(1-EXP(-Dashboard!$C$16*A944))</f>
        <v>0.79279617793405077</v>
      </c>
      <c r="E944" s="5">
        <f>1/(1+EXP(MIN(700,MAX(-700,(C944-Dashboard!$C$18)/Dashboard!$C$19))))</f>
        <v>9.837094789653982E-5</v>
      </c>
      <c r="F944" s="5">
        <f t="shared" si="67"/>
        <v>7.7988111512126423E-5</v>
      </c>
      <c r="G944" s="8">
        <f>Dashboard!$C$9*B944*Dashboard!$C$11*(1-F944)</f>
        <v>14796.439181168382</v>
      </c>
      <c r="H944" s="8">
        <f>Dashboard!$C$20*A944^2</f>
        <v>709891.20000000007</v>
      </c>
      <c r="I944" s="8">
        <f t="shared" si="68"/>
        <v>724687.6391811684</v>
      </c>
      <c r="J944" s="8">
        <f>Dashboard!$C$13*A944</f>
        <v>188400</v>
      </c>
      <c r="K944" s="8">
        <f>Dashboard!$C$14*A944</f>
        <v>282600</v>
      </c>
      <c r="L944" s="8">
        <f>Dashboard!$C$21-K944</f>
        <v>1217400</v>
      </c>
      <c r="M944" s="8">
        <f t="shared" si="69"/>
        <v>304312.3608188316</v>
      </c>
      <c r="N944" s="8">
        <f t="shared" si="70"/>
        <v>471000</v>
      </c>
      <c r="O944" s="8">
        <f>Dashboard!$C$15*(Dashboard!$C$16*EXP(-Dashboard!$C$16*A944)*E944-(1-EXP(-Dashboard!$C$16*A944))*Dashboard!$C$17/Dashboard!$C$19*E944*(1-E944))</f>
        <v>-1.0361959626101036E-4</v>
      </c>
      <c r="P944" s="8">
        <f>Dashboard!$C$9*B944*Dashboard!$C$11*(-Dashboard!$C$12*(1-F944)-O944)+2*Dashboard!$C$20*A944</f>
        <v>145542.77960722591</v>
      </c>
      <c r="Q944" s="8">
        <f>-P944-Dashboard!$C$13-Dashboard!$C$14</f>
        <v>-195542.77960722591</v>
      </c>
    </row>
    <row r="945" spans="1:17" x14ac:dyDescent="0.25">
      <c r="A945" s="5">
        <f>(945-2)/100</f>
        <v>9.43</v>
      </c>
      <c r="B945" s="5">
        <f>Dashboard!$C$10*EXP(-Dashboard!$C$12*A945)</f>
        <v>7.3729460854334052E-3</v>
      </c>
      <c r="C945" s="5">
        <f>Dashboard!$C$17*A945</f>
        <v>7544</v>
      </c>
      <c r="D945" s="5">
        <f>Dashboard!$C$15*(1-EXP(-Dashboard!$C$16*A945))</f>
        <v>0.79283210714649688</v>
      </c>
      <c r="E945" s="5">
        <f>1/(1+EXP(MIN(700,MAX(-700,(C945-Dashboard!$C$18)/Dashboard!$C$19))))</f>
        <v>9.7068167079599626E-5</v>
      </c>
      <c r="F945" s="5">
        <f t="shared" si="67"/>
        <v>7.6958759442567187E-5</v>
      </c>
      <c r="G945" s="8">
        <f>Dashboard!$C$9*B945*Dashboard!$C$11*(1-F945)</f>
        <v>14744.757345298465</v>
      </c>
      <c r="H945" s="8">
        <f>Dashboard!$C$20*A945^2</f>
        <v>711399.2</v>
      </c>
      <c r="I945" s="8">
        <f t="shared" si="68"/>
        <v>726143.95734529838</v>
      </c>
      <c r="J945" s="8">
        <f>Dashboard!$C$13*A945</f>
        <v>188600</v>
      </c>
      <c r="K945" s="8">
        <f>Dashboard!$C$14*A945</f>
        <v>282900</v>
      </c>
      <c r="L945" s="8">
        <f>Dashboard!$C$21-K945</f>
        <v>1217100</v>
      </c>
      <c r="M945" s="8">
        <f t="shared" si="69"/>
        <v>302356.04265470162</v>
      </c>
      <c r="N945" s="8">
        <f t="shared" si="70"/>
        <v>471500</v>
      </c>
      <c r="O945" s="8">
        <f>Dashboard!$C$15*(Dashboard!$C$16*EXP(-Dashboard!$C$16*A945)*E945-(1-EXP(-Dashboard!$C$16*A945))*Dashboard!$C$17/Dashboard!$C$19*E945*(1-E945))</f>
        <v>-1.0225383181857357E-4</v>
      </c>
      <c r="P945" s="8">
        <f>Dashboard!$C$9*B945*Dashboard!$C$11*(-Dashboard!$C$12*(1-F945)-O945)+2*Dashboard!$C$20*A945</f>
        <v>145720.84275312358</v>
      </c>
      <c r="Q945" s="8">
        <f>-P945-Dashboard!$C$13-Dashboard!$C$14</f>
        <v>-195720.84275312358</v>
      </c>
    </row>
    <row r="946" spans="1:17" x14ac:dyDescent="0.25">
      <c r="A946" s="5">
        <f>(946-2)/100</f>
        <v>9.44</v>
      </c>
      <c r="B946" s="5">
        <f>Dashboard!$C$10*EXP(-Dashboard!$C$12*A946)</f>
        <v>7.3471858807893841E-3</v>
      </c>
      <c r="C946" s="5">
        <f>Dashboard!$C$17*A946</f>
        <v>7552</v>
      </c>
      <c r="D946" s="5">
        <f>Dashboard!$C$15*(1-EXP(-Dashboard!$C$16*A946))</f>
        <v>0.79286785716124841</v>
      </c>
      <c r="E946" s="5">
        <f>1/(1+EXP(MIN(700,MAX(-700,(C946-Dashboard!$C$18)/Dashboard!$C$19))))</f>
        <v>9.5782638056114358E-5</v>
      </c>
      <c r="F946" s="5">
        <f t="shared" si="67"/>
        <v>7.5942974988802841E-5</v>
      </c>
      <c r="G946" s="8">
        <f>Dashboard!$C$9*B946*Dashboard!$C$11*(1-F946)</f>
        <v>14693.255827271601</v>
      </c>
      <c r="H946" s="8">
        <f>Dashboard!$C$20*A946^2</f>
        <v>712908.79999999993</v>
      </c>
      <c r="I946" s="8">
        <f t="shared" si="68"/>
        <v>727602.05582727154</v>
      </c>
      <c r="J946" s="8">
        <f>Dashboard!$C$13*A946</f>
        <v>188800</v>
      </c>
      <c r="K946" s="8">
        <f>Dashboard!$C$14*A946</f>
        <v>283200</v>
      </c>
      <c r="L946" s="8">
        <f>Dashboard!$C$21-K946</f>
        <v>1216800</v>
      </c>
      <c r="M946" s="8">
        <f t="shared" si="69"/>
        <v>300397.94417272846</v>
      </c>
      <c r="N946" s="8">
        <f t="shared" si="70"/>
        <v>472000</v>
      </c>
      <c r="O946" s="8">
        <f>Dashboard!$C$15*(Dashboard!$C$16*EXP(-Dashboard!$C$16*A946)*E946-(1-EXP(-Dashboard!$C$16*A946))*Dashboard!$C$17/Dashboard!$C$19*E946*(1-E946))</f>
        <v>-1.0090603356571111E-4</v>
      </c>
      <c r="P946" s="8">
        <f>Dashboard!$C$9*B946*Dashboard!$C$11*(-Dashboard!$C$12*(1-F946)-O946)+2*Dashboard!$C$20*A946</f>
        <v>145898.84321122515</v>
      </c>
      <c r="Q946" s="8">
        <f>-P946-Dashboard!$C$13-Dashboard!$C$14</f>
        <v>-195898.84321122515</v>
      </c>
    </row>
    <row r="947" spans="1:17" x14ac:dyDescent="0.25">
      <c r="A947" s="5">
        <f>(947-2)/100</f>
        <v>9.4499999999999993</v>
      </c>
      <c r="B947" s="5">
        <f>Dashboard!$C$10*EXP(-Dashboard!$C$12*A947)</f>
        <v>7.3215156792642835E-3</v>
      </c>
      <c r="C947" s="5">
        <f>Dashboard!$C$17*A947</f>
        <v>7559.9999999999991</v>
      </c>
      <c r="D947" s="5">
        <f>Dashboard!$C$15*(1-EXP(-Dashboard!$C$16*A947))</f>
        <v>0.79290342887205745</v>
      </c>
      <c r="E947" s="5">
        <f>1/(1+EXP(MIN(700,MAX(-700,(C947-Dashboard!$C$18)/Dashboard!$C$19))))</f>
        <v>9.4514132416423851E-5</v>
      </c>
      <c r="F947" s="5">
        <f t="shared" si="67"/>
        <v>7.4940579669850149E-5</v>
      </c>
      <c r="G947" s="8">
        <f>Dashboard!$C$9*B947*Dashboard!$C$11*(1-F947)</f>
        <v>14641.934001270434</v>
      </c>
      <c r="H947" s="8">
        <f>Dashboard!$C$20*A947^2</f>
        <v>714419.99999999988</v>
      </c>
      <c r="I947" s="8">
        <f t="shared" si="68"/>
        <v>729061.93400127033</v>
      </c>
      <c r="J947" s="8">
        <f>Dashboard!$C$13*A947</f>
        <v>189000</v>
      </c>
      <c r="K947" s="8">
        <f>Dashboard!$C$14*A947</f>
        <v>283500</v>
      </c>
      <c r="L947" s="8">
        <f>Dashboard!$C$21-K947</f>
        <v>1216500</v>
      </c>
      <c r="M947" s="8">
        <f t="shared" si="69"/>
        <v>298438.06599872967</v>
      </c>
      <c r="N947" s="8">
        <f t="shared" si="70"/>
        <v>472500</v>
      </c>
      <c r="O947" s="8">
        <f>Dashboard!$C$15*(Dashboard!$C$16*EXP(-Dashboard!$C$16*A947)*E947-(1-EXP(-Dashboard!$C$16*A947))*Dashboard!$C$17/Dashboard!$C$19*E947*(1-E947))</f>
        <v>-9.9575965836328688E-5</v>
      </c>
      <c r="P947" s="8">
        <f>Dashboard!$C$9*B947*Dashboard!$C$11*(-Dashboard!$C$12*(1-F947)-O947)+2*Dashboard!$C$20*A947</f>
        <v>146076.78119354564</v>
      </c>
      <c r="Q947" s="8">
        <f>-P947-Dashboard!$C$13-Dashboard!$C$14</f>
        <v>-196076.78119354564</v>
      </c>
    </row>
    <row r="948" spans="1:17" x14ac:dyDescent="0.25">
      <c r="A948" s="5">
        <f>(948-2)/100</f>
        <v>9.4600000000000009</v>
      </c>
      <c r="B948" s="5">
        <f>Dashboard!$C$10*EXP(-Dashboard!$C$12*A948)</f>
        <v>7.2959351663978078E-3</v>
      </c>
      <c r="C948" s="5">
        <f>Dashboard!$C$17*A948</f>
        <v>7568.0000000000009</v>
      </c>
      <c r="D948" s="5">
        <f>Dashboard!$C$15*(1-EXP(-Dashboard!$C$16*A948))</f>
        <v>0.79293882316821873</v>
      </c>
      <c r="E948" s="5">
        <f>1/(1+EXP(MIN(700,MAX(-700,(C948-Dashboard!$C$18)/Dashboard!$C$19))))</f>
        <v>9.3262424773812928E-5</v>
      </c>
      <c r="F948" s="5">
        <f t="shared" si="67"/>
        <v>7.3951397345961754E-5</v>
      </c>
      <c r="G948" s="8">
        <f>Dashboard!$C$9*B948*Dashboard!$C$11*(1-F948)</f>
        <v>14590.791243594611</v>
      </c>
      <c r="H948" s="8">
        <f>Dashboard!$C$20*A948^2</f>
        <v>715932.80000000016</v>
      </c>
      <c r="I948" s="8">
        <f t="shared" si="68"/>
        <v>730523.59124359477</v>
      </c>
      <c r="J948" s="8">
        <f>Dashboard!$C$13*A948</f>
        <v>189200.00000000003</v>
      </c>
      <c r="K948" s="8">
        <f>Dashboard!$C$14*A948</f>
        <v>283800</v>
      </c>
      <c r="L948" s="8">
        <f>Dashboard!$C$21-K948</f>
        <v>1216200</v>
      </c>
      <c r="M948" s="8">
        <f t="shared" si="69"/>
        <v>296476.40875640523</v>
      </c>
      <c r="N948" s="8">
        <f t="shared" si="70"/>
        <v>473000</v>
      </c>
      <c r="O948" s="8">
        <f>Dashboard!$C$15*(Dashboard!$C$16*EXP(-Dashboard!$C$16*A948)*E948-(1-EXP(-Dashboard!$C$16*A948))*Dashboard!$C$17/Dashboard!$C$19*E948*(1-E948))</f>
        <v>-9.8263396042562153E-5</v>
      </c>
      <c r="P948" s="8">
        <f>Dashboard!$C$9*B948*Dashboard!$C$11*(-Dashboard!$C$12*(1-F948)-O948)+2*Dashboard!$C$20*A948</f>
        <v>146254.65691147541</v>
      </c>
      <c r="Q948" s="8">
        <f>-P948-Dashboard!$C$13-Dashboard!$C$14</f>
        <v>-196254.65691147541</v>
      </c>
    </row>
    <row r="949" spans="1:17" x14ac:dyDescent="0.25">
      <c r="A949" s="5">
        <f>(949-2)/100</f>
        <v>9.4700000000000006</v>
      </c>
      <c r="B949" s="5">
        <f>Dashboard!$C$10*EXP(-Dashboard!$C$12*A949)</f>
        <v>7.2704440288283564E-3</v>
      </c>
      <c r="C949" s="5">
        <f>Dashboard!$C$17*A949</f>
        <v>7576.0000000000009</v>
      </c>
      <c r="D949" s="5">
        <f>Dashboard!$C$15*(1-EXP(-Dashboard!$C$16*A949))</f>
        <v>0.79297404093459134</v>
      </c>
      <c r="E949" s="5">
        <f>1/(1+EXP(MIN(700,MAX(-700,(C949-Dashboard!$C$18)/Dashboard!$C$19))))</f>
        <v>9.2027292724535128E-5</v>
      </c>
      <c r="F949" s="5">
        <f t="shared" si="67"/>
        <v>7.2975254188045136E-5</v>
      </c>
      <c r="G949" s="8">
        <f>Dashboard!$C$9*B949*Dashboard!$C$11*(1-F949)</f>
        <v>14539.826932654585</v>
      </c>
      <c r="H949" s="8">
        <f>Dashboard!$C$20*A949^2</f>
        <v>717447.20000000007</v>
      </c>
      <c r="I949" s="8">
        <f t="shared" si="68"/>
        <v>731987.02693265467</v>
      </c>
      <c r="J949" s="8">
        <f>Dashboard!$C$13*A949</f>
        <v>189400</v>
      </c>
      <c r="K949" s="8">
        <f>Dashboard!$C$14*A949</f>
        <v>284100</v>
      </c>
      <c r="L949" s="8">
        <f>Dashboard!$C$21-K949</f>
        <v>1215900</v>
      </c>
      <c r="M949" s="8">
        <f t="shared" si="69"/>
        <v>294512.97306734533</v>
      </c>
      <c r="N949" s="8">
        <f t="shared" si="70"/>
        <v>473500</v>
      </c>
      <c r="O949" s="8">
        <f>Dashboard!$C$15*(Dashboard!$C$16*EXP(-Dashboard!$C$16*A949)*E949-(1-EXP(-Dashboard!$C$16*A949))*Dashboard!$C$17/Dashboard!$C$19*E949*(1-E949))</f>
        <v>-9.696809463483027E-5</v>
      </c>
      <c r="P949" s="8">
        <f>Dashboard!$C$9*B949*Dashboard!$C$11*(-Dashboard!$C$12*(1-F949)-O949)+2*Dashboard!$C$20*A949</f>
        <v>146432.47057578014</v>
      </c>
      <c r="Q949" s="8">
        <f>-P949-Dashboard!$C$13-Dashboard!$C$14</f>
        <v>-196432.47057578014</v>
      </c>
    </row>
    <row r="950" spans="1:17" x14ac:dyDescent="0.25">
      <c r="A950" s="5">
        <f>(950-2)/100</f>
        <v>9.48</v>
      </c>
      <c r="B950" s="5">
        <f>Dashboard!$C$10*EXP(-Dashboard!$C$12*A950)</f>
        <v>7.2450419542891822E-3</v>
      </c>
      <c r="C950" s="5">
        <f>Dashboard!$C$17*A950</f>
        <v>7584</v>
      </c>
      <c r="D950" s="5">
        <f>Dashboard!$C$15*(1-EXP(-Dashboard!$C$16*A950))</f>
        <v>0.79300908305162143</v>
      </c>
      <c r="E950" s="5">
        <f>1/(1+EXP(MIN(700,MAX(-700,(C950-Dashboard!$C$18)/Dashboard!$C$19))))</f>
        <v>9.0808516808361407E-5</v>
      </c>
      <c r="F950" s="5">
        <f t="shared" si="67"/>
        <v>7.2011978647476438E-5</v>
      </c>
      <c r="G950" s="8">
        <f>Dashboard!$C$9*B950*Dashboard!$C$11*(1-F950)</f>
        <v>14489.040448965337</v>
      </c>
      <c r="H950" s="8">
        <f>Dashboard!$C$20*A950^2</f>
        <v>718963.20000000007</v>
      </c>
      <c r="I950" s="8">
        <f t="shared" si="68"/>
        <v>733452.24044896546</v>
      </c>
      <c r="J950" s="8">
        <f>Dashboard!$C$13*A950</f>
        <v>189600</v>
      </c>
      <c r="K950" s="8">
        <f>Dashboard!$C$14*A950</f>
        <v>284400</v>
      </c>
      <c r="L950" s="8">
        <f>Dashboard!$C$21-K950</f>
        <v>1215600</v>
      </c>
      <c r="M950" s="8">
        <f t="shared" si="69"/>
        <v>292547.75955103454</v>
      </c>
      <c r="N950" s="8">
        <f t="shared" si="70"/>
        <v>474000</v>
      </c>
      <c r="O950" s="8">
        <f>Dashboard!$C$15*(Dashboard!$C$16*EXP(-Dashboard!$C$16*A950)*E950-(1-EXP(-Dashboard!$C$16*A950))*Dashboard!$C$17/Dashboard!$C$19*E950*(1-E950))</f>
        <v>-9.5689835062397674E-5</v>
      </c>
      <c r="P950" s="8">
        <f>Dashboard!$C$9*B950*Dashboard!$C$11*(-Dashboard!$C$12*(1-F950)-O950)+2*Dashboard!$C$20*A950</f>
        <v>146610.2223966014</v>
      </c>
      <c r="Q950" s="8">
        <f>-P950-Dashboard!$C$13-Dashboard!$C$14</f>
        <v>-196610.2223966014</v>
      </c>
    </row>
    <row r="951" spans="1:17" x14ac:dyDescent="0.25">
      <c r="A951" s="5">
        <f>(951-2)/100</f>
        <v>9.49</v>
      </c>
      <c r="B951" s="5">
        <f>Dashboard!$C$10*EXP(-Dashboard!$C$12*A951)</f>
        <v>7.2197286316045472E-3</v>
      </c>
      <c r="C951" s="5">
        <f>Dashboard!$C$17*A951</f>
        <v>7592</v>
      </c>
      <c r="D951" s="5">
        <f>Dashboard!$C$15*(1-EXP(-Dashboard!$C$16*A951))</f>
        <v>0.79304395039536368</v>
      </c>
      <c r="E951" s="5">
        <f>1/(1+EXP(MIN(700,MAX(-700,(C951-Dashboard!$C$18)/Dashboard!$C$19))))</f>
        <v>8.9605880469651188E-5</v>
      </c>
      <c r="F951" s="5">
        <f t="shared" si="67"/>
        <v>7.1061401426306939E-5</v>
      </c>
      <c r="G951" s="8">
        <f>Dashboard!$C$9*B951*Dashboard!$C$11*(1-F951)</f>
        <v>14438.431175140135</v>
      </c>
      <c r="H951" s="8">
        <f>Dashboard!$C$20*A951^2</f>
        <v>720480.8</v>
      </c>
      <c r="I951" s="8">
        <f t="shared" si="68"/>
        <v>734919.23117514013</v>
      </c>
      <c r="J951" s="8">
        <f>Dashboard!$C$13*A951</f>
        <v>189800</v>
      </c>
      <c r="K951" s="8">
        <f>Dashboard!$C$14*A951</f>
        <v>284700</v>
      </c>
      <c r="L951" s="8">
        <f>Dashboard!$C$21-K951</f>
        <v>1215300</v>
      </c>
      <c r="M951" s="8">
        <f t="shared" si="69"/>
        <v>290580.76882485987</v>
      </c>
      <c r="N951" s="8">
        <f t="shared" si="70"/>
        <v>474500</v>
      </c>
      <c r="O951" s="8">
        <f>Dashboard!$C$15*(Dashboard!$C$16*EXP(-Dashboard!$C$16*A951)*E951-(1-EXP(-Dashboard!$C$16*A951))*Dashboard!$C$17/Dashboard!$C$19*E951*(1-E951))</f>
        <v>-9.4428393734445964E-5</v>
      </c>
      <c r="P951" s="8">
        <f>Dashboard!$C$9*B951*Dashboard!$C$11*(-Dashboard!$C$12*(1-F951)-O951)+2*Dashboard!$C$20*A951</f>
        <v>146787.91258345672</v>
      </c>
      <c r="Q951" s="8">
        <f>-P951-Dashboard!$C$13-Dashboard!$C$14</f>
        <v>-196787.91258345672</v>
      </c>
    </row>
    <row r="952" spans="1:17" x14ac:dyDescent="0.25">
      <c r="A952" s="5">
        <f>(952-2)/100</f>
        <v>9.5</v>
      </c>
      <c r="B952" s="5">
        <f>Dashboard!$C$10*EXP(-Dashboard!$C$12*A952)</f>
        <v>7.1945037506859341E-3</v>
      </c>
      <c r="C952" s="5">
        <f>Dashboard!$C$17*A952</f>
        <v>7600</v>
      </c>
      <c r="D952" s="5">
        <f>Dashboard!$C$15*(1-EXP(-Dashboard!$C$16*A952))</f>
        <v>0.79307864383750359</v>
      </c>
      <c r="E952" s="5">
        <f>1/(1+EXP(MIN(700,MAX(-700,(C952-Dashboard!$C$18)/Dashboard!$C$19))))</f>
        <v>8.841917001893843E-5</v>
      </c>
      <c r="F952" s="5">
        <f t="shared" si="67"/>
        <v>7.0123355447857352E-5</v>
      </c>
      <c r="G952" s="8">
        <f>Dashboard!$C$9*B952*Dashboard!$C$11*(1-F952)</f>
        <v>14387.998495884307</v>
      </c>
      <c r="H952" s="8">
        <f>Dashboard!$C$20*A952^2</f>
        <v>722000</v>
      </c>
      <c r="I952" s="8">
        <f t="shared" si="68"/>
        <v>736387.99849588436</v>
      </c>
      <c r="J952" s="8">
        <f>Dashboard!$C$13*A952</f>
        <v>190000</v>
      </c>
      <c r="K952" s="8">
        <f>Dashboard!$C$14*A952</f>
        <v>285000</v>
      </c>
      <c r="L952" s="8">
        <f>Dashboard!$C$21-K952</f>
        <v>1215000</v>
      </c>
      <c r="M952" s="8">
        <f t="shared" si="69"/>
        <v>288612.00150411564</v>
      </c>
      <c r="N952" s="8">
        <f t="shared" si="70"/>
        <v>475000</v>
      </c>
      <c r="O952" s="8">
        <f>Dashboard!$C$15*(Dashboard!$C$16*EXP(-Dashboard!$C$16*A952)*E952-(1-EXP(-Dashboard!$C$16*A952))*Dashboard!$C$17/Dashboard!$C$19*E952*(1-E952))</f>
        <v>-9.3183549981646222E-5</v>
      </c>
      <c r="P952" s="8">
        <f>Dashboard!$C$9*B952*Dashboard!$C$11*(-Dashboard!$C$12*(1-F952)-O952)+2*Dashboard!$C$20*A952</f>
        <v>146965.54134524017</v>
      </c>
      <c r="Q952" s="8">
        <f>-P952-Dashboard!$C$13-Dashboard!$C$14</f>
        <v>-196965.54134524017</v>
      </c>
    </row>
    <row r="953" spans="1:17" x14ac:dyDescent="0.25">
      <c r="A953" s="5">
        <f>(953-2)/100</f>
        <v>9.51</v>
      </c>
      <c r="B953" s="5">
        <f>Dashboard!$C$10*EXP(-Dashboard!$C$12*A953)</f>
        <v>7.1693670025282348E-3</v>
      </c>
      <c r="C953" s="5">
        <f>Dashboard!$C$17*A953</f>
        <v>7608</v>
      </c>
      <c r="D953" s="5">
        <f>Dashboard!$C$15*(1-EXP(-Dashboard!$C$16*A953))</f>
        <v>0.79311316424537881</v>
      </c>
      <c r="E953" s="5">
        <f>1/(1+EXP(MIN(700,MAX(-700,(C953-Dashboard!$C$18)/Dashboard!$C$19))))</f>
        <v>8.724817459502354E-5</v>
      </c>
      <c r="F953" s="5">
        <f t="shared" si="67"/>
        <v>6.9197675827692388E-5</v>
      </c>
      <c r="G953" s="8">
        <f>Dashboard!$C$9*B953*Dashboard!$C$11*(1-F953)</f>
        <v>14337.741797989007</v>
      </c>
      <c r="H953" s="8">
        <f>Dashboard!$C$20*A953^2</f>
        <v>723520.8</v>
      </c>
      <c r="I953" s="8">
        <f t="shared" si="68"/>
        <v>737858.54179798905</v>
      </c>
      <c r="J953" s="8">
        <f>Dashboard!$C$13*A953</f>
        <v>190200</v>
      </c>
      <c r="K953" s="8">
        <f>Dashboard!$C$14*A953</f>
        <v>285300</v>
      </c>
      <c r="L953" s="8">
        <f>Dashboard!$C$21-K953</f>
        <v>1214700</v>
      </c>
      <c r="M953" s="8">
        <f t="shared" si="69"/>
        <v>286641.45820201095</v>
      </c>
      <c r="N953" s="8">
        <f t="shared" si="70"/>
        <v>475500</v>
      </c>
      <c r="O953" s="8">
        <f>Dashboard!$C$15*(Dashboard!$C$16*EXP(-Dashboard!$C$16*A953)*E953-(1-EXP(-Dashboard!$C$16*A953))*Dashboard!$C$17/Dashboard!$C$19*E953*(1-E953))</f>
        <v>-9.1955086018223722E-5</v>
      </c>
      <c r="P953" s="8">
        <f>Dashboard!$C$9*B953*Dashboard!$C$11*(-Dashboard!$C$12*(1-F953)-O953)+2*Dashboard!$C$20*A953</f>
        <v>147143.10889022268</v>
      </c>
      <c r="Q953" s="8">
        <f>-P953-Dashboard!$C$13-Dashboard!$C$14</f>
        <v>-197143.10889022268</v>
      </c>
    </row>
    <row r="954" spans="1:17" x14ac:dyDescent="0.25">
      <c r="A954" s="5">
        <f>(954-2)/100</f>
        <v>9.52</v>
      </c>
      <c r="B954" s="5">
        <f>Dashboard!$C$10*EXP(-Dashboard!$C$12*A954)</f>
        <v>7.1443180792059692E-3</v>
      </c>
      <c r="C954" s="5">
        <f>Dashboard!$C$17*A954</f>
        <v>7616</v>
      </c>
      <c r="D954" s="5">
        <f>Dashboard!$C$15*(1-EXP(-Dashboard!$C$16*A954))</f>
        <v>0.79314751248200155</v>
      </c>
      <c r="E954" s="5">
        <f>1/(1+EXP(MIN(700,MAX(-700,(C954-Dashboard!$C$18)/Dashboard!$C$19))))</f>
        <v>8.609268612756602E-5</v>
      </c>
      <c r="F954" s="5">
        <f t="shared" si="67"/>
        <v>6.8284199844972709E-5</v>
      </c>
      <c r="G954" s="8">
        <f>Dashboard!$C$9*B954*Dashboard!$C$11*(1-F954)</f>
        <v>14287.660470324985</v>
      </c>
      <c r="H954" s="8">
        <f>Dashboard!$C$20*A954^2</f>
        <v>725043.19999999995</v>
      </c>
      <c r="I954" s="8">
        <f t="shared" si="68"/>
        <v>739330.86047032499</v>
      </c>
      <c r="J954" s="8">
        <f>Dashboard!$C$13*A954</f>
        <v>190400</v>
      </c>
      <c r="K954" s="8">
        <f>Dashboard!$C$14*A954</f>
        <v>285600</v>
      </c>
      <c r="L954" s="8">
        <f>Dashboard!$C$21-K954</f>
        <v>1214400</v>
      </c>
      <c r="M954" s="8">
        <f t="shared" si="69"/>
        <v>284669.13952967501</v>
      </c>
      <c r="N954" s="8">
        <f t="shared" si="70"/>
        <v>476000</v>
      </c>
      <c r="O954" s="8">
        <f>Dashboard!$C$15*(Dashboard!$C$16*EXP(-Dashboard!$C$16*A954)*E954-(1-EXP(-Dashboard!$C$16*A954))*Dashboard!$C$17/Dashboard!$C$19*E954*(1-E954))</f>
        <v>-9.0742786904510594E-5</v>
      </c>
      <c r="P954" s="8">
        <f>Dashboard!$C$9*B954*Dashboard!$C$11*(-Dashboard!$C$12*(1-F954)-O954)+2*Dashboard!$C$20*A954</f>
        <v>147320.61542605233</v>
      </c>
      <c r="Q954" s="8">
        <f>-P954-Dashboard!$C$13-Dashboard!$C$14</f>
        <v>-197320.61542605233</v>
      </c>
    </row>
    <row r="955" spans="1:17" x14ac:dyDescent="0.25">
      <c r="A955" s="5">
        <f>(955-2)/100</f>
        <v>9.5299999999999994</v>
      </c>
      <c r="B955" s="5">
        <f>Dashboard!$C$10*EXP(-Dashboard!$C$12*A955)</f>
        <v>7.1193566738695178E-3</v>
      </c>
      <c r="C955" s="5">
        <f>Dashboard!$C$17*A955</f>
        <v>7623.9999999999991</v>
      </c>
      <c r="D955" s="5">
        <f>Dashboard!$C$15*(1-EXP(-Dashboard!$C$16*A955))</f>
        <v>0.79318168940607947</v>
      </c>
      <c r="E955" s="5">
        <f>1/(1+EXP(MIN(700,MAX(-700,(C955-Dashboard!$C$18)/Dashboard!$C$19))))</f>
        <v>8.4952499300172641E-5</v>
      </c>
      <c r="F955" s="5">
        <f t="shared" si="67"/>
        <v>6.7382766914179717E-5</v>
      </c>
      <c r="G955" s="8">
        <f>Dashboard!$C$9*B955*Dashboard!$C$11*(1-F955)</f>
        <v>14237.753903836365</v>
      </c>
      <c r="H955" s="8">
        <f>Dashboard!$C$20*A955^2</f>
        <v>726567.2</v>
      </c>
      <c r="I955" s="8">
        <f t="shared" si="68"/>
        <v>740804.95390383631</v>
      </c>
      <c r="J955" s="8">
        <f>Dashboard!$C$13*A955</f>
        <v>190600</v>
      </c>
      <c r="K955" s="8">
        <f>Dashboard!$C$14*A955</f>
        <v>285900</v>
      </c>
      <c r="L955" s="8">
        <f>Dashboard!$C$21-K955</f>
        <v>1214100</v>
      </c>
      <c r="M955" s="8">
        <f t="shared" si="69"/>
        <v>282695.04609616369</v>
      </c>
      <c r="N955" s="8">
        <f t="shared" si="70"/>
        <v>476500</v>
      </c>
      <c r="O955" s="8">
        <f>Dashboard!$C$15*(Dashboard!$C$16*EXP(-Dashboard!$C$16*A955)*E955-(1-EXP(-Dashboard!$C$16*A955))*Dashboard!$C$17/Dashboard!$C$19*E955*(1-E955))</f>
        <v>-8.95464405099816E-5</v>
      </c>
      <c r="P955" s="8">
        <f>Dashboard!$C$9*B955*Dashboard!$C$11*(-Dashboard!$C$12*(1-F955)-O955)+2*Dashboard!$C$20*A955</f>
        <v>147498.06115975502</v>
      </c>
      <c r="Q955" s="8">
        <f>-P955-Dashboard!$C$13-Dashboard!$C$14</f>
        <v>-197498.06115975502</v>
      </c>
    </row>
    <row r="956" spans="1:17" x14ac:dyDescent="0.25">
      <c r="A956" s="5">
        <f>(956-2)/100</f>
        <v>9.5399999999999991</v>
      </c>
      <c r="B956" s="5">
        <f>Dashboard!$C$10*EXP(-Dashboard!$C$12*A956)</f>
        <v>7.0944824807413504E-3</v>
      </c>
      <c r="C956" s="5">
        <f>Dashboard!$C$17*A956</f>
        <v>7631.9999999999991</v>
      </c>
      <c r="D956" s="5">
        <f>Dashboard!$C$15*(1-EXP(-Dashboard!$C$16*A956))</f>
        <v>0.79321569587203744</v>
      </c>
      <c r="E956" s="5">
        <f>1/(1+EXP(MIN(700,MAX(-700,(C956-Dashboard!$C$18)/Dashboard!$C$19))))</f>
        <v>8.3827411513971047E-5</v>
      </c>
      <c r="F956" s="5">
        <f t="shared" si="67"/>
        <v>6.6493218557206189E-5</v>
      </c>
      <c r="G956" s="8">
        <f>Dashboard!$C$9*B956*Dashboard!$C$11*(1-F956)</f>
        <v>14188.021491534415</v>
      </c>
      <c r="H956" s="8">
        <f>Dashboard!$C$20*A956^2</f>
        <v>728092.79999999993</v>
      </c>
      <c r="I956" s="8">
        <f t="shared" si="68"/>
        <v>742280.82149153436</v>
      </c>
      <c r="J956" s="8">
        <f>Dashboard!$C$13*A956</f>
        <v>190799.99999999997</v>
      </c>
      <c r="K956" s="8">
        <f>Dashboard!$C$14*A956</f>
        <v>286200</v>
      </c>
      <c r="L956" s="8">
        <f>Dashboard!$C$21-K956</f>
        <v>1213800</v>
      </c>
      <c r="M956" s="8">
        <f t="shared" si="69"/>
        <v>280719.17850846564</v>
      </c>
      <c r="N956" s="8">
        <f t="shared" si="70"/>
        <v>477000</v>
      </c>
      <c r="O956" s="8">
        <f>Dashboard!$C$15*(Dashboard!$C$16*EXP(-Dashboard!$C$16*A956)*E956-(1-EXP(-Dashboard!$C$16*A956))*Dashboard!$C$17/Dashboard!$C$19*E956*(1-E956))</f>
        <v>-8.8365837476763067E-5</v>
      </c>
      <c r="P956" s="8">
        <f>Dashboard!$C$9*B956*Dashboard!$C$11*(-Dashboard!$C$12*(1-F956)-O956)+2*Dashboard!$C$20*A956</f>
        <v>147675.44629773471</v>
      </c>
      <c r="Q956" s="8">
        <f>-P956-Dashboard!$C$13-Dashboard!$C$14</f>
        <v>-197675.44629773471</v>
      </c>
    </row>
    <row r="957" spans="1:17" x14ac:dyDescent="0.25">
      <c r="A957" s="5">
        <f>(957-2)/100</f>
        <v>9.5500000000000007</v>
      </c>
      <c r="B957" s="5">
        <f>Dashboard!$C$10*EXP(-Dashboard!$C$12*A957)</f>
        <v>7.0696951951122831E-3</v>
      </c>
      <c r="C957" s="5">
        <f>Dashboard!$C$17*A957</f>
        <v>7640.0000000000009</v>
      </c>
      <c r="D957" s="5">
        <f>Dashboard!$C$15*(1-EXP(-Dashboard!$C$16*A957))</f>
        <v>0.79324953273003884</v>
      </c>
      <c r="E957" s="5">
        <f>1/(1+EXP(MIN(700,MAX(-700,(C957-Dashboard!$C$18)/Dashboard!$C$19))))</f>
        <v>8.2717222851666239E-5</v>
      </c>
      <c r="F957" s="5">
        <f t="shared" si="67"/>
        <v>6.5615398375810734E-5</v>
      </c>
      <c r="G957" s="8">
        <f>Dashboard!$C$9*B957*Dashboard!$C$11*(1-F957)</f>
        <v>14138.462628491319</v>
      </c>
      <c r="H957" s="8">
        <f>Dashboard!$C$20*A957^2</f>
        <v>729620.00000000012</v>
      </c>
      <c r="I957" s="8">
        <f t="shared" si="68"/>
        <v>743758.46262849146</v>
      </c>
      <c r="J957" s="8">
        <f>Dashboard!$C$13*A957</f>
        <v>191000</v>
      </c>
      <c r="K957" s="8">
        <f>Dashboard!$C$14*A957</f>
        <v>286500</v>
      </c>
      <c r="L957" s="8">
        <f>Dashboard!$C$21-K957</f>
        <v>1213500</v>
      </c>
      <c r="M957" s="8">
        <f t="shared" si="69"/>
        <v>278741.53737150854</v>
      </c>
      <c r="N957" s="8">
        <f t="shared" si="70"/>
        <v>477500</v>
      </c>
      <c r="O957" s="8">
        <f>Dashboard!$C$15*(Dashboard!$C$16*EXP(-Dashboard!$C$16*A957)*E957-(1-EXP(-Dashboard!$C$16*A957))*Dashboard!$C$17/Dashboard!$C$19*E957*(1-E957))</f>
        <v>-8.7200771183613257E-5</v>
      </c>
      <c r="P957" s="8">
        <f>Dashboard!$C$9*B957*Dashboard!$C$11*(-Dashboard!$C$12*(1-F957)-O957)+2*Dashboard!$C$20*A957</f>
        <v>147852.77104577413</v>
      </c>
      <c r="Q957" s="8">
        <f>-P957-Dashboard!$C$13-Dashboard!$C$14</f>
        <v>-197852.77104577413</v>
      </c>
    </row>
    <row r="958" spans="1:17" x14ac:dyDescent="0.25">
      <c r="A958" s="5">
        <f>(958-2)/100</f>
        <v>9.56</v>
      </c>
      <c r="B958" s="5">
        <f>Dashboard!$C$10*EXP(-Dashboard!$C$12*A958)</f>
        <v>7.0449945133377713E-3</v>
      </c>
      <c r="C958" s="5">
        <f>Dashboard!$C$17*A958</f>
        <v>7648</v>
      </c>
      <c r="D958" s="5">
        <f>Dashboard!$C$15*(1-EXP(-Dashboard!$C$16*A958))</f>
        <v>0.7932832008260069</v>
      </c>
      <c r="E958" s="5">
        <f>1/(1+EXP(MIN(700,MAX(-700,(C958-Dashboard!$C$18)/Dashboard!$C$19))))</f>
        <v>8.1621736042071974E-5</v>
      </c>
      <c r="F958" s="5">
        <f t="shared" si="67"/>
        <v>6.4749152024430303E-5</v>
      </c>
      <c r="G958" s="8">
        <f>Dashboard!$C$9*B958*Dashboard!$C$11*(1-F958)</f>
        <v>14089.076711834032</v>
      </c>
      <c r="H958" s="8">
        <f>Dashboard!$C$20*A958^2</f>
        <v>731148.80000000005</v>
      </c>
      <c r="I958" s="8">
        <f t="shared" si="68"/>
        <v>745237.87671183411</v>
      </c>
      <c r="J958" s="8">
        <f>Dashboard!$C$13*A958</f>
        <v>191200</v>
      </c>
      <c r="K958" s="8">
        <f>Dashboard!$C$14*A958</f>
        <v>286800</v>
      </c>
      <c r="L958" s="8">
        <f>Dashboard!$C$21-K958</f>
        <v>1213200</v>
      </c>
      <c r="M958" s="8">
        <f t="shared" si="69"/>
        <v>276762.12328816589</v>
      </c>
      <c r="N958" s="8">
        <f t="shared" si="70"/>
        <v>478000</v>
      </c>
      <c r="O958" s="8">
        <f>Dashboard!$C$15*(Dashboard!$C$16*EXP(-Dashboard!$C$16*A958)*E958-(1-EXP(-Dashboard!$C$16*A958))*Dashboard!$C$17/Dashboard!$C$19*E958*(1-E958))</f>
        <v>-8.6051037710366114E-5</v>
      </c>
      <c r="P958" s="8">
        <f>Dashboard!$C$9*B958*Dashboard!$C$11*(-Dashboard!$C$12*(1-F958)-O958)+2*Dashboard!$C$20*A958</f>
        <v>148030.03560903517</v>
      </c>
      <c r="Q958" s="8">
        <f>-P958-Dashboard!$C$13-Dashboard!$C$14</f>
        <v>-198030.03560903517</v>
      </c>
    </row>
    <row r="959" spans="1:17" x14ac:dyDescent="0.25">
      <c r="A959" s="5">
        <f>(959-2)/100</f>
        <v>9.57</v>
      </c>
      <c r="B959" s="5">
        <f>Dashboard!$C$10*EXP(-Dashboard!$C$12*A959)</f>
        <v>7.0203801328341461E-3</v>
      </c>
      <c r="C959" s="5">
        <f>Dashboard!$C$17*A959</f>
        <v>7656</v>
      </c>
      <c r="D959" s="5">
        <f>Dashboard!$C$15*(1-EXP(-Dashboard!$C$16*A959))</f>
        <v>0.79331670100164575</v>
      </c>
      <c r="E959" s="5">
        <f>1/(1+EXP(MIN(700,MAX(-700,(C959-Dashboard!$C$18)/Dashboard!$C$19))))</f>
        <v>8.054075642510777E-5</v>
      </c>
      <c r="F959" s="5">
        <f t="shared" si="67"/>
        <v>6.3894327183343605E-5</v>
      </c>
      <c r="G959" s="8">
        <f>Dashboard!$C$9*B959*Dashboard!$C$11*(1-F959)</f>
        <v>14039.863140737974</v>
      </c>
      <c r="H959" s="8">
        <f>Dashboard!$C$20*A959^2</f>
        <v>732679.20000000007</v>
      </c>
      <c r="I959" s="8">
        <f t="shared" si="68"/>
        <v>746719.06314073806</v>
      </c>
      <c r="J959" s="8">
        <f>Dashboard!$C$13*A959</f>
        <v>191400</v>
      </c>
      <c r="K959" s="8">
        <f>Dashboard!$C$14*A959</f>
        <v>287100</v>
      </c>
      <c r="L959" s="8">
        <f>Dashboard!$C$21-K959</f>
        <v>1212900</v>
      </c>
      <c r="M959" s="8">
        <f t="shared" si="69"/>
        <v>274780.93685926194</v>
      </c>
      <c r="N959" s="8">
        <f t="shared" si="70"/>
        <v>478500</v>
      </c>
      <c r="O959" s="8">
        <f>Dashboard!$C$15*(Dashboard!$C$16*EXP(-Dashboard!$C$16*A959)*E959-(1-EXP(-Dashboard!$C$16*A959))*Dashboard!$C$17/Dashboard!$C$19*E959*(1-E959))</f>
        <v>-8.4916435802829992E-5</v>
      </c>
      <c r="P959" s="8">
        <f>Dashboard!$C$9*B959*Dashboard!$C$11*(-Dashboard!$C$12*(1-F959)-O959)+2*Dashboard!$C$20*A959</f>
        <v>148207.24019205943</v>
      </c>
      <c r="Q959" s="8">
        <f>-P959-Dashboard!$C$13-Dashboard!$C$14</f>
        <v>-198207.24019205943</v>
      </c>
    </row>
    <row r="960" spans="1:17" x14ac:dyDescent="0.25">
      <c r="A960" s="5">
        <f>(960-2)/100</f>
        <v>9.58</v>
      </c>
      <c r="B960" s="5">
        <f>Dashboard!$C$10*EXP(-Dashboard!$C$12*A960)</f>
        <v>6.9958517520749405E-3</v>
      </c>
      <c r="C960" s="5">
        <f>Dashboard!$C$17*A960</f>
        <v>7664</v>
      </c>
      <c r="D960" s="5">
        <f>Dashboard!$C$15*(1-EXP(-Dashboard!$C$16*A960))</f>
        <v>0.79335003409446159</v>
      </c>
      <c r="E960" s="5">
        <f>1/(1+EXP(MIN(700,MAX(-700,(C960-Dashboard!$C$18)/Dashboard!$C$19))))</f>
        <v>7.9474091917262001E-5</v>
      </c>
      <c r="F960" s="5">
        <f t="shared" si="67"/>
        <v>6.3050773532186182E-5</v>
      </c>
      <c r="G960" s="8">
        <f>Dashboard!$C$9*B960*Dashboard!$C$11*(1-F960)</f>
        <v>13990.82131642091</v>
      </c>
      <c r="H960" s="8">
        <f>Dashboard!$C$20*A960^2</f>
        <v>734211.2</v>
      </c>
      <c r="I960" s="8">
        <f t="shared" si="68"/>
        <v>748202.02131642087</v>
      </c>
      <c r="J960" s="8">
        <f>Dashboard!$C$13*A960</f>
        <v>191600</v>
      </c>
      <c r="K960" s="8">
        <f>Dashboard!$C$14*A960</f>
        <v>287400</v>
      </c>
      <c r="L960" s="8">
        <f>Dashboard!$C$21-K960</f>
        <v>1212600</v>
      </c>
      <c r="M960" s="8">
        <f t="shared" si="69"/>
        <v>272797.97868357913</v>
      </c>
      <c r="N960" s="8">
        <f t="shared" si="70"/>
        <v>479000</v>
      </c>
      <c r="O960" s="8">
        <f>Dashboard!$C$15*(Dashboard!$C$16*EXP(-Dashboard!$C$16*A960)*E960-(1-EXP(-Dashboard!$C$16*A960))*Dashboard!$C$17/Dashboard!$C$19*E960*(1-E960))</f>
        <v>-8.379676683814166E-5</v>
      </c>
      <c r="P960" s="8">
        <f>Dashboard!$C$9*B960*Dashboard!$C$11*(-Dashboard!$C$12*(1-F960)-O960)+2*Dashboard!$C$20*A960</f>
        <v>148384.38499876889</v>
      </c>
      <c r="Q960" s="8">
        <f>-P960-Dashboard!$C$13-Dashboard!$C$14</f>
        <v>-198384.38499876889</v>
      </c>
    </row>
    <row r="961" spans="1:17" x14ac:dyDescent="0.25">
      <c r="A961" s="5">
        <f>(961-2)/100</f>
        <v>9.59</v>
      </c>
      <c r="B961" s="5">
        <f>Dashboard!$C$10*EXP(-Dashboard!$C$12*A961)</f>
        <v>6.9714090705871815E-3</v>
      </c>
      <c r="C961" s="5">
        <f>Dashboard!$C$17*A961</f>
        <v>7672</v>
      </c>
      <c r="D961" s="5">
        <f>Dashboard!$C$15*(1-EXP(-Dashboard!$C$16*A961))</f>
        <v>0.79338320093778336</v>
      </c>
      <c r="E961" s="5">
        <f>1/(1+EXP(MIN(700,MAX(-700,(C961-Dashboard!$C$18)/Dashboard!$C$19))))</f>
        <v>7.8421552977509567E-5</v>
      </c>
      <c r="F961" s="5">
        <f t="shared" si="67"/>
        <v>6.22183427238085E-5</v>
      </c>
      <c r="G961" s="8">
        <f>Dashboard!$C$9*B961*Dashboard!$C$11*(1-F961)</f>
        <v>13941.950642136719</v>
      </c>
      <c r="H961" s="8">
        <f>Dashboard!$C$20*A961^2</f>
        <v>735744.79999999993</v>
      </c>
      <c r="I961" s="8">
        <f t="shared" si="68"/>
        <v>749686.75064213667</v>
      </c>
      <c r="J961" s="8">
        <f>Dashboard!$C$13*A961</f>
        <v>191800</v>
      </c>
      <c r="K961" s="8">
        <f>Dashboard!$C$14*A961</f>
        <v>287700</v>
      </c>
      <c r="L961" s="8">
        <f>Dashboard!$C$21-K961</f>
        <v>1212300</v>
      </c>
      <c r="M961" s="8">
        <f t="shared" si="69"/>
        <v>270813.24935786333</v>
      </c>
      <c r="N961" s="8">
        <f t="shared" si="70"/>
        <v>479500</v>
      </c>
      <c r="O961" s="8">
        <f>Dashboard!$C$15*(Dashboard!$C$16*EXP(-Dashboard!$C$16*A961)*E961-(1-EXP(-Dashboard!$C$16*A961))*Dashboard!$C$17/Dashboard!$C$19*E961*(1-E961))</f>
        <v>-8.2691834790564974E-5</v>
      </c>
      <c r="P961" s="8">
        <f>Dashboard!$C$9*B961*Dashboard!$C$11*(-Dashboard!$C$12*(1-F961)-O961)+2*Dashboard!$C$20*A961</f>
        <v>148561.47023246638</v>
      </c>
      <c r="Q961" s="8">
        <f>-P961-Dashboard!$C$13-Dashboard!$C$14</f>
        <v>-198561.47023246638</v>
      </c>
    </row>
    <row r="962" spans="1:17" x14ac:dyDescent="0.25">
      <c r="A962" s="5">
        <f>(962-2)/100</f>
        <v>9.6</v>
      </c>
      <c r="B962" s="5">
        <f>Dashboard!$C$10*EXP(-Dashboard!$C$12*A962)</f>
        <v>6.9470517889477128E-3</v>
      </c>
      <c r="C962" s="5">
        <f>Dashboard!$C$17*A962</f>
        <v>7680</v>
      </c>
      <c r="D962" s="5">
        <f>Dashboard!$C$15*(1-EXP(-Dashboard!$C$16*A962))</f>
        <v>0.79341620236078403</v>
      </c>
      <c r="E962" s="5">
        <f>1/(1+EXP(MIN(700,MAX(-700,(C962-Dashboard!$C$18)/Dashboard!$C$19))))</f>
        <v>7.7382952573679548E-5</v>
      </c>
      <c r="F962" s="5">
        <f t="shared" si="67"/>
        <v>6.1396888358473487E-5</v>
      </c>
      <c r="G962" s="8">
        <f>Dashboard!$C$9*B962*Dashboard!$C$11*(1-F962)</f>
        <v>13893.250523169212</v>
      </c>
      <c r="H962" s="8">
        <f>Dashboard!$C$20*A962^2</f>
        <v>737280</v>
      </c>
      <c r="I962" s="8">
        <f t="shared" si="68"/>
        <v>751173.25052316918</v>
      </c>
      <c r="J962" s="8">
        <f>Dashboard!$C$13*A962</f>
        <v>192000</v>
      </c>
      <c r="K962" s="8">
        <f>Dashboard!$C$14*A962</f>
        <v>288000</v>
      </c>
      <c r="L962" s="8">
        <f>Dashboard!$C$21-K962</f>
        <v>1212000</v>
      </c>
      <c r="M962" s="8">
        <f t="shared" si="69"/>
        <v>268826.74947683082</v>
      </c>
      <c r="N962" s="8">
        <f t="shared" si="70"/>
        <v>480000</v>
      </c>
      <c r="O962" s="8">
        <f>Dashboard!$C$15*(Dashboard!$C$16*EXP(-Dashboard!$C$16*A962)*E962-(1-EXP(-Dashboard!$C$16*A962))*Dashboard!$C$17/Dashboard!$C$19*E962*(1-E962))</f>
        <v>-8.1601446197729555E-5</v>
      </c>
      <c r="P962" s="8">
        <f>Dashboard!$C$9*B962*Dashboard!$C$11*(-Dashboard!$C$12*(1-F962)-O962)+2*Dashboard!$C$20*A962</f>
        <v>148738.49609583637</v>
      </c>
      <c r="Q962" s="8">
        <f>-P962-Dashboard!$C$13-Dashboard!$C$14</f>
        <v>-198738.49609583637</v>
      </c>
    </row>
    <row r="963" spans="1:17" x14ac:dyDescent="0.25">
      <c r="A963" s="5">
        <f>(963-2)/100</f>
        <v>9.61</v>
      </c>
      <c r="B963" s="5">
        <f>Dashboard!$C$10*EXP(-Dashboard!$C$12*A963)</f>
        <v>6.9227796087795368E-3</v>
      </c>
      <c r="C963" s="5">
        <f>Dashboard!$C$17*A963</f>
        <v>7688</v>
      </c>
      <c r="D963" s="5">
        <f>Dashboard!$C$15*(1-EXP(-Dashboard!$C$16*A963))</f>
        <v>0.79344903918850074</v>
      </c>
      <c r="E963" s="5">
        <f>1/(1+EXP(MIN(700,MAX(-700,(C963-Dashboard!$C$18)/Dashboard!$C$19))))</f>
        <v>7.6358106149267629E-5</v>
      </c>
      <c r="F963" s="5">
        <f t="shared" si="67"/>
        <v>6.0586265958389947E-5</v>
      </c>
      <c r="G963" s="8">
        <f>Dashboard!$C$9*B963*Dashboard!$C$11*(1-F963)</f>
        <v>13844.720366825974</v>
      </c>
      <c r="H963" s="8">
        <f>Dashboard!$C$20*A963^2</f>
        <v>738816.79999999993</v>
      </c>
      <c r="I963" s="8">
        <f t="shared" si="68"/>
        <v>752661.52036682586</v>
      </c>
      <c r="J963" s="8">
        <f>Dashboard!$C$13*A963</f>
        <v>192200</v>
      </c>
      <c r="K963" s="8">
        <f>Dashboard!$C$14*A963</f>
        <v>288300</v>
      </c>
      <c r="L963" s="8">
        <f>Dashboard!$C$21-K963</f>
        <v>1211700</v>
      </c>
      <c r="M963" s="8">
        <f t="shared" si="69"/>
        <v>266838.47963317414</v>
      </c>
      <c r="N963" s="8">
        <f t="shared" si="70"/>
        <v>480500</v>
      </c>
      <c r="O963" s="8">
        <f>Dashboard!$C$15*(Dashboard!$C$16*EXP(-Dashboard!$C$16*A963)*E963-(1-EXP(-Dashboard!$C$16*A963))*Dashboard!$C$17/Dashboard!$C$19*E963*(1-E963))</f>
        <v>-8.0525410127304858E-5</v>
      </c>
      <c r="P963" s="8">
        <f>Dashboard!$C$9*B963*Dashboard!$C$11*(-Dashboard!$C$12*(1-F963)-O963)+2*Dashboard!$C$20*A963</f>
        <v>148915.46279094534</v>
      </c>
      <c r="Q963" s="8">
        <f>-P963-Dashboard!$C$13-Dashboard!$C$14</f>
        <v>-198915.46279094534</v>
      </c>
    </row>
    <row r="964" spans="1:17" x14ac:dyDescent="0.25">
      <c r="A964" s="5">
        <f>(964-2)/100</f>
        <v>9.6199999999999992</v>
      </c>
      <c r="B964" s="5">
        <f>Dashboard!$C$10*EXP(-Dashboard!$C$12*A964)</f>
        <v>6.8985922327481396E-3</v>
      </c>
      <c r="C964" s="5">
        <f>Dashboard!$C$17*A964</f>
        <v>7695.9999999999991</v>
      </c>
      <c r="D964" s="5">
        <f>Dashboard!$C$15*(1-EXP(-Dashboard!$C$16*A964))</f>
        <v>0.79348171224185604</v>
      </c>
      <c r="E964" s="5">
        <f>1/(1+EXP(MIN(700,MAX(-700,(C964-Dashboard!$C$18)/Dashboard!$C$19))))</f>
        <v>7.534683159068716E-5</v>
      </c>
      <c r="F964" s="5">
        <f t="shared" si="67"/>
        <v>5.9786332942577215E-5</v>
      </c>
      <c r="G964" s="8">
        <f>Dashboard!$C$9*B964*Dashboard!$C$11*(1-F964)</f>
        <v>13796.359582432155</v>
      </c>
      <c r="H964" s="8">
        <f>Dashboard!$C$20*A964^2</f>
        <v>740355.19999999984</v>
      </c>
      <c r="I964" s="8">
        <f t="shared" si="68"/>
        <v>754151.55958243203</v>
      </c>
      <c r="J964" s="8">
        <f>Dashboard!$C$13*A964</f>
        <v>192399.99999999997</v>
      </c>
      <c r="K964" s="8">
        <f>Dashboard!$C$14*A964</f>
        <v>288600</v>
      </c>
      <c r="L964" s="8">
        <f>Dashboard!$C$21-K964</f>
        <v>1211400</v>
      </c>
      <c r="M964" s="8">
        <f t="shared" si="69"/>
        <v>264848.44041756797</v>
      </c>
      <c r="N964" s="8">
        <f t="shared" si="70"/>
        <v>481000</v>
      </c>
      <c r="O964" s="8">
        <f>Dashboard!$C$15*(Dashboard!$C$16*EXP(-Dashboard!$C$16*A964)*E964-(1-EXP(-Dashboard!$C$16*A964))*Dashboard!$C$17/Dashboard!$C$19*E964*(1-E964))</f>
        <v>-7.9463538144103831E-5</v>
      </c>
      <c r="P964" s="8">
        <f>Dashboard!$C$9*B964*Dashboard!$C$11*(-Dashboard!$C$12*(1-F964)-O964)+2*Dashboard!$C$20*A964</f>
        <v>149092.3705192428</v>
      </c>
      <c r="Q964" s="8">
        <f>-P964-Dashboard!$C$13-Dashboard!$C$14</f>
        <v>-199092.3705192428</v>
      </c>
    </row>
    <row r="965" spans="1:17" x14ac:dyDescent="0.25">
      <c r="A965" s="5">
        <f>(965-2)/100</f>
        <v>9.6300000000000008</v>
      </c>
      <c r="B965" s="5">
        <f>Dashboard!$C$10*EXP(-Dashboard!$C$12*A965)</f>
        <v>6.8744893645578554E-3</v>
      </c>
      <c r="C965" s="5">
        <f>Dashboard!$C$17*A965</f>
        <v>7704.0000000000009</v>
      </c>
      <c r="D965" s="5">
        <f>Dashboard!$C$15*(1-EXP(-Dashboard!$C$16*A965))</f>
        <v>0.79351422233767788</v>
      </c>
      <c r="E965" s="5">
        <f>1/(1+EXP(MIN(700,MAX(-700,(C965-Dashboard!$C$18)/Dashboard!$C$19))))</f>
        <v>7.43489491949519E-5</v>
      </c>
      <c r="F965" s="5">
        <f t="shared" si="67"/>
        <v>5.8996948602055781E-5</v>
      </c>
      <c r="G965" s="8">
        <f>Dashboard!$C$9*B965*Dashboard!$C$11*(1-F965)</f>
        <v>13748.167581324298</v>
      </c>
      <c r="H965" s="8">
        <f>Dashboard!$C$20*A965^2</f>
        <v>741895.20000000019</v>
      </c>
      <c r="I965" s="8">
        <f t="shared" si="68"/>
        <v>755643.36758132454</v>
      </c>
      <c r="J965" s="8">
        <f>Dashboard!$C$13*A965</f>
        <v>192600.00000000003</v>
      </c>
      <c r="K965" s="8">
        <f>Dashboard!$C$14*A965</f>
        <v>288900</v>
      </c>
      <c r="L965" s="8">
        <f>Dashboard!$C$21-K965</f>
        <v>1211100</v>
      </c>
      <c r="M965" s="8">
        <f t="shared" si="69"/>
        <v>262856.63241867546</v>
      </c>
      <c r="N965" s="8">
        <f t="shared" si="70"/>
        <v>481500</v>
      </c>
      <c r="O965" s="8">
        <f>Dashboard!$C$15*(Dashboard!$C$16*EXP(-Dashboard!$C$16*A965)*E965-(1-EXP(-Dashboard!$C$16*A965))*Dashboard!$C$17/Dashboard!$C$19*E965*(1-E965))</f>
        <v>-7.8415644277609128E-5</v>
      </c>
      <c r="P965" s="8">
        <f>Dashboard!$C$9*B965*Dashboard!$C$11*(-Dashboard!$C$12*(1-F965)-O965)+2*Dashboard!$C$20*A965</f>
        <v>149269.21948156171</v>
      </c>
      <c r="Q965" s="8">
        <f>-P965-Dashboard!$C$13-Dashboard!$C$14</f>
        <v>-199269.21948156171</v>
      </c>
    </row>
    <row r="966" spans="1:17" x14ac:dyDescent="0.25">
      <c r="A966" s="5">
        <f>(966-2)/100</f>
        <v>9.64</v>
      </c>
      <c r="B966" s="5">
        <f>Dashboard!$C$10*EXP(-Dashboard!$C$12*A966)</f>
        <v>6.8504707089482603E-3</v>
      </c>
      <c r="C966" s="5">
        <f>Dashboard!$C$17*A966</f>
        <v>7712</v>
      </c>
      <c r="D966" s="5">
        <f>Dashboard!$C$15*(1-EXP(-Dashboard!$C$16*A966))</f>
        <v>0.79354657028872033</v>
      </c>
      <c r="E966" s="5">
        <f>1/(1+EXP(MIN(700,MAX(-700,(C966-Dashboard!$C$18)/Dashboard!$C$19))))</f>
        <v>7.3364281637787999E-5</v>
      </c>
      <c r="F966" s="5">
        <f t="shared" si="67"/>
        <v>5.8217974075362411E-5</v>
      </c>
      <c r="G966" s="8">
        <f>Dashboard!$C$9*B966*Dashboard!$C$11*(1-F966)</f>
        <v>13700.143776844245</v>
      </c>
      <c r="H966" s="8">
        <f>Dashboard!$C$20*A966^2</f>
        <v>743436.80000000005</v>
      </c>
      <c r="I966" s="8">
        <f t="shared" si="68"/>
        <v>757136.9437768443</v>
      </c>
      <c r="J966" s="8">
        <f>Dashboard!$C$13*A966</f>
        <v>192800</v>
      </c>
      <c r="K966" s="8">
        <f>Dashboard!$C$14*A966</f>
        <v>289200</v>
      </c>
      <c r="L966" s="8">
        <f>Dashboard!$C$21-K966</f>
        <v>1210800</v>
      </c>
      <c r="M966" s="8">
        <f t="shared" si="69"/>
        <v>260863.0562231557</v>
      </c>
      <c r="N966" s="8">
        <f t="shared" si="70"/>
        <v>482000</v>
      </c>
      <c r="O966" s="8">
        <f>Dashboard!$C$15*(Dashboard!$C$16*EXP(-Dashboard!$C$16*A966)*E966-(1-EXP(-Dashboard!$C$16*A966))*Dashboard!$C$17/Dashboard!$C$19*E966*(1-E966))</f>
        <v>-7.738154498992062E-5</v>
      </c>
      <c r="P966" s="8">
        <f>Dashboard!$C$9*B966*Dashboard!$C$11*(-Dashboard!$C$12*(1-F966)-O966)+2*Dashboard!$C$20*A966</f>
        <v>149446.00987811925</v>
      </c>
      <c r="Q966" s="8">
        <f>-P966-Dashboard!$C$13-Dashboard!$C$14</f>
        <v>-199446.00987811925</v>
      </c>
    </row>
    <row r="967" spans="1:17" x14ac:dyDescent="0.25">
      <c r="A967" s="5">
        <f>(967-2)/100</f>
        <v>9.65</v>
      </c>
      <c r="B967" s="5">
        <f>Dashboard!$C$10*EXP(-Dashboard!$C$12*A967)</f>
        <v>6.8265359716905161E-3</v>
      </c>
      <c r="C967" s="5">
        <f>Dashboard!$C$17*A967</f>
        <v>7720</v>
      </c>
      <c r="D967" s="5">
        <f>Dashboard!$C$15*(1-EXP(-Dashboard!$C$16*A967))</f>
        <v>0.79357875690368385</v>
      </c>
      <c r="E967" s="5">
        <f>1/(1+EXP(MIN(700,MAX(-700,(C967-Dashboard!$C$18)/Dashboard!$C$19))))</f>
        <v>7.2392653942164058E-5</v>
      </c>
      <c r="F967" s="5">
        <f t="shared" si="67"/>
        <v>5.7449272324381122E-5</v>
      </c>
      <c r="G967" s="8">
        <f>Dashboard!$C$9*B967*Dashboard!$C$11*(1-F967)</f>
        <v>13652.287584332891</v>
      </c>
      <c r="H967" s="8">
        <f>Dashboard!$C$20*A967^2</f>
        <v>744980</v>
      </c>
      <c r="I967" s="8">
        <f t="shared" si="68"/>
        <v>758632.28758433287</v>
      </c>
      <c r="J967" s="8">
        <f>Dashboard!$C$13*A967</f>
        <v>193000</v>
      </c>
      <c r="K967" s="8">
        <f>Dashboard!$C$14*A967</f>
        <v>289500</v>
      </c>
      <c r="L967" s="8">
        <f>Dashboard!$C$21-K967</f>
        <v>1210500</v>
      </c>
      <c r="M967" s="8">
        <f t="shared" si="69"/>
        <v>258867.71241566713</v>
      </c>
      <c r="N967" s="8">
        <f t="shared" si="70"/>
        <v>482500</v>
      </c>
      <c r="O967" s="8">
        <f>Dashboard!$C$15*(Dashboard!$C$16*EXP(-Dashboard!$C$16*A967)*E967-(1-EXP(-Dashboard!$C$16*A967))*Dashboard!$C$17/Dashboard!$C$19*E967*(1-E967))</f>
        <v>-7.6361059144112293E-5</v>
      </c>
      <c r="P967" s="8">
        <f>Dashboard!$C$9*B967*Dashboard!$C$11*(-Dashboard!$C$12*(1-F967)-O967)+2*Dashboard!$C$20*A967</f>
        <v>149622.74190851767</v>
      </c>
      <c r="Q967" s="8">
        <f>-P967-Dashboard!$C$13-Dashboard!$C$14</f>
        <v>-199622.74190851767</v>
      </c>
    </row>
    <row r="968" spans="1:17" x14ac:dyDescent="0.25">
      <c r="A968" s="5">
        <f>(968-2)/100</f>
        <v>9.66</v>
      </c>
      <c r="B968" s="5">
        <f>Dashboard!$C$10*EXP(-Dashboard!$C$12*A968)</f>
        <v>6.8026848595837928E-3</v>
      </c>
      <c r="C968" s="5">
        <f>Dashboard!$C$17*A968</f>
        <v>7728</v>
      </c>
      <c r="D968" s="5">
        <f>Dashboard!$C$15*(1-EXP(-Dashboard!$C$16*A968))</f>
        <v>0.79361078298723564</v>
      </c>
      <c r="E968" s="5">
        <f>1/(1+EXP(MIN(700,MAX(-700,(C968-Dashboard!$C$18)/Dashboard!$C$19))))</f>
        <v>7.1433893447240147E-5</v>
      </c>
      <c r="F968" s="5">
        <f t="shared" si="67"/>
        <v>5.6690708110491014E-5</v>
      </c>
      <c r="G968" s="8">
        <f>Dashboard!$C$9*B968*Dashboard!$C$11*(1-F968)</f>
        <v>13604.598421124103</v>
      </c>
      <c r="H968" s="8">
        <f>Dashboard!$C$20*A968^2</f>
        <v>746524.8</v>
      </c>
      <c r="I968" s="8">
        <f t="shared" si="68"/>
        <v>760129.39842112421</v>
      </c>
      <c r="J968" s="8">
        <f>Dashboard!$C$13*A968</f>
        <v>193200</v>
      </c>
      <c r="K968" s="8">
        <f>Dashboard!$C$14*A968</f>
        <v>289800</v>
      </c>
      <c r="L968" s="8">
        <f>Dashboard!$C$21-K968</f>
        <v>1210200</v>
      </c>
      <c r="M968" s="8">
        <f t="shared" si="69"/>
        <v>256870.60157887579</v>
      </c>
      <c r="N968" s="8">
        <f t="shared" si="70"/>
        <v>483000</v>
      </c>
      <c r="O968" s="8">
        <f>Dashboard!$C$15*(Dashboard!$C$16*EXP(-Dashboard!$C$16*A968)*E968-(1-EXP(-Dashboard!$C$16*A968))*Dashboard!$C$17/Dashboard!$C$19*E968*(1-E968))</f>
        <v>-7.5354007973000661E-5</v>
      </c>
      <c r="P968" s="8">
        <f>Dashboard!$C$9*B968*Dashboard!$C$11*(-Dashboard!$C$12*(1-F968)-O968)+2*Dashboard!$C$20*A968</f>
        <v>149799.41577174485</v>
      </c>
      <c r="Q968" s="8">
        <f>-P968-Dashboard!$C$13-Dashboard!$C$14</f>
        <v>-199799.41577174485</v>
      </c>
    </row>
    <row r="969" spans="1:17" x14ac:dyDescent="0.25">
      <c r="A969" s="5">
        <f>(969-2)/100</f>
        <v>9.67</v>
      </c>
      <c r="B969" s="5">
        <f>Dashboard!$C$10*EXP(-Dashboard!$C$12*A969)</f>
        <v>6.7789170804516677E-3</v>
      </c>
      <c r="C969" s="5">
        <f>Dashboard!$C$17*A969</f>
        <v>7736</v>
      </c>
      <c r="D969" s="5">
        <f>Dashboard!$C$15*(1-EXP(-Dashboard!$C$16*A969))</f>
        <v>0.79364264934002926</v>
      </c>
      <c r="E969" s="5">
        <f>1/(1+EXP(MIN(700,MAX(-700,(C969-Dashboard!$C$18)/Dashboard!$C$19))))</f>
        <v>7.0487829777725187E-5</v>
      </c>
      <c r="F969" s="5">
        <f t="shared" si="67"/>
        <v>5.5942147971022826E-5</v>
      </c>
      <c r="G969" s="8">
        <f>Dashboard!$C$9*B969*Dashboard!$C$11*(1-F969)</f>
        <v>13557.075706538539</v>
      </c>
      <c r="H969" s="8">
        <f>Dashboard!$C$20*A969^2</f>
        <v>748071.2</v>
      </c>
      <c r="I969" s="8">
        <f t="shared" si="68"/>
        <v>761628.27570653846</v>
      </c>
      <c r="J969" s="8">
        <f>Dashboard!$C$13*A969</f>
        <v>193400</v>
      </c>
      <c r="K969" s="8">
        <f>Dashboard!$C$14*A969</f>
        <v>290100</v>
      </c>
      <c r="L969" s="8">
        <f>Dashboard!$C$21-K969</f>
        <v>1209900</v>
      </c>
      <c r="M969" s="8">
        <f t="shared" si="69"/>
        <v>254871.72429346154</v>
      </c>
      <c r="N969" s="8">
        <f t="shared" si="70"/>
        <v>483500</v>
      </c>
      <c r="O969" s="8">
        <f>Dashboard!$C$15*(Dashboard!$C$16*EXP(-Dashboard!$C$16*A969)*E969-(1-EXP(-Dashboard!$C$16*A969))*Dashboard!$C$17/Dashboard!$C$19*E969*(1-E969))</f>
        <v>-7.4360215048313669E-5</v>
      </c>
      <c r="P969" s="8">
        <f>Dashboard!$C$9*B969*Dashboard!$C$11*(-Dashboard!$C$12*(1-F969)-O969)+2*Dashboard!$C$20*A969</f>
        <v>149976.03166617532</v>
      </c>
      <c r="Q969" s="8">
        <f>-P969-Dashboard!$C$13-Dashboard!$C$14</f>
        <v>-199976.03166617532</v>
      </c>
    </row>
    <row r="970" spans="1:17" x14ac:dyDescent="0.25">
      <c r="A970" s="5">
        <f>(970-2)/100</f>
        <v>9.68</v>
      </c>
      <c r="B970" s="5">
        <f>Dashboard!$C$10*EXP(-Dashboard!$C$12*A970)</f>
        <v>6.755232343138547E-3</v>
      </c>
      <c r="C970" s="5">
        <f>Dashboard!$C$17*A970</f>
        <v>7744</v>
      </c>
      <c r="D970" s="5">
        <f>Dashboard!$C$15*(1-EXP(-Dashboard!$C$16*A970))</f>
        <v>0.79367435675872533</v>
      </c>
      <c r="E970" s="5">
        <f>1/(1+EXP(MIN(700,MAX(-700,(C970-Dashboard!$C$18)/Dashboard!$C$19))))</f>
        <v>6.955429481363995E-5</v>
      </c>
      <c r="F970" s="5">
        <f t="shared" si="67"/>
        <v>5.520346019602243E-5</v>
      </c>
      <c r="G970" s="8">
        <f>Dashboard!$C$9*B970*Dashboard!$C$11*(1-F970)</f>
        <v>13509.718861877554</v>
      </c>
      <c r="H970" s="8">
        <f>Dashboard!$C$20*A970^2</f>
        <v>749619.19999999995</v>
      </c>
      <c r="I970" s="8">
        <f t="shared" si="68"/>
        <v>763128.91886187752</v>
      </c>
      <c r="J970" s="8">
        <f>Dashboard!$C$13*A970</f>
        <v>193600</v>
      </c>
      <c r="K970" s="8">
        <f>Dashboard!$C$14*A970</f>
        <v>290400</v>
      </c>
      <c r="L970" s="8">
        <f>Dashboard!$C$21-K970</f>
        <v>1209600</v>
      </c>
      <c r="M970" s="8">
        <f t="shared" si="69"/>
        <v>252871.08113812248</v>
      </c>
      <c r="N970" s="8">
        <f t="shared" si="70"/>
        <v>484000</v>
      </c>
      <c r="O970" s="8">
        <f>Dashboard!$C$15*(Dashboard!$C$16*EXP(-Dashboard!$C$16*A970)*E970-(1-EXP(-Dashboard!$C$16*A970))*Dashboard!$C$17/Dashboard!$C$19*E970*(1-E970))</f>
        <v>-7.3379506250258216E-5</v>
      </c>
      <c r="P970" s="8">
        <f>Dashboard!$C$9*B970*Dashboard!$C$11*(-Dashboard!$C$12*(1-F970)-O970)+2*Dashboard!$C$20*A970</f>
        <v>150152.58978957075</v>
      </c>
      <c r="Q970" s="8">
        <f>-P970-Dashboard!$C$13-Dashboard!$C$14</f>
        <v>-200152.58978957075</v>
      </c>
    </row>
    <row r="971" spans="1:17" x14ac:dyDescent="0.25">
      <c r="A971" s="5">
        <f>(971-2)/100</f>
        <v>9.69</v>
      </c>
      <c r="B971" s="5">
        <f>Dashboard!$C$10*EXP(-Dashboard!$C$12*A971)</f>
        <v>6.7316303575061095E-3</v>
      </c>
      <c r="C971" s="5">
        <f>Dashboard!$C$17*A971</f>
        <v>7752</v>
      </c>
      <c r="D971" s="5">
        <f>Dashboard!$C$15*(1-EXP(-Dashboard!$C$16*A971))</f>
        <v>0.79370590603601077</v>
      </c>
      <c r="E971" s="5">
        <f>1/(1+EXP(MIN(700,MAX(-700,(C971-Dashboard!$C$18)/Dashboard!$C$19))))</f>
        <v>6.8633122660479638E-5</v>
      </c>
      <c r="F971" s="5">
        <f t="shared" si="67"/>
        <v>5.4474514805316656E-5</v>
      </c>
      <c r="G971" s="8">
        <f>Dashboard!$C$9*B971*Dashboard!$C$11*(1-F971)</f>
        <v>13462.52731041707</v>
      </c>
      <c r="H971" s="8">
        <f>Dashboard!$C$20*A971^2</f>
        <v>751168.79999999993</v>
      </c>
      <c r="I971" s="8">
        <f t="shared" si="68"/>
        <v>764631.32731041696</v>
      </c>
      <c r="J971" s="8">
        <f>Dashboard!$C$13*A971</f>
        <v>193800</v>
      </c>
      <c r="K971" s="8">
        <f>Dashboard!$C$14*A971</f>
        <v>290700</v>
      </c>
      <c r="L971" s="8">
        <f>Dashboard!$C$21-K971</f>
        <v>1209300</v>
      </c>
      <c r="M971" s="8">
        <f t="shared" si="69"/>
        <v>250868.67268958304</v>
      </c>
      <c r="N971" s="8">
        <f t="shared" si="70"/>
        <v>484500</v>
      </c>
      <c r="O971" s="8">
        <f>Dashboard!$C$15*(Dashboard!$C$16*EXP(-Dashboard!$C$16*A971)*E971-(1-EXP(-Dashboard!$C$16*A971))*Dashboard!$C$17/Dashboard!$C$19*E971*(1-E971))</f>
        <v>-7.2411709737480018E-5</v>
      </c>
      <c r="P971" s="8">
        <f>Dashboard!$C$9*B971*Dashboard!$C$11*(-Dashboard!$C$12*(1-F971)-O971)+2*Dashboard!$C$20*A971</f>
        <v>150329.09033908104</v>
      </c>
      <c r="Q971" s="8">
        <f>-P971-Dashboard!$C$13-Dashboard!$C$14</f>
        <v>-200329.09033908104</v>
      </c>
    </row>
    <row r="972" spans="1:17" x14ac:dyDescent="0.25">
      <c r="A972" s="5">
        <f>(972-2)/100</f>
        <v>9.6999999999999993</v>
      </c>
      <c r="B972" s="5">
        <f>Dashboard!$C$10*EXP(-Dashboard!$C$12*A972)</f>
        <v>6.7081108344297299E-3</v>
      </c>
      <c r="C972" s="5">
        <f>Dashboard!$C$17*A972</f>
        <v>7759.9999999999991</v>
      </c>
      <c r="D972" s="5">
        <f>Dashboard!$C$15*(1-EXP(-Dashboard!$C$16*A972))</f>
        <v>0.79373729796061943</v>
      </c>
      <c r="E972" s="5">
        <f>1/(1+EXP(MIN(700,MAX(-700,(C972-Dashboard!$C$18)/Dashboard!$C$19))))</f>
        <v>6.7724149619770353E-5</v>
      </c>
      <c r="F972" s="5">
        <f t="shared" si="67"/>
        <v>5.3755183525877231E-5</v>
      </c>
      <c r="G972" s="8">
        <f>Dashboard!$C$9*B972*Dashboard!$C$11*(1-F972)</f>
        <v>13415.500477401427</v>
      </c>
      <c r="H972" s="8">
        <f>Dashboard!$C$20*A972^2</f>
        <v>752719.99999999988</v>
      </c>
      <c r="I972" s="8">
        <f t="shared" si="68"/>
        <v>766135.50047740131</v>
      </c>
      <c r="J972" s="8">
        <f>Dashboard!$C$13*A972</f>
        <v>194000</v>
      </c>
      <c r="K972" s="8">
        <f>Dashboard!$C$14*A972</f>
        <v>291000</v>
      </c>
      <c r="L972" s="8">
        <f>Dashboard!$C$21-K972</f>
        <v>1209000</v>
      </c>
      <c r="M972" s="8">
        <f t="shared" si="69"/>
        <v>248864.49952259869</v>
      </c>
      <c r="N972" s="8">
        <f t="shared" si="70"/>
        <v>485000</v>
      </c>
      <c r="O972" s="8">
        <f>Dashboard!$C$15*(Dashboard!$C$16*EXP(-Dashboard!$C$16*A972)*E972-(1-EXP(-Dashboard!$C$16*A972))*Dashboard!$C$17/Dashboard!$C$19*E972*(1-E972))</f>
        <v>-7.1456655917410855E-5</v>
      </c>
      <c r="P972" s="8">
        <f>Dashboard!$C$9*B972*Dashboard!$C$11*(-Dashboard!$C$12*(1-F972)-O972)+2*Dashboard!$C$20*A972</f>
        <v>150505.53351124501</v>
      </c>
      <c r="Q972" s="8">
        <f>-P972-Dashboard!$C$13-Dashboard!$C$14</f>
        <v>-200505.53351124501</v>
      </c>
    </row>
    <row r="973" spans="1:17" x14ac:dyDescent="0.25">
      <c r="A973" s="5">
        <f>(973-2)/100</f>
        <v>9.7100000000000009</v>
      </c>
      <c r="B973" s="5">
        <f>Dashboard!$C$10*EXP(-Dashboard!$C$12*A973)</f>
        <v>6.6846734857949541E-3</v>
      </c>
      <c r="C973" s="5">
        <f>Dashboard!$C$17*A973</f>
        <v>7768.0000000000009</v>
      </c>
      <c r="D973" s="5">
        <f>Dashboard!$C$15*(1-EXP(-Dashboard!$C$16*A973))</f>
        <v>0.79376853331735087</v>
      </c>
      <c r="E973" s="5">
        <f>1/(1+EXP(MIN(700,MAX(-700,(C973-Dashboard!$C$18)/Dashboard!$C$19))))</f>
        <v>6.6827214160014893E-5</v>
      </c>
      <c r="F973" s="5">
        <f t="shared" si="67"/>
        <v>5.3045339769479524E-5</v>
      </c>
      <c r="G973" s="8">
        <f>Dashboard!$C$9*B973*Dashboard!$C$11*(1-F973)</f>
        <v>13368.637790037303</v>
      </c>
      <c r="H973" s="8">
        <f>Dashboard!$C$20*A973^2</f>
        <v>754272.80000000016</v>
      </c>
      <c r="I973" s="8">
        <f t="shared" si="68"/>
        <v>767641.43779003748</v>
      </c>
      <c r="J973" s="8">
        <f>Dashboard!$C$13*A973</f>
        <v>194200.00000000003</v>
      </c>
      <c r="K973" s="8">
        <f>Dashboard!$C$14*A973</f>
        <v>291300</v>
      </c>
      <c r="L973" s="8">
        <f>Dashboard!$C$21-K973</f>
        <v>1208700</v>
      </c>
      <c r="M973" s="8">
        <f t="shared" si="69"/>
        <v>246858.56220996249</v>
      </c>
      <c r="N973" s="8">
        <f t="shared" si="70"/>
        <v>485500</v>
      </c>
      <c r="O973" s="8">
        <f>Dashboard!$C$15*(Dashboard!$C$16*EXP(-Dashboard!$C$16*A973)*E973-(1-EXP(-Dashboard!$C$16*A973))*Dashboard!$C$17/Dashboard!$C$19*E973*(1-E973))</f>
        <v>-7.0514177416998542E-5</v>
      </c>
      <c r="P973" s="8">
        <f>Dashboard!$C$9*B973*Dashboard!$C$11*(-Dashboard!$C$12*(1-F973)-O973)+2*Dashboard!$C$20*A973</f>
        <v>150681.91950199124</v>
      </c>
      <c r="Q973" s="8">
        <f>-P973-Dashboard!$C$13-Dashboard!$C$14</f>
        <v>-200681.91950199124</v>
      </c>
    </row>
    <row r="974" spans="1:17" x14ac:dyDescent="0.25">
      <c r="A974" s="5">
        <f>(974-2)/100</f>
        <v>9.7200000000000006</v>
      </c>
      <c r="B974" s="5">
        <f>Dashboard!$C$10*EXP(-Dashboard!$C$12*A974)</f>
        <v>6.6613180244939792E-3</v>
      </c>
      <c r="C974" s="5">
        <f>Dashboard!$C$17*A974</f>
        <v>7776.0000000000009</v>
      </c>
      <c r="D974" s="5">
        <f>Dashboard!$C$15*(1-EXP(-Dashboard!$C$16*A974))</f>
        <v>0.79379961288709078</v>
      </c>
      <c r="E974" s="5">
        <f>1/(1+EXP(MIN(700,MAX(-700,(C974-Dashboard!$C$18)/Dashboard!$C$19))))</f>
        <v>6.5942156888023894E-5</v>
      </c>
      <c r="F974" s="5">
        <f t="shared" si="67"/>
        <v>5.2344858610653176E-5</v>
      </c>
      <c r="G974" s="8">
        <f>Dashboard!$C$9*B974*Dashboard!$C$11*(1-F974)</f>
        <v>13321.938677487653</v>
      </c>
      <c r="H974" s="8">
        <f>Dashboard!$C$20*A974^2</f>
        <v>755827.20000000007</v>
      </c>
      <c r="I974" s="8">
        <f t="shared" si="68"/>
        <v>769149.13867748773</v>
      </c>
      <c r="J974" s="8">
        <f>Dashboard!$C$13*A974</f>
        <v>194400</v>
      </c>
      <c r="K974" s="8">
        <f>Dashboard!$C$14*A974</f>
        <v>291600</v>
      </c>
      <c r="L974" s="8">
        <f>Dashboard!$C$21-K974</f>
        <v>1208400</v>
      </c>
      <c r="M974" s="8">
        <f t="shared" si="69"/>
        <v>244850.86132251227</v>
      </c>
      <c r="N974" s="8">
        <f t="shared" si="70"/>
        <v>486000</v>
      </c>
      <c r="O974" s="8">
        <f>Dashboard!$C$15*(Dashboard!$C$16*EXP(-Dashboard!$C$16*A974)*E974-(1-EXP(-Dashboard!$C$16*A974))*Dashboard!$C$17/Dashboard!$C$19*E974*(1-E974))</f>
        <v>-6.9584109053816192E-5</v>
      </c>
      <c r="P974" s="8">
        <f>Dashboard!$C$9*B974*Dashboard!$C$11*(-Dashboard!$C$12*(1-F974)-O974)+2*Dashboard!$C$20*A974</f>
        <v>150858.24850663904</v>
      </c>
      <c r="Q974" s="8">
        <f>-P974-Dashboard!$C$13-Dashboard!$C$14</f>
        <v>-200858.24850663904</v>
      </c>
    </row>
    <row r="975" spans="1:17" x14ac:dyDescent="0.25">
      <c r="A975" s="5">
        <f>(975-2)/100</f>
        <v>9.73</v>
      </c>
      <c r="B975" s="5">
        <f>Dashboard!$C$10*EXP(-Dashboard!$C$12*A975)</f>
        <v>6.6380441644221036E-3</v>
      </c>
      <c r="C975" s="5">
        <f>Dashboard!$C$17*A975</f>
        <v>7784</v>
      </c>
      <c r="D975" s="5">
        <f>Dashboard!$C$15*(1-EXP(-Dashboard!$C$16*A975))</f>
        <v>0.79383053744682974</v>
      </c>
      <c r="E975" s="5">
        <f>1/(1+EXP(MIN(700,MAX(-700,(C975-Dashboard!$C$18)/Dashboard!$C$19))))</f>
        <v>6.5068820520622849E-5</v>
      </c>
      <c r="F975" s="5">
        <f t="shared" si="67"/>
        <v>5.1653616764917338E-5</v>
      </c>
      <c r="G975" s="8">
        <f>Dashboard!$C$9*B975*Dashboard!$C$11*(1-F975)</f>
        <v>13275.402570865532</v>
      </c>
      <c r="H975" s="8">
        <f>Dashboard!$C$20*A975^2</f>
        <v>757383.20000000007</v>
      </c>
      <c r="I975" s="8">
        <f t="shared" si="68"/>
        <v>770658.60257086565</v>
      </c>
      <c r="J975" s="8">
        <f>Dashboard!$C$13*A975</f>
        <v>194600</v>
      </c>
      <c r="K975" s="8">
        <f>Dashboard!$C$14*A975</f>
        <v>291900</v>
      </c>
      <c r="L975" s="8">
        <f>Dashboard!$C$21-K975</f>
        <v>1208100</v>
      </c>
      <c r="M975" s="8">
        <f t="shared" si="69"/>
        <v>242841.39742913435</v>
      </c>
      <c r="N975" s="8">
        <f t="shared" si="70"/>
        <v>486500</v>
      </c>
      <c r="O975" s="8">
        <f>Dashboard!$C$15*(Dashboard!$C$16*EXP(-Dashboard!$C$16*A975)*E975-(1-EXP(-Dashboard!$C$16*A975))*Dashboard!$C$17/Dashboard!$C$19*E975*(1-E975))</f>
        <v>-6.8666287807541291E-5</v>
      </c>
      <c r="P975" s="8">
        <f>Dashboard!$C$9*B975*Dashboard!$C$11*(-Dashboard!$C$12*(1-F975)-O975)+2*Dashboard!$C$20*A975</f>
        <v>151034.52071989921</v>
      </c>
      <c r="Q975" s="8">
        <f>-P975-Dashboard!$C$13-Dashboard!$C$14</f>
        <v>-201034.52071989921</v>
      </c>
    </row>
    <row r="976" spans="1:17" x14ac:dyDescent="0.25">
      <c r="A976" s="5">
        <f>(976-2)/100</f>
        <v>9.74</v>
      </c>
      <c r="B976" s="5">
        <f>Dashboard!$C$10*EXP(-Dashboard!$C$12*A976)</f>
        <v>6.6148516204742533E-3</v>
      </c>
      <c r="C976" s="5">
        <f>Dashboard!$C$17*A976</f>
        <v>7792</v>
      </c>
      <c r="D976" s="5">
        <f>Dashboard!$C$15*(1-EXP(-Dashboard!$C$16*A976))</f>
        <v>0.79386130776968367</v>
      </c>
      <c r="E976" s="5">
        <f>1/(1+EXP(MIN(700,MAX(-700,(C976-Dashboard!$C$18)/Dashboard!$C$19))))</f>
        <v>6.4207049856735457E-5</v>
      </c>
      <c r="F976" s="5">
        <f t="shared" si="67"/>
        <v>5.0971492567301288E-5</v>
      </c>
      <c r="G976" s="8">
        <f>Dashboard!$C$9*B976*Dashboard!$C$11*(1-F976)</f>
        <v>13229.028903228094</v>
      </c>
      <c r="H976" s="8">
        <f>Dashboard!$C$20*A976^2</f>
        <v>758940.8</v>
      </c>
      <c r="I976" s="8">
        <f t="shared" si="68"/>
        <v>772169.82890322816</v>
      </c>
      <c r="J976" s="8">
        <f>Dashboard!$C$13*A976</f>
        <v>194800</v>
      </c>
      <c r="K976" s="8">
        <f>Dashboard!$C$14*A976</f>
        <v>292200</v>
      </c>
      <c r="L976" s="8">
        <f>Dashboard!$C$21-K976</f>
        <v>1207800</v>
      </c>
      <c r="M976" s="8">
        <f t="shared" si="69"/>
        <v>240830.17109677184</v>
      </c>
      <c r="N976" s="8">
        <f t="shared" si="70"/>
        <v>487000</v>
      </c>
      <c r="O976" s="8">
        <f>Dashboard!$C$15*(Dashboard!$C$16*EXP(-Dashboard!$C$16*A976)*E976-(1-EXP(-Dashboard!$C$16*A976))*Dashboard!$C$17/Dashboard!$C$19*E976*(1-E976))</f>
        <v>-6.7760552791805456E-5</v>
      </c>
      <c r="P976" s="8">
        <f>Dashboard!$C$9*B976*Dashboard!$C$11*(-Dashboard!$C$12*(1-F976)-O976)+2*Dashboard!$C$20*A976</f>
        <v>151210.73633587506</v>
      </c>
      <c r="Q976" s="8">
        <f>-P976-Dashboard!$C$13-Dashboard!$C$14</f>
        <v>-201210.73633587506</v>
      </c>
    </row>
    <row r="977" spans="1:17" x14ac:dyDescent="0.25">
      <c r="A977" s="5">
        <f>(977-2)/100</f>
        <v>9.75</v>
      </c>
      <c r="B977" s="5">
        <f>Dashboard!$C$10*EXP(-Dashboard!$C$12*A977)</f>
        <v>6.5917401085414731E-3</v>
      </c>
      <c r="C977" s="5">
        <f>Dashboard!$C$17*A977</f>
        <v>7800</v>
      </c>
      <c r="D977" s="5">
        <f>Dashboard!$C$15*(1-EXP(-Dashboard!$C$16*A977))</f>
        <v>0.79389192462491209</v>
      </c>
      <c r="E977" s="5">
        <f>1/(1+EXP(MIN(700,MAX(-700,(C977-Dashboard!$C$18)/Dashboard!$C$19))))</f>
        <v>6.3356691749835833E-5</v>
      </c>
      <c r="F977" s="5">
        <f t="shared" si="67"/>
        <v>5.0298365951144461E-5</v>
      </c>
      <c r="G977" s="8">
        <f>Dashboard!$C$9*B977*Dashboard!$C$11*(1-F977)</f>
        <v>13182.817109570477</v>
      </c>
      <c r="H977" s="8">
        <f>Dashboard!$C$20*A977^2</f>
        <v>760500</v>
      </c>
      <c r="I977" s="8">
        <f t="shared" si="68"/>
        <v>773682.81710957049</v>
      </c>
      <c r="J977" s="8">
        <f>Dashboard!$C$13*A977</f>
        <v>195000</v>
      </c>
      <c r="K977" s="8">
        <f>Dashboard!$C$14*A977</f>
        <v>292500</v>
      </c>
      <c r="L977" s="8">
        <f>Dashboard!$C$21-K977</f>
        <v>1207500</v>
      </c>
      <c r="M977" s="8">
        <f t="shared" si="69"/>
        <v>238817.18289042951</v>
      </c>
      <c r="N977" s="8">
        <f t="shared" si="70"/>
        <v>487500</v>
      </c>
      <c r="O977" s="8">
        <f>Dashboard!$C$15*(Dashboard!$C$16*EXP(-Dashboard!$C$16*A977)*E977-(1-EXP(-Dashboard!$C$16*A977))*Dashboard!$C$17/Dashboard!$C$19*E977*(1-E977))</f>
        <v>-6.6866745226407717E-5</v>
      </c>
      <c r="P977" s="8">
        <f>Dashboard!$C$9*B977*Dashboard!$C$11*(-Dashboard!$C$12*(1-F977)-O977)+2*Dashboard!$C$20*A977</f>
        <v>151386.89554806321</v>
      </c>
      <c r="Q977" s="8">
        <f>-P977-Dashboard!$C$13-Dashboard!$C$14</f>
        <v>-201386.89554806321</v>
      </c>
    </row>
    <row r="978" spans="1:17" x14ac:dyDescent="0.25">
      <c r="A978" s="5">
        <f>(978-2)/100</f>
        <v>9.76</v>
      </c>
      <c r="B978" s="5">
        <f>Dashboard!$C$10*EXP(-Dashboard!$C$12*A978)</f>
        <v>6.5687093455074523E-3</v>
      </c>
      <c r="C978" s="5">
        <f>Dashboard!$C$17*A978</f>
        <v>7808</v>
      </c>
      <c r="D978" s="5">
        <f>Dashboard!$C$15*(1-EXP(-Dashboard!$C$16*A978))</f>
        <v>0.79392238877793797</v>
      </c>
      <c r="E978" s="5">
        <f>1/(1+EXP(MIN(700,MAX(-700,(C978-Dashboard!$C$18)/Dashboard!$C$19))))</f>
        <v>6.2517595080763418E-5</v>
      </c>
      <c r="F978" s="5">
        <f t="shared" si="67"/>
        <v>4.9634118427171559E-5</v>
      </c>
      <c r="G978" s="8">
        <f>Dashboard!$C$9*B978*Dashboard!$C$11*(1-F978)</f>
        <v>13136.766626819766</v>
      </c>
      <c r="H978" s="8">
        <f>Dashboard!$C$20*A978^2</f>
        <v>762060.79999999993</v>
      </c>
      <c r="I978" s="8">
        <f t="shared" si="68"/>
        <v>775197.56662681967</v>
      </c>
      <c r="J978" s="8">
        <f>Dashboard!$C$13*A978</f>
        <v>195200</v>
      </c>
      <c r="K978" s="8">
        <f>Dashboard!$C$14*A978</f>
        <v>292800</v>
      </c>
      <c r="L978" s="8">
        <f>Dashboard!$C$21-K978</f>
        <v>1207200</v>
      </c>
      <c r="M978" s="8">
        <f t="shared" si="69"/>
        <v>236802.43337318033</v>
      </c>
      <c r="N978" s="8">
        <f t="shared" si="70"/>
        <v>488000</v>
      </c>
      <c r="O978" s="8">
        <f>Dashboard!$C$15*(Dashboard!$C$16*EXP(-Dashboard!$C$16*A978)*E978-(1-EXP(-Dashboard!$C$16*A978))*Dashboard!$C$17/Dashboard!$C$19*E978*(1-E978))</f>
        <v>-6.5984708409885112E-5</v>
      </c>
      <c r="P978" s="8">
        <f>Dashboard!$C$9*B978*Dashboard!$C$11*(-Dashboard!$C$12*(1-F978)-O978)+2*Dashboard!$C$20*A978</f>
        <v>151562.99854935467</v>
      </c>
      <c r="Q978" s="8">
        <f>-P978-Dashboard!$C$13-Dashboard!$C$14</f>
        <v>-201562.99854935467</v>
      </c>
    </row>
    <row r="979" spans="1:17" x14ac:dyDescent="0.25">
      <c r="A979" s="5">
        <f>(979-2)/100</f>
        <v>9.77</v>
      </c>
      <c r="B979" s="5">
        <f>Dashboard!$C$10*EXP(-Dashboard!$C$12*A979)</f>
        <v>6.5457590492450594E-3</v>
      </c>
      <c r="C979" s="5">
        <f>Dashboard!$C$17*A979</f>
        <v>7816</v>
      </c>
      <c r="D979" s="5">
        <f>Dashboard!$C$15*(1-EXP(-Dashboard!$C$16*A979))</f>
        <v>0.79395270099036686</v>
      </c>
      <c r="E979" s="5">
        <f>1/(1+EXP(MIN(700,MAX(-700,(C979-Dashboard!$C$18)/Dashboard!$C$19))))</f>
        <v>6.1689610730898849E-5</v>
      </c>
      <c r="F979" s="5">
        <f t="shared" si="67"/>
        <v>4.8978633062841458E-5</v>
      </c>
      <c r="G979" s="8">
        <f>Dashboard!$C$9*B979*Dashboard!$C$11*(1-F979)</f>
        <v>13090.876893828936</v>
      </c>
      <c r="H979" s="8">
        <f>Dashboard!$C$20*A979^2</f>
        <v>763623.19999999984</v>
      </c>
      <c r="I979" s="8">
        <f t="shared" si="68"/>
        <v>776714.07689382881</v>
      </c>
      <c r="J979" s="8">
        <f>Dashboard!$C$13*A979</f>
        <v>195400</v>
      </c>
      <c r="K979" s="8">
        <f>Dashboard!$C$14*A979</f>
        <v>293100</v>
      </c>
      <c r="L979" s="8">
        <f>Dashboard!$C$21-K979</f>
        <v>1206900</v>
      </c>
      <c r="M979" s="8">
        <f t="shared" si="69"/>
        <v>234785.92310617119</v>
      </c>
      <c r="N979" s="8">
        <f t="shared" si="70"/>
        <v>488500</v>
      </c>
      <c r="O979" s="8">
        <f>Dashboard!$C$15*(Dashboard!$C$16*EXP(-Dashboard!$C$16*A979)*E979-(1-EXP(-Dashboard!$C$16*A979))*Dashboard!$C$17/Dashboard!$C$19*E979*(1-E979))</f>
        <v>-6.5114287692439425E-5</v>
      </c>
      <c r="P979" s="8">
        <f>Dashboard!$C$9*B979*Dashboard!$C$11*(-Dashboard!$C$12*(1-F979)-O979)+2*Dashboard!$C$20*A979</f>
        <v>151739.04553203567</v>
      </c>
      <c r="Q979" s="8">
        <f>-P979-Dashboard!$C$13-Dashboard!$C$14</f>
        <v>-201739.04553203567</v>
      </c>
    </row>
    <row r="980" spans="1:17" x14ac:dyDescent="0.25">
      <c r="A980" s="5">
        <f>(980-2)/100</f>
        <v>9.7799999999999994</v>
      </c>
      <c r="B980" s="5">
        <f>Dashboard!$C$10*EXP(-Dashboard!$C$12*A980)</f>
        <v>6.5228889386128759E-3</v>
      </c>
      <c r="C980" s="5">
        <f>Dashboard!$C$17*A980</f>
        <v>7823.9999999999991</v>
      </c>
      <c r="D980" s="5">
        <f>Dashboard!$C$15*(1-EXP(-Dashboard!$C$16*A980))</f>
        <v>0.79398286202000534</v>
      </c>
      <c r="E980" s="5">
        <f>1/(1+EXP(MIN(700,MAX(-700,(C980-Dashboard!$C$18)/Dashboard!$C$19))))</f>
        <v>6.0872591555693267E-5</v>
      </c>
      <c r="F980" s="5">
        <f t="shared" si="67"/>
        <v>4.8331794461964147E-5</v>
      </c>
      <c r="G980" s="8">
        <f>Dashboard!$C$9*B980*Dashboard!$C$11*(1-F980)</f>
        <v>13045.147351370792</v>
      </c>
      <c r="H980" s="8">
        <f>Dashboard!$C$20*A980^2</f>
        <v>765187.19999999984</v>
      </c>
      <c r="I980" s="8">
        <f t="shared" si="68"/>
        <v>778232.34735137061</v>
      </c>
      <c r="J980" s="8">
        <f>Dashboard!$C$13*A980</f>
        <v>195600</v>
      </c>
      <c r="K980" s="8">
        <f>Dashboard!$C$14*A980</f>
        <v>293400</v>
      </c>
      <c r="L980" s="8">
        <f>Dashboard!$C$21-K980</f>
        <v>1206600</v>
      </c>
      <c r="M980" s="8">
        <f t="shared" si="69"/>
        <v>232767.65264862939</v>
      </c>
      <c r="N980" s="8">
        <f t="shared" si="70"/>
        <v>489000</v>
      </c>
      <c r="O980" s="8">
        <f>Dashboard!$C$15*(Dashboard!$C$16*EXP(-Dashboard!$C$16*A980)*E980-(1-EXP(-Dashboard!$C$16*A980))*Dashboard!$C$17/Dashboard!$C$19*E980*(1-E980))</f>
        <v>-6.4255330449212401E-5</v>
      </c>
      <c r="P980" s="8">
        <f>Dashboard!$C$9*B980*Dashboard!$C$11*(-Dashboard!$C$12*(1-F980)-O980)+2*Dashboard!$C$20*A980</f>
        <v>151915.0366877887</v>
      </c>
      <c r="Q980" s="8">
        <f>-P980-Dashboard!$C$13-Dashboard!$C$14</f>
        <v>-201915.0366877887</v>
      </c>
    </row>
    <row r="981" spans="1:17" x14ac:dyDescent="0.25">
      <c r="A981" s="5">
        <f>(981-2)/100</f>
        <v>9.7899999999999991</v>
      </c>
      <c r="B981" s="5">
        <f>Dashboard!$C$10*EXP(-Dashboard!$C$12*A981)</f>
        <v>6.5000987334517596E-3</v>
      </c>
      <c r="C981" s="5">
        <f>Dashboard!$C$17*A981</f>
        <v>7831.9999999999991</v>
      </c>
      <c r="D981" s="5">
        <f>Dashboard!$C$15*(1-EXP(-Dashboard!$C$16*A981))</f>
        <v>0.79401287262088116</v>
      </c>
      <c r="E981" s="5">
        <f>1/(1+EXP(MIN(700,MAX(-700,(C981-Dashboard!$C$18)/Dashboard!$C$19))))</f>
        <v>6.0066392358547654E-5</v>
      </c>
      <c r="F981" s="5">
        <f t="shared" si="67"/>
        <v>4.7693488744583371E-5</v>
      </c>
      <c r="G981" s="8">
        <f>Dashboard!$C$9*B981*Dashboard!$C$11*(1-F981)</f>
        <v>12999.577442131955</v>
      </c>
      <c r="H981" s="8">
        <f>Dashboard!$C$20*A981^2</f>
        <v>766752.79999999981</v>
      </c>
      <c r="I981" s="8">
        <f t="shared" si="68"/>
        <v>779752.37744213175</v>
      </c>
      <c r="J981" s="8">
        <f>Dashboard!$C$13*A981</f>
        <v>195799.99999999997</v>
      </c>
      <c r="K981" s="8">
        <f>Dashboard!$C$14*A981</f>
        <v>293700</v>
      </c>
      <c r="L981" s="8">
        <f>Dashboard!$C$21-K981</f>
        <v>1206300</v>
      </c>
      <c r="M981" s="8">
        <f t="shared" si="69"/>
        <v>230747.62255786828</v>
      </c>
      <c r="N981" s="8">
        <f t="shared" si="70"/>
        <v>489500</v>
      </c>
      <c r="O981" s="8">
        <f>Dashboard!$C$15*(Dashboard!$C$16*EXP(-Dashboard!$C$16*A981)*E981-(1-EXP(-Dashboard!$C$16*A981))*Dashboard!$C$17/Dashboard!$C$19*E981*(1-E981))</f>
        <v>-6.3407686053906608E-5</v>
      </c>
      <c r="P981" s="8">
        <f>Dashboard!$C$9*B981*Dashboard!$C$11*(-Dashboard!$C$12*(1-F981)-O981)+2*Dashboard!$C$20*A981</f>
        <v>152090.97220769344</v>
      </c>
      <c r="Q981" s="8">
        <f>-P981-Dashboard!$C$13-Dashboard!$C$14</f>
        <v>-202090.97220769344</v>
      </c>
    </row>
    <row r="982" spans="1:17" x14ac:dyDescent="0.25">
      <c r="A982" s="5">
        <f>(982-2)/100</f>
        <v>9.8000000000000007</v>
      </c>
      <c r="B982" s="5">
        <f>Dashboard!$C$10*EXP(-Dashboard!$C$12*A982)</f>
        <v>6.4773881545814082E-3</v>
      </c>
      <c r="C982" s="5">
        <f>Dashboard!$C$17*A982</f>
        <v>7840.0000000000009</v>
      </c>
      <c r="D982" s="5">
        <f>Dashboard!$C$15*(1-EXP(-Dashboard!$C$16*A982))</f>
        <v>0.79404273354326049</v>
      </c>
      <c r="E982" s="5">
        <f>1/(1+EXP(MIN(700,MAX(-700,(C982-Dashboard!$C$18)/Dashboard!$C$19))))</f>
        <v>5.927086986503812E-5</v>
      </c>
      <c r="F982" s="5">
        <f t="shared" si="67"/>
        <v>4.7063603527121731E-5</v>
      </c>
      <c r="G982" s="8">
        <f>Dashboard!$C$9*B982*Dashboard!$C$11*(1-F982)</f>
        <v>12954.166610706819</v>
      </c>
      <c r="H982" s="8">
        <f>Dashboard!$C$20*A982^2</f>
        <v>768320.00000000012</v>
      </c>
      <c r="I982" s="8">
        <f t="shared" si="68"/>
        <v>781274.16661070695</v>
      </c>
      <c r="J982" s="8">
        <f>Dashboard!$C$13*A982</f>
        <v>196000</v>
      </c>
      <c r="K982" s="8">
        <f>Dashboard!$C$14*A982</f>
        <v>294000</v>
      </c>
      <c r="L982" s="8">
        <f>Dashboard!$C$21-K982</f>
        <v>1206000</v>
      </c>
      <c r="M982" s="8">
        <f t="shared" si="69"/>
        <v>228725.83338929305</v>
      </c>
      <c r="N982" s="8">
        <f t="shared" si="70"/>
        <v>490000</v>
      </c>
      <c r="O982" s="8">
        <f>Dashboard!$C$15*(Dashboard!$C$16*EXP(-Dashboard!$C$16*A982)*E982-(1-EXP(-Dashboard!$C$16*A982))*Dashboard!$C$17/Dashboard!$C$19*E982*(1-E982))</f>
        <v>-6.2571205852747887E-5</v>
      </c>
      <c r="P982" s="8">
        <f>Dashboard!$C$9*B982*Dashboard!$C$11*(-Dashboard!$C$12*(1-F982)-O982)+2*Dashboard!$C$20*A982</f>
        <v>152266.85228222783</v>
      </c>
      <c r="Q982" s="8">
        <f>-P982-Dashboard!$C$13-Dashboard!$C$14</f>
        <v>-202266.85228222783</v>
      </c>
    </row>
    <row r="983" spans="1:17" x14ac:dyDescent="0.25">
      <c r="A983" s="5">
        <f>(983-2)/100</f>
        <v>9.81</v>
      </c>
      <c r="B983" s="5">
        <f>Dashboard!$C$10*EXP(-Dashboard!$C$12*A983)</f>
        <v>6.4547569237969563E-3</v>
      </c>
      <c r="C983" s="5">
        <f>Dashboard!$C$17*A983</f>
        <v>7848</v>
      </c>
      <c r="D983" s="5">
        <f>Dashboard!$C$15*(1-EXP(-Dashboard!$C$16*A983))</f>
        <v>0.79407244553366829</v>
      </c>
      <c r="E983" s="5">
        <f>1/(1+EXP(MIN(700,MAX(-700,(C983-Dashboard!$C$18)/Dashboard!$C$19))))</f>
        <v>5.8485882697481704E-5</v>
      </c>
      <c r="F983" s="5">
        <f t="shared" si="67"/>
        <v>4.6442027902784555E-5</v>
      </c>
      <c r="G983" s="8">
        <f>Dashboard!$C$9*B983*Dashboard!$C$11*(1-F983)</f>
        <v>12908.914303591589</v>
      </c>
      <c r="H983" s="8">
        <f>Dashboard!$C$20*A983^2</f>
        <v>769888.8</v>
      </c>
      <c r="I983" s="8">
        <f t="shared" si="68"/>
        <v>782797.71430359164</v>
      </c>
      <c r="J983" s="8">
        <f>Dashboard!$C$13*A983</f>
        <v>196200</v>
      </c>
      <c r="K983" s="8">
        <f>Dashboard!$C$14*A983</f>
        <v>294300</v>
      </c>
      <c r="L983" s="8">
        <f>Dashboard!$C$21-K983</f>
        <v>1205700</v>
      </c>
      <c r="M983" s="8">
        <f t="shared" si="69"/>
        <v>226702.28569640836</v>
      </c>
      <c r="N983" s="8">
        <f t="shared" si="70"/>
        <v>490500</v>
      </c>
      <c r="O983" s="8">
        <f>Dashboard!$C$15*(Dashboard!$C$16*EXP(-Dashboard!$C$16*A983)*E983-(1-EXP(-Dashboard!$C$16*A983))*Dashboard!$C$17/Dashboard!$C$19*E983*(1-E983))</f>
        <v>-6.1745743138784124E-5</v>
      </c>
      <c r="P983" s="8">
        <f>Dashboard!$C$9*B983*Dashboard!$C$11*(-Dashboard!$C$12*(1-F983)-O983)+2*Dashboard!$C$20*A983</f>
        <v>152442.67710126902</v>
      </c>
      <c r="Q983" s="8">
        <f>-P983-Dashboard!$C$13-Dashboard!$C$14</f>
        <v>-202442.67710126902</v>
      </c>
    </row>
    <row r="984" spans="1:17" x14ac:dyDescent="0.25">
      <c r="A984" s="5">
        <f>(984-2)/100</f>
        <v>9.82</v>
      </c>
      <c r="B984" s="5">
        <f>Dashboard!$C$10*EXP(-Dashboard!$C$12*A984)</f>
        <v>6.4322047638655407E-3</v>
      </c>
      <c r="C984" s="5">
        <f>Dashboard!$C$17*A984</f>
        <v>7856</v>
      </c>
      <c r="D984" s="5">
        <f>Dashboard!$C$15*(1-EXP(-Dashboard!$C$16*A984))</f>
        <v>0.7941020093349056</v>
      </c>
      <c r="E984" s="5">
        <f>1/(1+EXP(MIN(700,MAX(-700,(C984-Dashboard!$C$18)/Dashboard!$C$19))))</f>
        <v>5.7711291349837143E-5</v>
      </c>
      <c r="F984" s="5">
        <f t="shared" si="67"/>
        <v>4.5828652422217829E-5</v>
      </c>
      <c r="G984" s="8">
        <f>Dashboard!$C$9*B984*Dashboard!$C$11*(1-F984)</f>
        <v>12863.819969178217</v>
      </c>
      <c r="H984" s="8">
        <f>Dashboard!$C$20*A984^2</f>
        <v>771459.2</v>
      </c>
      <c r="I984" s="8">
        <f t="shared" si="68"/>
        <v>784323.01996917813</v>
      </c>
      <c r="J984" s="8">
        <f>Dashboard!$C$13*A984</f>
        <v>196400</v>
      </c>
      <c r="K984" s="8">
        <f>Dashboard!$C$14*A984</f>
        <v>294600</v>
      </c>
      <c r="L984" s="8">
        <f>Dashboard!$C$21-K984</f>
        <v>1205400</v>
      </c>
      <c r="M984" s="8">
        <f t="shared" si="69"/>
        <v>224676.98003082187</v>
      </c>
      <c r="N984" s="8">
        <f t="shared" si="70"/>
        <v>491000</v>
      </c>
      <c r="O984" s="8">
        <f>Dashboard!$C$15*(Dashboard!$C$16*EXP(-Dashboard!$C$16*A984)*E984-(1-EXP(-Dashboard!$C$16*A984))*Dashboard!$C$17/Dashboard!$C$19*E984*(1-E984))</f>
        <v>-6.0931153126515025E-5</v>
      </c>
      <c r="P984" s="8">
        <f>Dashboard!$C$9*B984*Dashboard!$C$11*(-Dashboard!$C$12*(1-F984)-O984)+2*Dashboard!$C$20*A984</f>
        <v>152618.44685409445</v>
      </c>
      <c r="Q984" s="8">
        <f>-P984-Dashboard!$C$13-Dashboard!$C$14</f>
        <v>-202618.44685409445</v>
      </c>
    </row>
    <row r="985" spans="1:17" x14ac:dyDescent="0.25">
      <c r="A985" s="5">
        <f>(985-2)/100</f>
        <v>9.83</v>
      </c>
      <c r="B985" s="5">
        <f>Dashboard!$C$10*EXP(-Dashboard!$C$12*A985)</f>
        <v>6.409731398522917E-3</v>
      </c>
      <c r="C985" s="5">
        <f>Dashboard!$C$17*A985</f>
        <v>7864</v>
      </c>
      <c r="D985" s="5">
        <f>Dashboard!$C$15*(1-EXP(-Dashboard!$C$16*A985))</f>
        <v>0.7941314256860692</v>
      </c>
      <c r="E985" s="5">
        <f>1/(1+EXP(MIN(700,MAX(-700,(C985-Dashboard!$C$18)/Dashboard!$C$19))))</f>
        <v>5.6946958162939602E-5</v>
      </c>
      <c r="F985" s="5">
        <f t="shared" si="67"/>
        <v>4.5223369074420166E-5</v>
      </c>
      <c r="G985" s="8">
        <f>Dashboard!$C$9*B985*Dashboard!$C$11*(1-F985)</f>
        <v>12818.883057748426</v>
      </c>
      <c r="H985" s="8">
        <f>Dashboard!$C$20*A985^2</f>
        <v>773031.20000000007</v>
      </c>
      <c r="I985" s="8">
        <f t="shared" si="68"/>
        <v>785850.0830577485</v>
      </c>
      <c r="J985" s="8">
        <f>Dashboard!$C$13*A985</f>
        <v>196600</v>
      </c>
      <c r="K985" s="8">
        <f>Dashboard!$C$14*A985</f>
        <v>294900</v>
      </c>
      <c r="L985" s="8">
        <f>Dashboard!$C$21-K985</f>
        <v>1205100</v>
      </c>
      <c r="M985" s="8">
        <f t="shared" si="69"/>
        <v>222649.9169422515</v>
      </c>
      <c r="N985" s="8">
        <f t="shared" si="70"/>
        <v>491500</v>
      </c>
      <c r="O985" s="8">
        <f>Dashboard!$C$15*(Dashboard!$C$16*EXP(-Dashboard!$C$16*A985)*E985-(1-EXP(-Dashboard!$C$16*A985))*Dashboard!$C$17/Dashboard!$C$19*E985*(1-E985))</f>
        <v>-6.0127292926852224E-5</v>
      </c>
      <c r="P985" s="8">
        <f>Dashboard!$C$9*B985*Dashboard!$C$11*(-Dashboard!$C$12*(1-F985)-O985)+2*Dashboard!$C$20*A985</f>
        <v>152794.16172938282</v>
      </c>
      <c r="Q985" s="8">
        <f>-P985-Dashboard!$C$13-Dashboard!$C$14</f>
        <v>-202794.16172938282</v>
      </c>
    </row>
    <row r="986" spans="1:17" x14ac:dyDescent="0.25">
      <c r="A986" s="5">
        <f>(986-2)/100</f>
        <v>9.84</v>
      </c>
      <c r="B986" s="5">
        <f>Dashboard!$C$10*EXP(-Dashboard!$C$12*A986)</f>
        <v>6.3873365524700788E-3</v>
      </c>
      <c r="C986" s="5">
        <f>Dashboard!$C$17*A986</f>
        <v>7872</v>
      </c>
      <c r="D986" s="5">
        <f>Dashboard!$C$15*(1-EXP(-Dashboard!$C$16*A986))</f>
        <v>0.79416069532256917</v>
      </c>
      <c r="E986" s="5">
        <f>1/(1+EXP(MIN(700,MAX(-700,(C986-Dashboard!$C$18)/Dashboard!$C$19))))</f>
        <v>5.6192747300061134E-5</v>
      </c>
      <c r="F986" s="5">
        <f t="shared" si="67"/>
        <v>4.4626071267901969E-5</v>
      </c>
      <c r="G986" s="8">
        <f>Dashboard!$C$9*B986*Dashboard!$C$11*(1-F986)</f>
        <v>12774.103021467752</v>
      </c>
      <c r="H986" s="8">
        <f>Dashboard!$C$20*A986^2</f>
        <v>774604.79999999993</v>
      </c>
      <c r="I986" s="8">
        <f t="shared" si="68"/>
        <v>787378.90302146773</v>
      </c>
      <c r="J986" s="8">
        <f>Dashboard!$C$13*A986</f>
        <v>196800</v>
      </c>
      <c r="K986" s="8">
        <f>Dashboard!$C$14*A986</f>
        <v>295200</v>
      </c>
      <c r="L986" s="8">
        <f>Dashboard!$C$21-K986</f>
        <v>1204800</v>
      </c>
      <c r="M986" s="8">
        <f t="shared" si="69"/>
        <v>220621.09697853227</v>
      </c>
      <c r="N986" s="8">
        <f t="shared" si="70"/>
        <v>492000</v>
      </c>
      <c r="O986" s="8">
        <f>Dashboard!$C$15*(Dashboard!$C$16*EXP(-Dashboard!$C$16*A986)*E986-(1-EXP(-Dashboard!$C$16*A986))*Dashboard!$C$17/Dashboard!$C$19*E986*(1-E986))</f>
        <v>-5.9334021522401501E-5</v>
      </c>
      <c r="P986" s="8">
        <f>Dashboard!$C$9*B986*Dashboard!$C$11*(-Dashboard!$C$12*(1-F986)-O986)+2*Dashboard!$C$20*A986</f>
        <v>152969.82191521523</v>
      </c>
      <c r="Q986" s="8">
        <f>-P986-Dashboard!$C$13-Dashboard!$C$14</f>
        <v>-202969.82191521523</v>
      </c>
    </row>
    <row r="987" spans="1:17" x14ac:dyDescent="0.25">
      <c r="A987" s="5">
        <f>(987-2)/100</f>
        <v>9.85</v>
      </c>
      <c r="B987" s="5">
        <f>Dashboard!$C$10*EXP(-Dashboard!$C$12*A987)</f>
        <v>6.3650199513698852E-3</v>
      </c>
      <c r="C987" s="5">
        <f>Dashboard!$C$17*A987</f>
        <v>7880</v>
      </c>
      <c r="D987" s="5">
        <f>Dashboard!$C$15*(1-EXP(-Dashboard!$C$16*A987))</f>
        <v>0.79418981897614804</v>
      </c>
      <c r="E987" s="5">
        <f>1/(1+EXP(MIN(700,MAX(-700,(C987-Dashboard!$C$18)/Dashboard!$C$19))))</f>
        <v>5.5448524722794907E-5</v>
      </c>
      <c r="F987" s="5">
        <f t="shared" si="67"/>
        <v>4.4036653812090957E-5</v>
      </c>
      <c r="G987" s="8">
        <f>Dashboard!$C$9*B987*Dashboard!$C$11*(1-F987)</f>
        <v>12729.47931437956</v>
      </c>
      <c r="H987" s="8">
        <f>Dashboard!$C$20*A987^2</f>
        <v>776180</v>
      </c>
      <c r="I987" s="8">
        <f t="shared" si="68"/>
        <v>788909.47931437951</v>
      </c>
      <c r="J987" s="8">
        <f>Dashboard!$C$13*A987</f>
        <v>197000</v>
      </c>
      <c r="K987" s="8">
        <f>Dashboard!$C$14*A987</f>
        <v>295500</v>
      </c>
      <c r="L987" s="8">
        <f>Dashboard!$C$21-K987</f>
        <v>1204500</v>
      </c>
      <c r="M987" s="8">
        <f t="shared" si="69"/>
        <v>218590.52068562049</v>
      </c>
      <c r="N987" s="8">
        <f t="shared" si="70"/>
        <v>492500</v>
      </c>
      <c r="O987" s="8">
        <f>Dashboard!$C$15*(Dashboard!$C$16*EXP(-Dashboard!$C$16*A987)*E987-(1-EXP(-Dashboard!$C$16*A987))*Dashboard!$C$17/Dashboard!$C$19*E987*(1-E987))</f>
        <v>-5.8551199743065311E-5</v>
      </c>
      <c r="P987" s="8">
        <f>Dashboard!$C$9*B987*Dashboard!$C$11*(-Dashboard!$C$12*(1-F987)-O987)+2*Dashboard!$C$20*A987</f>
        <v>153145.42759907624</v>
      </c>
      <c r="Q987" s="8">
        <f>-P987-Dashboard!$C$13-Dashboard!$C$14</f>
        <v>-203145.42759907624</v>
      </c>
    </row>
    <row r="988" spans="1:17" x14ac:dyDescent="0.25">
      <c r="A988" s="5">
        <f>(988-2)/100</f>
        <v>9.86</v>
      </c>
      <c r="B988" s="5">
        <f>Dashboard!$C$10*EXP(-Dashboard!$C$12*A988)</f>
        <v>6.3427813218436928E-3</v>
      </c>
      <c r="C988" s="5">
        <f>Dashboard!$C$17*A988</f>
        <v>7888</v>
      </c>
      <c r="D988" s="5">
        <f>Dashboard!$C$15*(1-EXP(-Dashboard!$C$16*A988))</f>
        <v>0.79421879737489887</v>
      </c>
      <c r="E988" s="5">
        <f>1/(1+EXP(MIN(700,MAX(-700,(C988-Dashboard!$C$18)/Dashboard!$C$19))))</f>
        <v>5.4714158167258287E-5</v>
      </c>
      <c r="F988" s="5">
        <f t="shared" si="67"/>
        <v>4.3455012898979875E-5</v>
      </c>
      <c r="G988" s="8">
        <f>Dashboard!$C$9*B988*Dashboard!$C$11*(1-F988)</f>
        <v>12685.011392399074</v>
      </c>
      <c r="H988" s="8">
        <f>Dashboard!$C$20*A988^2</f>
        <v>777756.79999999993</v>
      </c>
      <c r="I988" s="8">
        <f t="shared" si="68"/>
        <v>790441.81139239902</v>
      </c>
      <c r="J988" s="8">
        <f>Dashboard!$C$13*A988</f>
        <v>197200</v>
      </c>
      <c r="K988" s="8">
        <f>Dashboard!$C$14*A988</f>
        <v>295800</v>
      </c>
      <c r="L988" s="8">
        <f>Dashboard!$C$21-K988</f>
        <v>1204200</v>
      </c>
      <c r="M988" s="8">
        <f t="shared" si="69"/>
        <v>216558.18860760098</v>
      </c>
      <c r="N988" s="8">
        <f t="shared" si="70"/>
        <v>493000</v>
      </c>
      <c r="O988" s="8">
        <f>Dashboard!$C$15*(Dashboard!$C$16*EXP(-Dashboard!$C$16*A988)*E988-(1-EXP(-Dashboard!$C$16*A988))*Dashboard!$C$17/Dashboard!$C$19*E988*(1-E988))</f>
        <v>-5.7778690241961232E-5</v>
      </c>
      <c r="P988" s="8">
        <f>Dashboard!$C$9*B988*Dashboard!$C$11*(-Dashboard!$C$12*(1-F988)-O988)+2*Dashboard!$C$20*A988</f>
        <v>153320.97896785487</v>
      </c>
      <c r="Q988" s="8">
        <f>-P988-Dashboard!$C$13-Dashboard!$C$14</f>
        <v>-203320.97896785487</v>
      </c>
    </row>
    <row r="989" spans="1:17" x14ac:dyDescent="0.25">
      <c r="A989" s="5">
        <f>(989-2)/100</f>
        <v>9.8699999999999992</v>
      </c>
      <c r="B989" s="5">
        <f>Dashboard!$C$10*EXP(-Dashboard!$C$12*A989)</f>
        <v>6.3206203914680098E-3</v>
      </c>
      <c r="C989" s="5">
        <f>Dashboard!$C$17*A989</f>
        <v>7895.9999999999991</v>
      </c>
      <c r="D989" s="5">
        <f>Dashboard!$C$15*(1-EXP(-Dashboard!$C$16*A989))</f>
        <v>0.7942476312432829</v>
      </c>
      <c r="E989" s="5">
        <f>1/(1+EXP(MIN(700,MAX(-700,(C989-Dashboard!$C$18)/Dashboard!$C$19))))</f>
        <v>5.3989517120610067E-5</v>
      </c>
      <c r="F989" s="5">
        <f t="shared" si="67"/>
        <v>4.2881046085013211E-5</v>
      </c>
      <c r="G989" s="8">
        <f>Dashboard!$C$9*B989*Dashboard!$C$11*(1-F989)</f>
        <v>12640.698713307436</v>
      </c>
      <c r="H989" s="8">
        <f>Dashboard!$C$20*A989^2</f>
        <v>779335.19999999984</v>
      </c>
      <c r="I989" s="8">
        <f t="shared" si="68"/>
        <v>791975.89871330722</v>
      </c>
      <c r="J989" s="8">
        <f>Dashboard!$C$13*A989</f>
        <v>197399.99999999997</v>
      </c>
      <c r="K989" s="8">
        <f>Dashboard!$C$14*A989</f>
        <v>296100</v>
      </c>
      <c r="L989" s="8">
        <f>Dashboard!$C$21-K989</f>
        <v>1203900</v>
      </c>
      <c r="M989" s="8">
        <f t="shared" si="69"/>
        <v>214524.10128669281</v>
      </c>
      <c r="N989" s="8">
        <f t="shared" si="70"/>
        <v>493500</v>
      </c>
      <c r="O989" s="8">
        <f>Dashboard!$C$15*(Dashboard!$C$16*EXP(-Dashboard!$C$16*A989)*E989-(1-EXP(-Dashboard!$C$16*A989))*Dashboard!$C$17/Dashboard!$C$19*E989*(1-E989))</f>
        <v>-5.7016357471651188E-5</v>
      </c>
      <c r="P989" s="8">
        <f>Dashboard!$C$9*B989*Dashboard!$C$11*(-Dashboard!$C$12*(1-F989)-O989)+2*Dashboard!$C$20*A989</f>
        <v>153496.47620784576</v>
      </c>
      <c r="Q989" s="8">
        <f>-P989-Dashboard!$C$13-Dashboard!$C$14</f>
        <v>-203496.47620784576</v>
      </c>
    </row>
    <row r="990" spans="1:17" x14ac:dyDescent="0.25">
      <c r="A990" s="5">
        <f>(990-2)/100</f>
        <v>9.8800000000000008</v>
      </c>
      <c r="B990" s="5">
        <f>Dashboard!$C$10*EXP(-Dashboard!$C$12*A990)</f>
        <v>6.2985368887711578E-3</v>
      </c>
      <c r="C990" s="5">
        <f>Dashboard!$C$17*A990</f>
        <v>7904.0000000000009</v>
      </c>
      <c r="D990" s="5">
        <f>Dashboard!$C$15*(1-EXP(-Dashboard!$C$16*A990))</f>
        <v>0.79427632130214842</v>
      </c>
      <c r="E990" s="5">
        <f>1/(1+EXP(MIN(700,MAX(-700,(C990-Dashboard!$C$18)/Dashboard!$C$19))))</f>
        <v>5.3274472797878592E-5</v>
      </c>
      <c r="F990" s="5">
        <f t="shared" si="67"/>
        <v>4.2314652273210381E-5</v>
      </c>
      <c r="G990" s="8">
        <f>Dashboard!$C$9*B990*Dashboard!$C$11*(1-F990)</f>
        <v>12596.540736745759</v>
      </c>
      <c r="H990" s="8">
        <f>Dashboard!$C$20*A990^2</f>
        <v>780915.20000000019</v>
      </c>
      <c r="I990" s="8">
        <f t="shared" si="68"/>
        <v>793511.740736746</v>
      </c>
      <c r="J990" s="8">
        <f>Dashboard!$C$13*A990</f>
        <v>197600.00000000003</v>
      </c>
      <c r="K990" s="8">
        <f>Dashboard!$C$14*A990</f>
        <v>296400</v>
      </c>
      <c r="L990" s="8">
        <f>Dashboard!$C$21-K990</f>
        <v>1203600</v>
      </c>
      <c r="M990" s="8">
        <f t="shared" si="69"/>
        <v>212488.25926325397</v>
      </c>
      <c r="N990" s="8">
        <f t="shared" si="70"/>
        <v>494000</v>
      </c>
      <c r="O990" s="8">
        <f>Dashboard!$C$15*(Dashboard!$C$16*EXP(-Dashboard!$C$16*A990)*E990-(1-EXP(-Dashboard!$C$16*A990))*Dashboard!$C$17/Dashboard!$C$19*E990*(1-E990))</f>
        <v>-5.6264067660678948E-5</v>
      </c>
      <c r="P990" s="8">
        <f>Dashboard!$C$9*B990*Dashboard!$C$11*(-Dashboard!$C$12*(1-F990)-O990)+2*Dashboard!$C$20*A990</f>
        <v>153671.91950475035</v>
      </c>
      <c r="Q990" s="8">
        <f>-P990-Dashboard!$C$13-Dashboard!$C$14</f>
        <v>-203671.91950475035</v>
      </c>
    </row>
    <row r="991" spans="1:17" x14ac:dyDescent="0.25">
      <c r="A991" s="5">
        <f>(991-2)/100</f>
        <v>9.89</v>
      </c>
      <c r="B991" s="5">
        <f>Dashboard!$C$10*EXP(-Dashboard!$C$12*A991)</f>
        <v>6.2765305432299634E-3</v>
      </c>
      <c r="C991" s="5">
        <f>Dashboard!$C$17*A991</f>
        <v>7912</v>
      </c>
      <c r="D991" s="5">
        <f>Dashboard!$C$15*(1-EXP(-Dashboard!$C$16*A991))</f>
        <v>0.79430486826874835</v>
      </c>
      <c r="E991" s="5">
        <f>1/(1+EXP(MIN(700,MAX(-700,(C991-Dashboard!$C$18)/Dashboard!$C$19))))</f>
        <v>5.2568898119097168E-5</v>
      </c>
      <c r="F991" s="5">
        <f t="shared" si="67"/>
        <v>4.175573169552273E-5</v>
      </c>
      <c r="G991" s="8">
        <f>Dashboard!$C$9*B991*Dashboard!$C$11*(1-F991)</f>
        <v>12552.536924209244</v>
      </c>
      <c r="H991" s="8">
        <f>Dashboard!$C$20*A991^2</f>
        <v>782496.80000000016</v>
      </c>
      <c r="I991" s="8">
        <f t="shared" si="68"/>
        <v>795049.33692420938</v>
      </c>
      <c r="J991" s="8">
        <f>Dashboard!$C$13*A991</f>
        <v>197800</v>
      </c>
      <c r="K991" s="8">
        <f>Dashboard!$C$14*A991</f>
        <v>296700</v>
      </c>
      <c r="L991" s="8">
        <f>Dashboard!$C$21-K991</f>
        <v>1203300</v>
      </c>
      <c r="M991" s="8">
        <f t="shared" si="69"/>
        <v>210450.66307579062</v>
      </c>
      <c r="N991" s="8">
        <f t="shared" si="70"/>
        <v>494500</v>
      </c>
      <c r="O991" s="8">
        <f>Dashboard!$C$15*(Dashboard!$C$16*EXP(-Dashboard!$C$16*A991)*E991-(1-EXP(-Dashboard!$C$16*A991))*Dashboard!$C$17/Dashboard!$C$19*E991*(1-E991))</f>
        <v>-5.5521688790412272E-5</v>
      </c>
      <c r="P991" s="8">
        <f>Dashboard!$C$9*B991*Dashboard!$C$11*(-Dashboard!$C$12*(1-F991)-O991)+2*Dashboard!$C$20*A991</f>
        <v>153847.30904367779</v>
      </c>
      <c r="Q991" s="8">
        <f>-P991-Dashboard!$C$13-Dashboard!$C$14</f>
        <v>-203847.30904367779</v>
      </c>
    </row>
    <row r="992" spans="1:17" x14ac:dyDescent="0.25">
      <c r="A992" s="5">
        <f>(992-2)/100</f>
        <v>9.9</v>
      </c>
      <c r="B992" s="5">
        <f>Dashboard!$C$10*EXP(-Dashboard!$C$12*A992)</f>
        <v>6.2546010852664122E-3</v>
      </c>
      <c r="C992" s="5">
        <f>Dashboard!$C$17*A992</f>
        <v>7920</v>
      </c>
      <c r="D992" s="5">
        <f>Dashboard!$C$15*(1-EXP(-Dashboard!$C$16*A992))</f>
        <v>0.79433327285675837</v>
      </c>
      <c r="E992" s="5">
        <f>1/(1+EXP(MIN(700,MAX(-700,(C992-Dashboard!$C$18)/Dashboard!$C$19))))</f>
        <v>5.1872667686739042E-5</v>
      </c>
      <c r="F992" s="5">
        <f t="shared" si="67"/>
        <v>4.1204185895418437E-5</v>
      </c>
      <c r="G992" s="8">
        <f>Dashboard!$C$9*B992*Dashboard!$C$11*(1-F992)</f>
        <v>12508.686739041186</v>
      </c>
      <c r="H992" s="8">
        <f>Dashboard!$C$20*A992^2</f>
        <v>784080</v>
      </c>
      <c r="I992" s="8">
        <f t="shared" si="68"/>
        <v>796588.68673904124</v>
      </c>
      <c r="J992" s="8">
        <f>Dashboard!$C$13*A992</f>
        <v>198000</v>
      </c>
      <c r="K992" s="8">
        <f>Dashboard!$C$14*A992</f>
        <v>297000</v>
      </c>
      <c r="L992" s="8">
        <f>Dashboard!$C$21-K992</f>
        <v>1203000</v>
      </c>
      <c r="M992" s="8">
        <f t="shared" si="69"/>
        <v>208411.31326095876</v>
      </c>
      <c r="N992" s="8">
        <f t="shared" si="70"/>
        <v>495000</v>
      </c>
      <c r="O992" s="8">
        <f>Dashboard!$C$15*(Dashboard!$C$16*EXP(-Dashboard!$C$16*A992)*E992-(1-EXP(-Dashboard!$C$16*A992))*Dashboard!$C$17/Dashboard!$C$19*E992*(1-E992))</f>
        <v>-5.4789090572181828E-5</v>
      </c>
      <c r="P992" s="8">
        <f>Dashboard!$C$9*B992*Dashboard!$C$11*(-Dashboard!$C$12*(1-F992)-O992)+2*Dashboard!$C$20*A992</f>
        <v>154022.6450091463</v>
      </c>
      <c r="Q992" s="8">
        <f>-P992-Dashboard!$C$13-Dashboard!$C$14</f>
        <v>-204022.6450091463</v>
      </c>
    </row>
    <row r="993" spans="1:17" x14ac:dyDescent="0.25">
      <c r="A993" s="5">
        <f>(993-2)/100</f>
        <v>9.91</v>
      </c>
      <c r="B993" s="5">
        <f>Dashboard!$C$10*EXP(-Dashboard!$C$12*A993)</f>
        <v>6.2327482462443719E-3</v>
      </c>
      <c r="C993" s="5">
        <f>Dashboard!$C$17*A993</f>
        <v>7928</v>
      </c>
      <c r="D993" s="5">
        <f>Dashboard!$C$15*(1-EXP(-Dashboard!$C$16*A993))</f>
        <v>0.79436153577629465</v>
      </c>
      <c r="E993" s="5">
        <f>1/(1+EXP(MIN(700,MAX(-700,(C993-Dashboard!$C$18)/Dashboard!$C$19))))</f>
        <v>5.1185657763453912E-5</v>
      </c>
      <c r="F993" s="5">
        <f t="shared" si="67"/>
        <v>4.0659917710697065E-5</v>
      </c>
      <c r="G993" s="8">
        <f>Dashboard!$C$9*B993*Dashboard!$C$11*(1-F993)</f>
        <v>12464.989646427137</v>
      </c>
      <c r="H993" s="8">
        <f>Dashboard!$C$20*A993^2</f>
        <v>785664.8</v>
      </c>
      <c r="I993" s="8">
        <f t="shared" si="68"/>
        <v>798129.78964642715</v>
      </c>
      <c r="J993" s="8">
        <f>Dashboard!$C$13*A993</f>
        <v>198200</v>
      </c>
      <c r="K993" s="8">
        <f>Dashboard!$C$14*A993</f>
        <v>297300</v>
      </c>
      <c r="L993" s="8">
        <f>Dashboard!$C$21-K993</f>
        <v>1202700</v>
      </c>
      <c r="M993" s="8">
        <f t="shared" si="69"/>
        <v>206370.21035357285</v>
      </c>
      <c r="N993" s="8">
        <f t="shared" si="70"/>
        <v>495500</v>
      </c>
      <c r="O993" s="8">
        <f>Dashboard!$C$15*(Dashboard!$C$16*EXP(-Dashboard!$C$16*A993)*E993-(1-EXP(-Dashboard!$C$16*A993))*Dashboard!$C$17/Dashboard!$C$19*E993*(1-E993))</f>
        <v>-5.4066144424719546E-5</v>
      </c>
      <c r="P993" s="8">
        <f>Dashboard!$C$9*B993*Dashboard!$C$11*(-Dashboard!$C$12*(1-F993)-O993)+2*Dashboard!$C$20*A993</f>
        <v>154197.9275850842</v>
      </c>
      <c r="Q993" s="8">
        <f>-P993-Dashboard!$C$13-Dashboard!$C$14</f>
        <v>-204197.9275850842</v>
      </c>
    </row>
    <row r="994" spans="1:17" x14ac:dyDescent="0.25">
      <c r="A994" s="5">
        <f>(994-2)/100</f>
        <v>9.92</v>
      </c>
      <c r="B994" s="5">
        <f>Dashboard!$C$10*EXP(-Dashboard!$C$12*A994)</f>
        <v>6.2109717584662863E-3</v>
      </c>
      <c r="C994" s="5">
        <f>Dashboard!$C$17*A994</f>
        <v>7936</v>
      </c>
      <c r="D994" s="5">
        <f>Dashboard!$C$15*(1-EXP(-Dashboard!$C$16*A994))</f>
        <v>0.79438965773393166</v>
      </c>
      <c r="E994" s="5">
        <f>1/(1+EXP(MIN(700,MAX(-700,(C994-Dashboard!$C$18)/Dashboard!$C$19))))</f>
        <v>5.0507746250096944E-5</v>
      </c>
      <c r="F994" s="5">
        <f t="shared" si="67"/>
        <v>4.012283125652678E-5</v>
      </c>
      <c r="G994" s="8">
        <f>Dashboard!$C$9*B994*Dashboard!$C$11*(1-F994)</f>
        <v>12421.445113388963</v>
      </c>
      <c r="H994" s="8">
        <f>Dashboard!$C$20*A994^2</f>
        <v>787251.20000000007</v>
      </c>
      <c r="I994" s="8">
        <f t="shared" si="68"/>
        <v>799672.64511338901</v>
      </c>
      <c r="J994" s="8">
        <f>Dashboard!$C$13*A994</f>
        <v>198400</v>
      </c>
      <c r="K994" s="8">
        <f>Dashboard!$C$14*A994</f>
        <v>297600</v>
      </c>
      <c r="L994" s="8">
        <f>Dashboard!$C$21-K994</f>
        <v>1202400</v>
      </c>
      <c r="M994" s="8">
        <f t="shared" si="69"/>
        <v>204327.35488661099</v>
      </c>
      <c r="N994" s="8">
        <f t="shared" si="70"/>
        <v>496000</v>
      </c>
      <c r="O994" s="8">
        <f>Dashboard!$C$15*(Dashboard!$C$16*EXP(-Dashboard!$C$16*A994)*E994-(1-EXP(-Dashboard!$C$16*A994))*Dashboard!$C$17/Dashboard!$C$19*E994*(1-E994))</f>
        <v>-5.3352723451887061E-5</v>
      </c>
      <c r="P994" s="8">
        <f>Dashboard!$C$9*B994*Dashboard!$C$11*(-Dashboard!$C$12*(1-F994)-O994)+2*Dashboard!$C$20*A994</f>
        <v>154373.15695483107</v>
      </c>
      <c r="Q994" s="8">
        <f>-P994-Dashboard!$C$13-Dashboard!$C$14</f>
        <v>-204373.15695483107</v>
      </c>
    </row>
    <row r="995" spans="1:17" x14ac:dyDescent="0.25">
      <c r="A995" s="5">
        <f>(995-2)/100</f>
        <v>9.93</v>
      </c>
      <c r="B995" s="5">
        <f>Dashboard!$C$10*EXP(-Dashboard!$C$12*A995)</f>
        <v>6.189271355169914E-3</v>
      </c>
      <c r="C995" s="5">
        <f>Dashboard!$C$17*A995</f>
        <v>7944</v>
      </c>
      <c r="D995" s="5">
        <f>Dashboard!$C$15*(1-EXP(-Dashboard!$C$16*A995))</f>
        <v>0.79441763943271981</v>
      </c>
      <c r="E995" s="5">
        <f>1/(1+EXP(MIN(700,MAX(-700,(C995-Dashboard!$C$18)/Dashboard!$C$19))))</f>
        <v>4.9838812664048509E-5</v>
      </c>
      <c r="F995" s="5">
        <f t="shared" si="67"/>
        <v>3.9592831908702959E-5</v>
      </c>
      <c r="G995" s="8">
        <f>Dashboard!$C$9*B995*Dashboard!$C$11*(1-F995)</f>
        <v>12378.052608779024</v>
      </c>
      <c r="H995" s="8">
        <f>Dashboard!$C$20*A995^2</f>
        <v>788839.2</v>
      </c>
      <c r="I995" s="8">
        <f t="shared" si="68"/>
        <v>801217.252608779</v>
      </c>
      <c r="J995" s="8">
        <f>Dashboard!$C$13*A995</f>
        <v>198600</v>
      </c>
      <c r="K995" s="8">
        <f>Dashboard!$C$14*A995</f>
        <v>297900</v>
      </c>
      <c r="L995" s="8">
        <f>Dashboard!$C$21-K995</f>
        <v>1202100</v>
      </c>
      <c r="M995" s="8">
        <f t="shared" si="69"/>
        <v>202282.747391221</v>
      </c>
      <c r="N995" s="8">
        <f t="shared" si="70"/>
        <v>496500</v>
      </c>
      <c r="O995" s="8">
        <f>Dashboard!$C$15*(Dashboard!$C$16*EXP(-Dashboard!$C$16*A995)*E995-(1-EXP(-Dashboard!$C$16*A995))*Dashboard!$C$17/Dashboard!$C$19*E995*(1-E995))</f>
        <v>-5.2648702420692908E-5</v>
      </c>
      <c r="P995" s="8">
        <f>Dashboard!$C$9*B995*Dashboard!$C$11*(-Dashboard!$C$12*(1-F995)-O995)+2*Dashboard!$C$20*A995</f>
        <v>154548.33330113889</v>
      </c>
      <c r="Q995" s="8">
        <f>-P995-Dashboard!$C$13-Dashboard!$C$14</f>
        <v>-204548.33330113889</v>
      </c>
    </row>
    <row r="996" spans="1:17" x14ac:dyDescent="0.25">
      <c r="A996" s="5">
        <f>(996-2)/100</f>
        <v>9.94</v>
      </c>
      <c r="B996" s="5">
        <f>Dashboard!$C$10*EXP(-Dashboard!$C$12*A996)</f>
        <v>6.1676467705250419E-3</v>
      </c>
      <c r="C996" s="5">
        <f>Dashboard!$C$17*A996</f>
        <v>7952</v>
      </c>
      <c r="D996" s="5">
        <f>Dashboard!$C$15*(1-EXP(-Dashboard!$C$16*A996))</f>
        <v>0.79444548157220307</v>
      </c>
      <c r="E996" s="5">
        <f>1/(1+EXP(MIN(700,MAX(-700,(C996-Dashboard!$C$18)/Dashboard!$C$19))))</f>
        <v>4.917873811782143E-5</v>
      </c>
      <c r="F996" s="5">
        <f t="shared" si="67"/>
        <v>3.9069826287125908E-5</v>
      </c>
      <c r="G996" s="8">
        <f>Dashboard!$C$9*B996*Dashboard!$C$11*(1-F996)</f>
        <v>12334.811603274235</v>
      </c>
      <c r="H996" s="8">
        <f>Dashboard!$C$20*A996^2</f>
        <v>790428.79999999993</v>
      </c>
      <c r="I996" s="8">
        <f t="shared" si="68"/>
        <v>802763.61160327413</v>
      </c>
      <c r="J996" s="8">
        <f>Dashboard!$C$13*A996</f>
        <v>198800</v>
      </c>
      <c r="K996" s="8">
        <f>Dashboard!$C$14*A996</f>
        <v>298200</v>
      </c>
      <c r="L996" s="8">
        <f>Dashboard!$C$21-K996</f>
        <v>1201800</v>
      </c>
      <c r="M996" s="8">
        <f t="shared" si="69"/>
        <v>200236.38839672587</v>
      </c>
      <c r="N996" s="8">
        <f t="shared" si="70"/>
        <v>497000</v>
      </c>
      <c r="O996" s="8">
        <f>Dashboard!$C$15*(Dashboard!$C$16*EXP(-Dashboard!$C$16*A996)*E996-(1-EXP(-Dashboard!$C$16*A996))*Dashboard!$C$17/Dashboard!$C$19*E996*(1-E996))</f>
        <v>-5.195395773959522E-5</v>
      </c>
      <c r="P996" s="8">
        <f>Dashboard!$C$9*B996*Dashboard!$C$11*(-Dashboard!$C$12*(1-F996)-O996)+2*Dashboard!$C$20*A996</f>
        <v>154723.45680617334</v>
      </c>
      <c r="Q996" s="8">
        <f>-P996-Dashboard!$C$13-Dashboard!$C$14</f>
        <v>-204723.45680617334</v>
      </c>
    </row>
    <row r="997" spans="1:17" x14ac:dyDescent="0.25">
      <c r="A997" s="5">
        <f>(997-2)/100</f>
        <v>9.9499999999999993</v>
      </c>
      <c r="B997" s="5">
        <f>Dashboard!$C$10*EXP(-Dashboard!$C$12*A997)</f>
        <v>6.1460977396302352E-3</v>
      </c>
      <c r="C997" s="5">
        <f>Dashboard!$C$17*A997</f>
        <v>7959.9999999999991</v>
      </c>
      <c r="D997" s="5">
        <f>Dashboard!$C$15*(1-EXP(-Dashboard!$C$16*A997))</f>
        <v>0.79447318484843643</v>
      </c>
      <c r="E997" s="5">
        <f>1/(1+EXP(MIN(700,MAX(-700,(C997-Dashboard!$C$18)/Dashboard!$C$19))))</f>
        <v>4.8527405297950303E-5</v>
      </c>
      <c r="F997" s="5">
        <f t="shared" si="67"/>
        <v>3.8553722239493467E-5</v>
      </c>
      <c r="G997" s="8">
        <f>Dashboard!$C$9*B997*Dashboard!$C$11*(1-F997)</f>
        <v>12291.721569370249</v>
      </c>
      <c r="H997" s="8">
        <f>Dashboard!$C$20*A997^2</f>
        <v>792019.99999999988</v>
      </c>
      <c r="I997" s="8">
        <f t="shared" si="68"/>
        <v>804311.72156937013</v>
      </c>
      <c r="J997" s="8">
        <f>Dashboard!$C$13*A997</f>
        <v>199000</v>
      </c>
      <c r="K997" s="8">
        <f>Dashboard!$C$14*A997</f>
        <v>298500</v>
      </c>
      <c r="L997" s="8">
        <f>Dashboard!$C$21-K997</f>
        <v>1201500</v>
      </c>
      <c r="M997" s="8">
        <f t="shared" si="69"/>
        <v>198188.27843062987</v>
      </c>
      <c r="N997" s="8">
        <f t="shared" si="70"/>
        <v>497500</v>
      </c>
      <c r="O997" s="8">
        <f>Dashboard!$C$15*(Dashboard!$C$16*EXP(-Dashboard!$C$16*A997)*E997-(1-EXP(-Dashboard!$C$16*A997))*Dashboard!$C$17/Dashboard!$C$19*E997*(1-E997))</f>
        <v>-5.1268367437084751E-5</v>
      </c>
      <c r="P997" s="8">
        <f>Dashboard!$C$9*B997*Dashboard!$C$11*(-Dashboard!$C$12*(1-F997)-O997)+2*Dashboard!$C$20*A997</f>
        <v>154898.52765151486</v>
      </c>
      <c r="Q997" s="8">
        <f>-P997-Dashboard!$C$13-Dashboard!$C$14</f>
        <v>-204898.52765151486</v>
      </c>
    </row>
    <row r="998" spans="1:17" x14ac:dyDescent="0.25">
      <c r="A998" s="5">
        <f>(998-2)/100</f>
        <v>9.9600000000000009</v>
      </c>
      <c r="B998" s="5">
        <f>Dashboard!$C$10*EXP(-Dashboard!$C$12*A998)</f>
        <v>6.1246239985095928E-3</v>
      </c>
      <c r="C998" s="5">
        <f>Dashboard!$C$17*A998</f>
        <v>7968.0000000000009</v>
      </c>
      <c r="D998" s="5">
        <f>Dashboard!$C$15*(1-EXP(-Dashboard!$C$16*A998))</f>
        <v>0.7945007499540031</v>
      </c>
      <c r="E998" s="5">
        <f>1/(1+EXP(MIN(700,MAX(-700,(C998-Dashboard!$C$18)/Dashboard!$C$19))))</f>
        <v>4.7884698444159778E-5</v>
      </c>
      <c r="F998" s="5">
        <f t="shared" si="67"/>
        <v>3.8044428825206231E-5</v>
      </c>
      <c r="G998" s="8">
        <f>Dashboard!$C$9*B998*Dashboard!$C$11*(1-F998)</f>
        <v>12248.781981375601</v>
      </c>
      <c r="H998" s="8">
        <f>Dashboard!$C$20*A998^2</f>
        <v>793612.80000000016</v>
      </c>
      <c r="I998" s="8">
        <f t="shared" si="68"/>
        <v>805861.58198137581</v>
      </c>
      <c r="J998" s="8">
        <f>Dashboard!$C$13*A998</f>
        <v>199200.00000000003</v>
      </c>
      <c r="K998" s="8">
        <f>Dashboard!$C$14*A998</f>
        <v>298800</v>
      </c>
      <c r="L998" s="8">
        <f>Dashboard!$C$21-K998</f>
        <v>1201200</v>
      </c>
      <c r="M998" s="8">
        <f t="shared" si="69"/>
        <v>196138.41801862416</v>
      </c>
      <c r="N998" s="8">
        <f t="shared" si="70"/>
        <v>498000</v>
      </c>
      <c r="O998" s="8">
        <f>Dashboard!$C$15*(Dashboard!$C$16*EXP(-Dashboard!$C$16*A998)*E998-(1-EXP(-Dashboard!$C$16*A998))*Dashboard!$C$17/Dashboard!$C$19*E998*(1-E998))</f>
        <v>-5.0591811140545144E-5</v>
      </c>
      <c r="P998" s="8">
        <f>Dashboard!$C$9*B998*Dashboard!$C$11*(-Dashboard!$C$12*(1-F998)-O998)+2*Dashboard!$C$20*A998</f>
        <v>155073.54601815983</v>
      </c>
      <c r="Q998" s="8">
        <f>-P998-Dashboard!$C$13-Dashboard!$C$14</f>
        <v>-205073.54601815983</v>
      </c>
    </row>
    <row r="999" spans="1:17" x14ac:dyDescent="0.25">
      <c r="A999" s="5">
        <f>(999-2)/100</f>
        <v>9.9700000000000006</v>
      </c>
      <c r="B999" s="5">
        <f>Dashboard!$C$10*EXP(-Dashboard!$C$12*A999)</f>
        <v>6.103225284109527E-3</v>
      </c>
      <c r="C999" s="5">
        <f>Dashboard!$C$17*A999</f>
        <v>7976.0000000000009</v>
      </c>
      <c r="D999" s="5">
        <f>Dashboard!$C$15*(1-EXP(-Dashboard!$C$16*A999))</f>
        <v>0.79452817757803207</v>
      </c>
      <c r="E999" s="5">
        <f>1/(1+EXP(MIN(700,MAX(-700,(C999-Dashboard!$C$18)/Dashboard!$C$19))))</f>
        <v>4.7250503328810105E-5</v>
      </c>
      <c r="F999" s="5">
        <f t="shared" ref="F999:F1002" si="71">D999*E999</f>
        <v>3.7541856299484233E-5</v>
      </c>
      <c r="G999" s="8">
        <f>Dashboard!$C$9*B999*Dashboard!$C$11*(1-F999)</f>
        <v>12205.992315405896</v>
      </c>
      <c r="H999" s="8">
        <f>Dashboard!$C$20*A999^2</f>
        <v>795207.20000000007</v>
      </c>
      <c r="I999" s="8">
        <f t="shared" ref="I999:I1002" si="72">G999+H999</f>
        <v>807413.19231540593</v>
      </c>
      <c r="J999" s="8">
        <f>Dashboard!$C$13*A999</f>
        <v>199400</v>
      </c>
      <c r="K999" s="8">
        <f>Dashboard!$C$14*A999</f>
        <v>299100</v>
      </c>
      <c r="L999" s="8">
        <f>Dashboard!$C$21-K999</f>
        <v>1200900</v>
      </c>
      <c r="M999" s="8">
        <f t="shared" ref="M999:M1002" si="73">L999-I999-J999</f>
        <v>194086.80768459407</v>
      </c>
      <c r="N999" s="8">
        <f t="shared" si="70"/>
        <v>498500</v>
      </c>
      <c r="O999" s="8">
        <f>Dashboard!$C$15*(Dashboard!$C$16*EXP(-Dashboard!$C$16*A999)*E999-(1-EXP(-Dashboard!$C$16*A999))*Dashboard!$C$17/Dashboard!$C$19*E999*(1-E999))</f>
        <v>-4.9924170055388979E-5</v>
      </c>
      <c r="P999" s="8">
        <f>Dashboard!$C$9*B999*Dashboard!$C$11*(-Dashboard!$C$12*(1-F999)-O999)+2*Dashboard!$C$20*A999</f>
        <v>155248.51208652186</v>
      </c>
      <c r="Q999" s="8">
        <f>-P999-Dashboard!$C$13-Dashboard!$C$14</f>
        <v>-205248.51208652186</v>
      </c>
    </row>
    <row r="1000" spans="1:17" x14ac:dyDescent="0.25">
      <c r="A1000" s="5">
        <f>(1000-2)/100</f>
        <v>9.98</v>
      </c>
      <c r="B1000" s="5">
        <f>Dashboard!$C$10*EXP(-Dashboard!$C$12*A1000)</f>
        <v>6.0819013342955129E-3</v>
      </c>
      <c r="C1000" s="5">
        <f>Dashboard!$C$17*A1000</f>
        <v>7984</v>
      </c>
      <c r="D1000" s="5">
        <f>Dashboard!$C$15*(1-EXP(-Dashboard!$C$16*A1000))</f>
        <v>0.7945554684062156</v>
      </c>
      <c r="E1000" s="5">
        <f>1/(1+EXP(MIN(700,MAX(-700,(C1000-Dashboard!$C$18)/Dashboard!$C$19))))</f>
        <v>4.6624707236611573E-5</v>
      </c>
      <c r="F1000" s="5">
        <f t="shared" si="71"/>
        <v>3.7045916097688582E-5</v>
      </c>
      <c r="G1000" s="8">
        <f>Dashboard!$C$9*B1000*Dashboard!$C$11*(1-F1000)</f>
        <v>12163.352049377938</v>
      </c>
      <c r="H1000" s="8">
        <f>Dashboard!$C$20*A1000^2</f>
        <v>796803.20000000007</v>
      </c>
      <c r="I1000" s="8">
        <f t="shared" si="72"/>
        <v>808966.55204937805</v>
      </c>
      <c r="J1000" s="8">
        <f>Dashboard!$C$13*A1000</f>
        <v>199600</v>
      </c>
      <c r="K1000" s="8">
        <f>Dashboard!$C$14*A1000</f>
        <v>299400</v>
      </c>
      <c r="L1000" s="8">
        <f>Dashboard!$C$21-K1000</f>
        <v>1200600</v>
      </c>
      <c r="M1000" s="8">
        <f t="shared" si="73"/>
        <v>192033.44795062195</v>
      </c>
      <c r="N1000" s="8">
        <f t="shared" si="70"/>
        <v>499000</v>
      </c>
      <c r="O1000" s="8">
        <f>Dashboard!$C$15*(Dashboard!$C$16*EXP(-Dashboard!$C$16*A1000)*E1000-(1-EXP(-Dashboard!$C$16*A1000))*Dashboard!$C$17/Dashboard!$C$19*E1000*(1-E1000))</f>
        <v>-4.9265326944461274E-5</v>
      </c>
      <c r="P1000" s="8">
        <f>Dashboard!$C$9*B1000*Dashboard!$C$11*(-Dashboard!$C$12*(1-F1000)-O1000)+2*Dashboard!$C$20*A1000</f>
        <v>155423.42603643308</v>
      </c>
      <c r="Q1000" s="8">
        <f>-P1000-Dashboard!$C$13-Dashboard!$C$14</f>
        <v>-205423.42603643308</v>
      </c>
    </row>
    <row r="1001" spans="1:17" x14ac:dyDescent="0.25">
      <c r="A1001" s="5">
        <f>(1001-2)/100</f>
        <v>9.99</v>
      </c>
      <c r="B1001" s="5">
        <f>Dashboard!$C$10*EXP(-Dashboard!$C$12*A1001)</f>
        <v>6.0606518878489005E-3</v>
      </c>
      <c r="C1001" s="5">
        <f>Dashboard!$C$17*A1001</f>
        <v>7992</v>
      </c>
      <c r="D1001" s="5">
        <f>Dashboard!$C$15*(1-EXP(-Dashboard!$C$16*A1001))</f>
        <v>0.79458262312082573</v>
      </c>
      <c r="E1001" s="5">
        <f>1/(1+EXP(MIN(700,MAX(-700,(C1001-Dashboard!$C$18)/Dashboard!$C$19))))</f>
        <v>4.6007198944609723E-5</v>
      </c>
      <c r="F1001" s="5">
        <f t="shared" si="71"/>
        <v>3.6556520819849677E-5</v>
      </c>
      <c r="G1001" s="8">
        <f>Dashboard!$C$9*B1001*Dashboard!$C$11*(1-F1001)</f>
        <v>12120.860663003961</v>
      </c>
      <c r="H1001" s="8">
        <f>Dashboard!$C$20*A1001^2</f>
        <v>798400.8</v>
      </c>
      <c r="I1001" s="8">
        <f t="shared" si="72"/>
        <v>810521.66066300403</v>
      </c>
      <c r="J1001" s="8">
        <f>Dashboard!$C$13*A1001</f>
        <v>199800</v>
      </c>
      <c r="K1001" s="8">
        <f>Dashboard!$C$14*A1001</f>
        <v>299700</v>
      </c>
      <c r="L1001" s="8">
        <f>Dashboard!$C$21-K1001</f>
        <v>1200300</v>
      </c>
      <c r="M1001" s="8">
        <f t="shared" si="73"/>
        <v>189978.33933699597</v>
      </c>
      <c r="N1001" s="8">
        <f t="shared" si="70"/>
        <v>499500</v>
      </c>
      <c r="O1001" s="8">
        <f>Dashboard!$C$15*(Dashboard!$C$16*EXP(-Dashboard!$C$16*A1001)*E1001-(1-EXP(-Dashboard!$C$16*A1001))*Dashboard!$C$17/Dashboard!$C$19*E1001*(1-E1001))</f>
        <v>-4.8615166107712405E-5</v>
      </c>
      <c r="P1001" s="8">
        <f>Dashboard!$C$9*B1001*Dashboard!$C$11*(-Dashboard!$C$12*(1-F1001)-O1001)+2*Dashboard!$C$20*A1001</f>
        <v>155598.28804714512</v>
      </c>
      <c r="Q1001" s="8">
        <f>-P1001-Dashboard!$C$13-Dashboard!$C$14</f>
        <v>-205598.28804714512</v>
      </c>
    </row>
    <row r="1002" spans="1:17" x14ac:dyDescent="0.25">
      <c r="A1002" s="5">
        <f>(1002-2)/100</f>
        <v>10</v>
      </c>
      <c r="B1002" s="5">
        <f>Dashboard!$C$10*EXP(-Dashboard!$C$12*A1002)</f>
        <v>6.0394766844637003E-3</v>
      </c>
      <c r="C1002" s="5">
        <f>Dashboard!$C$17*A1002</f>
        <v>8000</v>
      </c>
      <c r="D1002" s="5">
        <f>Dashboard!$C$15*(1-EXP(-Dashboard!$C$16*A1002))</f>
        <v>0.79460964240073162</v>
      </c>
      <c r="E1002" s="5">
        <f>1/(1+EXP(MIN(700,MAX(-700,(C1002-Dashboard!$C$18)/Dashboard!$C$19))))</f>
        <v>4.5397868702434395E-5</v>
      </c>
      <c r="F1002" s="5">
        <f t="shared" si="71"/>
        <v>3.6073584215396761E-5</v>
      </c>
      <c r="G1002" s="8">
        <f>Dashboard!$C$9*B1002*Dashboard!$C$11*(1-F1002)</f>
        <v>12078.517637785813</v>
      </c>
      <c r="H1002" s="8">
        <f>Dashboard!$C$20*A1002^2</f>
        <v>800000</v>
      </c>
      <c r="I1002" s="8">
        <f t="shared" si="72"/>
        <v>812078.51763778576</v>
      </c>
      <c r="J1002" s="8">
        <f>Dashboard!$C$13*A1002</f>
        <v>200000</v>
      </c>
      <c r="K1002" s="8">
        <f>Dashboard!$C$14*A1002</f>
        <v>300000</v>
      </c>
      <c r="L1002" s="8">
        <f>Dashboard!$C$21-K1002</f>
        <v>1200000</v>
      </c>
      <c r="M1002" s="8">
        <f t="shared" si="73"/>
        <v>187921.48236221424</v>
      </c>
      <c r="N1002" s="8">
        <f t="shared" si="70"/>
        <v>500000</v>
      </c>
      <c r="O1002" s="8">
        <f>Dashboard!$C$15*(Dashboard!$C$16*EXP(-Dashboard!$C$16*A1002)*E1002-(1-EXP(-Dashboard!$C$16*A1002))*Dashboard!$C$17/Dashboard!$C$19*E1002*(1-E1002))</f>
        <v>-4.7973573362133856E-5</v>
      </c>
      <c r="P1002" s="8">
        <f>Dashboard!$C$9*B1002*Dashboard!$C$11*(-Dashboard!$C$12*(1-F1002)-O1002)+2*Dashboard!$C$20*A1002</f>
        <v>155773.09829733055</v>
      </c>
      <c r="Q1002" s="8">
        <f>-P1002-Dashboard!$C$13-Dashboard!$C$14</f>
        <v>-205773.09829733055</v>
      </c>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H26"/>
  <sheetViews>
    <sheetView workbookViewId="0"/>
  </sheetViews>
  <sheetFormatPr baseColWidth="10" defaultColWidth="8.7109375" defaultRowHeight="15" x14ac:dyDescent="0.25"/>
  <cols>
    <col min="2" max="2" width="42" customWidth="1"/>
    <col min="3" max="8" width="23" customWidth="1"/>
  </cols>
  <sheetData>
    <row r="2" spans="2:8" ht="18" x14ac:dyDescent="0.25">
      <c r="B2" s="58" t="s">
        <v>105</v>
      </c>
      <c r="C2" s="58"/>
      <c r="D2" s="58"/>
      <c r="E2" s="58"/>
      <c r="F2" s="58"/>
      <c r="G2" s="58"/>
      <c r="H2" s="58"/>
    </row>
    <row r="3" spans="2:8" x14ac:dyDescent="0.25">
      <c r="B3" s="1" t="s">
        <v>12</v>
      </c>
    </row>
    <row r="5" spans="2:8" ht="42" customHeight="1" x14ac:dyDescent="0.25">
      <c r="B5" s="6" t="s">
        <v>13</v>
      </c>
      <c r="C5" s="24" t="s">
        <v>84</v>
      </c>
      <c r="D5" s="24" t="s">
        <v>86</v>
      </c>
      <c r="E5" s="24" t="s">
        <v>87</v>
      </c>
      <c r="F5" s="24" t="s">
        <v>88</v>
      </c>
      <c r="G5" s="7" t="s">
        <v>89</v>
      </c>
      <c r="H5" s="7" t="s">
        <v>90</v>
      </c>
    </row>
    <row r="6" spans="2:8" x14ac:dyDescent="0.25">
      <c r="B6" s="10" t="s">
        <v>14</v>
      </c>
      <c r="C6" s="25">
        <v>25</v>
      </c>
      <c r="D6" s="25">
        <v>60</v>
      </c>
      <c r="E6" s="25">
        <v>15</v>
      </c>
      <c r="F6" s="25">
        <v>10</v>
      </c>
      <c r="G6" s="26">
        <v>40</v>
      </c>
      <c r="H6" s="26">
        <v>40</v>
      </c>
    </row>
    <row r="7" spans="2:8" x14ac:dyDescent="0.25">
      <c r="B7" s="10" t="s">
        <v>15</v>
      </c>
      <c r="C7" s="27">
        <v>0.3</v>
      </c>
      <c r="D7" s="27">
        <v>0.25</v>
      </c>
      <c r="E7" s="27">
        <v>0.15</v>
      </c>
      <c r="F7" s="27">
        <v>0.35</v>
      </c>
      <c r="G7" s="26">
        <v>0.2</v>
      </c>
      <c r="H7" s="26">
        <v>0.2</v>
      </c>
    </row>
    <row r="8" spans="2:8" x14ac:dyDescent="0.25">
      <c r="B8" s="10" t="s">
        <v>16</v>
      </c>
      <c r="C8" s="28">
        <v>80000</v>
      </c>
      <c r="D8" s="28">
        <v>400000</v>
      </c>
      <c r="E8" s="28">
        <v>1200000</v>
      </c>
      <c r="F8" s="28">
        <v>5000</v>
      </c>
      <c r="G8" s="26">
        <v>250000</v>
      </c>
      <c r="H8" s="26">
        <v>250000</v>
      </c>
    </row>
    <row r="9" spans="2:8" x14ac:dyDescent="0.25">
      <c r="B9" s="10" t="s">
        <v>17</v>
      </c>
      <c r="C9" s="29">
        <v>0.3</v>
      </c>
      <c r="D9" s="29">
        <v>0.45</v>
      </c>
      <c r="E9" s="29">
        <v>0.5</v>
      </c>
      <c r="F9" s="29">
        <v>0.3</v>
      </c>
      <c r="G9" s="26">
        <v>0.35</v>
      </c>
      <c r="H9" s="26">
        <v>0.35</v>
      </c>
    </row>
    <row r="10" spans="2:8" x14ac:dyDescent="0.25">
      <c r="B10" s="10" t="s">
        <v>18</v>
      </c>
      <c r="C10" s="28">
        <v>10000</v>
      </c>
      <c r="D10" s="28">
        <v>25000</v>
      </c>
      <c r="E10" s="28">
        <v>40000</v>
      </c>
      <c r="F10" s="28">
        <v>8000</v>
      </c>
      <c r="G10" s="26">
        <v>20000</v>
      </c>
      <c r="H10" s="26">
        <v>20000</v>
      </c>
    </row>
    <row r="11" spans="2:8" x14ac:dyDescent="0.25">
      <c r="B11" s="10" t="s">
        <v>19</v>
      </c>
      <c r="C11" s="28">
        <v>25000</v>
      </c>
      <c r="D11" s="28">
        <v>20000</v>
      </c>
      <c r="E11" s="28">
        <v>45000</v>
      </c>
      <c r="F11" s="28">
        <v>12000</v>
      </c>
      <c r="G11" s="26">
        <v>30000</v>
      </c>
      <c r="H11" s="26">
        <v>30000</v>
      </c>
    </row>
    <row r="12" spans="2:8" x14ac:dyDescent="0.25">
      <c r="B12" s="10" t="s">
        <v>20</v>
      </c>
      <c r="C12" s="27">
        <v>0.6</v>
      </c>
      <c r="D12" s="27">
        <v>0.75</v>
      </c>
      <c r="E12" s="27">
        <v>0.85</v>
      </c>
      <c r="F12" s="27">
        <v>0.4</v>
      </c>
      <c r="G12" s="26">
        <v>0.8</v>
      </c>
      <c r="H12" s="26">
        <v>0.8</v>
      </c>
    </row>
    <row r="13" spans="2:8" x14ac:dyDescent="0.25">
      <c r="B13" s="10" t="s">
        <v>21</v>
      </c>
      <c r="C13" s="29">
        <v>0.4</v>
      </c>
      <c r="D13" s="29">
        <v>0.6</v>
      </c>
      <c r="E13" s="29">
        <v>0.7</v>
      </c>
      <c r="F13" s="29">
        <v>0.3</v>
      </c>
      <c r="G13" s="26">
        <v>0.5</v>
      </c>
      <c r="H13" s="26">
        <v>0.5</v>
      </c>
    </row>
    <row r="14" spans="2:8" x14ac:dyDescent="0.25">
      <c r="B14" s="10" t="s">
        <v>22</v>
      </c>
      <c r="C14" s="25">
        <v>1500</v>
      </c>
      <c r="D14" s="25">
        <v>400</v>
      </c>
      <c r="E14" s="25">
        <v>200</v>
      </c>
      <c r="F14" s="25">
        <v>600</v>
      </c>
      <c r="G14" s="26">
        <v>800</v>
      </c>
      <c r="H14" s="26">
        <v>800</v>
      </c>
    </row>
    <row r="15" spans="2:8" x14ac:dyDescent="0.25">
      <c r="B15" s="10" t="s">
        <v>23</v>
      </c>
      <c r="C15" s="25">
        <v>2500</v>
      </c>
      <c r="D15" s="25">
        <v>1500</v>
      </c>
      <c r="E15" s="25">
        <v>1000</v>
      </c>
      <c r="F15" s="25">
        <v>800</v>
      </c>
      <c r="G15" s="26">
        <v>2000</v>
      </c>
      <c r="H15" s="26">
        <v>2000</v>
      </c>
    </row>
    <row r="16" spans="2:8" x14ac:dyDescent="0.25">
      <c r="B16" s="10" t="s">
        <v>24</v>
      </c>
      <c r="C16" s="25">
        <v>450</v>
      </c>
      <c r="D16" s="25">
        <v>300</v>
      </c>
      <c r="E16" s="25">
        <v>250</v>
      </c>
      <c r="F16" s="25">
        <v>150</v>
      </c>
      <c r="G16" s="26">
        <v>600</v>
      </c>
      <c r="H16" s="26">
        <v>250</v>
      </c>
    </row>
    <row r="17" spans="2:8" x14ac:dyDescent="0.25">
      <c r="B17" s="10" t="s">
        <v>25</v>
      </c>
      <c r="C17" s="28">
        <v>15000</v>
      </c>
      <c r="D17" s="28">
        <v>5000</v>
      </c>
      <c r="E17" s="28">
        <v>3000</v>
      </c>
      <c r="F17" s="28">
        <v>20000</v>
      </c>
      <c r="G17" s="26">
        <v>8000</v>
      </c>
      <c r="H17" s="26">
        <v>8000</v>
      </c>
    </row>
    <row r="18" spans="2:8" x14ac:dyDescent="0.25">
      <c r="B18" s="10" t="s">
        <v>26</v>
      </c>
      <c r="C18" s="28">
        <v>600000</v>
      </c>
      <c r="D18" s="28">
        <v>2500000</v>
      </c>
      <c r="E18" s="28">
        <v>3000000</v>
      </c>
      <c r="F18" s="28">
        <v>150000</v>
      </c>
      <c r="G18" s="26">
        <v>1500000</v>
      </c>
      <c r="H18" s="26">
        <v>1500000</v>
      </c>
    </row>
    <row r="19" spans="2:8" x14ac:dyDescent="0.25">
      <c r="B19" s="10"/>
      <c r="C19" s="10"/>
      <c r="D19" s="10"/>
      <c r="E19" s="10"/>
      <c r="F19" s="10"/>
      <c r="G19" s="10"/>
      <c r="H19" s="10"/>
    </row>
    <row r="20" spans="2:8" x14ac:dyDescent="0.25">
      <c r="B20" s="3" t="s">
        <v>27</v>
      </c>
      <c r="C20" s="30">
        <f t="shared" ref="C20:H20" si="0">C6*C7*C8</f>
        <v>600000</v>
      </c>
      <c r="D20" s="30">
        <f t="shared" si="0"/>
        <v>6000000</v>
      </c>
      <c r="E20" s="30">
        <f t="shared" si="0"/>
        <v>2700000</v>
      </c>
      <c r="F20" s="30">
        <f t="shared" si="0"/>
        <v>17500</v>
      </c>
      <c r="G20" s="10">
        <f t="shared" si="0"/>
        <v>2000000</v>
      </c>
      <c r="H20" s="10">
        <f t="shared" si="0"/>
        <v>2000000</v>
      </c>
    </row>
    <row r="21" spans="2:8" x14ac:dyDescent="0.25">
      <c r="B21" s="3" t="s">
        <v>28</v>
      </c>
      <c r="C21" s="30">
        <f t="shared" ref="C21:H21" si="1">C10+C11</f>
        <v>35000</v>
      </c>
      <c r="D21" s="30">
        <f t="shared" si="1"/>
        <v>45000</v>
      </c>
      <c r="E21" s="30">
        <f t="shared" si="1"/>
        <v>85000</v>
      </c>
      <c r="F21" s="30">
        <f t="shared" si="1"/>
        <v>20000</v>
      </c>
      <c r="G21" s="10">
        <f t="shared" si="1"/>
        <v>50000</v>
      </c>
      <c r="H21" s="10">
        <f t="shared" si="1"/>
        <v>50000</v>
      </c>
    </row>
    <row r="22" spans="2:8" x14ac:dyDescent="0.25">
      <c r="B22" s="3" t="s">
        <v>29</v>
      </c>
      <c r="C22" s="10" t="str">
        <f t="shared" ref="C22:H22" si="2">IF(C9*C20&gt;C21,"Interior","Corner")</f>
        <v>Interior</v>
      </c>
      <c r="D22" s="10" t="str">
        <f t="shared" si="2"/>
        <v>Interior</v>
      </c>
      <c r="E22" s="10" t="str">
        <f t="shared" si="2"/>
        <v>Interior</v>
      </c>
      <c r="F22" s="10" t="str">
        <f t="shared" si="2"/>
        <v>Corner</v>
      </c>
      <c r="G22" s="10" t="str">
        <f t="shared" si="2"/>
        <v>Interior</v>
      </c>
      <c r="H22" s="10" t="str">
        <f t="shared" si="2"/>
        <v>Interior</v>
      </c>
    </row>
    <row r="23" spans="2:8" x14ac:dyDescent="0.25">
      <c r="B23" s="3" t="s">
        <v>30</v>
      </c>
      <c r="C23" s="31">
        <f t="shared" ref="C23:H23" si="3">IF(AND(C9&gt;0,C21&gt;0,C9*C20&gt;C21),LN(C9*C20/C21)/C9,0)</f>
        <v>5.4586959646693227</v>
      </c>
      <c r="D23" s="31">
        <f t="shared" si="3"/>
        <v>9.0985434716046676</v>
      </c>
      <c r="E23" s="31">
        <f t="shared" si="3"/>
        <v>5.5304172298843177</v>
      </c>
      <c r="F23" s="31">
        <f t="shared" si="3"/>
        <v>0</v>
      </c>
      <c r="G23" s="31">
        <f t="shared" si="3"/>
        <v>7.5401637989007391</v>
      </c>
      <c r="H23" s="31">
        <f t="shared" si="3"/>
        <v>7.5401637989007391</v>
      </c>
    </row>
    <row r="24" spans="2:8" x14ac:dyDescent="0.25">
      <c r="B24" s="3" t="s">
        <v>31</v>
      </c>
      <c r="C24" s="34">
        <f t="shared" ref="C24:H24" si="4">IF(C20&gt;0,C21*C23/C20,0)</f>
        <v>0.31842393127237717</v>
      </c>
      <c r="D24" s="34">
        <f t="shared" si="4"/>
        <v>6.823907603703501E-2</v>
      </c>
      <c r="E24" s="34">
        <f t="shared" si="4"/>
        <v>0.17410572760746926</v>
      </c>
      <c r="F24" s="34">
        <f t="shared" si="4"/>
        <v>0</v>
      </c>
      <c r="G24" s="34">
        <f t="shared" si="4"/>
        <v>0.18850409497251847</v>
      </c>
      <c r="H24" s="34">
        <f t="shared" si="4"/>
        <v>0.18850409497251847</v>
      </c>
    </row>
    <row r="25" spans="2:8" x14ac:dyDescent="0.25">
      <c r="B25" s="3" t="s">
        <v>32</v>
      </c>
      <c r="C25" s="32">
        <f>INDEX(ScenarioCurves!$A$2:$A$1002,MATCH(MAX(ScenarioCurves!B2:B1002),ScenarioCurves!B2:B1002,0))</f>
        <v>1.35</v>
      </c>
      <c r="D25" s="32">
        <f>INDEX(ScenarioCurves!$A$2:$A$1002,MATCH(MAX(ScenarioCurves!D2:D1002),ScenarioCurves!D2:D1002,0))</f>
        <v>6.93</v>
      </c>
      <c r="E25" s="32">
        <f>INDEX(ScenarioCurves!$A$2:$A$1002,MATCH(MAX(ScenarioCurves!F2:F1002),ScenarioCurves!F2:F1002,0))</f>
        <v>2.98</v>
      </c>
      <c r="F25" s="32">
        <f>INDEX(ScenarioCurves!$A$2:$A$1002,MATCH(MAX(ScenarioCurves!H2:H1002),ScenarioCurves!H2:H1002,0))</f>
        <v>0</v>
      </c>
      <c r="G25" s="31">
        <f>INDEX(ScenarioCurves!$A$2:$A$1002,MATCH(MAX(ScenarioCurves!J2:J1002),ScenarioCurves!J2:J1002,0))</f>
        <v>2.59</v>
      </c>
      <c r="H25" s="31">
        <f>INDEX(ScenarioCurves!$A$2:$A$1002,MATCH(MAX(ScenarioCurves!L2:L1002),ScenarioCurves!L2:L1002,0))</f>
        <v>2.02</v>
      </c>
    </row>
    <row r="26" spans="2:8" x14ac:dyDescent="0.25">
      <c r="B26" s="3" t="s">
        <v>33</v>
      </c>
      <c r="C26" s="32">
        <f>INDEX(ScenarioCurves!$A$2:$A$1002,MATCH(MIN(ScenarioCurves!C2:C1002),ScenarioCurves!C2:C1002,0))</f>
        <v>1.51</v>
      </c>
      <c r="D26" s="32">
        <f>INDEX(ScenarioCurves!$A$2:$A$1002,MATCH(MIN(ScenarioCurves!E2:E1002),ScenarioCurves!E2:E1002,0))</f>
        <v>7.84</v>
      </c>
      <c r="E26" s="32">
        <f>INDEX(ScenarioCurves!$A$2:$A$1002,MATCH(MIN(ScenarioCurves!G2:G1002),ScenarioCurves!G2:G1002,0))</f>
        <v>5.09</v>
      </c>
      <c r="F26" s="32">
        <f>INDEX(ScenarioCurves!$A$2:$A$1002,MATCH(MIN(ScenarioCurves!I2:I1002),ScenarioCurves!I2:I1002,0))</f>
        <v>0.17</v>
      </c>
      <c r="G26" s="31">
        <f>INDEX(ScenarioCurves!$A$2:$A$1002,MATCH(MIN(ScenarioCurves!K2:K1002),ScenarioCurves!K2:K1002,0))</f>
        <v>5.69</v>
      </c>
      <c r="H26" s="31">
        <f>INDEX(ScenarioCurves!$A$2:$A$1002,MATCH(MIN(ScenarioCurves!M2:M1002),ScenarioCurves!M2:M1002,0))</f>
        <v>5.78</v>
      </c>
    </row>
  </sheetData>
  <mergeCells count="1">
    <mergeCell ref="B2:H2"/>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002"/>
  <sheetViews>
    <sheetView workbookViewId="0"/>
  </sheetViews>
  <sheetFormatPr baseColWidth="10" defaultColWidth="8.7109375" defaultRowHeight="15" x14ac:dyDescent="0.25"/>
  <cols>
    <col min="1" max="13" width="22" customWidth="1"/>
  </cols>
  <sheetData>
    <row r="1" spans="1:13" ht="33.950000000000003" customHeight="1" x14ac:dyDescent="0.25">
      <c r="A1" s="7" t="s">
        <v>91</v>
      </c>
      <c r="B1" s="6" t="s">
        <v>106</v>
      </c>
      <c r="C1" s="6" t="s">
        <v>107</v>
      </c>
      <c r="D1" s="6" t="s">
        <v>108</v>
      </c>
      <c r="E1" s="6" t="s">
        <v>109</v>
      </c>
      <c r="F1" s="6" t="s">
        <v>110</v>
      </c>
      <c r="G1" s="6" t="s">
        <v>111</v>
      </c>
      <c r="H1" s="6" t="s">
        <v>112</v>
      </c>
      <c r="I1" s="6" t="s">
        <v>113</v>
      </c>
      <c r="J1" s="7" t="s">
        <v>114</v>
      </c>
      <c r="K1" s="7" t="s">
        <v>115</v>
      </c>
      <c r="L1" s="7" t="s">
        <v>116</v>
      </c>
      <c r="M1" s="7" t="s">
        <v>117</v>
      </c>
    </row>
    <row r="2" spans="1:13" x14ac:dyDescent="0.25">
      <c r="A2" s="4">
        <f>(2-2)/100</f>
        <v>0</v>
      </c>
      <c r="B2" s="33">
        <f>Examples!$C$18-(Examples!$C$10+Examples!$C$11)*$A2-(Examples!$C$6*Examples!$C$7*Examples!$C$8*EXP(-Examples!$C$9*$A2)*(1-(Examples!$C$12*(1-EXP(-Examples!$C$13*$A2))/(1+EXP(MIN(700,MAX(-700,(Examples!$C$14*$A2-Examples!$C$15)/Examples!$C$16))))))+Examples!$C$17*$A2^2)</f>
        <v>0</v>
      </c>
      <c r="C2" s="33">
        <f>(Examples!$C$6*Examples!$C$7*Examples!$C$8*EXP(-Examples!$C$9*$A2)*(1-(Examples!$C$12*(1-EXP(-Examples!$C$13*$A2))/(1+EXP(MIN(700,MAX(-700,(Examples!$C$14*$A2-Examples!$C$15)/Examples!$C$16))))))+Examples!$C$17*$A2^2)</f>
        <v>600000</v>
      </c>
      <c r="D2" s="33">
        <f>Examples!$D$18-(Examples!$D$10+Examples!$D$11)*$A2-(Examples!$D$6*Examples!$D$7*Examples!$D$8*EXP(-Examples!$D$9*$A2)*(1-(Examples!$D$12*(1-EXP(-Examples!$D$13*$A2))/(1+EXP(MIN(700,MAX(-700,(Examples!$D$14*$A2-Examples!$D$15)/Examples!$D$16))))))+Examples!$D$17*$A2^2)</f>
        <v>-3500000</v>
      </c>
      <c r="E2" s="33">
        <f>(Examples!$D$6*Examples!$D$7*Examples!$D$8*EXP(-Examples!$D$9*$A2)*(1-(Examples!$D$12*(1-EXP(-Examples!$D$13*$A2))/(1+EXP(MIN(700,MAX(-700,(Examples!$D$14*$A2-Examples!$D$15)/Examples!$D$16))))))+Examples!$D$17*$A2^2)</f>
        <v>6000000</v>
      </c>
      <c r="F2" s="33">
        <f>Examples!$E$18-(Examples!$E$10+Examples!$E$11)*$A2-(Examples!$E$6*Examples!$E$7*Examples!$E$8*EXP(-Examples!$E$9*$A2)*(1-(Examples!$E$12*(1-EXP(-Examples!$E$13*$A2))/(1+EXP(MIN(700,MAX(-700,(Examples!$E$14*$A2-Examples!$E$15)/Examples!$E$16))))))+Examples!$E$17*$A2^2)</f>
        <v>300000</v>
      </c>
      <c r="G2" s="33">
        <f>(Examples!$E$6*Examples!$E$7*Examples!$E$8*EXP(-Examples!$E$9*$A2)*(1-(Examples!$E$12*(1-EXP(-Examples!$E$13*$A2))/(1+EXP(MIN(700,MAX(-700,(Examples!$E$14*$A2-Examples!$E$15)/Examples!$E$16))))))+Examples!$E$17*$A2^2)</f>
        <v>2700000</v>
      </c>
      <c r="H2" s="33">
        <f>Examples!$F$18-(Examples!$F$10+Examples!$F$11)*$A2-(Examples!$F$6*Examples!$F$7*Examples!$F$8*EXP(-Examples!$F$9*$A2)*(1-(Examples!$F$12*(1-EXP(-Examples!$F$13*$A2))/(1+EXP(MIN(700,MAX(-700,(Examples!$F$14*$A2-Examples!$F$15)/Examples!$F$16))))))+Examples!$F$17*$A2^2)</f>
        <v>132500</v>
      </c>
      <c r="I2" s="33">
        <f>(Examples!$F$6*Examples!$F$7*Examples!$F$8*EXP(-Examples!$F$9*$A2)*(1-(Examples!$F$12*(1-EXP(-Examples!$F$13*$A2))/(1+EXP(MIN(700,MAX(-700,(Examples!$F$14*$A2-Examples!$F$15)/Examples!$F$16))))))+Examples!$F$17*$A2^2)</f>
        <v>17500</v>
      </c>
      <c r="J2" s="33">
        <f>Examples!$G$18-(Examples!$G$10+Examples!$G$11)*$A2-(Examples!$G$6*Examples!$G$7*Examples!$G$8*EXP(-Examples!$G$9*$A2)*(1-(Examples!$G$12*(1-EXP(-Examples!$G$13*$A2))/(1+EXP(MIN(700,MAX(-700,(Examples!$G$14*$A2-Examples!$G$15)/Examples!$G$16))))))+Examples!$G$17*$A2^2)</f>
        <v>-500000</v>
      </c>
      <c r="K2" s="33">
        <f>(Examples!$G$6*Examples!$G$7*Examples!$G$8*EXP(-Examples!$G$9*$A2)*(1-(Examples!$G$12*(1-EXP(-Examples!$G$13*$A2))/(1+EXP(MIN(700,MAX(-700,(Examples!$G$14*$A2-Examples!$G$15)/Examples!$G$16))))))+Examples!$G$17*$A2^2)</f>
        <v>2000000</v>
      </c>
      <c r="L2" s="33">
        <f>Examples!$H$18-(Examples!$H$10+Examples!$H$11)*$A2-(Examples!$H$6*Examples!$H$7*Examples!$H$8*EXP(-Examples!$H$9*$A2)*(1-(Examples!$H$12*(1-EXP(-Examples!$H$13*$A2))/(1+EXP(MIN(700,MAX(-700,(Examples!$H$14*$A2-Examples!$H$15)/Examples!$H$16))))))+Examples!$H$17*$A2^2)</f>
        <v>-500000</v>
      </c>
      <c r="M2" s="33">
        <f>(Examples!$H$6*Examples!$H$7*Examples!$H$8*EXP(-Examples!$H$9*$A2)*(1-(Examples!$H$12*(1-EXP(-Examples!$H$13*$A2))/(1+EXP(MIN(700,MAX(-700,(Examples!$H$14*$A2-Examples!$H$15)/Examples!$H$16))))))+Examples!$H$17*$A2^2)</f>
        <v>2000000</v>
      </c>
    </row>
    <row r="3" spans="1:13" x14ac:dyDescent="0.25">
      <c r="A3" s="4">
        <f>(3-2)/100</f>
        <v>0.01</v>
      </c>
      <c r="B3" s="33">
        <f>Examples!$C$18-(Examples!$C$10+Examples!$C$11)*$A3-(Examples!$C$6*Examples!$C$7*Examples!$C$8*EXP(-Examples!$C$9*$A3)*(1-(Examples!$C$12*(1-EXP(-Examples!$C$13*$A3))/(1+EXP(MIN(700,MAX(-700,(Examples!$C$14*$A3-Examples!$C$15)/Examples!$C$16))))))+Examples!$C$17*$A3^2)</f>
        <v>2872.917508205981</v>
      </c>
      <c r="C3" s="33">
        <f>(Examples!$C$6*Examples!$C$7*Examples!$C$8*EXP(-Examples!$C$9*$A3)*(1-(Examples!$C$12*(1-EXP(-Examples!$C$13*$A3))/(1+EXP(MIN(700,MAX(-700,(Examples!$C$14*$A3-Examples!$C$15)/Examples!$C$16))))))+Examples!$C$17*$A3^2)</f>
        <v>596777.08249179402</v>
      </c>
      <c r="D3" s="33">
        <f>Examples!$D$18-(Examples!$D$10+Examples!$D$11)*$A3-(Examples!$D$6*Examples!$D$7*Examples!$D$8*EXP(-Examples!$D$9*$A3)*(1-(Examples!$D$12*(1-EXP(-Examples!$D$13*$A3))/(1+EXP(MIN(700,MAX(-700,(Examples!$D$14*$A3-Examples!$D$15)/Examples!$D$16))))))+Examples!$D$17*$A3^2)</f>
        <v>-3446894.609424592</v>
      </c>
      <c r="E3" s="33">
        <f>(Examples!$D$6*Examples!$D$7*Examples!$D$8*EXP(-Examples!$D$9*$A3)*(1-(Examples!$D$12*(1-EXP(-Examples!$D$13*$A3))/(1+EXP(MIN(700,MAX(-700,(Examples!$D$14*$A3-Examples!$D$15)/Examples!$D$16))))))+Examples!$D$17*$A3^2)</f>
        <v>5946444.609424592</v>
      </c>
      <c r="F3" s="33">
        <f>Examples!$E$18-(Examples!$E$10+Examples!$E$11)*$A3-(Examples!$E$6*Examples!$E$7*Examples!$E$8*EXP(-Examples!$E$9*$A3)*(1-(Examples!$E$12*(1-EXP(-Examples!$E$13*$A3))/(1+EXP(MIN(700,MAX(-700,(Examples!$E$14*$A3-Examples!$E$15)/Examples!$E$16))))))+Examples!$E$17*$A3^2)</f>
        <v>328256.30201091431</v>
      </c>
      <c r="G3" s="33">
        <f>(Examples!$E$6*Examples!$E$7*Examples!$E$8*EXP(-Examples!$E$9*$A3)*(1-(Examples!$E$12*(1-EXP(-Examples!$E$13*$A3))/(1+EXP(MIN(700,MAX(-700,(Examples!$E$14*$A3-Examples!$E$15)/Examples!$E$16))))))+Examples!$E$17*$A3^2)</f>
        <v>2670893.6979890857</v>
      </c>
      <c r="H3" s="33">
        <f>Examples!$F$18-(Examples!$F$10+Examples!$F$11)*$A3-(Examples!$F$6*Examples!$F$7*Examples!$F$8*EXP(-Examples!$F$9*$A3)*(1-(Examples!$F$12*(1-EXP(-Examples!$F$13*$A3))/(1+EXP(MIN(700,MAX(-700,(Examples!$F$14*$A3-Examples!$F$15)/Examples!$F$16))))))+Examples!$F$17*$A3^2)</f>
        <v>132371.22252320132</v>
      </c>
      <c r="I3" s="33">
        <f>(Examples!$F$6*Examples!$F$7*Examples!$F$8*EXP(-Examples!$F$9*$A3)*(1-(Examples!$F$12*(1-EXP(-Examples!$F$13*$A3))/(1+EXP(MIN(700,MAX(-700,(Examples!$F$14*$A3-Examples!$F$15)/Examples!$F$16))))))+Examples!$F$17*$A3^2)</f>
        <v>17428.77747679867</v>
      </c>
      <c r="J3" s="33">
        <f>Examples!$G$18-(Examples!$G$10+Examples!$G$11)*$A3-(Examples!$G$6*Examples!$G$7*Examples!$G$8*EXP(-Examples!$G$9*$A3)*(1-(Examples!$G$12*(1-EXP(-Examples!$G$13*$A3))/(1+EXP(MIN(700,MAX(-700,(Examples!$G$14*$A3-Examples!$G$15)/Examples!$G$16))))))+Examples!$G$17*$A3^2)</f>
        <v>-485838.34550890885</v>
      </c>
      <c r="K3" s="33">
        <f>(Examples!$G$6*Examples!$G$7*Examples!$G$8*EXP(-Examples!$G$9*$A3)*(1-(Examples!$G$12*(1-EXP(-Examples!$G$13*$A3))/(1+EXP(MIN(700,MAX(-700,(Examples!$G$14*$A3-Examples!$G$15)/Examples!$G$16))))))+Examples!$G$17*$A3^2)</f>
        <v>1985338.3455089089</v>
      </c>
      <c r="L3" s="33">
        <f>Examples!$H$18-(Examples!$H$10+Examples!$H$11)*$A3-(Examples!$H$6*Examples!$H$7*Examples!$H$8*EXP(-Examples!$H$9*$A3)*(1-(Examples!$H$12*(1-EXP(-Examples!$H$13*$A3))/(1+EXP(MIN(700,MAX(-700,(Examples!$H$14*$A3-Examples!$H$15)/Examples!$H$16))))))+Examples!$H$17*$A3^2)</f>
        <v>-485563.63716632314</v>
      </c>
      <c r="M3" s="33">
        <f>(Examples!$H$6*Examples!$H$7*Examples!$H$8*EXP(-Examples!$H$9*$A3)*(1-(Examples!$H$12*(1-EXP(-Examples!$H$13*$A3))/(1+EXP(MIN(700,MAX(-700,(Examples!$H$14*$A3-Examples!$H$15)/Examples!$H$16))))))+Examples!$H$17*$A3^2)</f>
        <v>1985063.6371663231</v>
      </c>
    </row>
    <row r="4" spans="1:13" x14ac:dyDescent="0.25">
      <c r="A4" s="4">
        <f>(4-2)/100</f>
        <v>0.02</v>
      </c>
      <c r="B4" s="33">
        <f>Examples!$C$18-(Examples!$C$10+Examples!$C$11)*$A4-(Examples!$C$6*Examples!$C$7*Examples!$C$8*EXP(-Examples!$C$9*$A4)*(1-(Examples!$C$12*(1-EXP(-Examples!$C$13*$A4))/(1+EXP(MIN(700,MAX(-700,(Examples!$C$14*$A4-Examples!$C$15)/Examples!$C$16))))))+Examples!$C$17*$A4^2)</f>
        <v>5722.8381664692424</v>
      </c>
      <c r="C4" s="33">
        <f>(Examples!$C$6*Examples!$C$7*Examples!$C$8*EXP(-Examples!$C$9*$A4)*(1-(Examples!$C$12*(1-EXP(-Examples!$C$13*$A4))/(1+EXP(MIN(700,MAX(-700,(Examples!$C$14*$A4-Examples!$C$15)/Examples!$C$16))))))+Examples!$C$17*$A4^2)</f>
        <v>593577.16183353076</v>
      </c>
      <c r="D4" s="33">
        <f>Examples!$D$18-(Examples!$D$10+Examples!$D$11)*$A4-(Examples!$D$6*Examples!$D$7*Examples!$D$8*EXP(-Examples!$D$9*$A4)*(1-(Examples!$D$12*(1-EXP(-Examples!$D$13*$A4))/(1+EXP(MIN(700,MAX(-700,(Examples!$D$14*$A4-Examples!$D$15)/Examples!$D$16))))))+Examples!$D$17*$A4^2)</f>
        <v>-3394313.4999269405</v>
      </c>
      <c r="E4" s="33">
        <f>(Examples!$D$6*Examples!$D$7*Examples!$D$8*EXP(-Examples!$D$9*$A4)*(1-(Examples!$D$12*(1-EXP(-Examples!$D$13*$A4))/(1+EXP(MIN(700,MAX(-700,(Examples!$D$14*$A4-Examples!$D$15)/Examples!$D$16))))))+Examples!$D$17*$A4^2)</f>
        <v>5893413.4999269405</v>
      </c>
      <c r="F4" s="33">
        <f>Examples!$E$18-(Examples!$E$10+Examples!$E$11)*$A4-(Examples!$E$6*Examples!$E$7*Examples!$E$8*EXP(-Examples!$E$9*$A4)*(1-(Examples!$E$12*(1-EXP(-Examples!$E$13*$A4))/(1+EXP(MIN(700,MAX(-700,(Examples!$E$14*$A4-Examples!$E$15)/Examples!$E$16))))))+Examples!$E$17*$A4^2)</f>
        <v>356175.75683401339</v>
      </c>
      <c r="G4" s="33">
        <f>(Examples!$E$6*Examples!$E$7*Examples!$E$8*EXP(-Examples!$E$9*$A4)*(1-(Examples!$E$12*(1-EXP(-Examples!$E$13*$A4))/(1+EXP(MIN(700,MAX(-700,(Examples!$E$14*$A4-Examples!$E$15)/Examples!$E$16))))))+Examples!$E$17*$A4^2)</f>
        <v>2642124.2431659866</v>
      </c>
      <c r="H4" s="33">
        <f>Examples!$F$18-(Examples!$F$10+Examples!$F$11)*$A4-(Examples!$F$6*Examples!$F$7*Examples!$F$8*EXP(-Examples!$F$9*$A4)*(1-(Examples!$F$12*(1-EXP(-Examples!$F$13*$A4))/(1+EXP(MIN(700,MAX(-700,(Examples!$F$14*$A4-Examples!$F$15)/Examples!$F$16))))))+Examples!$F$17*$A4^2)</f>
        <v>132238.09282545283</v>
      </c>
      <c r="I4" s="33">
        <f>(Examples!$F$6*Examples!$F$7*Examples!$F$8*EXP(-Examples!$F$9*$A4)*(1-(Examples!$F$12*(1-EXP(-Examples!$F$13*$A4))/(1+EXP(MIN(700,MAX(-700,(Examples!$F$14*$A4-Examples!$F$15)/Examples!$F$16))))))+Examples!$F$17*$A4^2)</f>
        <v>17361.907174547167</v>
      </c>
      <c r="J4" s="33">
        <f>Examples!$G$18-(Examples!$G$10+Examples!$G$11)*$A4-(Examples!$G$6*Examples!$G$7*Examples!$G$8*EXP(-Examples!$G$9*$A4)*(1-(Examples!$G$12*(1-EXP(-Examples!$G$13*$A4))/(1+EXP(MIN(700,MAX(-700,(Examples!$G$14*$A4-Examples!$G$15)/Examples!$G$16))))))+Examples!$G$17*$A4^2)</f>
        <v>-471801.62062062114</v>
      </c>
      <c r="K4" s="33">
        <f>(Examples!$G$6*Examples!$G$7*Examples!$G$8*EXP(-Examples!$G$9*$A4)*(1-(Examples!$G$12*(1-EXP(-Examples!$G$13*$A4))/(1+EXP(MIN(700,MAX(-700,(Examples!$G$14*$A4-Examples!$G$15)/Examples!$G$16))))))+Examples!$G$17*$A4^2)</f>
        <v>1970801.6206206211</v>
      </c>
      <c r="L4" s="33">
        <f>Examples!$H$18-(Examples!$H$10+Examples!$H$11)*$A4-(Examples!$H$6*Examples!$H$7*Examples!$H$8*EXP(-Examples!$H$9*$A4)*(1-(Examples!$H$12*(1-EXP(-Examples!$H$13*$A4))/(1+EXP(MIN(700,MAX(-700,(Examples!$H$14*$A4-Examples!$H$15)/Examples!$H$16))))))+Examples!$H$17*$A4^2)</f>
        <v>-471248.52448251331</v>
      </c>
      <c r="M4" s="33">
        <f>(Examples!$H$6*Examples!$H$7*Examples!$H$8*EXP(-Examples!$H$9*$A4)*(1-(Examples!$H$12*(1-EXP(-Examples!$H$13*$A4))/(1+EXP(MIN(700,MAX(-700,(Examples!$H$14*$A4-Examples!$H$15)/Examples!$H$16))))))+Examples!$H$17*$A4^2)</f>
        <v>1970248.5244825133</v>
      </c>
    </row>
    <row r="5" spans="1:13" x14ac:dyDescent="0.25">
      <c r="A5" s="4">
        <f>(5-2)/100</f>
        <v>0.03</v>
      </c>
      <c r="B5" s="33">
        <f>Examples!$C$18-(Examples!$C$10+Examples!$C$11)*$A5-(Examples!$C$6*Examples!$C$7*Examples!$C$8*EXP(-Examples!$C$9*$A5)*(1-(Examples!$C$12*(1-EXP(-Examples!$C$13*$A5))/(1+EXP(MIN(700,MAX(-700,(Examples!$C$14*$A5-Examples!$C$15)/Examples!$C$16))))))+Examples!$C$17*$A5^2)</f>
        <v>8549.8766760345316</v>
      </c>
      <c r="C5" s="33">
        <f>(Examples!$C$6*Examples!$C$7*Examples!$C$8*EXP(-Examples!$C$9*$A5)*(1-(Examples!$C$12*(1-EXP(-Examples!$C$13*$A5))/(1+EXP(MIN(700,MAX(-700,(Examples!$C$14*$A5-Examples!$C$15)/Examples!$C$16))))))+Examples!$C$17*$A5^2)</f>
        <v>590400.12332396547</v>
      </c>
      <c r="D5" s="33">
        <f>Examples!$D$18-(Examples!$D$10+Examples!$D$11)*$A5-(Examples!$D$6*Examples!$D$7*Examples!$D$8*EXP(-Examples!$D$9*$A5)*(1-(Examples!$D$12*(1-EXP(-Examples!$D$13*$A5))/(1+EXP(MIN(700,MAX(-700,(Examples!$D$14*$A5-Examples!$D$15)/Examples!$D$16))))))+Examples!$D$17*$A5^2)</f>
        <v>-3342251.4268558286</v>
      </c>
      <c r="E5" s="33">
        <f>(Examples!$D$6*Examples!$D$7*Examples!$D$8*EXP(-Examples!$D$9*$A5)*(1-(Examples!$D$12*(1-EXP(-Examples!$D$13*$A5))/(1+EXP(MIN(700,MAX(-700,(Examples!$D$14*$A5-Examples!$D$15)/Examples!$D$16))))))+Examples!$D$17*$A5^2)</f>
        <v>5840901.4268558286</v>
      </c>
      <c r="F5" s="33">
        <f>Examples!$E$18-(Examples!$E$10+Examples!$E$11)*$A5-(Examples!$E$6*Examples!$E$7*Examples!$E$8*EXP(-Examples!$E$9*$A5)*(1-(Examples!$E$12*(1-EXP(-Examples!$E$13*$A5))/(1+EXP(MIN(700,MAX(-700,(Examples!$E$14*$A5-Examples!$E$15)/Examples!$E$16))))))+Examples!$E$17*$A5^2)</f>
        <v>383762.30690763937</v>
      </c>
      <c r="G5" s="33">
        <f>(Examples!$E$6*Examples!$E$7*Examples!$E$8*EXP(-Examples!$E$9*$A5)*(1-(Examples!$E$12*(1-EXP(-Examples!$E$13*$A5))/(1+EXP(MIN(700,MAX(-700,(Examples!$E$14*$A5-Examples!$E$15)/Examples!$E$16))))))+Examples!$E$17*$A5^2)</f>
        <v>2613687.6930923606</v>
      </c>
      <c r="H5" s="33">
        <f>Examples!$F$18-(Examples!$F$10+Examples!$F$11)*$A5-(Examples!$F$6*Examples!$F$7*Examples!$F$8*EXP(-Examples!$F$9*$A5)*(1-(Examples!$F$12*(1-EXP(-Examples!$F$13*$A5))/(1+EXP(MIN(700,MAX(-700,(Examples!$F$14*$A5-Examples!$F$15)/Examples!$F$16))))))+Examples!$F$17*$A5^2)</f>
        <v>132100.61228521747</v>
      </c>
      <c r="I5" s="33">
        <f>(Examples!$F$6*Examples!$F$7*Examples!$F$8*EXP(-Examples!$F$9*$A5)*(1-(Examples!$F$12*(1-EXP(-Examples!$F$13*$A5))/(1+EXP(MIN(700,MAX(-700,(Examples!$F$14*$A5-Examples!$F$15)/Examples!$F$16))))))+Examples!$F$17*$A5^2)</f>
        <v>17299.387714782519</v>
      </c>
      <c r="J5" s="33">
        <f>Examples!$G$18-(Examples!$G$10+Examples!$G$11)*$A5-(Examples!$G$6*Examples!$G$7*Examples!$G$8*EXP(-Examples!$G$9*$A5)*(1-(Examples!$G$12*(1-EXP(-Examples!$G$13*$A5))/(1+EXP(MIN(700,MAX(-700,(Examples!$G$14*$A5-Examples!$G$15)/Examples!$G$16))))))+Examples!$G$17*$A5^2)</f>
        <v>-457888.87429440673</v>
      </c>
      <c r="K5" s="33">
        <f>(Examples!$G$6*Examples!$G$7*Examples!$G$8*EXP(-Examples!$G$9*$A5)*(1-(Examples!$G$12*(1-EXP(-Examples!$G$13*$A5))/(1+EXP(MIN(700,MAX(-700,(Examples!$G$14*$A5-Examples!$G$15)/Examples!$G$16))))))+Examples!$G$17*$A5^2)</f>
        <v>1956388.8742944067</v>
      </c>
      <c r="L5" s="33">
        <f>Examples!$H$18-(Examples!$H$10+Examples!$H$11)*$A5-(Examples!$H$6*Examples!$H$7*Examples!$H$8*EXP(-Examples!$H$9*$A5)*(1-(Examples!$H$12*(1-EXP(-Examples!$H$13*$A5))/(1+EXP(MIN(700,MAX(-700,(Examples!$H$14*$A5-Examples!$H$15)/Examples!$H$16))))))+Examples!$H$17*$A5^2)</f>
        <v>-457053.68047090527</v>
      </c>
      <c r="M5" s="33">
        <f>(Examples!$H$6*Examples!$H$7*Examples!$H$8*EXP(-Examples!$H$9*$A5)*(1-(Examples!$H$12*(1-EXP(-Examples!$H$13*$A5))/(1+EXP(MIN(700,MAX(-700,(Examples!$H$14*$A5-Examples!$H$15)/Examples!$H$16))))))+Examples!$H$17*$A5^2)</f>
        <v>1955553.6804709053</v>
      </c>
    </row>
    <row r="6" spans="1:13" x14ac:dyDescent="0.25">
      <c r="A6" s="4">
        <f>(6-2)/100</f>
        <v>0.04</v>
      </c>
      <c r="B6" s="33">
        <f>Examples!$C$18-(Examples!$C$10+Examples!$C$11)*$A6-(Examples!$C$6*Examples!$C$7*Examples!$C$8*EXP(-Examples!$C$9*$A6)*(1-(Examples!$C$12*(1-EXP(-Examples!$C$13*$A6))/(1+EXP(MIN(700,MAX(-700,(Examples!$C$14*$A6-Examples!$C$15)/Examples!$C$16))))))+Examples!$C$17*$A6^2)</f>
        <v>11354.146343082422</v>
      </c>
      <c r="C6" s="33">
        <f>(Examples!$C$6*Examples!$C$7*Examples!$C$8*EXP(-Examples!$C$9*$A6)*(1-(Examples!$C$12*(1-EXP(-Examples!$C$13*$A6))/(1+EXP(MIN(700,MAX(-700,(Examples!$C$14*$A6-Examples!$C$15)/Examples!$C$16))))))+Examples!$C$17*$A6^2)</f>
        <v>587245.85365691758</v>
      </c>
      <c r="D6" s="33">
        <f>Examples!$D$18-(Examples!$D$10+Examples!$D$11)*$A6-(Examples!$D$6*Examples!$D$7*Examples!$D$8*EXP(-Examples!$D$9*$A6)*(1-(Examples!$D$12*(1-EXP(-Examples!$D$13*$A6))/(1+EXP(MIN(700,MAX(-700,(Examples!$D$14*$A6-Examples!$D$15)/Examples!$D$16))))))+Examples!$D$17*$A6^2)</f>
        <v>-3290703.1998817036</v>
      </c>
      <c r="E6" s="33">
        <f>(Examples!$D$6*Examples!$D$7*Examples!$D$8*EXP(-Examples!$D$9*$A6)*(1-(Examples!$D$12*(1-EXP(-Examples!$D$13*$A6))/(1+EXP(MIN(700,MAX(-700,(Examples!$D$14*$A6-Examples!$D$15)/Examples!$D$16))))))+Examples!$D$17*$A6^2)</f>
        <v>5788903.1998817036</v>
      </c>
      <c r="F6" s="33">
        <f>Examples!$E$18-(Examples!$E$10+Examples!$E$11)*$A6-(Examples!$E$6*Examples!$E$7*Examples!$E$8*EXP(-Examples!$E$9*$A6)*(1-(Examples!$E$12*(1-EXP(-Examples!$E$13*$A6))/(1+EXP(MIN(700,MAX(-700,(Examples!$E$14*$A6-Examples!$E$15)/Examples!$E$16))))))+Examples!$E$17*$A6^2)</f>
        <v>411019.8479748941</v>
      </c>
      <c r="G6" s="33">
        <f>(Examples!$E$6*Examples!$E$7*Examples!$E$8*EXP(-Examples!$E$9*$A6)*(1-(Examples!$E$12*(1-EXP(-Examples!$E$13*$A6))/(1+EXP(MIN(700,MAX(-700,(Examples!$E$14*$A6-Examples!$E$15)/Examples!$E$16))))))+Examples!$E$17*$A6^2)</f>
        <v>2585580.1520251059</v>
      </c>
      <c r="H6" s="33">
        <f>Examples!$F$18-(Examples!$F$10+Examples!$F$11)*$A6-(Examples!$F$6*Examples!$F$7*Examples!$F$8*EXP(-Examples!$F$9*$A6)*(1-(Examples!$F$12*(1-EXP(-Examples!$F$13*$A6))/(1+EXP(MIN(700,MAX(-700,(Examples!$F$14*$A6-Examples!$F$15)/Examples!$F$16))))))+Examples!$F$17*$A6^2)</f>
        <v>131958.78225227928</v>
      </c>
      <c r="I6" s="33">
        <f>(Examples!$F$6*Examples!$F$7*Examples!$F$8*EXP(-Examples!$F$9*$A6)*(1-(Examples!$F$12*(1-EXP(-Examples!$F$13*$A6))/(1+EXP(MIN(700,MAX(-700,(Examples!$F$14*$A6-Examples!$F$15)/Examples!$F$16))))))+Examples!$F$17*$A6^2)</f>
        <v>17241.217747720704</v>
      </c>
      <c r="J6" s="33">
        <f>Examples!$G$18-(Examples!$G$10+Examples!$G$11)*$A6-(Examples!$G$6*Examples!$G$7*Examples!$G$8*EXP(-Examples!$G$9*$A6)*(1-(Examples!$G$12*(1-EXP(-Examples!$G$13*$A6))/(1+EXP(MIN(700,MAX(-700,(Examples!$G$14*$A6-Examples!$G$15)/Examples!$G$16))))))+Examples!$G$17*$A6^2)</f>
        <v>-444099.16394578596</v>
      </c>
      <c r="K6" s="33">
        <f>(Examples!$G$6*Examples!$G$7*Examples!$G$8*EXP(-Examples!$G$9*$A6)*(1-(Examples!$G$12*(1-EXP(-Examples!$G$13*$A6))/(1+EXP(MIN(700,MAX(-700,(Examples!$G$14*$A6-Examples!$G$15)/Examples!$G$16))))))+Examples!$G$17*$A6^2)</f>
        <v>1942099.163945786</v>
      </c>
      <c r="L6" s="33">
        <f>Examples!$H$18-(Examples!$H$10+Examples!$H$11)*$A6-(Examples!$H$6*Examples!$H$7*Examples!$H$8*EXP(-Examples!$H$9*$A6)*(1-(Examples!$H$12*(1-EXP(-Examples!$H$13*$A6))/(1+EXP(MIN(700,MAX(-700,(Examples!$H$14*$A6-Examples!$H$15)/Examples!$H$16))))))+Examples!$H$17*$A6^2)</f>
        <v>-442978.13212738838</v>
      </c>
      <c r="M6" s="33">
        <f>(Examples!$H$6*Examples!$H$7*Examples!$H$8*EXP(-Examples!$H$9*$A6)*(1-(Examples!$H$12*(1-EXP(-Examples!$H$13*$A6))/(1+EXP(MIN(700,MAX(-700,(Examples!$H$14*$A6-Examples!$H$15)/Examples!$H$16))))))+Examples!$H$17*$A6^2)</f>
        <v>1940978.1321273884</v>
      </c>
    </row>
    <row r="7" spans="1:13" x14ac:dyDescent="0.25">
      <c r="A7" s="4">
        <f>(7-2)/100</f>
        <v>0.05</v>
      </c>
      <c r="B7" s="33">
        <f>Examples!$C$18-(Examples!$C$10+Examples!$C$11)*$A7-(Examples!$C$6*Examples!$C$7*Examples!$C$8*EXP(-Examples!$C$9*$A7)*(1-(Examples!$C$12*(1-EXP(-Examples!$C$13*$A7))/(1+EXP(MIN(700,MAX(-700,(Examples!$C$14*$A7-Examples!$C$15)/Examples!$C$16))))))+Examples!$C$17*$A7^2)</f>
        <v>14135.759066829109</v>
      </c>
      <c r="C7" s="33">
        <f>(Examples!$C$6*Examples!$C$7*Examples!$C$8*EXP(-Examples!$C$9*$A7)*(1-(Examples!$C$12*(1-EXP(-Examples!$C$13*$A7))/(1+EXP(MIN(700,MAX(-700,(Examples!$C$14*$A7-Examples!$C$15)/Examples!$C$16))))))+Examples!$C$17*$A7^2)</f>
        <v>584114.24093317089</v>
      </c>
      <c r="D7" s="33">
        <f>Examples!$D$18-(Examples!$D$10+Examples!$D$11)*$A7-(Examples!$D$6*Examples!$D$7*Examples!$D$8*EXP(-Examples!$D$9*$A7)*(1-(Examples!$D$12*(1-EXP(-Examples!$D$13*$A7))/(1+EXP(MIN(700,MAX(-700,(Examples!$D$14*$A7-Examples!$D$15)/Examples!$D$16))))))+Examples!$D$17*$A7^2)</f>
        <v>-3239663.6824352844</v>
      </c>
      <c r="E7" s="33">
        <f>(Examples!$D$6*Examples!$D$7*Examples!$D$8*EXP(-Examples!$D$9*$A7)*(1-(Examples!$D$12*(1-EXP(-Examples!$D$13*$A7))/(1+EXP(MIN(700,MAX(-700,(Examples!$D$14*$A7-Examples!$D$15)/Examples!$D$16))))))+Examples!$D$17*$A7^2)</f>
        <v>5737413.6824352844</v>
      </c>
      <c r="F7" s="33">
        <f>Examples!$E$18-(Examples!$E$10+Examples!$E$11)*$A7-(Examples!$E$6*Examples!$E$7*Examples!$E$8*EXP(-Examples!$E$9*$A7)*(1-(Examples!$E$12*(1-EXP(-Examples!$E$13*$A7))/(1+EXP(MIN(700,MAX(-700,(Examples!$E$14*$A7-Examples!$E$15)/Examples!$E$16))))))+Examples!$E$17*$A7^2)</f>
        <v>437952.22963914368</v>
      </c>
      <c r="G7" s="33">
        <f>(Examples!$E$6*Examples!$E$7*Examples!$E$8*EXP(-Examples!$E$9*$A7)*(1-(Examples!$E$12*(1-EXP(-Examples!$E$13*$A7))/(1+EXP(MIN(700,MAX(-700,(Examples!$E$14*$A7-Examples!$E$15)/Examples!$E$16))))))+Examples!$E$17*$A7^2)</f>
        <v>2557797.7703608563</v>
      </c>
      <c r="H7" s="33">
        <f>Examples!$F$18-(Examples!$F$10+Examples!$F$11)*$A7-(Examples!$F$6*Examples!$F$7*Examples!$F$8*EXP(-Examples!$F$9*$A7)*(1-(Examples!$F$12*(1-EXP(-Examples!$F$13*$A7))/(1+EXP(MIN(700,MAX(-700,(Examples!$F$14*$A7-Examples!$F$15)/Examples!$F$16))))))+Examples!$F$17*$A7^2)</f>
        <v>131812.60404699729</v>
      </c>
      <c r="I7" s="33">
        <f>(Examples!$F$6*Examples!$F$7*Examples!$F$8*EXP(-Examples!$F$9*$A7)*(1-(Examples!$F$12*(1-EXP(-Examples!$F$13*$A7))/(1+EXP(MIN(700,MAX(-700,(Examples!$F$14*$A7-Examples!$F$15)/Examples!$F$16))))))+Examples!$F$17*$A7^2)</f>
        <v>17187.395953002695</v>
      </c>
      <c r="J7" s="33">
        <f>Examples!$G$18-(Examples!$G$10+Examples!$G$11)*$A7-(Examples!$G$6*Examples!$G$7*Examples!$G$8*EXP(-Examples!$G$9*$A7)*(1-(Examples!$G$12*(1-EXP(-Examples!$G$13*$A7))/(1+EXP(MIN(700,MAX(-700,(Examples!$G$14*$A7-Examples!$G$15)/Examples!$G$16))))))+Examples!$G$17*$A7^2)</f>
        <v>-430431.55537423701</v>
      </c>
      <c r="K7" s="33">
        <f>(Examples!$G$6*Examples!$G$7*Examples!$G$8*EXP(-Examples!$G$9*$A7)*(1-(Examples!$G$12*(1-EXP(-Examples!$G$13*$A7))/(1+EXP(MIN(700,MAX(-700,(Examples!$G$14*$A7-Examples!$G$15)/Examples!$G$16))))))+Examples!$G$17*$A7^2)</f>
        <v>1927931.555374237</v>
      </c>
      <c r="L7" s="33">
        <f>Examples!$H$18-(Examples!$H$10+Examples!$H$11)*$A7-(Examples!$H$6*Examples!$H$7*Examples!$H$8*EXP(-Examples!$H$9*$A7)*(1-(Examples!$H$12*(1-EXP(-Examples!$H$13*$A7))/(1+EXP(MIN(700,MAX(-700,(Examples!$H$14*$A7-Examples!$H$15)/Examples!$H$16))))))+Examples!$H$17*$A7^2)</f>
        <v>-429020.91485839454</v>
      </c>
      <c r="M7" s="33">
        <f>(Examples!$H$6*Examples!$H$7*Examples!$H$8*EXP(-Examples!$H$9*$A7)*(1-(Examples!$H$12*(1-EXP(-Examples!$H$13*$A7))/(1+EXP(MIN(700,MAX(-700,(Examples!$H$14*$A7-Examples!$H$15)/Examples!$H$16))))))+Examples!$H$17*$A7^2)</f>
        <v>1926520.9148583945</v>
      </c>
    </row>
    <row r="8" spans="1:13" x14ac:dyDescent="0.25">
      <c r="A8" s="4">
        <f>(8-2)/100</f>
        <v>0.06</v>
      </c>
      <c r="B8" s="33">
        <f>Examples!$C$18-(Examples!$C$10+Examples!$C$11)*$A8-(Examples!$C$6*Examples!$C$7*Examples!$C$8*EXP(-Examples!$C$9*$A8)*(1-(Examples!$C$12*(1-EXP(-Examples!$C$13*$A8))/(1+EXP(MIN(700,MAX(-700,(Examples!$C$14*$A8-Examples!$C$15)/Examples!$C$16))))))+Examples!$C$17*$A8^2)</f>
        <v>16894.825327036087</v>
      </c>
      <c r="C8" s="33">
        <f>(Examples!$C$6*Examples!$C$7*Examples!$C$8*EXP(-Examples!$C$9*$A8)*(1-(Examples!$C$12*(1-EXP(-Examples!$C$13*$A8))/(1+EXP(MIN(700,MAX(-700,(Examples!$C$14*$A8-Examples!$C$15)/Examples!$C$16))))))+Examples!$C$17*$A8^2)</f>
        <v>581005.17467296391</v>
      </c>
      <c r="D8" s="33">
        <f>Examples!$D$18-(Examples!$D$10+Examples!$D$11)*$A8-(Examples!$D$6*Examples!$D$7*Examples!$D$8*EXP(-Examples!$D$9*$A8)*(1-(Examples!$D$12*(1-EXP(-Examples!$D$13*$A8))/(1+EXP(MIN(700,MAX(-700,(Examples!$D$14*$A8-Examples!$D$15)/Examples!$D$16))))))+Examples!$D$17*$A8^2)</f>
        <v>-3189127.7911519995</v>
      </c>
      <c r="E8" s="33">
        <f>(Examples!$D$6*Examples!$D$7*Examples!$D$8*EXP(-Examples!$D$9*$A8)*(1-(Examples!$D$12*(1-EXP(-Examples!$D$13*$A8))/(1+EXP(MIN(700,MAX(-700,(Examples!$D$14*$A8-Examples!$D$15)/Examples!$D$16))))))+Examples!$D$17*$A8^2)</f>
        <v>5686427.7911519995</v>
      </c>
      <c r="F8" s="33">
        <f>Examples!$E$18-(Examples!$E$10+Examples!$E$11)*$A8-(Examples!$E$6*Examples!$E$7*Examples!$E$8*EXP(-Examples!$E$9*$A8)*(1-(Examples!$E$12*(1-EXP(-Examples!$E$13*$A8))/(1+EXP(MIN(700,MAX(-700,(Examples!$E$14*$A8-Examples!$E$15)/Examples!$E$16))))))+Examples!$E$17*$A8^2)</f>
        <v>464563.25591290509</v>
      </c>
      <c r="G8" s="33">
        <f>(Examples!$E$6*Examples!$E$7*Examples!$E$8*EXP(-Examples!$E$9*$A8)*(1-(Examples!$E$12*(1-EXP(-Examples!$E$13*$A8))/(1+EXP(MIN(700,MAX(-700,(Examples!$E$14*$A8-Examples!$E$15)/Examples!$E$16))))))+Examples!$E$17*$A8^2)</f>
        <v>2530336.7440870949</v>
      </c>
      <c r="H8" s="33">
        <f>Examples!$F$18-(Examples!$F$10+Examples!$F$11)*$A8-(Examples!$F$6*Examples!$F$7*Examples!$F$8*EXP(-Examples!$F$9*$A8)*(1-(Examples!$F$12*(1-EXP(-Examples!$F$13*$A8))/(1+EXP(MIN(700,MAX(-700,(Examples!$F$14*$A8-Examples!$F$15)/Examples!$F$16))))))+Examples!$F$17*$A8^2)</f>
        <v>131662.078959529</v>
      </c>
      <c r="I8" s="33">
        <f>(Examples!$F$6*Examples!$F$7*Examples!$F$8*EXP(-Examples!$F$9*$A8)*(1-(Examples!$F$12*(1-EXP(-Examples!$F$13*$A8))/(1+EXP(MIN(700,MAX(-700,(Examples!$F$14*$A8-Examples!$F$15)/Examples!$F$16))))))+Examples!$F$17*$A8^2)</f>
        <v>17137.921040470996</v>
      </c>
      <c r="J8" s="33">
        <f>Examples!$G$18-(Examples!$G$10+Examples!$G$11)*$A8-(Examples!$G$6*Examples!$G$7*Examples!$G$8*EXP(-Examples!$G$9*$A8)*(1-(Examples!$G$12*(1-EXP(-Examples!$G$13*$A8))/(1+EXP(MIN(700,MAX(-700,(Examples!$G$14*$A8-Examples!$G$15)/Examples!$G$16))))))+Examples!$G$17*$A8^2)</f>
        <v>-416885.12269138591</v>
      </c>
      <c r="K8" s="33">
        <f>(Examples!$G$6*Examples!$G$7*Examples!$G$8*EXP(-Examples!$G$9*$A8)*(1-(Examples!$G$12*(1-EXP(-Examples!$G$13*$A8))/(1+EXP(MIN(700,MAX(-700,(Examples!$G$14*$A8-Examples!$G$15)/Examples!$G$16))))))+Examples!$G$17*$A8^2)</f>
        <v>1913885.1226913859</v>
      </c>
      <c r="L8" s="33">
        <f>Examples!$H$18-(Examples!$H$10+Examples!$H$11)*$A8-(Examples!$H$6*Examples!$H$7*Examples!$H$8*EXP(-Examples!$H$9*$A8)*(1-(Examples!$H$12*(1-EXP(-Examples!$H$13*$A8))/(1+EXP(MIN(700,MAX(-700,(Examples!$H$14*$A8-Examples!$H$15)/Examples!$H$16))))))+Examples!$H$17*$A8^2)</f>
        <v>-415181.07241868973</v>
      </c>
      <c r="M8" s="33">
        <f>(Examples!$H$6*Examples!$H$7*Examples!$H$8*EXP(-Examples!$H$9*$A8)*(1-(Examples!$H$12*(1-EXP(-Examples!$H$13*$A8))/(1+EXP(MIN(700,MAX(-700,(Examples!$H$14*$A8-Examples!$H$15)/Examples!$H$16))))))+Examples!$H$17*$A8^2)</f>
        <v>1912181.0724186897</v>
      </c>
    </row>
    <row r="9" spans="1:13" x14ac:dyDescent="0.25">
      <c r="A9" s="4">
        <f>(9-2)/100</f>
        <v>7.0000000000000007E-2</v>
      </c>
      <c r="B9" s="33">
        <f>Examples!$C$18-(Examples!$C$10+Examples!$C$11)*$A9-(Examples!$C$6*Examples!$C$7*Examples!$C$8*EXP(-Examples!$C$9*$A9)*(1-(Examples!$C$12*(1-EXP(-Examples!$C$13*$A9))/(1+EXP(MIN(700,MAX(-700,(Examples!$C$14*$A9-Examples!$C$15)/Examples!$C$16))))))+Examples!$C$17*$A9^2)</f>
        <v>19631.454170918674</v>
      </c>
      <c r="C9" s="33">
        <f>(Examples!$C$6*Examples!$C$7*Examples!$C$8*EXP(-Examples!$C$9*$A9)*(1-(Examples!$C$12*(1-EXP(-Examples!$C$13*$A9))/(1+EXP(MIN(700,MAX(-700,(Examples!$C$14*$A9-Examples!$C$15)/Examples!$C$16))))))+Examples!$C$17*$A9^2)</f>
        <v>577918.54582908133</v>
      </c>
      <c r="D9" s="33">
        <f>Examples!$D$18-(Examples!$D$10+Examples!$D$11)*$A9-(Examples!$D$6*Examples!$D$7*Examples!$D$8*EXP(-Examples!$D$9*$A9)*(1-(Examples!$D$12*(1-EXP(-Examples!$D$13*$A9))/(1+EXP(MIN(700,MAX(-700,(Examples!$D$14*$A9-Examples!$D$15)/Examples!$D$16))))))+Examples!$D$17*$A9^2)</f>
        <v>-3139090.4953222191</v>
      </c>
      <c r="E9" s="33">
        <f>(Examples!$D$6*Examples!$D$7*Examples!$D$8*EXP(-Examples!$D$9*$A9)*(1-(Examples!$D$12*(1-EXP(-Examples!$D$13*$A9))/(1+EXP(MIN(700,MAX(-700,(Examples!$D$14*$A9-Examples!$D$15)/Examples!$D$16))))))+Examples!$D$17*$A9^2)</f>
        <v>5635940.4953222191</v>
      </c>
      <c r="F9" s="33">
        <f>Examples!$E$18-(Examples!$E$10+Examples!$E$11)*$A9-(Examples!$E$6*Examples!$E$7*Examples!$E$8*EXP(-Examples!$E$9*$A9)*(1-(Examples!$E$12*(1-EXP(-Examples!$E$13*$A9))/(1+EXP(MIN(700,MAX(-700,(Examples!$E$14*$A9-Examples!$E$15)/Examples!$E$16))))))+Examples!$E$17*$A9^2)</f>
        <v>490856.68576019118</v>
      </c>
      <c r="G9" s="33">
        <f>(Examples!$E$6*Examples!$E$7*Examples!$E$8*EXP(-Examples!$E$9*$A9)*(1-(Examples!$E$12*(1-EXP(-Examples!$E$13*$A9))/(1+EXP(MIN(700,MAX(-700,(Examples!$E$14*$A9-Examples!$E$15)/Examples!$E$16))))))+Examples!$E$17*$A9^2)</f>
        <v>2503193.3142398088</v>
      </c>
      <c r="H9" s="33">
        <f>Examples!$F$18-(Examples!$F$10+Examples!$F$11)*$A9-(Examples!$F$6*Examples!$F$7*Examples!$F$8*EXP(-Examples!$F$9*$A9)*(1-(Examples!$F$12*(1-EXP(-Examples!$F$13*$A9))/(1+EXP(MIN(700,MAX(-700,(Examples!$F$14*$A9-Examples!$F$15)/Examples!$F$16))))))+Examples!$F$17*$A9^2)</f>
        <v>131507.20824902257</v>
      </c>
      <c r="I9" s="33">
        <f>(Examples!$F$6*Examples!$F$7*Examples!$F$8*EXP(-Examples!$F$9*$A9)*(1-(Examples!$F$12*(1-EXP(-Examples!$F$13*$A9))/(1+EXP(MIN(700,MAX(-700,(Examples!$F$14*$A9-Examples!$F$15)/Examples!$F$16))))))+Examples!$F$17*$A9^2)</f>
        <v>17092.791750977434</v>
      </c>
      <c r="J9" s="33">
        <f>Examples!$G$18-(Examples!$G$10+Examples!$G$11)*$A9-(Examples!$G$6*Examples!$G$7*Examples!$G$8*EXP(-Examples!$G$9*$A9)*(1-(Examples!$G$12*(1-EXP(-Examples!$G$13*$A9))/(1+EXP(MIN(700,MAX(-700,(Examples!$G$14*$A9-Examples!$G$15)/Examples!$G$16))))))+Examples!$G$17*$A9^2)</f>
        <v>-403458.94824965647</v>
      </c>
      <c r="K9" s="33">
        <f>(Examples!$G$6*Examples!$G$7*Examples!$G$8*EXP(-Examples!$G$9*$A9)*(1-(Examples!$G$12*(1-EXP(-Examples!$G$13*$A9))/(1+EXP(MIN(700,MAX(-700,(Examples!$G$14*$A9-Examples!$G$15)/Examples!$G$16))))))+Examples!$G$17*$A9^2)</f>
        <v>1899958.9482496565</v>
      </c>
      <c r="L9" s="33">
        <f>Examples!$H$18-(Examples!$H$10+Examples!$H$11)*$A9-(Examples!$H$6*Examples!$H$7*Examples!$H$8*EXP(-Examples!$H$9*$A9)*(1-(Examples!$H$12*(1-EXP(-Examples!$H$13*$A9))/(1+EXP(MIN(700,MAX(-700,(Examples!$H$14*$A9-Examples!$H$15)/Examples!$H$16))))))+Examples!$H$17*$A9^2)</f>
        <v>-401457.65684996545</v>
      </c>
      <c r="M9" s="33">
        <f>(Examples!$H$6*Examples!$H$7*Examples!$H$8*EXP(-Examples!$H$9*$A9)*(1-(Examples!$H$12*(1-EXP(-Examples!$H$13*$A9))/(1+EXP(MIN(700,MAX(-700,(Examples!$H$14*$A9-Examples!$H$15)/Examples!$H$16))))))+Examples!$H$17*$A9^2)</f>
        <v>1897957.6568499655</v>
      </c>
    </row>
    <row r="10" spans="1:13" x14ac:dyDescent="0.25">
      <c r="A10" s="4">
        <f>(10-2)/100</f>
        <v>0.08</v>
      </c>
      <c r="B10" s="33">
        <f>Examples!$C$18-(Examples!$C$10+Examples!$C$11)*$A10-(Examples!$C$6*Examples!$C$7*Examples!$C$8*EXP(-Examples!$C$9*$A10)*(1-(Examples!$C$12*(1-EXP(-Examples!$C$13*$A10))/(1+EXP(MIN(700,MAX(-700,(Examples!$C$14*$A10-Examples!$C$15)/Examples!$C$16))))))+Examples!$C$17*$A10^2)</f>
        <v>22345.753199440194</v>
      </c>
      <c r="C10" s="33">
        <f>(Examples!$C$6*Examples!$C$7*Examples!$C$8*EXP(-Examples!$C$9*$A10)*(1-(Examples!$C$12*(1-EXP(-Examples!$C$13*$A10))/(1+EXP(MIN(700,MAX(-700,(Examples!$C$14*$A10-Examples!$C$15)/Examples!$C$16))))))+Examples!$C$17*$A10^2)</f>
        <v>574854.24680055981</v>
      </c>
      <c r="D10" s="33">
        <f>Examples!$D$18-(Examples!$D$10+Examples!$D$11)*$A10-(Examples!$D$6*Examples!$D$7*Examples!$D$8*EXP(-Examples!$D$9*$A10)*(1-(Examples!$D$12*(1-EXP(-Examples!$D$13*$A10))/(1+EXP(MIN(700,MAX(-700,(Examples!$D$14*$A10-Examples!$D$15)/Examples!$D$16))))))+Examples!$D$17*$A10^2)</f>
        <v>-3089546.8163472256</v>
      </c>
      <c r="E10" s="33">
        <f>(Examples!$D$6*Examples!$D$7*Examples!$D$8*EXP(-Examples!$D$9*$A10)*(1-(Examples!$D$12*(1-EXP(-Examples!$D$13*$A10))/(1+EXP(MIN(700,MAX(-700,(Examples!$D$14*$A10-Examples!$D$15)/Examples!$D$16))))))+Examples!$D$17*$A10^2)</f>
        <v>5585946.8163472256</v>
      </c>
      <c r="F10" s="33">
        <f>Examples!$E$18-(Examples!$E$10+Examples!$E$11)*$A10-(Examples!$E$6*Examples!$E$7*Examples!$E$8*EXP(-Examples!$E$9*$A10)*(1-(Examples!$E$12*(1-EXP(-Examples!$E$13*$A10))/(1+EXP(MIN(700,MAX(-700,(Examples!$E$14*$A10-Examples!$E$15)/Examples!$E$16))))))+Examples!$E$17*$A10^2)</f>
        <v>516836.23363240715</v>
      </c>
      <c r="G10" s="33">
        <f>(Examples!$E$6*Examples!$E$7*Examples!$E$8*EXP(-Examples!$E$9*$A10)*(1-(Examples!$E$12*(1-EXP(-Examples!$E$13*$A10))/(1+EXP(MIN(700,MAX(-700,(Examples!$E$14*$A10-Examples!$E$15)/Examples!$E$16))))))+Examples!$E$17*$A10^2)</f>
        <v>2476363.7663675928</v>
      </c>
      <c r="H10" s="33">
        <f>Examples!$F$18-(Examples!$F$10+Examples!$F$11)*$A10-(Examples!$F$6*Examples!$F$7*Examples!$F$8*EXP(-Examples!$F$9*$A10)*(1-(Examples!$F$12*(1-EXP(-Examples!$F$13*$A10))/(1+EXP(MIN(700,MAX(-700,(Examples!$F$14*$A10-Examples!$F$15)/Examples!$F$16))))))+Examples!$F$17*$A10^2)</f>
        <v>131347.99314277689</v>
      </c>
      <c r="I10" s="33">
        <f>(Examples!$F$6*Examples!$F$7*Examples!$F$8*EXP(-Examples!$F$9*$A10)*(1-(Examples!$F$12*(1-EXP(-Examples!$F$13*$A10))/(1+EXP(MIN(700,MAX(-700,(Examples!$F$14*$A10-Examples!$F$15)/Examples!$F$16))))))+Examples!$F$17*$A10^2)</f>
        <v>17052.00685722311</v>
      </c>
      <c r="J10" s="33">
        <f>Examples!$G$18-(Examples!$G$10+Examples!$G$11)*$A10-(Examples!$G$6*Examples!$G$7*Examples!$G$8*EXP(-Examples!$G$9*$A10)*(1-(Examples!$G$12*(1-EXP(-Examples!$G$13*$A10))/(1+EXP(MIN(700,MAX(-700,(Examples!$G$14*$A10-Examples!$G$15)/Examples!$G$16))))))+Examples!$G$17*$A10^2)</f>
        <v>-390152.12257138779</v>
      </c>
      <c r="K10" s="33">
        <f>(Examples!$G$6*Examples!$G$7*Examples!$G$8*EXP(-Examples!$G$9*$A10)*(1-(Examples!$G$12*(1-EXP(-Examples!$G$13*$A10))/(1+EXP(MIN(700,MAX(-700,(Examples!$G$14*$A10-Examples!$G$15)/Examples!$G$16))))))+Examples!$G$17*$A10^2)</f>
        <v>1886152.1225713878</v>
      </c>
      <c r="L10" s="33">
        <f>Examples!$H$18-(Examples!$H$10+Examples!$H$11)*$A10-(Examples!$H$6*Examples!$H$7*Examples!$H$8*EXP(-Examples!$H$9*$A10)*(1-(Examples!$H$12*(1-EXP(-Examples!$H$13*$A10))/(1+EXP(MIN(700,MAX(-700,(Examples!$H$14*$A10-Examples!$H$15)/Examples!$H$16))))))+Examples!$H$17*$A10^2)</f>
        <v>-387849.72842023568</v>
      </c>
      <c r="M10" s="33">
        <f>(Examples!$H$6*Examples!$H$7*Examples!$H$8*EXP(-Examples!$H$9*$A10)*(1-(Examples!$H$12*(1-EXP(-Examples!$H$13*$A10))/(1+EXP(MIN(700,MAX(-700,(Examples!$H$14*$A10-Examples!$H$15)/Examples!$H$16))))))+Examples!$H$17*$A10^2)</f>
        <v>1883849.7284202357</v>
      </c>
    </row>
    <row r="11" spans="1:13" x14ac:dyDescent="0.25">
      <c r="A11" s="4">
        <f>(11-2)/100</f>
        <v>0.09</v>
      </c>
      <c r="B11" s="33">
        <f>Examples!$C$18-(Examples!$C$10+Examples!$C$11)*$A11-(Examples!$C$6*Examples!$C$7*Examples!$C$8*EXP(-Examples!$C$9*$A11)*(1-(Examples!$C$12*(1-EXP(-Examples!$C$13*$A11))/(1+EXP(MIN(700,MAX(-700,(Examples!$C$14*$A11-Examples!$C$15)/Examples!$C$16))))))+Examples!$C$17*$A11^2)</f>
        <v>25037.828552978812</v>
      </c>
      <c r="C11" s="33">
        <f>(Examples!$C$6*Examples!$C$7*Examples!$C$8*EXP(-Examples!$C$9*$A11)*(1-(Examples!$C$12*(1-EXP(-Examples!$C$13*$A11))/(1+EXP(MIN(700,MAX(-700,(Examples!$C$14*$A11-Examples!$C$15)/Examples!$C$16))))))+Examples!$C$17*$A11^2)</f>
        <v>571812.17144702119</v>
      </c>
      <c r="D11" s="33">
        <f>Examples!$D$18-(Examples!$D$10+Examples!$D$11)*$A11-(Examples!$D$6*Examples!$D$7*Examples!$D$8*EXP(-Examples!$D$9*$A11)*(1-(Examples!$D$12*(1-EXP(-Examples!$D$13*$A11))/(1+EXP(MIN(700,MAX(-700,(Examples!$D$14*$A11-Examples!$D$15)/Examples!$D$16))))))+Examples!$D$17*$A11^2)</f>
        <v>-3040491.8272008374</v>
      </c>
      <c r="E11" s="33">
        <f>(Examples!$D$6*Examples!$D$7*Examples!$D$8*EXP(-Examples!$D$9*$A11)*(1-(Examples!$D$12*(1-EXP(-Examples!$D$13*$A11))/(1+EXP(MIN(700,MAX(-700,(Examples!$D$14*$A11-Examples!$D$15)/Examples!$D$16))))))+Examples!$D$17*$A11^2)</f>
        <v>5536441.8272008374</v>
      </c>
      <c r="F11" s="33">
        <f>Examples!$E$18-(Examples!$E$10+Examples!$E$11)*$A11-(Examples!$E$6*Examples!$E$7*Examples!$E$8*EXP(-Examples!$E$9*$A11)*(1-(Examples!$E$12*(1-EXP(-Examples!$E$13*$A11))/(1+EXP(MIN(700,MAX(-700,(Examples!$E$14*$A11-Examples!$E$15)/Examples!$E$16))))))+Examples!$E$17*$A11^2)</f>
        <v>542505.56999785127</v>
      </c>
      <c r="G11" s="33">
        <f>(Examples!$E$6*Examples!$E$7*Examples!$E$8*EXP(-Examples!$E$9*$A11)*(1-(Examples!$E$12*(1-EXP(-Examples!$E$13*$A11))/(1+EXP(MIN(700,MAX(-700,(Examples!$E$14*$A11-Examples!$E$15)/Examples!$E$16))))))+Examples!$E$17*$A11^2)</f>
        <v>2449844.4300021487</v>
      </c>
      <c r="H11" s="33">
        <f>Examples!$F$18-(Examples!$F$10+Examples!$F$11)*$A11-(Examples!$F$6*Examples!$F$7*Examples!$F$8*EXP(-Examples!$F$9*$A11)*(1-(Examples!$F$12*(1-EXP(-Examples!$F$13*$A11))/(1+EXP(MIN(700,MAX(-700,(Examples!$F$14*$A11-Examples!$F$15)/Examples!$F$16))))))+Examples!$F$17*$A11^2)</f>
        <v>131184.43483536868</v>
      </c>
      <c r="I11" s="33">
        <f>(Examples!$F$6*Examples!$F$7*Examples!$F$8*EXP(-Examples!$F$9*$A11)*(1-(Examples!$F$12*(1-EXP(-Examples!$F$13*$A11))/(1+EXP(MIN(700,MAX(-700,(Examples!$F$14*$A11-Examples!$F$15)/Examples!$F$16))))))+Examples!$F$17*$A11^2)</f>
        <v>17015.565164631313</v>
      </c>
      <c r="J11" s="33">
        <f>Examples!$G$18-(Examples!$G$10+Examples!$G$11)*$A11-(Examples!$G$6*Examples!$G$7*Examples!$G$8*EXP(-Examples!$G$9*$A11)*(1-(Examples!$G$12*(1-EXP(-Examples!$G$13*$A11))/(1+EXP(MIN(700,MAX(-700,(Examples!$G$14*$A11-Examples!$G$15)/Examples!$G$16))))))+Examples!$G$17*$A11^2)</f>
        <v>-376963.74427840044</v>
      </c>
      <c r="K11" s="33">
        <f>(Examples!$G$6*Examples!$G$7*Examples!$G$8*EXP(-Examples!$G$9*$A11)*(1-(Examples!$G$12*(1-EXP(-Examples!$G$13*$A11))/(1+EXP(MIN(700,MAX(-700,(Examples!$G$14*$A11-Examples!$G$15)/Examples!$G$16))))))+Examples!$G$17*$A11^2)</f>
        <v>1872463.7442784004</v>
      </c>
      <c r="L11" s="33">
        <f>Examples!$H$18-(Examples!$H$10+Examples!$H$11)*$A11-(Examples!$H$6*Examples!$H$7*Examples!$H$8*EXP(-Examples!$H$9*$A11)*(1-(Examples!$H$12*(1-EXP(-Examples!$H$13*$A11))/(1+EXP(MIN(700,MAX(-700,(Examples!$H$14*$A11-Examples!$H$15)/Examples!$H$16))))))+Examples!$H$17*$A11^2)</f>
        <v>-374356.35556404013</v>
      </c>
      <c r="M11" s="33">
        <f>(Examples!$H$6*Examples!$H$7*Examples!$H$8*EXP(-Examples!$H$9*$A11)*(1-(Examples!$H$12*(1-EXP(-Examples!$H$13*$A11))/(1+EXP(MIN(700,MAX(-700,(Examples!$H$14*$A11-Examples!$H$15)/Examples!$H$16))))))+Examples!$H$17*$A11^2)</f>
        <v>1869856.3555640401</v>
      </c>
    </row>
    <row r="12" spans="1:13" x14ac:dyDescent="0.25">
      <c r="A12" s="4">
        <f>(12-2)/100</f>
        <v>0.1</v>
      </c>
      <c r="B12" s="33">
        <f>Examples!$C$18-(Examples!$C$10+Examples!$C$11)*$A12-(Examples!$C$6*Examples!$C$7*Examples!$C$8*EXP(-Examples!$C$9*$A12)*(1-(Examples!$C$12*(1-EXP(-Examples!$C$13*$A12))/(1+EXP(MIN(700,MAX(-700,(Examples!$C$14*$A12-Examples!$C$15)/Examples!$C$16))))))+Examples!$C$17*$A12^2)</f>
        <v>27707.784896353376</v>
      </c>
      <c r="C12" s="33">
        <f>(Examples!$C$6*Examples!$C$7*Examples!$C$8*EXP(-Examples!$C$9*$A12)*(1-(Examples!$C$12*(1-EXP(-Examples!$C$13*$A12))/(1+EXP(MIN(700,MAX(-700,(Examples!$C$14*$A12-Examples!$C$15)/Examples!$C$16))))))+Examples!$C$17*$A12^2)</f>
        <v>568792.21510364662</v>
      </c>
      <c r="D12" s="33">
        <f>Examples!$D$18-(Examples!$D$10+Examples!$D$11)*$A12-(Examples!$D$6*Examples!$D$7*Examples!$D$8*EXP(-Examples!$D$9*$A12)*(1-(Examples!$D$12*(1-EXP(-Examples!$D$13*$A12))/(1+EXP(MIN(700,MAX(-700,(Examples!$D$14*$A12-Examples!$D$15)/Examples!$D$16))))))+Examples!$D$17*$A12^2)</f>
        <v>-2991920.65189665</v>
      </c>
      <c r="E12" s="33">
        <f>(Examples!$D$6*Examples!$D$7*Examples!$D$8*EXP(-Examples!$D$9*$A12)*(1-(Examples!$D$12*(1-EXP(-Examples!$D$13*$A12))/(1+EXP(MIN(700,MAX(-700,(Examples!$D$14*$A12-Examples!$D$15)/Examples!$D$16))))))+Examples!$D$17*$A12^2)</f>
        <v>5487420.65189665</v>
      </c>
      <c r="F12" s="33">
        <f>Examples!$E$18-(Examples!$E$10+Examples!$E$11)*$A12-(Examples!$E$6*Examples!$E$7*Examples!$E$8*EXP(-Examples!$E$9*$A12)*(1-(Examples!$E$12*(1-EXP(-Examples!$E$13*$A12))/(1+EXP(MIN(700,MAX(-700,(Examples!$E$14*$A12-Examples!$E$15)/Examples!$E$16))))))+Examples!$E$17*$A12^2)</f>
        <v>567868.32186491787</v>
      </c>
      <c r="G12" s="33">
        <f>(Examples!$E$6*Examples!$E$7*Examples!$E$8*EXP(-Examples!$E$9*$A12)*(1-(Examples!$E$12*(1-EXP(-Examples!$E$13*$A12))/(1+EXP(MIN(700,MAX(-700,(Examples!$E$14*$A12-Examples!$E$15)/Examples!$E$16))))))+Examples!$E$17*$A12^2)</f>
        <v>2423631.6781350821</v>
      </c>
      <c r="H12" s="33">
        <f>Examples!$F$18-(Examples!$F$10+Examples!$F$11)*$A12-(Examples!$F$6*Examples!$F$7*Examples!$F$8*EXP(-Examples!$F$9*$A12)*(1-(Examples!$F$12*(1-EXP(-Examples!$F$13*$A12))/(1+EXP(MIN(700,MAX(-700,(Examples!$F$14*$A12-Examples!$F$15)/Examples!$F$16))))))+Examples!$F$17*$A12^2)</f>
        <v>131016.53448774571</v>
      </c>
      <c r="I12" s="33">
        <f>(Examples!$F$6*Examples!$F$7*Examples!$F$8*EXP(-Examples!$F$9*$A12)*(1-(Examples!$F$12*(1-EXP(-Examples!$F$13*$A12))/(1+EXP(MIN(700,MAX(-700,(Examples!$F$14*$A12-Examples!$F$15)/Examples!$F$16))))))+Examples!$F$17*$A12^2)</f>
        <v>16983.46551225429</v>
      </c>
      <c r="J12" s="33">
        <f>Examples!$G$18-(Examples!$G$10+Examples!$G$11)*$A12-(Examples!$G$6*Examples!$G$7*Examples!$G$8*EXP(-Examples!$G$9*$A12)*(1-(Examples!$G$12*(1-EXP(-Examples!$G$13*$A12))/(1+EXP(MIN(700,MAX(-700,(Examples!$G$14*$A12-Examples!$G$15)/Examples!$G$16))))))+Examples!$G$17*$A12^2)</f>
        <v>-363892.9200220108</v>
      </c>
      <c r="K12" s="33">
        <f>(Examples!$G$6*Examples!$G$7*Examples!$G$8*EXP(-Examples!$G$9*$A12)*(1-(Examples!$G$12*(1-EXP(-Examples!$G$13*$A12))/(1+EXP(MIN(700,MAX(-700,(Examples!$G$14*$A12-Examples!$G$15)/Examples!$G$16))))))+Examples!$G$17*$A12^2)</f>
        <v>1858892.9200220108</v>
      </c>
      <c r="L12" s="33">
        <f>Examples!$H$18-(Examples!$H$10+Examples!$H$11)*$A12-(Examples!$H$6*Examples!$H$7*Examples!$H$8*EXP(-Examples!$H$9*$A12)*(1-(Examples!$H$12*(1-EXP(-Examples!$H$13*$A12))/(1+EXP(MIN(700,MAX(-700,(Examples!$H$14*$A12-Examples!$H$15)/Examples!$H$16))))))+Examples!$H$17*$A12^2)</f>
        <v>-360976.61482345313</v>
      </c>
      <c r="M12" s="33">
        <f>(Examples!$H$6*Examples!$H$7*Examples!$H$8*EXP(-Examples!$H$9*$A12)*(1-(Examples!$H$12*(1-EXP(-Examples!$H$13*$A12))/(1+EXP(MIN(700,MAX(-700,(Examples!$H$14*$A12-Examples!$H$15)/Examples!$H$16))))))+Examples!$H$17*$A12^2)</f>
        <v>1855976.6148234531</v>
      </c>
    </row>
    <row r="13" spans="1:13" x14ac:dyDescent="0.25">
      <c r="A13" s="4">
        <f>(13-2)/100</f>
        <v>0.11</v>
      </c>
      <c r="B13" s="33">
        <f>Examples!$C$18-(Examples!$C$10+Examples!$C$11)*$A13-(Examples!$C$6*Examples!$C$7*Examples!$C$8*EXP(-Examples!$C$9*$A13)*(1-(Examples!$C$12*(1-EXP(-Examples!$C$13*$A13))/(1+EXP(MIN(700,MAX(-700,(Examples!$C$14*$A13-Examples!$C$15)/Examples!$C$16))))))+Examples!$C$17*$A13^2)</f>
        <v>30355.725403197459</v>
      </c>
      <c r="C13" s="33">
        <f>(Examples!$C$6*Examples!$C$7*Examples!$C$8*EXP(-Examples!$C$9*$A13)*(1-(Examples!$C$12*(1-EXP(-Examples!$C$13*$A13))/(1+EXP(MIN(700,MAX(-700,(Examples!$C$14*$A13-Examples!$C$15)/Examples!$C$16))))))+Examples!$C$17*$A13^2)</f>
        <v>565794.27459680254</v>
      </c>
      <c r="D13" s="33">
        <f>Examples!$D$18-(Examples!$D$10+Examples!$D$11)*$A13-(Examples!$D$6*Examples!$D$7*Examples!$D$8*EXP(-Examples!$D$9*$A13)*(1-(Examples!$D$12*(1-EXP(-Examples!$D$13*$A13))/(1+EXP(MIN(700,MAX(-700,(Examples!$D$14*$A13-Examples!$D$15)/Examples!$D$16))))))+Examples!$D$17*$A13^2)</f>
        <v>-2943828.4649608284</v>
      </c>
      <c r="E13" s="33">
        <f>(Examples!$D$6*Examples!$D$7*Examples!$D$8*EXP(-Examples!$D$9*$A13)*(1-(Examples!$D$12*(1-EXP(-Examples!$D$13*$A13))/(1+EXP(MIN(700,MAX(-700,(Examples!$D$14*$A13-Examples!$D$15)/Examples!$D$16))))))+Examples!$D$17*$A13^2)</f>
        <v>5438878.4649608284</v>
      </c>
      <c r="F13" s="33">
        <f>Examples!$E$18-(Examples!$E$10+Examples!$E$11)*$A13-(Examples!$E$6*Examples!$E$7*Examples!$E$8*EXP(-Examples!$E$9*$A13)*(1-(Examples!$E$12*(1-EXP(-Examples!$E$13*$A13))/(1+EXP(MIN(700,MAX(-700,(Examples!$E$14*$A13-Examples!$E$15)/Examples!$E$16))))))+Examples!$E$17*$A13^2)</f>
        <v>592928.07329907361</v>
      </c>
      <c r="G13" s="33">
        <f>(Examples!$E$6*Examples!$E$7*Examples!$E$8*EXP(-Examples!$E$9*$A13)*(1-(Examples!$E$12*(1-EXP(-Examples!$E$13*$A13))/(1+EXP(MIN(700,MAX(-700,(Examples!$E$14*$A13-Examples!$E$15)/Examples!$E$16))))))+Examples!$E$17*$A13^2)</f>
        <v>2397721.9267009264</v>
      </c>
      <c r="H13" s="33">
        <f>Examples!$F$18-(Examples!$F$10+Examples!$F$11)*$A13-(Examples!$F$6*Examples!$F$7*Examples!$F$8*EXP(-Examples!$F$9*$A13)*(1-(Examples!$F$12*(1-EXP(-Examples!$F$13*$A13))/(1+EXP(MIN(700,MAX(-700,(Examples!$F$14*$A13-Examples!$F$15)/Examples!$F$16))))))+Examples!$F$17*$A13^2)</f>
        <v>130844.29322628536</v>
      </c>
      <c r="I13" s="33">
        <f>(Examples!$F$6*Examples!$F$7*Examples!$F$8*EXP(-Examples!$F$9*$A13)*(1-(Examples!$F$12*(1-EXP(-Examples!$F$13*$A13))/(1+EXP(MIN(700,MAX(-700,(Examples!$F$14*$A13-Examples!$F$15)/Examples!$F$16))))))+Examples!$F$17*$A13^2)</f>
        <v>16955.706773714646</v>
      </c>
      <c r="J13" s="33">
        <f>Examples!$G$18-(Examples!$G$10+Examples!$G$11)*$A13-(Examples!$G$6*Examples!$G$7*Examples!$G$8*EXP(-Examples!$G$9*$A13)*(1-(Examples!$G$12*(1-EXP(-Examples!$G$13*$A13))/(1+EXP(MIN(700,MAX(-700,(Examples!$G$14*$A13-Examples!$G$15)/Examples!$G$16))))))+Examples!$G$17*$A13^2)</f>
        <v>-350938.76441348484</v>
      </c>
      <c r="K13" s="33">
        <f>(Examples!$G$6*Examples!$G$7*Examples!$G$8*EXP(-Examples!$G$9*$A13)*(1-(Examples!$G$12*(1-EXP(-Examples!$G$13*$A13))/(1+EXP(MIN(700,MAX(-700,(Examples!$G$14*$A13-Examples!$G$15)/Examples!$G$16))))))+Examples!$G$17*$A13^2)</f>
        <v>1845438.7644134848</v>
      </c>
      <c r="L13" s="33">
        <f>Examples!$H$18-(Examples!$H$10+Examples!$H$11)*$A13-(Examples!$H$6*Examples!$H$7*Examples!$H$8*EXP(-Examples!$H$9*$A13)*(1-(Examples!$H$12*(1-EXP(-Examples!$H$13*$A13))/(1+EXP(MIN(700,MAX(-700,(Examples!$H$14*$A13-Examples!$H$15)/Examples!$H$16))))))+Examples!$H$17*$A13^2)</f>
        <v>-347709.59078990878</v>
      </c>
      <c r="M13" s="33">
        <f>(Examples!$H$6*Examples!$H$7*Examples!$H$8*EXP(-Examples!$H$9*$A13)*(1-(Examples!$H$12*(1-EXP(-Examples!$H$13*$A13))/(1+EXP(MIN(700,MAX(-700,(Examples!$H$14*$A13-Examples!$H$15)/Examples!$H$16))))))+Examples!$H$17*$A13^2)</f>
        <v>1842209.5907899088</v>
      </c>
    </row>
    <row r="14" spans="1:13" x14ac:dyDescent="0.25">
      <c r="A14" s="4">
        <f>(14-2)/100</f>
        <v>0.12</v>
      </c>
      <c r="B14" s="33">
        <f>Examples!$C$18-(Examples!$C$10+Examples!$C$11)*$A14-(Examples!$C$6*Examples!$C$7*Examples!$C$8*EXP(-Examples!$C$9*$A14)*(1-(Examples!$C$12*(1-EXP(-Examples!$C$13*$A14))/(1+EXP(MIN(700,MAX(-700,(Examples!$C$14*$A14-Examples!$C$15)/Examples!$C$16))))))+Examples!$C$17*$A14^2)</f>
        <v>32981.751739665517</v>
      </c>
      <c r="C14" s="33">
        <f>(Examples!$C$6*Examples!$C$7*Examples!$C$8*EXP(-Examples!$C$9*$A14)*(1-(Examples!$C$12*(1-EXP(-Examples!$C$13*$A14))/(1+EXP(MIN(700,MAX(-700,(Examples!$C$14*$A14-Examples!$C$15)/Examples!$C$16))))))+Examples!$C$17*$A14^2)</f>
        <v>562818.24826033448</v>
      </c>
      <c r="D14" s="33">
        <f>Examples!$D$18-(Examples!$D$10+Examples!$D$11)*$A14-(Examples!$D$6*Examples!$D$7*Examples!$D$8*EXP(-Examples!$D$9*$A14)*(1-(Examples!$D$12*(1-EXP(-Examples!$D$13*$A14))/(1+EXP(MIN(700,MAX(-700,(Examples!$D$14*$A14-Examples!$D$15)/Examples!$D$16))))))+Examples!$D$17*$A14^2)</f>
        <v>-2896210.4909103848</v>
      </c>
      <c r="E14" s="33">
        <f>(Examples!$D$6*Examples!$D$7*Examples!$D$8*EXP(-Examples!$D$9*$A14)*(1-(Examples!$D$12*(1-EXP(-Examples!$D$13*$A14))/(1+EXP(MIN(700,MAX(-700,(Examples!$D$14*$A14-Examples!$D$15)/Examples!$D$16))))))+Examples!$D$17*$A14^2)</f>
        <v>5390810.4909103848</v>
      </c>
      <c r="F14" s="33">
        <f>Examples!$E$18-(Examples!$E$10+Examples!$E$11)*$A14-(Examples!$E$6*Examples!$E$7*Examples!$E$8*EXP(-Examples!$E$9*$A14)*(1-(Examples!$E$12*(1-EXP(-Examples!$E$13*$A14))/(1+EXP(MIN(700,MAX(-700,(Examples!$E$14*$A14-Examples!$E$15)/Examples!$E$16))))))+Examples!$E$17*$A14^2)</f>
        <v>617688.36593366042</v>
      </c>
      <c r="G14" s="33">
        <f>(Examples!$E$6*Examples!$E$7*Examples!$E$8*EXP(-Examples!$E$9*$A14)*(1-(Examples!$E$12*(1-EXP(-Examples!$E$13*$A14))/(1+EXP(MIN(700,MAX(-700,(Examples!$E$14*$A14-Examples!$E$15)/Examples!$E$16))))))+Examples!$E$17*$A14^2)</f>
        <v>2372111.6340663396</v>
      </c>
      <c r="H14" s="33">
        <f>Examples!$F$18-(Examples!$F$10+Examples!$F$11)*$A14-(Examples!$F$6*Examples!$F$7*Examples!$F$8*EXP(-Examples!$F$9*$A14)*(1-(Examples!$F$12*(1-EXP(-Examples!$F$13*$A14))/(1+EXP(MIN(700,MAX(-700,(Examples!$F$14*$A14-Examples!$F$15)/Examples!$F$16))))))+Examples!$F$17*$A14^2)</f>
        <v>130667.71214181776</v>
      </c>
      <c r="I14" s="33">
        <f>(Examples!$F$6*Examples!$F$7*Examples!$F$8*EXP(-Examples!$F$9*$A14)*(1-(Examples!$F$12*(1-EXP(-Examples!$F$13*$A14))/(1+EXP(MIN(700,MAX(-700,(Examples!$F$14*$A14-Examples!$F$15)/Examples!$F$16))))))+Examples!$F$17*$A14^2)</f>
        <v>16932.287858182237</v>
      </c>
      <c r="J14" s="33">
        <f>Examples!$G$18-(Examples!$G$10+Examples!$G$11)*$A14-(Examples!$G$6*Examples!$G$7*Examples!$G$8*EXP(-Examples!$G$9*$A14)*(1-(Examples!$G$12*(1-EXP(-Examples!$G$13*$A14))/(1+EXP(MIN(700,MAX(-700,(Examples!$G$14*$A14-Examples!$G$15)/Examples!$G$16))))))+Examples!$G$17*$A14^2)</f>
        <v>-338100.3999549197</v>
      </c>
      <c r="K14" s="33">
        <f>(Examples!$G$6*Examples!$G$7*Examples!$G$8*EXP(-Examples!$G$9*$A14)*(1-(Examples!$G$12*(1-EXP(-Examples!$G$13*$A14))/(1+EXP(MIN(700,MAX(-700,(Examples!$G$14*$A14-Examples!$G$15)/Examples!$G$16))))))+Examples!$G$17*$A14^2)</f>
        <v>1832100.3999549197</v>
      </c>
      <c r="L14" s="33">
        <f>Examples!$H$18-(Examples!$H$10+Examples!$H$11)*$A14-(Examples!$H$6*Examples!$H$7*Examples!$H$8*EXP(-Examples!$H$9*$A14)*(1-(Examples!$H$12*(1-EXP(-Examples!$H$13*$A14))/(1+EXP(MIN(700,MAX(-700,(Examples!$H$14*$A14-Examples!$H$15)/Examples!$H$16))))))+Examples!$H$17*$A14^2)</f>
        <v>-334554.37604683172</v>
      </c>
      <c r="M14" s="33">
        <f>(Examples!$H$6*Examples!$H$7*Examples!$H$8*EXP(-Examples!$H$9*$A14)*(1-(Examples!$H$12*(1-EXP(-Examples!$H$13*$A14))/(1+EXP(MIN(700,MAX(-700,(Examples!$H$14*$A14-Examples!$H$15)/Examples!$H$16))))))+Examples!$H$17*$A14^2)</f>
        <v>1828554.3760468317</v>
      </c>
    </row>
    <row r="15" spans="1:13" x14ac:dyDescent="0.25">
      <c r="A15" s="4">
        <f>(15-2)/100</f>
        <v>0.13</v>
      </c>
      <c r="B15" s="33">
        <f>Examples!$C$18-(Examples!$C$10+Examples!$C$11)*$A15-(Examples!$C$6*Examples!$C$7*Examples!$C$8*EXP(-Examples!$C$9*$A15)*(1-(Examples!$C$12*(1-EXP(-Examples!$C$13*$A15))/(1+EXP(MIN(700,MAX(-700,(Examples!$C$14*$A15-Examples!$C$15)/Examples!$C$16))))))+Examples!$C$17*$A15^2)</f>
        <v>35585.964047461748</v>
      </c>
      <c r="C15" s="33">
        <f>(Examples!$C$6*Examples!$C$7*Examples!$C$8*EXP(-Examples!$C$9*$A15)*(1-(Examples!$C$12*(1-EXP(-Examples!$C$13*$A15))/(1+EXP(MIN(700,MAX(-700,(Examples!$C$14*$A15-Examples!$C$15)/Examples!$C$16))))))+Examples!$C$17*$A15^2)</f>
        <v>559864.03595253825</v>
      </c>
      <c r="D15" s="33">
        <f>Examples!$D$18-(Examples!$D$10+Examples!$D$11)*$A15-(Examples!$D$6*Examples!$D$7*Examples!$D$8*EXP(-Examples!$D$9*$A15)*(1-(Examples!$D$12*(1-EXP(-Examples!$D$13*$A15))/(1+EXP(MIN(700,MAX(-700,(Examples!$D$14*$A15-Examples!$D$15)/Examples!$D$16))))))+Examples!$D$17*$A15^2)</f>
        <v>-2849062.0037368909</v>
      </c>
      <c r="E15" s="33">
        <f>(Examples!$D$6*Examples!$D$7*Examples!$D$8*EXP(-Examples!$D$9*$A15)*(1-(Examples!$D$12*(1-EXP(-Examples!$D$13*$A15))/(1+EXP(MIN(700,MAX(-700,(Examples!$D$14*$A15-Examples!$D$15)/Examples!$D$16))))))+Examples!$D$17*$A15^2)</f>
        <v>5343212.0037368909</v>
      </c>
      <c r="F15" s="33">
        <f>Examples!$E$18-(Examples!$E$10+Examples!$E$11)*$A15-(Examples!$E$6*Examples!$E$7*Examples!$E$8*EXP(-Examples!$E$9*$A15)*(1-(Examples!$E$12*(1-EXP(-Examples!$E$13*$A15))/(1+EXP(MIN(700,MAX(-700,(Examples!$E$14*$A15-Examples!$E$15)/Examples!$E$16))))))+Examples!$E$17*$A15^2)</f>
        <v>642152.69947464019</v>
      </c>
      <c r="G15" s="33">
        <f>(Examples!$E$6*Examples!$E$7*Examples!$E$8*EXP(-Examples!$E$9*$A15)*(1-(Examples!$E$12*(1-EXP(-Examples!$E$13*$A15))/(1+EXP(MIN(700,MAX(-700,(Examples!$E$14*$A15-Examples!$E$15)/Examples!$E$16))))))+Examples!$E$17*$A15^2)</f>
        <v>2346797.3005253598</v>
      </c>
      <c r="H15" s="33">
        <f>Examples!$F$18-(Examples!$F$10+Examples!$F$11)*$A15-(Examples!$F$6*Examples!$F$7*Examples!$F$8*EXP(-Examples!$F$9*$A15)*(1-(Examples!$F$12*(1-EXP(-Examples!$F$13*$A15))/(1+EXP(MIN(700,MAX(-700,(Examples!$F$14*$A15-Examples!$F$15)/Examples!$F$16))))))+Examples!$F$17*$A15^2)</f>
        <v>130486.79228861269</v>
      </c>
      <c r="I15" s="33">
        <f>(Examples!$F$6*Examples!$F$7*Examples!$F$8*EXP(-Examples!$F$9*$A15)*(1-(Examples!$F$12*(1-EXP(-Examples!$F$13*$A15))/(1+EXP(MIN(700,MAX(-700,(Examples!$F$14*$A15-Examples!$F$15)/Examples!$F$16))))))+Examples!$F$17*$A15^2)</f>
        <v>16913.207711387302</v>
      </c>
      <c r="J15" s="33">
        <f>Examples!$G$18-(Examples!$G$10+Examples!$G$11)*$A15-(Examples!$G$6*Examples!$G$7*Examples!$G$8*EXP(-Examples!$G$9*$A15)*(1-(Examples!$G$12*(1-EXP(-Examples!$G$13*$A15))/(1+EXP(MIN(700,MAX(-700,(Examples!$G$14*$A15-Examples!$G$15)/Examples!$G$16))))))+Examples!$G$17*$A15^2)</f>
        <v>-325376.95697055408</v>
      </c>
      <c r="K15" s="33">
        <f>(Examples!$G$6*Examples!$G$7*Examples!$G$8*EXP(-Examples!$G$9*$A15)*(1-(Examples!$G$12*(1-EXP(-Examples!$G$13*$A15))/(1+EXP(MIN(700,MAX(-700,(Examples!$G$14*$A15-Examples!$G$15)/Examples!$G$16))))))+Examples!$G$17*$A15^2)</f>
        <v>1818876.9569705541</v>
      </c>
      <c r="L15" s="33">
        <f>Examples!$H$18-(Examples!$H$10+Examples!$H$11)*$A15-(Examples!$H$6*Examples!$H$7*Examples!$H$8*EXP(-Examples!$H$9*$A15)*(1-(Examples!$H$12*(1-EXP(-Examples!$H$13*$A15))/(1+EXP(MIN(700,MAX(-700,(Examples!$H$14*$A15-Examples!$H$15)/Examples!$H$16))))))+Examples!$H$17*$A15^2)</f>
        <v>-321510.07111309166</v>
      </c>
      <c r="M15" s="33">
        <f>(Examples!$H$6*Examples!$H$7*Examples!$H$8*EXP(-Examples!$H$9*$A15)*(1-(Examples!$H$12*(1-EXP(-Examples!$H$13*$A15))/(1+EXP(MIN(700,MAX(-700,(Examples!$H$14*$A15-Examples!$H$15)/Examples!$H$16))))))+Examples!$H$17*$A15^2)</f>
        <v>1815010.0711130917</v>
      </c>
    </row>
    <row r="16" spans="1:13" x14ac:dyDescent="0.25">
      <c r="A16" s="4">
        <f>(16-2)/100</f>
        <v>0.14000000000000001</v>
      </c>
      <c r="B16" s="33">
        <f>Examples!$C$18-(Examples!$C$10+Examples!$C$11)*$A16-(Examples!$C$6*Examples!$C$7*Examples!$C$8*EXP(-Examples!$C$9*$A16)*(1-(Examples!$C$12*(1-EXP(-Examples!$C$13*$A16))/(1+EXP(MIN(700,MAX(-700,(Examples!$C$14*$A16-Examples!$C$15)/Examples!$C$16))))))+Examples!$C$17*$A16^2)</f>
        <v>38168.460926175234</v>
      </c>
      <c r="C16" s="33">
        <f>(Examples!$C$6*Examples!$C$7*Examples!$C$8*EXP(-Examples!$C$9*$A16)*(1-(Examples!$C$12*(1-EXP(-Examples!$C$13*$A16))/(1+EXP(MIN(700,MAX(-700,(Examples!$C$14*$A16-Examples!$C$15)/Examples!$C$16))))))+Examples!$C$17*$A16^2)</f>
        <v>556931.53907382477</v>
      </c>
      <c r="D16" s="33">
        <f>Examples!$D$18-(Examples!$D$10+Examples!$D$11)*$A16-(Examples!$D$6*Examples!$D$7*Examples!$D$8*EXP(-Examples!$D$9*$A16)*(1-(Examples!$D$12*(1-EXP(-Examples!$D$13*$A16))/(1+EXP(MIN(700,MAX(-700,(Examples!$D$14*$A16-Examples!$D$15)/Examples!$D$16))))))+Examples!$D$17*$A16^2)</f>
        <v>-2802378.3263955759</v>
      </c>
      <c r="E16" s="33">
        <f>(Examples!$D$6*Examples!$D$7*Examples!$D$8*EXP(-Examples!$D$9*$A16)*(1-(Examples!$D$12*(1-EXP(-Examples!$D$13*$A16))/(1+EXP(MIN(700,MAX(-700,(Examples!$D$14*$A16-Examples!$D$15)/Examples!$D$16))))))+Examples!$D$17*$A16^2)</f>
        <v>5296078.3263955759</v>
      </c>
      <c r="F16" s="33">
        <f>Examples!$E$18-(Examples!$E$10+Examples!$E$11)*$A16-(Examples!$E$6*Examples!$E$7*Examples!$E$8*EXP(-Examples!$E$9*$A16)*(1-(Examples!$E$12*(1-EXP(-Examples!$E$13*$A16))/(1+EXP(MIN(700,MAX(-700,(Examples!$E$14*$A16-Examples!$E$15)/Examples!$E$16))))))+Examples!$E$17*$A16^2)</f>
        <v>666324.53219930176</v>
      </c>
      <c r="G16" s="33">
        <f>(Examples!$E$6*Examples!$E$7*Examples!$E$8*EXP(-Examples!$E$9*$A16)*(1-(Examples!$E$12*(1-EXP(-Examples!$E$13*$A16))/(1+EXP(MIN(700,MAX(-700,(Examples!$E$14*$A16-Examples!$E$15)/Examples!$E$16))))))+Examples!$E$17*$A16^2)</f>
        <v>2321775.4678006982</v>
      </c>
      <c r="H16" s="33">
        <f>Examples!$F$18-(Examples!$F$10+Examples!$F$11)*$A16-(Examples!$F$6*Examples!$F$7*Examples!$F$8*EXP(-Examples!$F$9*$A16)*(1-(Examples!$F$12*(1-EXP(-Examples!$F$13*$A16))/(1+EXP(MIN(700,MAX(-700,(Examples!$F$14*$A16-Examples!$F$15)/Examples!$F$16))))))+Examples!$F$17*$A16^2)</f>
        <v>130301.53468332932</v>
      </c>
      <c r="I16" s="33">
        <f>(Examples!$F$6*Examples!$F$7*Examples!$F$8*EXP(-Examples!$F$9*$A16)*(1-(Examples!$F$12*(1-EXP(-Examples!$F$13*$A16))/(1+EXP(MIN(700,MAX(-700,(Examples!$F$14*$A16-Examples!$F$15)/Examples!$F$16))))))+Examples!$F$17*$A16^2)</f>
        <v>16898.465316670681</v>
      </c>
      <c r="J16" s="33">
        <f>Examples!$G$18-(Examples!$G$10+Examples!$G$11)*$A16-(Examples!$G$6*Examples!$G$7*Examples!$G$8*EXP(-Examples!$G$9*$A16)*(1-(Examples!$G$12*(1-EXP(-Examples!$G$13*$A16))/(1+EXP(MIN(700,MAX(-700,(Examples!$G$14*$A16-Examples!$G$15)/Examples!$G$16))))))+Examples!$G$17*$A16^2)</f>
        <v>-312767.5735384915</v>
      </c>
      <c r="K16" s="33">
        <f>(Examples!$G$6*Examples!$G$7*Examples!$G$8*EXP(-Examples!$G$9*$A16)*(1-(Examples!$G$12*(1-EXP(-Examples!$G$13*$A16))/(1+EXP(MIN(700,MAX(-700,(Examples!$G$14*$A16-Examples!$G$15)/Examples!$G$16))))))+Examples!$G$17*$A16^2)</f>
        <v>1805767.5735384915</v>
      </c>
      <c r="L16" s="33">
        <f>Examples!$H$18-(Examples!$H$10+Examples!$H$11)*$A16-(Examples!$H$6*Examples!$H$7*Examples!$H$8*EXP(-Examples!$H$9*$A16)*(1-(Examples!$H$12*(1-EXP(-Examples!$H$13*$A16))/(1+EXP(MIN(700,MAX(-700,(Examples!$H$14*$A16-Examples!$H$15)/Examples!$H$16))))))+Examples!$H$17*$A16^2)</f>
        <v>-308575.78438727139</v>
      </c>
      <c r="M16" s="33">
        <f>(Examples!$H$6*Examples!$H$7*Examples!$H$8*EXP(-Examples!$H$9*$A16)*(1-(Examples!$H$12*(1-EXP(-Examples!$H$13*$A16))/(1+EXP(MIN(700,MAX(-700,(Examples!$H$14*$A16-Examples!$H$15)/Examples!$H$16))))))+Examples!$H$17*$A16^2)</f>
        <v>1801575.7843872714</v>
      </c>
    </row>
    <row r="17" spans="1:13" x14ac:dyDescent="0.25">
      <c r="A17" s="4">
        <f>(17-2)/100</f>
        <v>0.15</v>
      </c>
      <c r="B17" s="33">
        <f>Examples!$C$18-(Examples!$C$10+Examples!$C$11)*$A17-(Examples!$C$6*Examples!$C$7*Examples!$C$8*EXP(-Examples!$C$9*$A17)*(1-(Examples!$C$12*(1-EXP(-Examples!$C$13*$A17))/(1+EXP(MIN(700,MAX(-700,(Examples!$C$14*$A17-Examples!$C$15)/Examples!$C$16))))))+Examples!$C$17*$A17^2)</f>
        <v>40729.339414914255</v>
      </c>
      <c r="C17" s="33">
        <f>(Examples!$C$6*Examples!$C$7*Examples!$C$8*EXP(-Examples!$C$9*$A17)*(1-(Examples!$C$12*(1-EXP(-Examples!$C$13*$A17))/(1+EXP(MIN(700,MAX(-700,(Examples!$C$14*$A17-Examples!$C$15)/Examples!$C$16))))))+Examples!$C$17*$A17^2)</f>
        <v>554020.66058508574</v>
      </c>
      <c r="D17" s="33">
        <f>Examples!$D$18-(Examples!$D$10+Examples!$D$11)*$A17-(Examples!$D$6*Examples!$D$7*Examples!$D$8*EXP(-Examples!$D$9*$A17)*(1-(Examples!$D$12*(1-EXP(-Examples!$D$13*$A17))/(1+EXP(MIN(700,MAX(-700,(Examples!$D$14*$A17-Examples!$D$15)/Examples!$D$16))))))+Examples!$D$17*$A17^2)</f>
        <v>-2756154.8302997332</v>
      </c>
      <c r="E17" s="33">
        <f>(Examples!$D$6*Examples!$D$7*Examples!$D$8*EXP(-Examples!$D$9*$A17)*(1-(Examples!$D$12*(1-EXP(-Examples!$D$13*$A17))/(1+EXP(MIN(700,MAX(-700,(Examples!$D$14*$A17-Examples!$D$15)/Examples!$D$16))))))+Examples!$D$17*$A17^2)</f>
        <v>5249404.8302997332</v>
      </c>
      <c r="F17" s="33">
        <f>Examples!$E$18-(Examples!$E$10+Examples!$E$11)*$A17-(Examples!$E$6*Examples!$E$7*Examples!$E$8*EXP(-Examples!$E$9*$A17)*(1-(Examples!$E$12*(1-EXP(-Examples!$E$13*$A17))/(1+EXP(MIN(700,MAX(-700,(Examples!$E$14*$A17-Examples!$E$15)/Examples!$E$16))))))+Examples!$E$17*$A17^2)</f>
        <v>690207.28144905111</v>
      </c>
      <c r="G17" s="33">
        <f>(Examples!$E$6*Examples!$E$7*Examples!$E$8*EXP(-Examples!$E$9*$A17)*(1-(Examples!$E$12*(1-EXP(-Examples!$E$13*$A17))/(1+EXP(MIN(700,MAX(-700,(Examples!$E$14*$A17-Examples!$E$15)/Examples!$E$16))))))+Examples!$E$17*$A17^2)</f>
        <v>2297042.7185509489</v>
      </c>
      <c r="H17" s="33">
        <f>Examples!$F$18-(Examples!$F$10+Examples!$F$11)*$A17-(Examples!$F$6*Examples!$F$7*Examples!$F$8*EXP(-Examples!$F$9*$A17)*(1-(Examples!$F$12*(1-EXP(-Examples!$F$13*$A17))/(1+EXP(MIN(700,MAX(-700,(Examples!$F$14*$A17-Examples!$F$15)/Examples!$F$16))))))+Examples!$F$17*$A17^2)</f>
        <v>130111.94030392819</v>
      </c>
      <c r="I17" s="33">
        <f>(Examples!$F$6*Examples!$F$7*Examples!$F$8*EXP(-Examples!$F$9*$A17)*(1-(Examples!$F$12*(1-EXP(-Examples!$F$13*$A17))/(1+EXP(MIN(700,MAX(-700,(Examples!$F$14*$A17-Examples!$F$15)/Examples!$F$16))))))+Examples!$F$17*$A17^2)</f>
        <v>16888.059696071814</v>
      </c>
      <c r="J17" s="33">
        <f>Examples!$G$18-(Examples!$G$10+Examples!$G$11)*$A17-(Examples!$G$6*Examples!$G$7*Examples!$G$8*EXP(-Examples!$G$9*$A17)*(1-(Examples!$G$12*(1-EXP(-Examples!$G$13*$A17))/(1+EXP(MIN(700,MAX(-700,(Examples!$G$14*$A17-Examples!$G$15)/Examples!$G$16))))))+Examples!$G$17*$A17^2)</f>
        <v>-300271.39542283397</v>
      </c>
      <c r="K17" s="33">
        <f>(Examples!$G$6*Examples!$G$7*Examples!$G$8*EXP(-Examples!$G$9*$A17)*(1-(Examples!$G$12*(1-EXP(-Examples!$G$13*$A17))/(1+EXP(MIN(700,MAX(-700,(Examples!$G$14*$A17-Examples!$G$15)/Examples!$G$16))))))+Examples!$G$17*$A17^2)</f>
        <v>1792771.395422834</v>
      </c>
      <c r="L17" s="33">
        <f>Examples!$H$18-(Examples!$H$10+Examples!$H$11)*$A17-(Examples!$H$6*Examples!$H$7*Examples!$H$8*EXP(-Examples!$H$9*$A17)*(1-(Examples!$H$12*(1-EXP(-Examples!$H$13*$A17))/(1+EXP(MIN(700,MAX(-700,(Examples!$H$14*$A17-Examples!$H$15)/Examples!$H$16))))))+Examples!$H$17*$A17^2)</f>
        <v>-295750.63209275994</v>
      </c>
      <c r="M17" s="33">
        <f>(Examples!$H$6*Examples!$H$7*Examples!$H$8*EXP(-Examples!$H$9*$A17)*(1-(Examples!$H$12*(1-EXP(-Examples!$H$13*$A17))/(1+EXP(MIN(700,MAX(-700,(Examples!$H$14*$A17-Examples!$H$15)/Examples!$H$16))))))+Examples!$H$17*$A17^2)</f>
        <v>1788250.6320927599</v>
      </c>
    </row>
    <row r="18" spans="1:13" x14ac:dyDescent="0.25">
      <c r="A18" s="4">
        <f>(18-2)/100</f>
        <v>0.16</v>
      </c>
      <c r="B18" s="33">
        <f>Examples!$C$18-(Examples!$C$10+Examples!$C$11)*$A18-(Examples!$C$6*Examples!$C$7*Examples!$C$8*EXP(-Examples!$C$9*$A18)*(1-(Examples!$C$12*(1-EXP(-Examples!$C$13*$A18))/(1+EXP(MIN(700,MAX(-700,(Examples!$C$14*$A18-Examples!$C$15)/Examples!$C$16))))))+Examples!$C$17*$A18^2)</f>
        <v>43268.69497322035</v>
      </c>
      <c r="C18" s="33">
        <f>(Examples!$C$6*Examples!$C$7*Examples!$C$8*EXP(-Examples!$C$9*$A18)*(1-(Examples!$C$12*(1-EXP(-Examples!$C$13*$A18))/(1+EXP(MIN(700,MAX(-700,(Examples!$C$14*$A18-Examples!$C$15)/Examples!$C$16))))))+Examples!$C$17*$A18^2)</f>
        <v>551131.30502677965</v>
      </c>
      <c r="D18" s="33">
        <f>Examples!$D$18-(Examples!$D$10+Examples!$D$11)*$A18-(Examples!$D$6*Examples!$D$7*Examples!$D$8*EXP(-Examples!$D$9*$A18)*(1-(Examples!$D$12*(1-EXP(-Examples!$D$13*$A18))/(1+EXP(MIN(700,MAX(-700,(Examples!$D$14*$A18-Examples!$D$15)/Examples!$D$16))))))+Examples!$D$17*$A18^2)</f>
        <v>-2710386.934820395</v>
      </c>
      <c r="E18" s="33">
        <f>(Examples!$D$6*Examples!$D$7*Examples!$D$8*EXP(-Examples!$D$9*$A18)*(1-(Examples!$D$12*(1-EXP(-Examples!$D$13*$A18))/(1+EXP(MIN(700,MAX(-700,(Examples!$D$14*$A18-Examples!$D$15)/Examples!$D$16))))))+Examples!$D$17*$A18^2)</f>
        <v>5203186.934820395</v>
      </c>
      <c r="F18" s="33">
        <f>Examples!$E$18-(Examples!$E$10+Examples!$E$11)*$A18-(Examples!$E$6*Examples!$E$7*Examples!$E$8*EXP(-Examples!$E$9*$A18)*(1-(Examples!$E$12*(1-EXP(-Examples!$E$13*$A18))/(1+EXP(MIN(700,MAX(-700,(Examples!$E$14*$A18-Examples!$E$15)/Examples!$E$16))))))+Examples!$E$17*$A18^2)</f>
        <v>713804.32411632081</v>
      </c>
      <c r="G18" s="33">
        <f>(Examples!$E$6*Examples!$E$7*Examples!$E$8*EXP(-Examples!$E$9*$A18)*(1-(Examples!$E$12*(1-EXP(-Examples!$E$13*$A18))/(1+EXP(MIN(700,MAX(-700,(Examples!$E$14*$A18-Examples!$E$15)/Examples!$E$16))))))+Examples!$E$17*$A18^2)</f>
        <v>2272595.6758836792</v>
      </c>
      <c r="H18" s="33">
        <f>Examples!$F$18-(Examples!$F$10+Examples!$F$11)*$A18-(Examples!$F$6*Examples!$F$7*Examples!$F$8*EXP(-Examples!$F$9*$A18)*(1-(Examples!$F$12*(1-EXP(-Examples!$F$13*$A18))/(1+EXP(MIN(700,MAX(-700,(Examples!$F$14*$A18-Examples!$F$15)/Examples!$F$16))))))+Examples!$F$17*$A18^2)</f>
        <v>129918.01008854483</v>
      </c>
      <c r="I18" s="33">
        <f>(Examples!$F$6*Examples!$F$7*Examples!$F$8*EXP(-Examples!$F$9*$A18)*(1-(Examples!$F$12*(1-EXP(-Examples!$F$13*$A18))/(1+EXP(MIN(700,MAX(-700,(Examples!$F$14*$A18-Examples!$F$15)/Examples!$F$16))))))+Examples!$F$17*$A18^2)</f>
        <v>16881.989911455174</v>
      </c>
      <c r="J18" s="33">
        <f>Examples!$G$18-(Examples!$G$10+Examples!$G$11)*$A18-(Examples!$G$6*Examples!$G$7*Examples!$G$8*EXP(-Examples!$G$9*$A18)*(1-(Examples!$G$12*(1-EXP(-Examples!$G$13*$A18))/(1+EXP(MIN(700,MAX(-700,(Examples!$G$14*$A18-Examples!$G$15)/Examples!$G$16))))))+Examples!$G$17*$A18^2)</f>
        <v>-287887.57600622252</v>
      </c>
      <c r="K18" s="33">
        <f>(Examples!$G$6*Examples!$G$7*Examples!$G$8*EXP(-Examples!$G$9*$A18)*(1-(Examples!$G$12*(1-EXP(-Examples!$G$13*$A18))/(1+EXP(MIN(700,MAX(-700,(Examples!$G$14*$A18-Examples!$G$15)/Examples!$G$16))))))+Examples!$G$17*$A18^2)</f>
        <v>1779887.5760062225</v>
      </c>
      <c r="L18" s="33">
        <f>Examples!$H$18-(Examples!$H$10+Examples!$H$11)*$A18-(Examples!$H$6*Examples!$H$7*Examples!$H$8*EXP(-Examples!$H$9*$A18)*(1-(Examples!$H$12*(1-EXP(-Examples!$H$13*$A18))/(1+EXP(MIN(700,MAX(-700,(Examples!$H$14*$A18-Examples!$H$15)/Examples!$H$16))))))+Examples!$H$17*$A18^2)</f>
        <v>-283033.73822367564</v>
      </c>
      <c r="M18" s="33">
        <f>(Examples!$H$6*Examples!$H$7*Examples!$H$8*EXP(-Examples!$H$9*$A18)*(1-(Examples!$H$12*(1-EXP(-Examples!$H$13*$A18))/(1+EXP(MIN(700,MAX(-700,(Examples!$H$14*$A18-Examples!$H$15)/Examples!$H$16))))))+Examples!$H$17*$A18^2)</f>
        <v>1775033.7382236756</v>
      </c>
    </row>
    <row r="19" spans="1:13" x14ac:dyDescent="0.25">
      <c r="A19" s="4">
        <f>(19-2)/100</f>
        <v>0.17</v>
      </c>
      <c r="B19" s="33">
        <f>Examples!$C$18-(Examples!$C$10+Examples!$C$11)*$A19-(Examples!$C$6*Examples!$C$7*Examples!$C$8*EXP(-Examples!$C$9*$A19)*(1-(Examples!$C$12*(1-EXP(-Examples!$C$13*$A19))/(1+EXP(MIN(700,MAX(-700,(Examples!$C$14*$A19-Examples!$C$15)/Examples!$C$16))))))+Examples!$C$17*$A19^2)</f>
        <v>45786.621461255942</v>
      </c>
      <c r="C19" s="33">
        <f>(Examples!$C$6*Examples!$C$7*Examples!$C$8*EXP(-Examples!$C$9*$A19)*(1-(Examples!$C$12*(1-EXP(-Examples!$C$13*$A19))/(1+EXP(MIN(700,MAX(-700,(Examples!$C$14*$A19-Examples!$C$15)/Examples!$C$16))))))+Examples!$C$17*$A19^2)</f>
        <v>548263.37853874406</v>
      </c>
      <c r="D19" s="33">
        <f>Examples!$D$18-(Examples!$D$10+Examples!$D$11)*$A19-(Examples!$D$6*Examples!$D$7*Examples!$D$8*EXP(-Examples!$D$9*$A19)*(1-(Examples!$D$12*(1-EXP(-Examples!$D$13*$A19))/(1+EXP(MIN(700,MAX(-700,(Examples!$D$14*$A19-Examples!$D$15)/Examples!$D$16))))))+Examples!$D$17*$A19^2)</f>
        <v>-2665070.1067912169</v>
      </c>
      <c r="E19" s="33">
        <f>(Examples!$D$6*Examples!$D$7*Examples!$D$8*EXP(-Examples!$D$9*$A19)*(1-(Examples!$D$12*(1-EXP(-Examples!$D$13*$A19))/(1+EXP(MIN(700,MAX(-700,(Examples!$D$14*$A19-Examples!$D$15)/Examples!$D$16))))))+Examples!$D$17*$A19^2)</f>
        <v>5157420.1067912169</v>
      </c>
      <c r="F19" s="33">
        <f>Examples!$E$18-(Examples!$E$10+Examples!$E$11)*$A19-(Examples!$E$6*Examples!$E$7*Examples!$E$8*EXP(-Examples!$E$9*$A19)*(1-(Examples!$E$12*(1-EXP(-Examples!$E$13*$A19))/(1+EXP(MIN(700,MAX(-700,(Examples!$E$14*$A19-Examples!$E$15)/Examples!$E$16))))))+Examples!$E$17*$A19^2)</f>
        <v>737118.99712568568</v>
      </c>
      <c r="G19" s="33">
        <f>(Examples!$E$6*Examples!$E$7*Examples!$E$8*EXP(-Examples!$E$9*$A19)*(1-(Examples!$E$12*(1-EXP(-Examples!$E$13*$A19))/(1+EXP(MIN(700,MAX(-700,(Examples!$E$14*$A19-Examples!$E$15)/Examples!$E$16))))))+Examples!$E$17*$A19^2)</f>
        <v>2248431.0028743143</v>
      </c>
      <c r="H19" s="33">
        <f>Examples!$F$18-(Examples!$F$10+Examples!$F$11)*$A19-(Examples!$F$6*Examples!$F$7*Examples!$F$8*EXP(-Examples!$F$9*$A19)*(1-(Examples!$F$12*(1-EXP(-Examples!$F$13*$A19))/(1+EXP(MIN(700,MAX(-700,(Examples!$F$14*$A19-Examples!$F$15)/Examples!$F$16))))))+Examples!$F$17*$A19^2)</f>
        <v>129719.744934324</v>
      </c>
      <c r="I19" s="33">
        <f>(Examples!$F$6*Examples!$F$7*Examples!$F$8*EXP(-Examples!$F$9*$A19)*(1-(Examples!$F$12*(1-EXP(-Examples!$F$13*$A19))/(1+EXP(MIN(700,MAX(-700,(Examples!$F$14*$A19-Examples!$F$15)/Examples!$F$16))))))+Examples!$F$17*$A19^2)</f>
        <v>16880.255065676007</v>
      </c>
      <c r="J19" s="33">
        <f>Examples!$G$18-(Examples!$G$10+Examples!$G$11)*$A19-(Examples!$G$6*Examples!$G$7*Examples!$G$8*EXP(-Examples!$G$9*$A19)*(1-(Examples!$G$12*(1-EXP(-Examples!$G$13*$A19))/(1+EXP(MIN(700,MAX(-700,(Examples!$G$14*$A19-Examples!$G$15)/Examples!$G$16))))))+Examples!$G$17*$A19^2)</f>
        <v>-275615.27622276288</v>
      </c>
      <c r="K19" s="33">
        <f>(Examples!$G$6*Examples!$G$7*Examples!$G$8*EXP(-Examples!$G$9*$A19)*(1-(Examples!$G$12*(1-EXP(-Examples!$G$13*$A19))/(1+EXP(MIN(700,MAX(-700,(Examples!$G$14*$A19-Examples!$G$15)/Examples!$G$16))))))+Examples!$G$17*$A19^2)</f>
        <v>1767115.2762227629</v>
      </c>
      <c r="L19" s="33">
        <f>Examples!$H$18-(Examples!$H$10+Examples!$H$11)*$A19-(Examples!$H$6*Examples!$H$7*Examples!$H$8*EXP(-Examples!$H$9*$A19)*(1-(Examples!$H$12*(1-EXP(-Examples!$H$13*$A19))/(1+EXP(MIN(700,MAX(-700,(Examples!$H$14*$A19-Examples!$H$15)/Examples!$H$16))))))+Examples!$H$17*$A19^2)</f>
        <v>-270424.2344916116</v>
      </c>
      <c r="M19" s="33">
        <f>(Examples!$H$6*Examples!$H$7*Examples!$H$8*EXP(-Examples!$H$9*$A19)*(1-(Examples!$H$12*(1-EXP(-Examples!$H$13*$A19))/(1+EXP(MIN(700,MAX(-700,(Examples!$H$14*$A19-Examples!$H$15)/Examples!$H$16))))))+Examples!$H$17*$A19^2)</f>
        <v>1761924.2344916116</v>
      </c>
    </row>
    <row r="20" spans="1:13" x14ac:dyDescent="0.25">
      <c r="A20" s="4">
        <f>(20-2)/100</f>
        <v>0.18</v>
      </c>
      <c r="B20" s="33">
        <f>Examples!$C$18-(Examples!$C$10+Examples!$C$11)*$A20-(Examples!$C$6*Examples!$C$7*Examples!$C$8*EXP(-Examples!$C$9*$A20)*(1-(Examples!$C$12*(1-EXP(-Examples!$C$13*$A20))/(1+EXP(MIN(700,MAX(-700,(Examples!$C$14*$A20-Examples!$C$15)/Examples!$C$16))))))+Examples!$C$17*$A20^2)</f>
        <v>48283.211119252141</v>
      </c>
      <c r="C20" s="33">
        <f>(Examples!$C$6*Examples!$C$7*Examples!$C$8*EXP(-Examples!$C$9*$A20)*(1-(Examples!$C$12*(1-EXP(-Examples!$C$13*$A20))/(1+EXP(MIN(700,MAX(-700,(Examples!$C$14*$A20-Examples!$C$15)/Examples!$C$16))))))+Examples!$C$17*$A20^2)</f>
        <v>545416.78888074786</v>
      </c>
      <c r="D20" s="33">
        <f>Examples!$D$18-(Examples!$D$10+Examples!$D$11)*$A20-(Examples!$D$6*Examples!$D$7*Examples!$D$8*EXP(-Examples!$D$9*$A20)*(1-(Examples!$D$12*(1-EXP(-Examples!$D$13*$A20))/(1+EXP(MIN(700,MAX(-700,(Examples!$D$14*$A20-Examples!$D$15)/Examples!$D$16))))))+Examples!$D$17*$A20^2)</f>
        <v>-2620199.8600185206</v>
      </c>
      <c r="E20" s="33">
        <f>(Examples!$D$6*Examples!$D$7*Examples!$D$8*EXP(-Examples!$D$9*$A20)*(1-(Examples!$D$12*(1-EXP(-Examples!$D$13*$A20))/(1+EXP(MIN(700,MAX(-700,(Examples!$D$14*$A20-Examples!$D$15)/Examples!$D$16))))))+Examples!$D$17*$A20^2)</f>
        <v>5112099.8600185206</v>
      </c>
      <c r="F20" s="33">
        <f>Examples!$E$18-(Examples!$E$10+Examples!$E$11)*$A20-(Examples!$E$6*Examples!$E$7*Examples!$E$8*EXP(-Examples!$E$9*$A20)*(1-(Examples!$E$12*(1-EXP(-Examples!$E$13*$A20))/(1+EXP(MIN(700,MAX(-700,(Examples!$E$14*$A20-Examples!$E$15)/Examples!$E$16))))))+Examples!$E$17*$A20^2)</f>
        <v>760154.59790924937</v>
      </c>
      <c r="G20" s="33">
        <f>(Examples!$E$6*Examples!$E$7*Examples!$E$8*EXP(-Examples!$E$9*$A20)*(1-(Examples!$E$12*(1-EXP(-Examples!$E$13*$A20))/(1+EXP(MIN(700,MAX(-700,(Examples!$E$14*$A20-Examples!$E$15)/Examples!$E$16))))))+Examples!$E$17*$A20^2)</f>
        <v>2224545.4020907506</v>
      </c>
      <c r="H20" s="33">
        <f>Examples!$F$18-(Examples!$F$10+Examples!$F$11)*$A20-(Examples!$F$6*Examples!$F$7*Examples!$F$8*EXP(-Examples!$F$9*$A20)*(1-(Examples!$F$12*(1-EXP(-Examples!$F$13*$A20))/(1+EXP(MIN(700,MAX(-700,(Examples!$F$14*$A20-Examples!$F$15)/Examples!$F$16))))))+Examples!$F$17*$A20^2)</f>
        <v>129517.14569621428</v>
      </c>
      <c r="I20" s="33">
        <f>(Examples!$F$6*Examples!$F$7*Examples!$F$8*EXP(-Examples!$F$9*$A20)*(1-(Examples!$F$12*(1-EXP(-Examples!$F$13*$A20))/(1+EXP(MIN(700,MAX(-700,(Examples!$F$14*$A20-Examples!$F$15)/Examples!$F$16))))))+Examples!$F$17*$A20^2)</f>
        <v>16882.854303785716</v>
      </c>
      <c r="J20" s="33">
        <f>Examples!$G$18-(Examples!$G$10+Examples!$G$11)*$A20-(Examples!$G$6*Examples!$G$7*Examples!$G$8*EXP(-Examples!$G$9*$A20)*(1-(Examples!$G$12*(1-EXP(-Examples!$G$13*$A20))/(1+EXP(MIN(700,MAX(-700,(Examples!$G$14*$A20-Examples!$G$15)/Examples!$G$16))))))+Examples!$G$17*$A20^2)</f>
        <v>-263453.6644913503</v>
      </c>
      <c r="K20" s="33">
        <f>(Examples!$G$6*Examples!$G$7*Examples!$G$8*EXP(-Examples!$G$9*$A20)*(1-(Examples!$G$12*(1-EXP(-Examples!$G$13*$A20))/(1+EXP(MIN(700,MAX(-700,(Examples!$G$14*$A20-Examples!$G$15)/Examples!$G$16))))))+Examples!$G$17*$A20^2)</f>
        <v>1754453.6644913503</v>
      </c>
      <c r="L20" s="33">
        <f>Examples!$H$18-(Examples!$H$10+Examples!$H$11)*$A20-(Examples!$H$6*Examples!$H$7*Examples!$H$8*EXP(-Examples!$H$9*$A20)*(1-(Examples!$H$12*(1-EXP(-Examples!$H$13*$A20))/(1+EXP(MIN(700,MAX(-700,(Examples!$H$14*$A20-Examples!$H$15)/Examples!$H$16))))))+Examples!$H$17*$A20^2)</f>
        <v>-257921.26027322351</v>
      </c>
      <c r="M20" s="33">
        <f>(Examples!$H$6*Examples!$H$7*Examples!$H$8*EXP(-Examples!$H$9*$A20)*(1-(Examples!$H$12*(1-EXP(-Examples!$H$13*$A20))/(1+EXP(MIN(700,MAX(-700,(Examples!$H$14*$A20-Examples!$H$15)/Examples!$H$16))))))+Examples!$H$17*$A20^2)</f>
        <v>1748921.2602732235</v>
      </c>
    </row>
    <row r="21" spans="1:13" x14ac:dyDescent="0.25">
      <c r="A21" s="4">
        <f>(21-2)/100</f>
        <v>0.19</v>
      </c>
      <c r="B21" s="33">
        <f>Examples!$C$18-(Examples!$C$10+Examples!$C$11)*$A21-(Examples!$C$6*Examples!$C$7*Examples!$C$8*EXP(-Examples!$C$9*$A21)*(1-(Examples!$C$12*(1-EXP(-Examples!$C$13*$A21))/(1+EXP(MIN(700,MAX(-700,(Examples!$C$14*$A21-Examples!$C$15)/Examples!$C$16))))))+Examples!$C$17*$A21^2)</f>
        <v>50758.554546202067</v>
      </c>
      <c r="C21" s="33">
        <f>(Examples!$C$6*Examples!$C$7*Examples!$C$8*EXP(-Examples!$C$9*$A21)*(1-(Examples!$C$12*(1-EXP(-Examples!$C$13*$A21))/(1+EXP(MIN(700,MAX(-700,(Examples!$C$14*$A21-Examples!$C$15)/Examples!$C$16))))))+Examples!$C$17*$A21^2)</f>
        <v>542591.44545379793</v>
      </c>
      <c r="D21" s="33">
        <f>Examples!$D$18-(Examples!$D$10+Examples!$D$11)*$A21-(Examples!$D$6*Examples!$D$7*Examples!$D$8*EXP(-Examples!$D$9*$A21)*(1-(Examples!$D$12*(1-EXP(-Examples!$D$13*$A21))/(1+EXP(MIN(700,MAX(-700,(Examples!$D$14*$A21-Examples!$D$15)/Examples!$D$16))))))+Examples!$D$17*$A21^2)</f>
        <v>-2575771.7547964239</v>
      </c>
      <c r="E21" s="33">
        <f>(Examples!$D$6*Examples!$D$7*Examples!$D$8*EXP(-Examples!$D$9*$A21)*(1-(Examples!$D$12*(1-EXP(-Examples!$D$13*$A21))/(1+EXP(MIN(700,MAX(-700,(Examples!$D$14*$A21-Examples!$D$15)/Examples!$D$16))))))+Examples!$D$17*$A21^2)</f>
        <v>5067221.7547964239</v>
      </c>
      <c r="F21" s="33">
        <f>Examples!$E$18-(Examples!$E$10+Examples!$E$11)*$A21-(Examples!$E$6*Examples!$E$7*Examples!$E$8*EXP(-Examples!$E$9*$A21)*(1-(Examples!$E$12*(1-EXP(-Examples!$E$13*$A21))/(1+EXP(MIN(700,MAX(-700,(Examples!$E$14*$A21-Examples!$E$15)/Examples!$E$16))))))+Examples!$E$17*$A21^2)</f>
        <v>782914.38487636903</v>
      </c>
      <c r="G21" s="33">
        <f>(Examples!$E$6*Examples!$E$7*Examples!$E$8*EXP(-Examples!$E$9*$A21)*(1-(Examples!$E$12*(1-EXP(-Examples!$E$13*$A21))/(1+EXP(MIN(700,MAX(-700,(Examples!$E$14*$A21-Examples!$E$15)/Examples!$E$16))))))+Examples!$E$17*$A21^2)</f>
        <v>2200935.615123631</v>
      </c>
      <c r="H21" s="33">
        <f>Examples!$F$18-(Examples!$F$10+Examples!$F$11)*$A21-(Examples!$F$6*Examples!$F$7*Examples!$F$8*EXP(-Examples!$F$9*$A21)*(1-(Examples!$F$12*(1-EXP(-Examples!$F$13*$A21))/(1+EXP(MIN(700,MAX(-700,(Examples!$F$14*$A21-Examples!$F$15)/Examples!$F$16))))))+Examples!$F$17*$A21^2)</f>
        <v>129310.21318572226</v>
      </c>
      <c r="I21" s="33">
        <f>(Examples!$F$6*Examples!$F$7*Examples!$F$8*EXP(-Examples!$F$9*$A21)*(1-(Examples!$F$12*(1-EXP(-Examples!$F$13*$A21))/(1+EXP(MIN(700,MAX(-700,(Examples!$F$14*$A21-Examples!$F$15)/Examples!$F$16))))))+Examples!$F$17*$A21^2)</f>
        <v>16889.786814277744</v>
      </c>
      <c r="J21" s="33">
        <f>Examples!$G$18-(Examples!$G$10+Examples!$G$11)*$A21-(Examples!$G$6*Examples!$G$7*Examples!$G$8*EXP(-Examples!$G$9*$A21)*(1-(Examples!$G$12*(1-EXP(-Examples!$G$13*$A21))/(1+EXP(MIN(700,MAX(-700,(Examples!$G$14*$A21-Examples!$G$15)/Examples!$G$16))))))+Examples!$G$17*$A21^2)</f>
        <v>-251401.91664936813</v>
      </c>
      <c r="K21" s="33">
        <f>(Examples!$G$6*Examples!$G$7*Examples!$G$8*EXP(-Examples!$G$9*$A21)*(1-(Examples!$G$12*(1-EXP(-Examples!$G$13*$A21))/(1+EXP(MIN(700,MAX(-700,(Examples!$G$14*$A21-Examples!$G$15)/Examples!$G$16))))))+Examples!$G$17*$A21^2)</f>
        <v>1741901.9166493681</v>
      </c>
      <c r="L21" s="33">
        <f>Examples!$H$18-(Examples!$H$10+Examples!$H$11)*$A21-(Examples!$H$6*Examples!$H$7*Examples!$H$8*EXP(-Examples!$H$9*$A21)*(1-(Examples!$H$12*(1-EXP(-Examples!$H$13*$A21))/(1+EXP(MIN(700,MAX(-700,(Examples!$H$14*$A21-Examples!$H$15)/Examples!$H$16))))))+Examples!$H$17*$A21^2)</f>
        <v>-245523.96255865297</v>
      </c>
      <c r="M21" s="33">
        <f>(Examples!$H$6*Examples!$H$7*Examples!$H$8*EXP(-Examples!$H$9*$A21)*(1-(Examples!$H$12*(1-EXP(-Examples!$H$13*$A21))/(1+EXP(MIN(700,MAX(-700,(Examples!$H$14*$A21-Examples!$H$15)/Examples!$H$16))))))+Examples!$H$17*$A21^2)</f>
        <v>1736023.962558653</v>
      </c>
    </row>
    <row r="22" spans="1:13" x14ac:dyDescent="0.25">
      <c r="A22" s="4">
        <f>(22-2)/100</f>
        <v>0.2</v>
      </c>
      <c r="B22" s="33">
        <f>Examples!$C$18-(Examples!$C$10+Examples!$C$11)*$A22-(Examples!$C$6*Examples!$C$7*Examples!$C$8*EXP(-Examples!$C$9*$A22)*(1-(Examples!$C$12*(1-EXP(-Examples!$C$13*$A22))/(1+EXP(MIN(700,MAX(-700,(Examples!$C$14*$A22-Examples!$C$15)/Examples!$C$16))))))+Examples!$C$17*$A22^2)</f>
        <v>53212.740677794325</v>
      </c>
      <c r="C22" s="33">
        <f>(Examples!$C$6*Examples!$C$7*Examples!$C$8*EXP(-Examples!$C$9*$A22)*(1-(Examples!$C$12*(1-EXP(-Examples!$C$13*$A22))/(1+EXP(MIN(700,MAX(-700,(Examples!$C$14*$A22-Examples!$C$15)/Examples!$C$16))))))+Examples!$C$17*$A22^2)</f>
        <v>539787.25932220567</v>
      </c>
      <c r="D22" s="33">
        <f>Examples!$D$18-(Examples!$D$10+Examples!$D$11)*$A22-(Examples!$D$6*Examples!$D$7*Examples!$D$8*EXP(-Examples!$D$9*$A22)*(1-(Examples!$D$12*(1-EXP(-Examples!$D$13*$A22))/(1+EXP(MIN(700,MAX(-700,(Examples!$D$14*$A22-Examples!$D$15)/Examples!$D$16))))))+Examples!$D$17*$A22^2)</f>
        <v>-2531781.3974270271</v>
      </c>
      <c r="E22" s="33">
        <f>(Examples!$D$6*Examples!$D$7*Examples!$D$8*EXP(-Examples!$D$9*$A22)*(1-(Examples!$D$12*(1-EXP(-Examples!$D$13*$A22))/(1+EXP(MIN(700,MAX(-700,(Examples!$D$14*$A22-Examples!$D$15)/Examples!$D$16))))))+Examples!$D$17*$A22^2)</f>
        <v>5022781.3974270271</v>
      </c>
      <c r="F22" s="33">
        <f>Examples!$E$18-(Examples!$E$10+Examples!$E$11)*$A22-(Examples!$E$6*Examples!$E$7*Examples!$E$8*EXP(-Examples!$E$9*$A22)*(1-(Examples!$E$12*(1-EXP(-Examples!$E$13*$A22))/(1+EXP(MIN(700,MAX(-700,(Examples!$E$14*$A22-Examples!$E$15)/Examples!$E$16))))))+Examples!$E$17*$A22^2)</f>
        <v>805401.57787778601</v>
      </c>
      <c r="G22" s="33">
        <f>(Examples!$E$6*Examples!$E$7*Examples!$E$8*EXP(-Examples!$E$9*$A22)*(1-(Examples!$E$12*(1-EXP(-Examples!$E$13*$A22))/(1+EXP(MIN(700,MAX(-700,(Examples!$E$14*$A22-Examples!$E$15)/Examples!$E$16))))))+Examples!$E$17*$A22^2)</f>
        <v>2177598.422122214</v>
      </c>
      <c r="H22" s="33">
        <f>Examples!$F$18-(Examples!$F$10+Examples!$F$11)*$A22-(Examples!$F$6*Examples!$F$7*Examples!$F$8*EXP(-Examples!$F$9*$A22)*(1-(Examples!$F$12*(1-EXP(-Examples!$F$13*$A22))/(1+EXP(MIN(700,MAX(-700,(Examples!$F$14*$A22-Examples!$F$15)/Examples!$F$16))))))+Examples!$F$17*$A22^2)</f>
        <v>129098.9481696258</v>
      </c>
      <c r="I22" s="33">
        <f>(Examples!$F$6*Examples!$F$7*Examples!$F$8*EXP(-Examples!$F$9*$A22)*(1-(Examples!$F$12*(1-EXP(-Examples!$F$13*$A22))/(1+EXP(MIN(700,MAX(-700,(Examples!$F$14*$A22-Examples!$F$15)/Examples!$F$16))))))+Examples!$F$17*$A22^2)</f>
        <v>16901.051830374192</v>
      </c>
      <c r="J22" s="33">
        <f>Examples!$G$18-(Examples!$G$10+Examples!$G$11)*$A22-(Examples!$G$6*Examples!$G$7*Examples!$G$8*EXP(-Examples!$G$9*$A22)*(1-(Examples!$G$12*(1-EXP(-Examples!$G$13*$A22))/(1+EXP(MIN(700,MAX(-700,(Examples!$G$14*$A22-Examples!$G$15)/Examples!$G$16))))))+Examples!$G$17*$A22^2)</f>
        <v>-239459.2158867598</v>
      </c>
      <c r="K22" s="33">
        <f>(Examples!$G$6*Examples!$G$7*Examples!$G$8*EXP(-Examples!$G$9*$A22)*(1-(Examples!$G$12*(1-EXP(-Examples!$G$13*$A22))/(1+EXP(MIN(700,MAX(-700,(Examples!$G$14*$A22-Examples!$G$15)/Examples!$G$16))))))+Examples!$G$17*$A22^2)</f>
        <v>1729459.2158867598</v>
      </c>
      <c r="L22" s="33">
        <f>Examples!$H$18-(Examples!$H$10+Examples!$H$11)*$A22-(Examples!$H$6*Examples!$H$7*Examples!$H$8*EXP(-Examples!$H$9*$A22)*(1-(Examples!$H$12*(1-EXP(-Examples!$H$13*$A22))/(1+EXP(MIN(700,MAX(-700,(Examples!$H$14*$A22-Examples!$H$15)/Examples!$H$16))))))+Examples!$H$17*$A22^2)</f>
        <v>-233231.49590079463</v>
      </c>
      <c r="M22" s="33">
        <f>(Examples!$H$6*Examples!$H$7*Examples!$H$8*EXP(-Examples!$H$9*$A22)*(1-(Examples!$H$12*(1-EXP(-Examples!$H$13*$A22))/(1+EXP(MIN(700,MAX(-700,(Examples!$H$14*$A22-Examples!$H$15)/Examples!$H$16))))))+Examples!$H$17*$A22^2)</f>
        <v>1723231.4959007946</v>
      </c>
    </row>
    <row r="23" spans="1:13" x14ac:dyDescent="0.25">
      <c r="A23" s="4">
        <f>(23-2)/100</f>
        <v>0.21</v>
      </c>
      <c r="B23" s="33">
        <f>Examples!$C$18-(Examples!$C$10+Examples!$C$11)*$A23-(Examples!$C$6*Examples!$C$7*Examples!$C$8*EXP(-Examples!$C$9*$A23)*(1-(Examples!$C$12*(1-EXP(-Examples!$C$13*$A23))/(1+EXP(MIN(700,MAX(-700,(Examples!$C$14*$A23-Examples!$C$15)/Examples!$C$16))))))+Examples!$C$17*$A23^2)</f>
        <v>55645.856763570569</v>
      </c>
      <c r="C23" s="33">
        <f>(Examples!$C$6*Examples!$C$7*Examples!$C$8*EXP(-Examples!$C$9*$A23)*(1-(Examples!$C$12*(1-EXP(-Examples!$C$13*$A23))/(1+EXP(MIN(700,MAX(-700,(Examples!$C$14*$A23-Examples!$C$15)/Examples!$C$16))))))+Examples!$C$17*$A23^2)</f>
        <v>537004.14323642943</v>
      </c>
      <c r="D23" s="33">
        <f>Examples!$D$18-(Examples!$D$10+Examples!$D$11)*$A23-(Examples!$D$6*Examples!$D$7*Examples!$D$8*EXP(-Examples!$D$9*$A23)*(1-(Examples!$D$12*(1-EXP(-Examples!$D$13*$A23))/(1+EXP(MIN(700,MAX(-700,(Examples!$D$14*$A23-Examples!$D$15)/Examples!$D$16))))))+Examples!$D$17*$A23^2)</f>
        <v>-2488224.4397455901</v>
      </c>
      <c r="E23" s="33">
        <f>(Examples!$D$6*Examples!$D$7*Examples!$D$8*EXP(-Examples!$D$9*$A23)*(1-(Examples!$D$12*(1-EXP(-Examples!$D$13*$A23))/(1+EXP(MIN(700,MAX(-700,(Examples!$D$14*$A23-Examples!$D$15)/Examples!$D$16))))))+Examples!$D$17*$A23^2)</f>
        <v>4978774.4397455901</v>
      </c>
      <c r="F23" s="33">
        <f>Examples!$E$18-(Examples!$E$10+Examples!$E$11)*$A23-(Examples!$E$6*Examples!$E$7*Examples!$E$8*EXP(-Examples!$E$9*$A23)*(1-(Examples!$E$12*(1-EXP(-Examples!$E$13*$A23))/(1+EXP(MIN(700,MAX(-700,(Examples!$E$14*$A23-Examples!$E$15)/Examples!$E$16))))))+Examples!$E$17*$A23^2)</f>
        <v>827619.35866423463</v>
      </c>
      <c r="G23" s="33">
        <f>(Examples!$E$6*Examples!$E$7*Examples!$E$8*EXP(-Examples!$E$9*$A23)*(1-(Examples!$E$12*(1-EXP(-Examples!$E$13*$A23))/(1+EXP(MIN(700,MAX(-700,(Examples!$E$14*$A23-Examples!$E$15)/Examples!$E$16))))))+Examples!$E$17*$A23^2)</f>
        <v>2154530.6413357654</v>
      </c>
      <c r="H23" s="33">
        <f>Examples!$F$18-(Examples!$F$10+Examples!$F$11)*$A23-(Examples!$F$6*Examples!$F$7*Examples!$F$8*EXP(-Examples!$F$9*$A23)*(1-(Examples!$F$12*(1-EXP(-Examples!$F$13*$A23))/(1+EXP(MIN(700,MAX(-700,(Examples!$F$14*$A23-Examples!$F$15)/Examples!$F$16))))))+Examples!$F$17*$A23^2)</f>
        <v>128883.35136864615</v>
      </c>
      <c r="I23" s="33">
        <f>(Examples!$F$6*Examples!$F$7*Examples!$F$8*EXP(-Examples!$F$9*$A23)*(1-(Examples!$F$12*(1-EXP(-Examples!$F$13*$A23))/(1+EXP(MIN(700,MAX(-700,(Examples!$F$14*$A23-Examples!$F$15)/Examples!$F$16))))))+Examples!$F$17*$A23^2)</f>
        <v>16916.648631353844</v>
      </c>
      <c r="J23" s="33">
        <f>Examples!$G$18-(Examples!$G$10+Examples!$G$11)*$A23-(Examples!$G$6*Examples!$G$7*Examples!$G$8*EXP(-Examples!$G$9*$A23)*(1-(Examples!$G$12*(1-EXP(-Examples!$G$13*$A23))/(1+EXP(MIN(700,MAX(-700,(Examples!$G$14*$A23-Examples!$G$15)/Examples!$G$16))))))+Examples!$G$17*$A23^2)</f>
        <v>-227624.7526804728</v>
      </c>
      <c r="K23" s="33">
        <f>(Examples!$G$6*Examples!$G$7*Examples!$G$8*EXP(-Examples!$G$9*$A23)*(1-(Examples!$G$12*(1-EXP(-Examples!$G$13*$A23))/(1+EXP(MIN(700,MAX(-700,(Examples!$G$14*$A23-Examples!$G$15)/Examples!$G$16))))))+Examples!$G$17*$A23^2)</f>
        <v>1717124.7526804728</v>
      </c>
      <c r="L23" s="33">
        <f>Examples!$H$18-(Examples!$H$10+Examples!$H$11)*$A23-(Examples!$H$6*Examples!$H$7*Examples!$H$8*EXP(-Examples!$H$9*$A23)*(1-(Examples!$H$12*(1-EXP(-Examples!$H$13*$A23))/(1+EXP(MIN(700,MAX(-700,(Examples!$H$14*$A23-Examples!$H$15)/Examples!$H$16))))))+Examples!$H$17*$A23^2)</f>
        <v>-221043.02236541547</v>
      </c>
      <c r="M23" s="33">
        <f>(Examples!$H$6*Examples!$H$7*Examples!$H$8*EXP(-Examples!$H$9*$A23)*(1-(Examples!$H$12*(1-EXP(-Examples!$H$13*$A23))/(1+EXP(MIN(700,MAX(-700,(Examples!$H$14*$A23-Examples!$H$15)/Examples!$H$16))))))+Examples!$H$17*$A23^2)</f>
        <v>1710543.0223654155</v>
      </c>
    </row>
    <row r="24" spans="1:13" x14ac:dyDescent="0.25">
      <c r="A24" s="4">
        <f>(24-2)/100</f>
        <v>0.22</v>
      </c>
      <c r="B24" s="33">
        <f>Examples!$C$18-(Examples!$C$10+Examples!$C$11)*$A24-(Examples!$C$6*Examples!$C$7*Examples!$C$8*EXP(-Examples!$C$9*$A24)*(1-(Examples!$C$12*(1-EXP(-Examples!$C$13*$A24))/(1+EXP(MIN(700,MAX(-700,(Examples!$C$14*$A24-Examples!$C$15)/Examples!$C$16))))))+Examples!$C$17*$A24^2)</f>
        <v>58057.988343300764</v>
      </c>
      <c r="C24" s="33">
        <f>(Examples!$C$6*Examples!$C$7*Examples!$C$8*EXP(-Examples!$C$9*$A24)*(1-(Examples!$C$12*(1-EXP(-Examples!$C$13*$A24))/(1+EXP(MIN(700,MAX(-700,(Examples!$C$14*$A24-Examples!$C$15)/Examples!$C$16))))))+Examples!$C$17*$A24^2)</f>
        <v>534242.01165669924</v>
      </c>
      <c r="D24" s="33">
        <f>Examples!$D$18-(Examples!$D$10+Examples!$D$11)*$A24-(Examples!$D$6*Examples!$D$7*Examples!$D$8*EXP(-Examples!$D$9*$A24)*(1-(Examples!$D$12*(1-EXP(-Examples!$D$13*$A24))/(1+EXP(MIN(700,MAX(-700,(Examples!$D$14*$A24-Examples!$D$15)/Examples!$D$16))))))+Examples!$D$17*$A24^2)</f>
        <v>-2445096.5786506487</v>
      </c>
      <c r="E24" s="33">
        <f>(Examples!$D$6*Examples!$D$7*Examples!$D$8*EXP(-Examples!$D$9*$A24)*(1-(Examples!$D$12*(1-EXP(-Examples!$D$13*$A24))/(1+EXP(MIN(700,MAX(-700,(Examples!$D$14*$A24-Examples!$D$15)/Examples!$D$16))))))+Examples!$D$17*$A24^2)</f>
        <v>4935196.5786506487</v>
      </c>
      <c r="F24" s="33">
        <f>Examples!$E$18-(Examples!$E$10+Examples!$E$11)*$A24-(Examples!$E$6*Examples!$E$7*Examples!$E$8*EXP(-Examples!$E$9*$A24)*(1-(Examples!$E$12*(1-EXP(-Examples!$E$13*$A24))/(1+EXP(MIN(700,MAX(-700,(Examples!$E$14*$A24-Examples!$E$15)/Examples!$E$16))))))+Examples!$E$17*$A24^2)</f>
        <v>849570.87133958424</v>
      </c>
      <c r="G24" s="33">
        <f>(Examples!$E$6*Examples!$E$7*Examples!$E$8*EXP(-Examples!$E$9*$A24)*(1-(Examples!$E$12*(1-EXP(-Examples!$E$13*$A24))/(1+EXP(MIN(700,MAX(-700,(Examples!$E$14*$A24-Examples!$E$15)/Examples!$E$16))))))+Examples!$E$17*$A24^2)</f>
        <v>2131729.1286604158</v>
      </c>
      <c r="H24" s="33">
        <f>Examples!$F$18-(Examples!$F$10+Examples!$F$11)*$A24-(Examples!$F$6*Examples!$F$7*Examples!$F$8*EXP(-Examples!$F$9*$A24)*(1-(Examples!$F$12*(1-EXP(-Examples!$F$13*$A24))/(1+EXP(MIN(700,MAX(-700,(Examples!$F$14*$A24-Examples!$F$15)/Examples!$F$16))))))+Examples!$F$17*$A24^2)</f>
        <v>128663.42345607822</v>
      </c>
      <c r="I24" s="33">
        <f>(Examples!$F$6*Examples!$F$7*Examples!$F$8*EXP(-Examples!$F$9*$A24)*(1-(Examples!$F$12*(1-EXP(-Examples!$F$13*$A24))/(1+EXP(MIN(700,MAX(-700,(Examples!$F$14*$A24-Examples!$F$15)/Examples!$F$16))))))+Examples!$F$17*$A24^2)</f>
        <v>16936.576543921772</v>
      </c>
      <c r="J24" s="33">
        <f>Examples!$G$18-(Examples!$G$10+Examples!$G$11)*$A24-(Examples!$G$6*Examples!$G$7*Examples!$G$8*EXP(-Examples!$G$9*$A24)*(1-(Examples!$G$12*(1-EXP(-Examples!$G$13*$A24))/(1+EXP(MIN(700,MAX(-700,(Examples!$G$14*$A24-Examples!$G$15)/Examples!$G$16))))))+Examples!$G$17*$A24^2)</f>
        <v>-215897.72472925484</v>
      </c>
      <c r="K24" s="33">
        <f>(Examples!$G$6*Examples!$G$7*Examples!$G$8*EXP(-Examples!$G$9*$A24)*(1-(Examples!$G$12*(1-EXP(-Examples!$G$13*$A24))/(1+EXP(MIN(700,MAX(-700,(Examples!$G$14*$A24-Examples!$G$15)/Examples!$G$16))))))+Examples!$G$17*$A24^2)</f>
        <v>1704897.7247292548</v>
      </c>
      <c r="L24" s="33">
        <f>Examples!$H$18-(Examples!$H$10+Examples!$H$11)*$A24-(Examples!$H$6*Examples!$H$7*Examples!$H$8*EXP(-Examples!$H$9*$A24)*(1-(Examples!$H$12*(1-EXP(-Examples!$H$13*$A24))/(1+EXP(MIN(700,MAX(-700,(Examples!$H$14*$A24-Examples!$H$15)/Examples!$H$16))))))+Examples!$H$17*$A24^2)</f>
        <v>-208957.71148212347</v>
      </c>
      <c r="M24" s="33">
        <f>(Examples!$H$6*Examples!$H$7*Examples!$H$8*EXP(-Examples!$H$9*$A24)*(1-(Examples!$H$12*(1-EXP(-Examples!$H$13*$A24))/(1+EXP(MIN(700,MAX(-700,(Examples!$H$14*$A24-Examples!$H$15)/Examples!$H$16))))))+Examples!$H$17*$A24^2)</f>
        <v>1697957.7114821235</v>
      </c>
    </row>
    <row r="25" spans="1:13" x14ac:dyDescent="0.25">
      <c r="A25" s="4">
        <f>(25-2)/100</f>
        <v>0.23</v>
      </c>
      <c r="B25" s="33">
        <f>Examples!$C$18-(Examples!$C$10+Examples!$C$11)*$A25-(Examples!$C$6*Examples!$C$7*Examples!$C$8*EXP(-Examples!$C$9*$A25)*(1-(Examples!$C$12*(1-EXP(-Examples!$C$13*$A25))/(1+EXP(MIN(700,MAX(-700,(Examples!$C$14*$A25-Examples!$C$15)/Examples!$C$16))))))+Examples!$C$17*$A25^2)</f>
        <v>60449.21922256588</v>
      </c>
      <c r="C25" s="33">
        <f>(Examples!$C$6*Examples!$C$7*Examples!$C$8*EXP(-Examples!$C$9*$A25)*(1-(Examples!$C$12*(1-EXP(-Examples!$C$13*$A25))/(1+EXP(MIN(700,MAX(-700,(Examples!$C$14*$A25-Examples!$C$15)/Examples!$C$16))))))+Examples!$C$17*$A25^2)</f>
        <v>531500.78077743412</v>
      </c>
      <c r="D25" s="33">
        <f>Examples!$D$18-(Examples!$D$10+Examples!$D$11)*$A25-(Examples!$D$6*Examples!$D$7*Examples!$D$8*EXP(-Examples!$D$9*$A25)*(1-(Examples!$D$12*(1-EXP(-Examples!$D$13*$A25))/(1+EXP(MIN(700,MAX(-700,(Examples!$D$14*$A25-Examples!$D$15)/Examples!$D$16))))))+Examples!$D$17*$A25^2)</f>
        <v>-2402393.5556390164</v>
      </c>
      <c r="E25" s="33">
        <f>(Examples!$D$6*Examples!$D$7*Examples!$D$8*EXP(-Examples!$D$9*$A25)*(1-(Examples!$D$12*(1-EXP(-Examples!$D$13*$A25))/(1+EXP(MIN(700,MAX(-700,(Examples!$D$14*$A25-Examples!$D$15)/Examples!$D$16))))))+Examples!$D$17*$A25^2)</f>
        <v>4892043.5556390164</v>
      </c>
      <c r="F25" s="33">
        <f>Examples!$E$18-(Examples!$E$10+Examples!$E$11)*$A25-(Examples!$E$6*Examples!$E$7*Examples!$E$8*EXP(-Examples!$E$9*$A25)*(1-(Examples!$E$12*(1-EXP(-Examples!$E$13*$A25))/(1+EXP(MIN(700,MAX(-700,(Examples!$E$14*$A25-Examples!$E$15)/Examples!$E$16))))))+Examples!$E$17*$A25^2)</f>
        <v>871259.22280859062</v>
      </c>
      <c r="G25" s="33">
        <f>(Examples!$E$6*Examples!$E$7*Examples!$E$8*EXP(-Examples!$E$9*$A25)*(1-(Examples!$E$12*(1-EXP(-Examples!$E$13*$A25))/(1+EXP(MIN(700,MAX(-700,(Examples!$E$14*$A25-Examples!$E$15)/Examples!$E$16))))))+Examples!$E$17*$A25^2)</f>
        <v>2109190.7771914094</v>
      </c>
      <c r="H25" s="33">
        <f>Examples!$F$18-(Examples!$F$10+Examples!$F$11)*$A25-(Examples!$F$6*Examples!$F$7*Examples!$F$8*EXP(-Examples!$F$9*$A25)*(1-(Examples!$F$12*(1-EXP(-Examples!$F$13*$A25))/(1+EXP(MIN(700,MAX(-700,(Examples!$F$14*$A25-Examples!$F$15)/Examples!$F$16))))))+Examples!$F$17*$A25^2)</f>
        <v>128439.16505637915</v>
      </c>
      <c r="I25" s="33">
        <f>(Examples!$F$6*Examples!$F$7*Examples!$F$8*EXP(-Examples!$F$9*$A25)*(1-(Examples!$F$12*(1-EXP(-Examples!$F$13*$A25))/(1+EXP(MIN(700,MAX(-700,(Examples!$F$14*$A25-Examples!$F$15)/Examples!$F$16))))))+Examples!$F$17*$A25^2)</f>
        <v>16960.834943620852</v>
      </c>
      <c r="J25" s="33">
        <f>Examples!$G$18-(Examples!$G$10+Examples!$G$11)*$A25-(Examples!$G$6*Examples!$G$7*Examples!$G$8*EXP(-Examples!$G$9*$A25)*(1-(Examples!$G$12*(1-EXP(-Examples!$G$13*$A25))/(1+EXP(MIN(700,MAX(-700,(Examples!$G$14*$A25-Examples!$G$15)/Examples!$G$16))))))+Examples!$G$17*$A25^2)</f>
        <v>-204277.33688880829</v>
      </c>
      <c r="K25" s="33">
        <f>(Examples!$G$6*Examples!$G$7*Examples!$G$8*EXP(-Examples!$G$9*$A25)*(1-(Examples!$G$12*(1-EXP(-Examples!$G$13*$A25))/(1+EXP(MIN(700,MAX(-700,(Examples!$G$14*$A25-Examples!$G$15)/Examples!$G$16))))))+Examples!$G$17*$A25^2)</f>
        <v>1692777.3368888083</v>
      </c>
      <c r="L25" s="33">
        <f>Examples!$H$18-(Examples!$H$10+Examples!$H$11)*$A25-(Examples!$H$6*Examples!$H$7*Examples!$H$8*EXP(-Examples!$H$9*$A25)*(1-(Examples!$H$12*(1-EXP(-Examples!$H$13*$A25))/(1+EXP(MIN(700,MAX(-700,(Examples!$H$14*$A25-Examples!$H$15)/Examples!$H$16))))))+Examples!$H$17*$A25^2)</f>
        <v>-196974.74019620335</v>
      </c>
      <c r="M25" s="33">
        <f>(Examples!$H$6*Examples!$H$7*Examples!$H$8*EXP(-Examples!$H$9*$A25)*(1-(Examples!$H$12*(1-EXP(-Examples!$H$13*$A25))/(1+EXP(MIN(700,MAX(-700,(Examples!$H$14*$A25-Examples!$H$15)/Examples!$H$16))))))+Examples!$H$17*$A25^2)</f>
        <v>1685474.7401962033</v>
      </c>
    </row>
    <row r="26" spans="1:13" x14ac:dyDescent="0.25">
      <c r="A26" s="4">
        <f>(26-2)/100</f>
        <v>0.24</v>
      </c>
      <c r="B26" s="33">
        <f>Examples!$C$18-(Examples!$C$10+Examples!$C$11)*$A26-(Examples!$C$6*Examples!$C$7*Examples!$C$8*EXP(-Examples!$C$9*$A26)*(1-(Examples!$C$12*(1-EXP(-Examples!$C$13*$A26))/(1+EXP(MIN(700,MAX(-700,(Examples!$C$14*$A26-Examples!$C$15)/Examples!$C$16))))))+Examples!$C$17*$A26^2)</f>
        <v>62819.631447536987</v>
      </c>
      <c r="C26" s="33">
        <f>(Examples!$C$6*Examples!$C$7*Examples!$C$8*EXP(-Examples!$C$9*$A26)*(1-(Examples!$C$12*(1-EXP(-Examples!$C$13*$A26))/(1+EXP(MIN(700,MAX(-700,(Examples!$C$14*$A26-Examples!$C$15)/Examples!$C$16))))))+Examples!$C$17*$A26^2)</f>
        <v>528780.36855246301</v>
      </c>
      <c r="D26" s="33">
        <f>Examples!$D$18-(Examples!$D$10+Examples!$D$11)*$A26-(Examples!$D$6*Examples!$D$7*Examples!$D$8*EXP(-Examples!$D$9*$A26)*(1-(Examples!$D$12*(1-EXP(-Examples!$D$13*$A26))/(1+EXP(MIN(700,MAX(-700,(Examples!$D$14*$A26-Examples!$D$15)/Examples!$D$16))))))+Examples!$D$17*$A26^2)</f>
        <v>-2360111.1563456235</v>
      </c>
      <c r="E26" s="33">
        <f>(Examples!$D$6*Examples!$D$7*Examples!$D$8*EXP(-Examples!$D$9*$A26)*(1-(Examples!$D$12*(1-EXP(-Examples!$D$13*$A26))/(1+EXP(MIN(700,MAX(-700,(Examples!$D$14*$A26-Examples!$D$15)/Examples!$D$16))))))+Examples!$D$17*$A26^2)</f>
        <v>4849311.1563456235</v>
      </c>
      <c r="F26" s="33">
        <f>Examples!$E$18-(Examples!$E$10+Examples!$E$11)*$A26-(Examples!$E$6*Examples!$E$7*Examples!$E$8*EXP(-Examples!$E$9*$A26)*(1-(Examples!$E$12*(1-EXP(-Examples!$E$13*$A26))/(1+EXP(MIN(700,MAX(-700,(Examples!$E$14*$A26-Examples!$E$15)/Examples!$E$16))))))+Examples!$E$17*$A26^2)</f>
        <v>892687.48321931181</v>
      </c>
      <c r="G26" s="33">
        <f>(Examples!$E$6*Examples!$E$7*Examples!$E$8*EXP(-Examples!$E$9*$A26)*(1-(Examples!$E$12*(1-EXP(-Examples!$E$13*$A26))/(1+EXP(MIN(700,MAX(-700,(Examples!$E$14*$A26-Examples!$E$15)/Examples!$E$16))))))+Examples!$E$17*$A26^2)</f>
        <v>2086912.5167806882</v>
      </c>
      <c r="H26" s="33">
        <f>Examples!$F$18-(Examples!$F$10+Examples!$F$11)*$A26-(Examples!$F$6*Examples!$F$7*Examples!$F$8*EXP(-Examples!$F$9*$A26)*(1-(Examples!$F$12*(1-EXP(-Examples!$F$13*$A26))/(1+EXP(MIN(700,MAX(-700,(Examples!$F$14*$A26-Examples!$F$15)/Examples!$F$16))))))+Examples!$F$17*$A26^2)</f>
        <v>128210.57674371469</v>
      </c>
      <c r="I26" s="33">
        <f>(Examples!$F$6*Examples!$F$7*Examples!$F$8*EXP(-Examples!$F$9*$A26)*(1-(Examples!$F$12*(1-EXP(-Examples!$F$13*$A26))/(1+EXP(MIN(700,MAX(-700,(Examples!$F$14*$A26-Examples!$F$15)/Examples!$F$16))))))+Examples!$F$17*$A26^2)</f>
        <v>16989.423256285318</v>
      </c>
      <c r="J26" s="33">
        <f>Examples!$G$18-(Examples!$G$10+Examples!$G$11)*$A26-(Examples!$G$6*Examples!$G$7*Examples!$G$8*EXP(-Examples!$G$9*$A26)*(1-(Examples!$G$12*(1-EXP(-Examples!$G$13*$A26))/(1+EXP(MIN(700,MAX(-700,(Examples!$G$14*$A26-Examples!$G$15)/Examples!$G$16))))))+Examples!$G$17*$A26^2)</f>
        <v>-192762.80110728671</v>
      </c>
      <c r="K26" s="33">
        <f>(Examples!$G$6*Examples!$G$7*Examples!$G$8*EXP(-Examples!$G$9*$A26)*(1-(Examples!$G$12*(1-EXP(-Examples!$G$13*$A26))/(1+EXP(MIN(700,MAX(-700,(Examples!$G$14*$A26-Examples!$G$15)/Examples!$G$16))))))+Examples!$G$17*$A26^2)</f>
        <v>1680762.8011072867</v>
      </c>
      <c r="L26" s="33">
        <f>Examples!$H$18-(Examples!$H$10+Examples!$H$11)*$A26-(Examples!$H$6*Examples!$H$7*Examples!$H$8*EXP(-Examples!$H$9*$A26)*(1-(Examples!$H$12*(1-EXP(-Examples!$H$13*$A26))/(1+EXP(MIN(700,MAX(-700,(Examples!$H$14*$A26-Examples!$H$15)/Examples!$H$16))))))+Examples!$H$17*$A26^2)</f>
        <v>-185093.29282131209</v>
      </c>
      <c r="M26" s="33">
        <f>(Examples!$H$6*Examples!$H$7*Examples!$H$8*EXP(-Examples!$H$9*$A26)*(1-(Examples!$H$12*(1-EXP(-Examples!$H$13*$A26))/(1+EXP(MIN(700,MAX(-700,(Examples!$H$14*$A26-Examples!$H$15)/Examples!$H$16))))))+Examples!$H$17*$A26^2)</f>
        <v>1673093.2928213121</v>
      </c>
    </row>
    <row r="27" spans="1:13" x14ac:dyDescent="0.25">
      <c r="A27" s="4">
        <f>(27-2)/100</f>
        <v>0.25</v>
      </c>
      <c r="B27" s="33">
        <f>Examples!$C$18-(Examples!$C$10+Examples!$C$11)*$A27-(Examples!$C$6*Examples!$C$7*Examples!$C$8*EXP(-Examples!$C$9*$A27)*(1-(Examples!$C$12*(1-EXP(-Examples!$C$13*$A27))/(1+EXP(MIN(700,MAX(-700,(Examples!$C$14*$A27-Examples!$C$15)/Examples!$C$16))))))+Examples!$C$17*$A27^2)</f>
        <v>65169.305278947111</v>
      </c>
      <c r="C27" s="33">
        <f>(Examples!$C$6*Examples!$C$7*Examples!$C$8*EXP(-Examples!$C$9*$A27)*(1-(Examples!$C$12*(1-EXP(-Examples!$C$13*$A27))/(1+EXP(MIN(700,MAX(-700,(Examples!$C$14*$A27-Examples!$C$15)/Examples!$C$16))))))+Examples!$C$17*$A27^2)</f>
        <v>526080.69472105289</v>
      </c>
      <c r="D27" s="33">
        <f>Examples!$D$18-(Examples!$D$10+Examples!$D$11)*$A27-(Examples!$D$6*Examples!$D$7*Examples!$D$8*EXP(-Examples!$D$9*$A27)*(1-(Examples!$D$12*(1-EXP(-Examples!$D$13*$A27))/(1+EXP(MIN(700,MAX(-700,(Examples!$D$14*$A27-Examples!$D$15)/Examples!$D$16))))))+Examples!$D$17*$A27^2)</f>
        <v>-2318245.2100881478</v>
      </c>
      <c r="E27" s="33">
        <f>(Examples!$D$6*Examples!$D$7*Examples!$D$8*EXP(-Examples!$D$9*$A27)*(1-(Examples!$D$12*(1-EXP(-Examples!$D$13*$A27))/(1+EXP(MIN(700,MAX(-700,(Examples!$D$14*$A27-Examples!$D$15)/Examples!$D$16))))))+Examples!$D$17*$A27^2)</f>
        <v>4806995.2100881478</v>
      </c>
      <c r="F27" s="33">
        <f>Examples!$E$18-(Examples!$E$10+Examples!$E$11)*$A27-(Examples!$E$6*Examples!$E$7*Examples!$E$8*EXP(-Examples!$E$9*$A27)*(1-(Examples!$E$12*(1-EXP(-Examples!$E$13*$A27))/(1+EXP(MIN(700,MAX(-700,(Examples!$E$14*$A27-Examples!$E$15)/Examples!$E$16))))))+Examples!$E$17*$A27^2)</f>
        <v>913858.68640026031</v>
      </c>
      <c r="G27" s="33">
        <f>(Examples!$E$6*Examples!$E$7*Examples!$E$8*EXP(-Examples!$E$9*$A27)*(1-(Examples!$E$12*(1-EXP(-Examples!$E$13*$A27))/(1+EXP(MIN(700,MAX(-700,(Examples!$E$14*$A27-Examples!$E$15)/Examples!$E$16))))))+Examples!$E$17*$A27^2)</f>
        <v>2064891.3135997397</v>
      </c>
      <c r="H27" s="33">
        <f>Examples!$F$18-(Examples!$F$10+Examples!$F$11)*$A27-(Examples!$F$6*Examples!$F$7*Examples!$F$8*EXP(-Examples!$F$9*$A27)*(1-(Examples!$F$12*(1-EXP(-Examples!$F$13*$A27))/(1+EXP(MIN(700,MAX(-700,(Examples!$F$14*$A27-Examples!$F$15)/Examples!$F$16))))))+Examples!$F$17*$A27^2)</f>
        <v>127977.65904046359</v>
      </c>
      <c r="I27" s="33">
        <f>(Examples!$F$6*Examples!$F$7*Examples!$F$8*EXP(-Examples!$F$9*$A27)*(1-(Examples!$F$12*(1-EXP(-Examples!$F$13*$A27))/(1+EXP(MIN(700,MAX(-700,(Examples!$F$14*$A27-Examples!$F$15)/Examples!$F$16))))))+Examples!$F$17*$A27^2)</f>
        <v>17022.340959536406</v>
      </c>
      <c r="J27" s="33">
        <f>Examples!$G$18-(Examples!$G$10+Examples!$G$11)*$A27-(Examples!$G$6*Examples!$G$7*Examples!$G$8*EXP(-Examples!$G$9*$A27)*(1-(Examples!$G$12*(1-EXP(-Examples!$G$13*$A27))/(1+EXP(MIN(700,MAX(-700,(Examples!$G$14*$A27-Examples!$G$15)/Examples!$G$16))))))+Examples!$G$17*$A27^2)</f>
        <v>-181353.33636112837</v>
      </c>
      <c r="K27" s="33">
        <f>(Examples!$G$6*Examples!$G$7*Examples!$G$8*EXP(-Examples!$G$9*$A27)*(1-(Examples!$G$12*(1-EXP(-Examples!$G$13*$A27))/(1+EXP(MIN(700,MAX(-700,(Examples!$G$14*$A27-Examples!$G$15)/Examples!$G$16))))))+Examples!$G$17*$A27^2)</f>
        <v>1668853.3363611284</v>
      </c>
      <c r="L27" s="33">
        <f>Examples!$H$18-(Examples!$H$10+Examples!$H$11)*$A27-(Examples!$H$6*Examples!$H$7*Examples!$H$8*EXP(-Examples!$H$9*$A27)*(1-(Examples!$H$12*(1-EXP(-Examples!$H$13*$A27))/(1+EXP(MIN(700,MAX(-700,(Examples!$H$14*$A27-Examples!$H$15)/Examples!$H$16))))))+Examples!$H$17*$A27^2)</f>
        <v>-173312.56099305092</v>
      </c>
      <c r="M27" s="33">
        <f>(Examples!$H$6*Examples!$H$7*Examples!$H$8*EXP(-Examples!$H$9*$A27)*(1-(Examples!$H$12*(1-EXP(-Examples!$H$13*$A27))/(1+EXP(MIN(700,MAX(-700,(Examples!$H$14*$A27-Examples!$H$15)/Examples!$H$16))))))+Examples!$H$17*$A27^2)</f>
        <v>1660812.5609930509</v>
      </c>
    </row>
    <row r="28" spans="1:13" x14ac:dyDescent="0.25">
      <c r="A28" s="4">
        <f>(28-2)/100</f>
        <v>0.26</v>
      </c>
      <c r="B28" s="33">
        <f>Examples!$C$18-(Examples!$C$10+Examples!$C$11)*$A28-(Examples!$C$6*Examples!$C$7*Examples!$C$8*EXP(-Examples!$C$9*$A28)*(1-(Examples!$C$12*(1-EXP(-Examples!$C$13*$A28))/(1+EXP(MIN(700,MAX(-700,(Examples!$C$14*$A28-Examples!$C$15)/Examples!$C$16))))))+Examples!$C$17*$A28^2)</f>
        <v>67498.319165243942</v>
      </c>
      <c r="C28" s="33">
        <f>(Examples!$C$6*Examples!$C$7*Examples!$C$8*EXP(-Examples!$C$9*$A28)*(1-(Examples!$C$12*(1-EXP(-Examples!$C$13*$A28))/(1+EXP(MIN(700,MAX(-700,(Examples!$C$14*$A28-Examples!$C$15)/Examples!$C$16))))))+Examples!$C$17*$A28^2)</f>
        <v>523401.68083475606</v>
      </c>
      <c r="D28" s="33">
        <f>Examples!$D$18-(Examples!$D$10+Examples!$D$11)*$A28-(Examples!$D$6*Examples!$D$7*Examples!$D$8*EXP(-Examples!$D$9*$A28)*(1-(Examples!$D$12*(1-EXP(-Examples!$D$13*$A28))/(1+EXP(MIN(700,MAX(-700,(Examples!$D$14*$A28-Examples!$D$15)/Examples!$D$16))))))+Examples!$D$17*$A28^2)</f>
        <v>-2276791.589416367</v>
      </c>
      <c r="E28" s="33">
        <f>(Examples!$D$6*Examples!$D$7*Examples!$D$8*EXP(-Examples!$D$9*$A28)*(1-(Examples!$D$12*(1-EXP(-Examples!$D$13*$A28))/(1+EXP(MIN(700,MAX(-700,(Examples!$D$14*$A28-Examples!$D$15)/Examples!$D$16))))))+Examples!$D$17*$A28^2)</f>
        <v>4765091.589416367</v>
      </c>
      <c r="F28" s="33">
        <f>Examples!$E$18-(Examples!$E$10+Examples!$E$11)*$A28-(Examples!$E$6*Examples!$E$7*Examples!$E$8*EXP(-Examples!$E$9*$A28)*(1-(Examples!$E$12*(1-EXP(-Examples!$E$13*$A28))/(1+EXP(MIN(700,MAX(-700,(Examples!$E$14*$A28-Examples!$E$15)/Examples!$E$16))))))+Examples!$E$17*$A28^2)</f>
        <v>934775.83029235061</v>
      </c>
      <c r="G28" s="33">
        <f>(Examples!$E$6*Examples!$E$7*Examples!$E$8*EXP(-Examples!$E$9*$A28)*(1-(Examples!$E$12*(1-EXP(-Examples!$E$13*$A28))/(1+EXP(MIN(700,MAX(-700,(Examples!$E$14*$A28-Examples!$E$15)/Examples!$E$16))))))+Examples!$E$17*$A28^2)</f>
        <v>2043124.1697076494</v>
      </c>
      <c r="H28" s="33">
        <f>Examples!$F$18-(Examples!$F$10+Examples!$F$11)*$A28-(Examples!$F$6*Examples!$F$7*Examples!$F$8*EXP(-Examples!$F$9*$A28)*(1-(Examples!$F$12*(1-EXP(-Examples!$F$13*$A28))/(1+EXP(MIN(700,MAX(-700,(Examples!$F$14*$A28-Examples!$F$15)/Examples!$F$16))))))+Examples!$F$17*$A28^2)</f>
        <v>127740.41241568002</v>
      </c>
      <c r="I28" s="33">
        <f>(Examples!$F$6*Examples!$F$7*Examples!$F$8*EXP(-Examples!$F$9*$A28)*(1-(Examples!$F$12*(1-EXP(-Examples!$F$13*$A28))/(1+EXP(MIN(700,MAX(-700,(Examples!$F$14*$A28-Examples!$F$15)/Examples!$F$16))))))+Examples!$F$17*$A28^2)</f>
        <v>17059.587584319979</v>
      </c>
      <c r="J28" s="33">
        <f>Examples!$G$18-(Examples!$G$10+Examples!$G$11)*$A28-(Examples!$G$6*Examples!$G$7*Examples!$G$8*EXP(-Examples!$G$9*$A28)*(1-(Examples!$G$12*(1-EXP(-Examples!$G$13*$A28))/(1+EXP(MIN(700,MAX(-700,(Examples!$G$14*$A28-Examples!$G$15)/Examples!$G$16))))))+Examples!$G$17*$A28^2)</f>
        <v>-170048.16859122505</v>
      </c>
      <c r="K28" s="33">
        <f>(Examples!$G$6*Examples!$G$7*Examples!$G$8*EXP(-Examples!$G$9*$A28)*(1-(Examples!$G$12*(1-EXP(-Examples!$G$13*$A28))/(1+EXP(MIN(700,MAX(-700,(Examples!$G$14*$A28-Examples!$G$15)/Examples!$G$16))))))+Examples!$G$17*$A28^2)</f>
        <v>1657048.1685912251</v>
      </c>
      <c r="L28" s="33">
        <f>Examples!$H$18-(Examples!$H$10+Examples!$H$11)*$A28-(Examples!$H$6*Examples!$H$7*Examples!$H$8*EXP(-Examples!$H$9*$A28)*(1-(Examples!$H$12*(1-EXP(-Examples!$H$13*$A28))/(1+EXP(MIN(700,MAX(-700,(Examples!$H$14*$A28-Examples!$H$15)/Examples!$H$16))))))+Examples!$H$17*$A28^2)</f>
        <v>-161631.74362341524</v>
      </c>
      <c r="M28" s="33">
        <f>(Examples!$H$6*Examples!$H$7*Examples!$H$8*EXP(-Examples!$H$9*$A28)*(1-(Examples!$H$12*(1-EXP(-Examples!$H$13*$A28))/(1+EXP(MIN(700,MAX(-700,(Examples!$H$14*$A28-Examples!$H$15)/Examples!$H$16))))))+Examples!$H$17*$A28^2)</f>
        <v>1648631.7436234152</v>
      </c>
    </row>
    <row r="29" spans="1:13" x14ac:dyDescent="0.25">
      <c r="A29" s="4">
        <f>(29-2)/100</f>
        <v>0.27</v>
      </c>
      <c r="B29" s="33">
        <f>Examples!$C$18-(Examples!$C$10+Examples!$C$11)*$A29-(Examples!$C$6*Examples!$C$7*Examples!$C$8*EXP(-Examples!$C$9*$A29)*(1-(Examples!$C$12*(1-EXP(-Examples!$C$13*$A29))/(1+EXP(MIN(700,MAX(-700,(Examples!$C$14*$A29-Examples!$C$15)/Examples!$C$16))))))+Examples!$C$17*$A29^2)</f>
        <v>69806.749714922509</v>
      </c>
      <c r="C29" s="33">
        <f>(Examples!$C$6*Examples!$C$7*Examples!$C$8*EXP(-Examples!$C$9*$A29)*(1-(Examples!$C$12*(1-EXP(-Examples!$C$13*$A29))/(1+EXP(MIN(700,MAX(-700,(Examples!$C$14*$A29-Examples!$C$15)/Examples!$C$16))))))+Examples!$C$17*$A29^2)</f>
        <v>520743.25028507749</v>
      </c>
      <c r="D29" s="33">
        <f>Examples!$D$18-(Examples!$D$10+Examples!$D$11)*$A29-(Examples!$D$6*Examples!$D$7*Examples!$D$8*EXP(-Examples!$D$9*$A29)*(1-(Examples!$D$12*(1-EXP(-Examples!$D$13*$A29))/(1+EXP(MIN(700,MAX(-700,(Examples!$D$14*$A29-Examples!$D$15)/Examples!$D$16))))))+Examples!$D$17*$A29^2)</f>
        <v>-2235746.209666213</v>
      </c>
      <c r="E29" s="33">
        <f>(Examples!$D$6*Examples!$D$7*Examples!$D$8*EXP(-Examples!$D$9*$A29)*(1-(Examples!$D$12*(1-EXP(-Examples!$D$13*$A29))/(1+EXP(MIN(700,MAX(-700,(Examples!$D$14*$A29-Examples!$D$15)/Examples!$D$16))))))+Examples!$D$17*$A29^2)</f>
        <v>4723596.209666213</v>
      </c>
      <c r="F29" s="33">
        <f>Examples!$E$18-(Examples!$E$10+Examples!$E$11)*$A29-(Examples!$E$6*Examples!$E$7*Examples!$E$8*EXP(-Examples!$E$9*$A29)*(1-(Examples!$E$12*(1-EXP(-Examples!$E$13*$A29))/(1+EXP(MIN(700,MAX(-700,(Examples!$E$14*$A29-Examples!$E$15)/Examples!$E$16))))))+Examples!$E$17*$A29^2)</f>
        <v>955441.87737569772</v>
      </c>
      <c r="G29" s="33">
        <f>(Examples!$E$6*Examples!$E$7*Examples!$E$8*EXP(-Examples!$E$9*$A29)*(1-(Examples!$E$12*(1-EXP(-Examples!$E$13*$A29))/(1+EXP(MIN(700,MAX(-700,(Examples!$E$14*$A29-Examples!$E$15)/Examples!$E$16))))))+Examples!$E$17*$A29^2)</f>
        <v>2021608.1226243023</v>
      </c>
      <c r="H29" s="33">
        <f>Examples!$F$18-(Examples!$F$10+Examples!$F$11)*$A29-(Examples!$F$6*Examples!$F$7*Examples!$F$8*EXP(-Examples!$F$9*$A29)*(1-(Examples!$F$12*(1-EXP(-Examples!$F$13*$A29))/(1+EXP(MIN(700,MAX(-700,(Examples!$F$14*$A29-Examples!$F$15)/Examples!$F$16))))))+Examples!$F$17*$A29^2)</f>
        <v>127498.83728351415</v>
      </c>
      <c r="I29" s="33">
        <f>(Examples!$F$6*Examples!$F$7*Examples!$F$8*EXP(-Examples!$F$9*$A29)*(1-(Examples!$F$12*(1-EXP(-Examples!$F$13*$A29))/(1+EXP(MIN(700,MAX(-700,(Examples!$F$14*$A29-Examples!$F$15)/Examples!$F$16))))))+Examples!$F$17*$A29^2)</f>
        <v>17101.162716485851</v>
      </c>
      <c r="J29" s="33">
        <f>Examples!$G$18-(Examples!$G$10+Examples!$G$11)*$A29-(Examples!$G$6*Examples!$G$7*Examples!$G$8*EXP(-Examples!$G$9*$A29)*(1-(Examples!$G$12*(1-EXP(-Examples!$G$13*$A29))/(1+EXP(MIN(700,MAX(-700,(Examples!$G$14*$A29-Examples!$G$15)/Examples!$G$16))))))+Examples!$G$17*$A29^2)</f>
        <v>-158846.53063941142</v>
      </c>
      <c r="K29" s="33">
        <f>(Examples!$G$6*Examples!$G$7*Examples!$G$8*EXP(-Examples!$G$9*$A29)*(1-(Examples!$G$12*(1-EXP(-Examples!$G$13*$A29))/(1+EXP(MIN(700,MAX(-700,(Examples!$G$14*$A29-Examples!$G$15)/Examples!$G$16))))))+Examples!$G$17*$A29^2)</f>
        <v>1645346.5306394114</v>
      </c>
      <c r="L29" s="33">
        <f>Examples!$H$18-(Examples!$H$10+Examples!$H$11)*$A29-(Examples!$H$6*Examples!$H$7*Examples!$H$8*EXP(-Examples!$H$9*$A29)*(1-(Examples!$H$12*(1-EXP(-Examples!$H$13*$A29))/(1+EXP(MIN(700,MAX(-700,(Examples!$H$14*$A29-Examples!$H$15)/Examples!$H$16))))))+Examples!$H$17*$A29^2)</f>
        <v>-150050.04685613187</v>
      </c>
      <c r="M29" s="33">
        <f>(Examples!$H$6*Examples!$H$7*Examples!$H$8*EXP(-Examples!$H$9*$A29)*(1-(Examples!$H$12*(1-EXP(-Examples!$H$13*$A29))/(1+EXP(MIN(700,MAX(-700,(Examples!$H$14*$A29-Examples!$H$15)/Examples!$H$16))))))+Examples!$H$17*$A29^2)</f>
        <v>1636550.0468561319</v>
      </c>
    </row>
    <row r="30" spans="1:13" x14ac:dyDescent="0.25">
      <c r="A30" s="4">
        <f>(30-2)/100</f>
        <v>0.28000000000000003</v>
      </c>
      <c r="B30" s="33">
        <f>Examples!$C$18-(Examples!$C$10+Examples!$C$11)*$A30-(Examples!$C$6*Examples!$C$7*Examples!$C$8*EXP(-Examples!$C$9*$A30)*(1-(Examples!$C$12*(1-EXP(-Examples!$C$13*$A30))/(1+EXP(MIN(700,MAX(-700,(Examples!$C$14*$A30-Examples!$C$15)/Examples!$C$16))))))+Examples!$C$17*$A30^2)</f>
        <v>72094.671668026655</v>
      </c>
      <c r="C30" s="33">
        <f>(Examples!$C$6*Examples!$C$7*Examples!$C$8*EXP(-Examples!$C$9*$A30)*(1-(Examples!$C$12*(1-EXP(-Examples!$C$13*$A30))/(1+EXP(MIN(700,MAX(-700,(Examples!$C$14*$A30-Examples!$C$15)/Examples!$C$16))))))+Examples!$C$17*$A30^2)</f>
        <v>518105.32833197335</v>
      </c>
      <c r="D30" s="33">
        <f>Examples!$D$18-(Examples!$D$10+Examples!$D$11)*$A30-(Examples!$D$6*Examples!$D$7*Examples!$D$8*EXP(-Examples!$D$9*$A30)*(1-(Examples!$D$12*(1-EXP(-Examples!$D$13*$A30))/(1+EXP(MIN(700,MAX(-700,(Examples!$D$14*$A30-Examples!$D$15)/Examples!$D$16))))))+Examples!$D$17*$A30^2)</f>
        <v>-2195105.0285184449</v>
      </c>
      <c r="E30" s="33">
        <f>(Examples!$D$6*Examples!$D$7*Examples!$D$8*EXP(-Examples!$D$9*$A30)*(1-(Examples!$D$12*(1-EXP(-Examples!$D$13*$A30))/(1+EXP(MIN(700,MAX(-700,(Examples!$D$14*$A30-Examples!$D$15)/Examples!$D$16))))))+Examples!$D$17*$A30^2)</f>
        <v>4682505.0285184449</v>
      </c>
      <c r="F30" s="33">
        <f>Examples!$E$18-(Examples!$E$10+Examples!$E$11)*$A30-(Examples!$E$6*Examples!$E$7*Examples!$E$8*EXP(-Examples!$E$9*$A30)*(1-(Examples!$E$12*(1-EXP(-Examples!$E$13*$A30))/(1+EXP(MIN(700,MAX(-700,(Examples!$E$14*$A30-Examples!$E$15)/Examples!$E$16))))))+Examples!$E$17*$A30^2)</f>
        <v>975859.75509134308</v>
      </c>
      <c r="G30" s="33">
        <f>(Examples!$E$6*Examples!$E$7*Examples!$E$8*EXP(-Examples!$E$9*$A30)*(1-(Examples!$E$12*(1-EXP(-Examples!$E$13*$A30))/(1+EXP(MIN(700,MAX(-700,(Examples!$E$14*$A30-Examples!$E$15)/Examples!$E$16))))))+Examples!$E$17*$A30^2)</f>
        <v>2000340.2449086569</v>
      </c>
      <c r="H30" s="33">
        <f>Examples!$F$18-(Examples!$F$10+Examples!$F$11)*$A30-(Examples!$F$6*Examples!$F$7*Examples!$F$8*EXP(-Examples!$F$9*$A30)*(1-(Examples!$F$12*(1-EXP(-Examples!$F$13*$A30))/(1+EXP(MIN(700,MAX(-700,(Examples!$F$14*$A30-Examples!$F$15)/Examples!$F$16))))))+Examples!$F$17*$A30^2)</f>
        <v>127252.93400159154</v>
      </c>
      <c r="I30" s="33">
        <f>(Examples!$F$6*Examples!$F$7*Examples!$F$8*EXP(-Examples!$F$9*$A30)*(1-(Examples!$F$12*(1-EXP(-Examples!$F$13*$A30))/(1+EXP(MIN(700,MAX(-700,(Examples!$F$14*$A30-Examples!$F$15)/Examples!$F$16))))))+Examples!$F$17*$A30^2)</f>
        <v>17147.065998408463</v>
      </c>
      <c r="J30" s="33">
        <f>Examples!$G$18-(Examples!$G$10+Examples!$G$11)*$A30-(Examples!$G$6*Examples!$G$7*Examples!$G$8*EXP(-Examples!$G$9*$A30)*(1-(Examples!$G$12*(1-EXP(-Examples!$G$13*$A30))/(1+EXP(MIN(700,MAX(-700,(Examples!$G$14*$A30-Examples!$G$15)/Examples!$G$16))))))+Examples!$G$17*$A30^2)</f>
        <v>-147747.6621852729</v>
      </c>
      <c r="K30" s="33">
        <f>(Examples!$G$6*Examples!$G$7*Examples!$G$8*EXP(-Examples!$G$9*$A30)*(1-(Examples!$G$12*(1-EXP(-Examples!$G$13*$A30))/(1+EXP(MIN(700,MAX(-700,(Examples!$G$14*$A30-Examples!$G$15)/Examples!$G$16))))))+Examples!$G$17*$A30^2)</f>
        <v>1633747.6621852729</v>
      </c>
      <c r="L30" s="33">
        <f>Examples!$H$18-(Examples!$H$10+Examples!$H$11)*$A30-(Examples!$H$6*Examples!$H$7*Examples!$H$8*EXP(-Examples!$H$9*$A30)*(1-(Examples!$H$12*(1-EXP(-Examples!$H$13*$A30))/(1+EXP(MIN(700,MAX(-700,(Examples!$H$14*$A30-Examples!$H$15)/Examples!$H$16))))))+Examples!$H$17*$A30^2)</f>
        <v>-138566.68402288901</v>
      </c>
      <c r="M30" s="33">
        <f>(Examples!$H$6*Examples!$H$7*Examples!$H$8*EXP(-Examples!$H$9*$A30)*(1-(Examples!$H$12*(1-EXP(-Examples!$H$13*$A30))/(1+EXP(MIN(700,MAX(-700,(Examples!$H$14*$A30-Examples!$H$15)/Examples!$H$16))))))+Examples!$H$17*$A30^2)</f>
        <v>1624566.684022889</v>
      </c>
    </row>
    <row r="31" spans="1:13" x14ac:dyDescent="0.25">
      <c r="A31" s="4">
        <f>(31-2)/100</f>
        <v>0.28999999999999998</v>
      </c>
      <c r="B31" s="33">
        <f>Examples!$C$18-(Examples!$C$10+Examples!$C$11)*$A31-(Examples!$C$6*Examples!$C$7*Examples!$C$8*EXP(-Examples!$C$9*$A31)*(1-(Examples!$C$12*(1-EXP(-Examples!$C$13*$A31))/(1+EXP(MIN(700,MAX(-700,(Examples!$C$14*$A31-Examples!$C$15)/Examples!$C$16))))))+Examples!$C$17*$A31^2)</f>
        <v>74362.157866820984</v>
      </c>
      <c r="C31" s="33">
        <f>(Examples!$C$6*Examples!$C$7*Examples!$C$8*EXP(-Examples!$C$9*$A31)*(1-(Examples!$C$12*(1-EXP(-Examples!$C$13*$A31))/(1+EXP(MIN(700,MAX(-700,(Examples!$C$14*$A31-Examples!$C$15)/Examples!$C$16))))))+Examples!$C$17*$A31^2)</f>
        <v>515487.84213317902</v>
      </c>
      <c r="D31" s="33">
        <f>Examples!$D$18-(Examples!$D$10+Examples!$D$11)*$A31-(Examples!$D$6*Examples!$D$7*Examples!$D$8*EXP(-Examples!$D$9*$A31)*(1-(Examples!$D$12*(1-EXP(-Examples!$D$13*$A31))/(1+EXP(MIN(700,MAX(-700,(Examples!$D$14*$A31-Examples!$D$15)/Examples!$D$16))))))+Examples!$D$17*$A31^2)</f>
        <v>-2154864.0455619171</v>
      </c>
      <c r="E31" s="33">
        <f>(Examples!$D$6*Examples!$D$7*Examples!$D$8*EXP(-Examples!$D$9*$A31)*(1-(Examples!$D$12*(1-EXP(-Examples!$D$13*$A31))/(1+EXP(MIN(700,MAX(-700,(Examples!$D$14*$A31-Examples!$D$15)/Examples!$D$16))))))+Examples!$D$17*$A31^2)</f>
        <v>4641814.0455619171</v>
      </c>
      <c r="F31" s="33">
        <f>Examples!$E$18-(Examples!$E$10+Examples!$E$11)*$A31-(Examples!$E$6*Examples!$E$7*Examples!$E$8*EXP(-Examples!$E$9*$A31)*(1-(Examples!$E$12*(1-EXP(-Examples!$E$13*$A31))/(1+EXP(MIN(700,MAX(-700,(Examples!$E$14*$A31-Examples!$E$15)/Examples!$E$16))))))+Examples!$E$17*$A31^2)</f>
        <v>996032.35625795368</v>
      </c>
      <c r="G31" s="33">
        <f>(Examples!$E$6*Examples!$E$7*Examples!$E$8*EXP(-Examples!$E$9*$A31)*(1-(Examples!$E$12*(1-EXP(-Examples!$E$13*$A31))/(1+EXP(MIN(700,MAX(-700,(Examples!$E$14*$A31-Examples!$E$15)/Examples!$E$16))))))+Examples!$E$17*$A31^2)</f>
        <v>1979317.6437420463</v>
      </c>
      <c r="H31" s="33">
        <f>Examples!$F$18-(Examples!$F$10+Examples!$F$11)*$A31-(Examples!$F$6*Examples!$F$7*Examples!$F$8*EXP(-Examples!$F$9*$A31)*(1-(Examples!$F$12*(1-EXP(-Examples!$F$13*$A31))/(1+EXP(MIN(700,MAX(-700,(Examples!$F$14*$A31-Examples!$F$15)/Examples!$F$16))))))+Examples!$F$17*$A31^2)</f>
        <v>127002.70286935169</v>
      </c>
      <c r="I31" s="33">
        <f>(Examples!$F$6*Examples!$F$7*Examples!$F$8*EXP(-Examples!$F$9*$A31)*(1-(Examples!$F$12*(1-EXP(-Examples!$F$13*$A31))/(1+EXP(MIN(700,MAX(-700,(Examples!$F$14*$A31-Examples!$F$15)/Examples!$F$16))))))+Examples!$F$17*$A31^2)</f>
        <v>17197.297130648301</v>
      </c>
      <c r="J31" s="33">
        <f>Examples!$G$18-(Examples!$G$10+Examples!$G$11)*$A31-(Examples!$G$6*Examples!$G$7*Examples!$G$8*EXP(-Examples!$G$9*$A31)*(1-(Examples!$G$12*(1-EXP(-Examples!$G$13*$A31))/(1+EXP(MIN(700,MAX(-700,(Examples!$G$14*$A31-Examples!$G$15)/Examples!$G$16))))))+Examples!$G$17*$A31^2)</f>
        <v>-136750.80968326377</v>
      </c>
      <c r="K31" s="33">
        <f>(Examples!$G$6*Examples!$G$7*Examples!$G$8*EXP(-Examples!$G$9*$A31)*(1-(Examples!$G$12*(1-EXP(-Examples!$G$13*$A31))/(1+EXP(MIN(700,MAX(-700,(Examples!$G$14*$A31-Examples!$G$15)/Examples!$G$16))))))+Examples!$G$17*$A31^2)</f>
        <v>1622250.8096832638</v>
      </c>
      <c r="L31" s="33">
        <f>Examples!$H$18-(Examples!$H$10+Examples!$H$11)*$A31-(Examples!$H$6*Examples!$H$7*Examples!$H$8*EXP(-Examples!$H$9*$A31)*(1-(Examples!$H$12*(1-EXP(-Examples!$H$13*$A31))/(1+EXP(MIN(700,MAX(-700,(Examples!$H$14*$A31-Examples!$H$15)/Examples!$H$16))))))+Examples!$H$17*$A31^2)</f>
        <v>-127180.87560046744</v>
      </c>
      <c r="M31" s="33">
        <f>(Examples!$H$6*Examples!$H$7*Examples!$H$8*EXP(-Examples!$H$9*$A31)*(1-(Examples!$H$12*(1-EXP(-Examples!$H$13*$A31))/(1+EXP(MIN(700,MAX(-700,(Examples!$H$14*$A31-Examples!$H$15)/Examples!$H$16))))))+Examples!$H$17*$A31^2)</f>
        <v>1612680.8756004674</v>
      </c>
    </row>
    <row r="32" spans="1:13" x14ac:dyDescent="0.25">
      <c r="A32" s="4">
        <f>(32-2)/100</f>
        <v>0.3</v>
      </c>
      <c r="B32" s="33">
        <f>Examples!$C$18-(Examples!$C$10+Examples!$C$11)*$A32-(Examples!$C$6*Examples!$C$7*Examples!$C$8*EXP(-Examples!$C$9*$A32)*(1-(Examples!$C$12*(1-EXP(-Examples!$C$13*$A32))/(1+EXP(MIN(700,MAX(-700,(Examples!$C$14*$A32-Examples!$C$15)/Examples!$C$16))))))+Examples!$C$17*$A32^2)</f>
        <v>76609.279225628183</v>
      </c>
      <c r="C32" s="33">
        <f>(Examples!$C$6*Examples!$C$7*Examples!$C$8*EXP(-Examples!$C$9*$A32)*(1-(Examples!$C$12*(1-EXP(-Examples!$C$13*$A32))/(1+EXP(MIN(700,MAX(-700,(Examples!$C$14*$A32-Examples!$C$15)/Examples!$C$16))))))+Examples!$C$17*$A32^2)</f>
        <v>512890.72077437182</v>
      </c>
      <c r="D32" s="33">
        <f>Examples!$D$18-(Examples!$D$10+Examples!$D$11)*$A32-(Examples!$D$6*Examples!$D$7*Examples!$D$8*EXP(-Examples!$D$9*$A32)*(1-(Examples!$D$12*(1-EXP(-Examples!$D$13*$A32))/(1+EXP(MIN(700,MAX(-700,(Examples!$D$14*$A32-Examples!$D$15)/Examples!$D$16))))))+Examples!$D$17*$A32^2)</f>
        <v>-2115019.3018613858</v>
      </c>
      <c r="E32" s="33">
        <f>(Examples!$D$6*Examples!$D$7*Examples!$D$8*EXP(-Examples!$D$9*$A32)*(1-(Examples!$D$12*(1-EXP(-Examples!$D$13*$A32))/(1+EXP(MIN(700,MAX(-700,(Examples!$D$14*$A32-Examples!$D$15)/Examples!$D$16))))))+Examples!$D$17*$A32^2)</f>
        <v>4601519.3018613858</v>
      </c>
      <c r="F32" s="33">
        <f>Examples!$E$18-(Examples!$E$10+Examples!$E$11)*$A32-(Examples!$E$6*Examples!$E$7*Examples!$E$8*EXP(-Examples!$E$9*$A32)*(1-(Examples!$E$12*(1-EXP(-Examples!$E$13*$A32))/(1+EXP(MIN(700,MAX(-700,(Examples!$E$14*$A32-Examples!$E$15)/Examples!$E$16))))))+Examples!$E$17*$A32^2)</f>
        <v>1015962.5394835619</v>
      </c>
      <c r="G32" s="33">
        <f>(Examples!$E$6*Examples!$E$7*Examples!$E$8*EXP(-Examples!$E$9*$A32)*(1-(Examples!$E$12*(1-EXP(-Examples!$E$13*$A32))/(1+EXP(MIN(700,MAX(-700,(Examples!$E$14*$A32-Examples!$E$15)/Examples!$E$16))))))+Examples!$E$17*$A32^2)</f>
        <v>1958537.4605164381</v>
      </c>
      <c r="H32" s="33">
        <f>Examples!$F$18-(Examples!$F$10+Examples!$F$11)*$A32-(Examples!$F$6*Examples!$F$7*Examples!$F$8*EXP(-Examples!$F$9*$A32)*(1-(Examples!$F$12*(1-EXP(-Examples!$F$13*$A32))/(1+EXP(MIN(700,MAX(-700,(Examples!$F$14*$A32-Examples!$F$15)/Examples!$F$16))))))+Examples!$F$17*$A32^2)</f>
        <v>126748.14412634674</v>
      </c>
      <c r="I32" s="33">
        <f>(Examples!$F$6*Examples!$F$7*Examples!$F$8*EXP(-Examples!$F$9*$A32)*(1-(Examples!$F$12*(1-EXP(-Examples!$F$13*$A32))/(1+EXP(MIN(700,MAX(-700,(Examples!$F$14*$A32-Examples!$F$15)/Examples!$F$16))))))+Examples!$F$17*$A32^2)</f>
        <v>17251.855873653265</v>
      </c>
      <c r="J32" s="33">
        <f>Examples!$G$18-(Examples!$G$10+Examples!$G$11)*$A32-(Examples!$G$6*Examples!$G$7*Examples!$G$8*EXP(-Examples!$G$9*$A32)*(1-(Examples!$G$12*(1-EXP(-Examples!$G$13*$A32))/(1+EXP(MIN(700,MAX(-700,(Examples!$G$14*$A32-Examples!$G$15)/Examples!$G$16))))))+Examples!$G$17*$A32^2)</f>
        <v>-125855.22630012897</v>
      </c>
      <c r="K32" s="33">
        <f>(Examples!$G$6*Examples!$G$7*Examples!$G$8*EXP(-Examples!$G$9*$A32)*(1-(Examples!$G$12*(1-EXP(-Examples!$G$13*$A32))/(1+EXP(MIN(700,MAX(-700,(Examples!$G$14*$A32-Examples!$G$15)/Examples!$G$16))))))+Examples!$G$17*$A32^2)</f>
        <v>1610855.226300129</v>
      </c>
      <c r="L32" s="33">
        <f>Examples!$H$18-(Examples!$H$10+Examples!$H$11)*$A32-(Examples!$H$6*Examples!$H$7*Examples!$H$8*EXP(-Examples!$H$9*$A32)*(1-(Examples!$H$12*(1-EXP(-Examples!$H$13*$A32))/(1+EXP(MIN(700,MAX(-700,(Examples!$H$14*$A32-Examples!$H$15)/Examples!$H$16))))))+Examples!$H$17*$A32^2)</f>
        <v>-115891.84916878166</v>
      </c>
      <c r="M32" s="33">
        <f>(Examples!$H$6*Examples!$H$7*Examples!$H$8*EXP(-Examples!$H$9*$A32)*(1-(Examples!$H$12*(1-EXP(-Examples!$H$13*$A32))/(1+EXP(MIN(700,MAX(-700,(Examples!$H$14*$A32-Examples!$H$15)/Examples!$H$16))))))+Examples!$H$17*$A32^2)</f>
        <v>1600891.8491687817</v>
      </c>
    </row>
    <row r="33" spans="1:13" x14ac:dyDescent="0.25">
      <c r="A33" s="4">
        <f>(33-2)/100</f>
        <v>0.31</v>
      </c>
      <c r="B33" s="33">
        <f>Examples!$C$18-(Examples!$C$10+Examples!$C$11)*$A33-(Examples!$C$6*Examples!$C$7*Examples!$C$8*EXP(-Examples!$C$9*$A33)*(1-(Examples!$C$12*(1-EXP(-Examples!$C$13*$A33))/(1+EXP(MIN(700,MAX(-700,(Examples!$C$14*$A33-Examples!$C$15)/Examples!$C$16))))))+Examples!$C$17*$A33^2)</f>
        <v>78836.10469982936</v>
      </c>
      <c r="C33" s="33">
        <f>(Examples!$C$6*Examples!$C$7*Examples!$C$8*EXP(-Examples!$C$9*$A33)*(1-(Examples!$C$12*(1-EXP(-Examples!$C$13*$A33))/(1+EXP(MIN(700,MAX(-700,(Examples!$C$14*$A33-Examples!$C$15)/Examples!$C$16))))))+Examples!$C$17*$A33^2)</f>
        <v>510313.89530017064</v>
      </c>
      <c r="D33" s="33">
        <f>Examples!$D$18-(Examples!$D$10+Examples!$D$11)*$A33-(Examples!$D$6*Examples!$D$7*Examples!$D$8*EXP(-Examples!$D$9*$A33)*(1-(Examples!$D$12*(1-EXP(-Examples!$D$13*$A33))/(1+EXP(MIN(700,MAX(-700,(Examples!$D$14*$A33-Examples!$D$15)/Examples!$D$16))))))+Examples!$D$17*$A33^2)</f>
        <v>-2075566.8795297984</v>
      </c>
      <c r="E33" s="33">
        <f>(Examples!$D$6*Examples!$D$7*Examples!$D$8*EXP(-Examples!$D$9*$A33)*(1-(Examples!$D$12*(1-EXP(-Examples!$D$13*$A33))/(1+EXP(MIN(700,MAX(-700,(Examples!$D$14*$A33-Examples!$D$15)/Examples!$D$16))))))+Examples!$D$17*$A33^2)</f>
        <v>4561616.8795297984</v>
      </c>
      <c r="F33" s="33">
        <f>Examples!$E$18-(Examples!$E$10+Examples!$E$11)*$A33-(Examples!$E$6*Examples!$E$7*Examples!$E$8*EXP(-Examples!$E$9*$A33)*(1-(Examples!$E$12*(1-EXP(-Examples!$E$13*$A33))/(1+EXP(MIN(700,MAX(-700,(Examples!$E$14*$A33-Examples!$E$15)/Examples!$E$16))))))+Examples!$E$17*$A33^2)</f>
        <v>1035653.1295724041</v>
      </c>
      <c r="G33" s="33">
        <f>(Examples!$E$6*Examples!$E$7*Examples!$E$8*EXP(-Examples!$E$9*$A33)*(1-(Examples!$E$12*(1-EXP(-Examples!$E$13*$A33))/(1+EXP(MIN(700,MAX(-700,(Examples!$E$14*$A33-Examples!$E$15)/Examples!$E$16))))))+Examples!$E$17*$A33^2)</f>
        <v>1937996.8704275959</v>
      </c>
      <c r="H33" s="33">
        <f>Examples!$F$18-(Examples!$F$10+Examples!$F$11)*$A33-(Examples!$F$6*Examples!$F$7*Examples!$F$8*EXP(-Examples!$F$9*$A33)*(1-(Examples!$F$12*(1-EXP(-Examples!$F$13*$A33))/(1+EXP(MIN(700,MAX(-700,(Examples!$F$14*$A33-Examples!$F$15)/Examples!$F$16))))))+Examples!$F$17*$A33^2)</f>
        <v>126489.25795050102</v>
      </c>
      <c r="I33" s="33">
        <f>(Examples!$F$6*Examples!$F$7*Examples!$F$8*EXP(-Examples!$F$9*$A33)*(1-(Examples!$F$12*(1-EXP(-Examples!$F$13*$A33))/(1+EXP(MIN(700,MAX(-700,(Examples!$F$14*$A33-Examples!$F$15)/Examples!$F$16))))))+Examples!$F$17*$A33^2)</f>
        <v>17310.742049498986</v>
      </c>
      <c r="J33" s="33">
        <f>Examples!$G$18-(Examples!$G$10+Examples!$G$11)*$A33-(Examples!$G$6*Examples!$G$7*Examples!$G$8*EXP(-Examples!$G$9*$A33)*(1-(Examples!$G$12*(1-EXP(-Examples!$G$13*$A33))/(1+EXP(MIN(700,MAX(-700,(Examples!$G$14*$A33-Examples!$G$15)/Examples!$G$16))))))+Examples!$G$17*$A33^2)</f>
        <v>-115060.17185262241</v>
      </c>
      <c r="K33" s="33">
        <f>(Examples!$G$6*Examples!$G$7*Examples!$G$8*EXP(-Examples!$G$9*$A33)*(1-(Examples!$G$12*(1-EXP(-Examples!$G$13*$A33))/(1+EXP(MIN(700,MAX(-700,(Examples!$G$14*$A33-Examples!$G$15)/Examples!$G$16))))))+Examples!$G$17*$A33^2)</f>
        <v>1599560.1718526224</v>
      </c>
      <c r="L33" s="33">
        <f>Examples!$H$18-(Examples!$H$10+Examples!$H$11)*$A33-(Examples!$H$6*Examples!$H$7*Examples!$H$8*EXP(-Examples!$H$9*$A33)*(1-(Examples!$H$12*(1-EXP(-Examples!$H$13*$A33))/(1+EXP(MIN(700,MAX(-700,(Examples!$H$14*$A33-Examples!$H$15)/Examples!$H$16))))))+Examples!$H$17*$A33^2)</f>
        <v>-104698.83936983929</v>
      </c>
      <c r="M33" s="33">
        <f>(Examples!$H$6*Examples!$H$7*Examples!$H$8*EXP(-Examples!$H$9*$A33)*(1-(Examples!$H$12*(1-EXP(-Examples!$H$13*$A33))/(1+EXP(MIN(700,MAX(-700,(Examples!$H$14*$A33-Examples!$H$15)/Examples!$H$16))))))+Examples!$H$17*$A33^2)</f>
        <v>1589198.8393698393</v>
      </c>
    </row>
    <row r="34" spans="1:13" x14ac:dyDescent="0.25">
      <c r="A34" s="4">
        <f>(34-2)/100</f>
        <v>0.32</v>
      </c>
      <c r="B34" s="33">
        <f>Examples!$C$18-(Examples!$C$10+Examples!$C$11)*$A34-(Examples!$C$6*Examples!$C$7*Examples!$C$8*EXP(-Examples!$C$9*$A34)*(1-(Examples!$C$12*(1-EXP(-Examples!$C$13*$A34))/(1+EXP(MIN(700,MAX(-700,(Examples!$C$14*$A34-Examples!$C$15)/Examples!$C$16))))))+Examples!$C$17*$A34^2)</f>
        <v>81042.701254031737</v>
      </c>
      <c r="C34" s="33">
        <f>(Examples!$C$6*Examples!$C$7*Examples!$C$8*EXP(-Examples!$C$9*$A34)*(1-(Examples!$C$12*(1-EXP(-Examples!$C$13*$A34))/(1+EXP(MIN(700,MAX(-700,(Examples!$C$14*$A34-Examples!$C$15)/Examples!$C$16))))))+Examples!$C$17*$A34^2)</f>
        <v>507757.29874596826</v>
      </c>
      <c r="D34" s="33">
        <f>Examples!$D$18-(Examples!$D$10+Examples!$D$11)*$A34-(Examples!$D$6*Examples!$D$7*Examples!$D$8*EXP(-Examples!$D$9*$A34)*(1-(Examples!$D$12*(1-EXP(-Examples!$D$13*$A34))/(1+EXP(MIN(700,MAX(-700,(Examples!$D$14*$A34-Examples!$D$15)/Examples!$D$16))))))+Examples!$D$17*$A34^2)</f>
        <v>-2036502.901305032</v>
      </c>
      <c r="E34" s="33">
        <f>(Examples!$D$6*Examples!$D$7*Examples!$D$8*EXP(-Examples!$D$9*$A34)*(1-(Examples!$D$12*(1-EXP(-Examples!$D$13*$A34))/(1+EXP(MIN(700,MAX(-700,(Examples!$D$14*$A34-Examples!$D$15)/Examples!$D$16))))))+Examples!$D$17*$A34^2)</f>
        <v>4522102.901305032</v>
      </c>
      <c r="F34" s="33">
        <f>Examples!$E$18-(Examples!$E$10+Examples!$E$11)*$A34-(Examples!$E$6*Examples!$E$7*Examples!$E$8*EXP(-Examples!$E$9*$A34)*(1-(Examples!$E$12*(1-EXP(-Examples!$E$13*$A34))/(1+EXP(MIN(700,MAX(-700,(Examples!$E$14*$A34-Examples!$E$15)/Examples!$E$16))))))+Examples!$E$17*$A34^2)</f>
        <v>1055106.9179269145</v>
      </c>
      <c r="G34" s="33">
        <f>(Examples!$E$6*Examples!$E$7*Examples!$E$8*EXP(-Examples!$E$9*$A34)*(1-(Examples!$E$12*(1-EXP(-Examples!$E$13*$A34))/(1+EXP(MIN(700,MAX(-700,(Examples!$E$14*$A34-Examples!$E$15)/Examples!$E$16))))))+Examples!$E$17*$A34^2)</f>
        <v>1917693.0820730855</v>
      </c>
      <c r="H34" s="33">
        <f>Examples!$F$18-(Examples!$F$10+Examples!$F$11)*$A34-(Examples!$F$6*Examples!$F$7*Examples!$F$8*EXP(-Examples!$F$9*$A34)*(1-(Examples!$F$12*(1-EXP(-Examples!$F$13*$A34))/(1+EXP(MIN(700,MAX(-700,(Examples!$F$14*$A34-Examples!$F$15)/Examples!$F$16))))))+Examples!$F$17*$A34^2)</f>
        <v>126226.0444563331</v>
      </c>
      <c r="I34" s="33">
        <f>(Examples!$F$6*Examples!$F$7*Examples!$F$8*EXP(-Examples!$F$9*$A34)*(1-(Examples!$F$12*(1-EXP(-Examples!$F$13*$A34))/(1+EXP(MIN(700,MAX(-700,(Examples!$F$14*$A34-Examples!$F$15)/Examples!$F$16))))))+Examples!$F$17*$A34^2)</f>
        <v>17373.955543666896</v>
      </c>
      <c r="J34" s="33">
        <f>Examples!$G$18-(Examples!$G$10+Examples!$G$11)*$A34-(Examples!$G$6*Examples!$G$7*Examples!$G$8*EXP(-Examples!$G$9*$A34)*(1-(Examples!$G$12*(1-EXP(-Examples!$G$13*$A34))/(1+EXP(MIN(700,MAX(-700,(Examples!$G$14*$A34-Examples!$G$15)/Examples!$G$16))))))+Examples!$G$17*$A34^2)</f>
        <v>-104364.91274551395</v>
      </c>
      <c r="K34" s="33">
        <f>(Examples!$G$6*Examples!$G$7*Examples!$G$8*EXP(-Examples!$G$9*$A34)*(1-(Examples!$G$12*(1-EXP(-Examples!$G$13*$A34))/(1+EXP(MIN(700,MAX(-700,(Examples!$G$14*$A34-Examples!$G$15)/Examples!$G$16))))))+Examples!$G$17*$A34^2)</f>
        <v>1588364.912745514</v>
      </c>
      <c r="L34" s="33">
        <f>Examples!$H$18-(Examples!$H$10+Examples!$H$11)*$A34-(Examples!$H$6*Examples!$H$7*Examples!$H$8*EXP(-Examples!$H$9*$A34)*(1-(Examples!$H$12*(1-EXP(-Examples!$H$13*$A34))/(1+EXP(MIN(700,MAX(-700,(Examples!$H$14*$A34-Examples!$H$15)/Examples!$H$16))))))+Examples!$H$17*$A34^2)</f>
        <v>-93601.087867624592</v>
      </c>
      <c r="M34" s="33">
        <f>(Examples!$H$6*Examples!$H$7*Examples!$H$8*EXP(-Examples!$H$9*$A34)*(1-(Examples!$H$12*(1-EXP(-Examples!$H$13*$A34))/(1+EXP(MIN(700,MAX(-700,(Examples!$H$14*$A34-Examples!$H$15)/Examples!$H$16))))))+Examples!$H$17*$A34^2)</f>
        <v>1577601.0878676246</v>
      </c>
    </row>
    <row r="35" spans="1:13" x14ac:dyDescent="0.25">
      <c r="A35" s="4">
        <f>(35-2)/100</f>
        <v>0.33</v>
      </c>
      <c r="B35" s="33">
        <f>Examples!$C$18-(Examples!$C$10+Examples!$C$11)*$A35-(Examples!$C$6*Examples!$C$7*Examples!$C$8*EXP(-Examples!$C$9*$A35)*(1-(Examples!$C$12*(1-EXP(-Examples!$C$13*$A35))/(1+EXP(MIN(700,MAX(-700,(Examples!$C$14*$A35-Examples!$C$15)/Examples!$C$16))))))+Examples!$C$17*$A35^2)</f>
        <v>83229.133829400584</v>
      </c>
      <c r="C35" s="33">
        <f>(Examples!$C$6*Examples!$C$7*Examples!$C$8*EXP(-Examples!$C$9*$A35)*(1-(Examples!$C$12*(1-EXP(-Examples!$C$13*$A35))/(1+EXP(MIN(700,MAX(-700,(Examples!$C$14*$A35-Examples!$C$15)/Examples!$C$16))))))+Examples!$C$17*$A35^2)</f>
        <v>505220.86617059942</v>
      </c>
      <c r="D35" s="33">
        <f>Examples!$D$18-(Examples!$D$10+Examples!$D$11)*$A35-(Examples!$D$6*Examples!$D$7*Examples!$D$8*EXP(-Examples!$D$9*$A35)*(1-(Examples!$D$12*(1-EXP(-Examples!$D$13*$A35))/(1+EXP(MIN(700,MAX(-700,(Examples!$D$14*$A35-Examples!$D$15)/Examples!$D$16))))))+Examples!$D$17*$A35^2)</f>
        <v>-1997823.5301310234</v>
      </c>
      <c r="E35" s="33">
        <f>(Examples!$D$6*Examples!$D$7*Examples!$D$8*EXP(-Examples!$D$9*$A35)*(1-(Examples!$D$12*(1-EXP(-Examples!$D$13*$A35))/(1+EXP(MIN(700,MAX(-700,(Examples!$D$14*$A35-Examples!$D$15)/Examples!$D$16))))))+Examples!$D$17*$A35^2)</f>
        <v>4482973.5301310234</v>
      </c>
      <c r="F35" s="33">
        <f>Examples!$E$18-(Examples!$E$10+Examples!$E$11)*$A35-(Examples!$E$6*Examples!$E$7*Examples!$E$8*EXP(-Examples!$E$9*$A35)*(1-(Examples!$E$12*(1-EXP(-Examples!$E$13*$A35))/(1+EXP(MIN(700,MAX(-700,(Examples!$E$14*$A35-Examples!$E$15)/Examples!$E$16))))))+Examples!$E$17*$A35^2)</f>
        <v>1074326.662944936</v>
      </c>
      <c r="G35" s="33">
        <f>(Examples!$E$6*Examples!$E$7*Examples!$E$8*EXP(-Examples!$E$9*$A35)*(1-(Examples!$E$12*(1-EXP(-Examples!$E$13*$A35))/(1+EXP(MIN(700,MAX(-700,(Examples!$E$14*$A35-Examples!$E$15)/Examples!$E$16))))))+Examples!$E$17*$A35^2)</f>
        <v>1897623.337055064</v>
      </c>
      <c r="H35" s="33">
        <f>Examples!$F$18-(Examples!$F$10+Examples!$F$11)*$A35-(Examples!$F$6*Examples!$F$7*Examples!$F$8*EXP(-Examples!$F$9*$A35)*(1-(Examples!$F$12*(1-EXP(-Examples!$F$13*$A35))/(1+EXP(MIN(700,MAX(-700,(Examples!$F$14*$A35-Examples!$F$15)/Examples!$F$16))))))+Examples!$F$17*$A35^2)</f>
        <v>125958.50369314145</v>
      </c>
      <c r="I35" s="33">
        <f>(Examples!$F$6*Examples!$F$7*Examples!$F$8*EXP(-Examples!$F$9*$A35)*(1-(Examples!$F$12*(1-EXP(-Examples!$F$13*$A35))/(1+EXP(MIN(700,MAX(-700,(Examples!$F$14*$A35-Examples!$F$15)/Examples!$F$16))))))+Examples!$F$17*$A35^2)</f>
        <v>17441.496306858549</v>
      </c>
      <c r="J35" s="33">
        <f>Examples!$G$18-(Examples!$G$10+Examples!$G$11)*$A35-(Examples!$G$6*Examples!$G$7*Examples!$G$8*EXP(-Examples!$G$9*$A35)*(1-(Examples!$G$12*(1-EXP(-Examples!$G$13*$A35))/(1+EXP(MIN(700,MAX(-700,(Examples!$G$14*$A35-Examples!$G$15)/Examples!$G$16))))))+Examples!$G$17*$A35^2)</f>
        <v>-93768.721909881569</v>
      </c>
      <c r="K35" s="33">
        <f>(Examples!$G$6*Examples!$G$7*Examples!$G$8*EXP(-Examples!$G$9*$A35)*(1-(Examples!$G$12*(1-EXP(-Examples!$G$13*$A35))/(1+EXP(MIN(700,MAX(-700,(Examples!$G$14*$A35-Examples!$G$15)/Examples!$G$16))))))+Examples!$G$17*$A35^2)</f>
        <v>1577268.7219098816</v>
      </c>
      <c r="L35" s="33">
        <f>Examples!$H$18-(Examples!$H$10+Examples!$H$11)*$A35-(Examples!$H$6*Examples!$H$7*Examples!$H$8*EXP(-Examples!$H$9*$A35)*(1-(Examples!$H$12*(1-EXP(-Examples!$H$13*$A35))/(1+EXP(MIN(700,MAX(-700,(Examples!$H$14*$A35-Examples!$H$15)/Examples!$H$16))))))+Examples!$H$17*$A35^2)</f>
        <v>-82597.843308920274</v>
      </c>
      <c r="M35" s="33">
        <f>(Examples!$H$6*Examples!$H$7*Examples!$H$8*EXP(-Examples!$H$9*$A35)*(1-(Examples!$H$12*(1-EXP(-Examples!$H$13*$A35))/(1+EXP(MIN(700,MAX(-700,(Examples!$H$14*$A35-Examples!$H$15)/Examples!$H$16))))))+Examples!$H$17*$A35^2)</f>
        <v>1566097.8433089203</v>
      </c>
    </row>
    <row r="36" spans="1:13" x14ac:dyDescent="0.25">
      <c r="A36" s="4">
        <f>(36-2)/100</f>
        <v>0.34</v>
      </c>
      <c r="B36" s="33">
        <f>Examples!$C$18-(Examples!$C$10+Examples!$C$11)*$A36-(Examples!$C$6*Examples!$C$7*Examples!$C$8*EXP(-Examples!$C$9*$A36)*(1-(Examples!$C$12*(1-EXP(-Examples!$C$13*$A36))/(1+EXP(MIN(700,MAX(-700,(Examples!$C$14*$A36-Examples!$C$15)/Examples!$C$16))))))+Examples!$C$17*$A36^2)</f>
        <v>85395.465310164436</v>
      </c>
      <c r="C36" s="33">
        <f>(Examples!$C$6*Examples!$C$7*Examples!$C$8*EXP(-Examples!$C$9*$A36)*(1-(Examples!$C$12*(1-EXP(-Examples!$C$13*$A36))/(1+EXP(MIN(700,MAX(-700,(Examples!$C$14*$A36-Examples!$C$15)/Examples!$C$16))))))+Examples!$C$17*$A36^2)</f>
        <v>502704.53468983556</v>
      </c>
      <c r="D36" s="33">
        <f>Examples!$D$18-(Examples!$D$10+Examples!$D$11)*$A36-(Examples!$D$6*Examples!$D$7*Examples!$D$8*EXP(-Examples!$D$9*$A36)*(1-(Examples!$D$12*(1-EXP(-Examples!$D$13*$A36))/(1+EXP(MIN(700,MAX(-700,(Examples!$D$14*$A36-Examples!$D$15)/Examples!$D$16))))))+Examples!$D$17*$A36^2)</f>
        <v>-1959524.968743247</v>
      </c>
      <c r="E36" s="33">
        <f>(Examples!$D$6*Examples!$D$7*Examples!$D$8*EXP(-Examples!$D$9*$A36)*(1-(Examples!$D$12*(1-EXP(-Examples!$D$13*$A36))/(1+EXP(MIN(700,MAX(-700,(Examples!$D$14*$A36-Examples!$D$15)/Examples!$D$16))))))+Examples!$D$17*$A36^2)</f>
        <v>4444224.968743247</v>
      </c>
      <c r="F36" s="33">
        <f>Examples!$E$18-(Examples!$E$10+Examples!$E$11)*$A36-(Examples!$E$6*Examples!$E$7*Examples!$E$8*EXP(-Examples!$E$9*$A36)*(1-(Examples!$E$12*(1-EXP(-Examples!$E$13*$A36))/(1+EXP(MIN(700,MAX(-700,(Examples!$E$14*$A36-Examples!$E$15)/Examples!$E$16))))))+Examples!$E$17*$A36^2)</f>
        <v>1093315.0904121983</v>
      </c>
      <c r="G36" s="33">
        <f>(Examples!$E$6*Examples!$E$7*Examples!$E$8*EXP(-Examples!$E$9*$A36)*(1-(Examples!$E$12*(1-EXP(-Examples!$E$13*$A36))/(1+EXP(MIN(700,MAX(-700,(Examples!$E$14*$A36-Examples!$E$15)/Examples!$E$16))))))+Examples!$E$17*$A36^2)</f>
        <v>1877784.9095878017</v>
      </c>
      <c r="H36" s="33">
        <f>Examples!$F$18-(Examples!$F$10+Examples!$F$11)*$A36-(Examples!$F$6*Examples!$F$7*Examples!$F$8*EXP(-Examples!$F$9*$A36)*(1-(Examples!$F$12*(1-EXP(-Examples!$F$13*$A36))/(1+EXP(MIN(700,MAX(-700,(Examples!$F$14*$A36-Examples!$F$15)/Examples!$F$16))))))+Examples!$F$17*$A36^2)</f>
        <v>125686.63564315561</v>
      </c>
      <c r="I36" s="33">
        <f>(Examples!$F$6*Examples!$F$7*Examples!$F$8*EXP(-Examples!$F$9*$A36)*(1-(Examples!$F$12*(1-EXP(-Examples!$F$13*$A36))/(1+EXP(MIN(700,MAX(-700,(Examples!$F$14*$A36-Examples!$F$15)/Examples!$F$16))))))+Examples!$F$17*$A36^2)</f>
        <v>17513.364356844395</v>
      </c>
      <c r="J36" s="33">
        <f>Examples!$G$18-(Examples!$G$10+Examples!$G$11)*$A36-(Examples!$G$6*Examples!$G$7*Examples!$G$8*EXP(-Examples!$G$9*$A36)*(1-(Examples!$G$12*(1-EXP(-Examples!$G$13*$A36))/(1+EXP(MIN(700,MAX(-700,(Examples!$G$14*$A36-Examples!$G$15)/Examples!$G$16))))))+Examples!$G$17*$A36^2)</f>
        <v>-83270.878741677618</v>
      </c>
      <c r="K36" s="33">
        <f>(Examples!$G$6*Examples!$G$7*Examples!$G$8*EXP(-Examples!$G$9*$A36)*(1-(Examples!$G$12*(1-EXP(-Examples!$G$13*$A36))/(1+EXP(MIN(700,MAX(-700,(Examples!$G$14*$A36-Examples!$G$15)/Examples!$G$16))))))+Examples!$G$17*$A36^2)</f>
        <v>1566270.8787416776</v>
      </c>
      <c r="L36" s="33">
        <f>Examples!$H$18-(Examples!$H$10+Examples!$H$11)*$A36-(Examples!$H$6*Examples!$H$7*Examples!$H$8*EXP(-Examples!$H$9*$A36)*(1-(Examples!$H$12*(1-EXP(-Examples!$H$13*$A36))/(1+EXP(MIN(700,MAX(-700,(Examples!$H$14*$A36-Examples!$H$15)/Examples!$H$16))))))+Examples!$H$17*$A36^2)</f>
        <v>-71688.361285073915</v>
      </c>
      <c r="M36" s="33">
        <f>(Examples!$H$6*Examples!$H$7*Examples!$H$8*EXP(-Examples!$H$9*$A36)*(1-(Examples!$H$12*(1-EXP(-Examples!$H$13*$A36))/(1+EXP(MIN(700,MAX(-700,(Examples!$H$14*$A36-Examples!$H$15)/Examples!$H$16))))))+Examples!$H$17*$A36^2)</f>
        <v>1554688.3612850739</v>
      </c>
    </row>
    <row r="37" spans="1:13" x14ac:dyDescent="0.25">
      <c r="A37" s="4">
        <f>(37-2)/100</f>
        <v>0.35</v>
      </c>
      <c r="B37" s="33">
        <f>Examples!$C$18-(Examples!$C$10+Examples!$C$11)*$A37-(Examples!$C$6*Examples!$C$7*Examples!$C$8*EXP(-Examples!$C$9*$A37)*(1-(Examples!$C$12*(1-EXP(-Examples!$C$13*$A37))/(1+EXP(MIN(700,MAX(-700,(Examples!$C$14*$A37-Examples!$C$15)/Examples!$C$16))))))+Examples!$C$17*$A37^2)</f>
        <v>87541.756489296444</v>
      </c>
      <c r="C37" s="33">
        <f>(Examples!$C$6*Examples!$C$7*Examples!$C$8*EXP(-Examples!$C$9*$A37)*(1-(Examples!$C$12*(1-EXP(-Examples!$C$13*$A37))/(1+EXP(MIN(700,MAX(-700,(Examples!$C$14*$A37-Examples!$C$15)/Examples!$C$16))))))+Examples!$C$17*$A37^2)</f>
        <v>500208.24351070356</v>
      </c>
      <c r="D37" s="33">
        <f>Examples!$D$18-(Examples!$D$10+Examples!$D$11)*$A37-(Examples!$D$6*Examples!$D$7*Examples!$D$8*EXP(-Examples!$D$9*$A37)*(1-(Examples!$D$12*(1-EXP(-Examples!$D$13*$A37))/(1+EXP(MIN(700,MAX(-700,(Examples!$D$14*$A37-Examples!$D$15)/Examples!$D$16))))))+Examples!$D$17*$A37^2)</f>
        <v>-1921603.4592584977</v>
      </c>
      <c r="E37" s="33">
        <f>(Examples!$D$6*Examples!$D$7*Examples!$D$8*EXP(-Examples!$D$9*$A37)*(1-(Examples!$D$12*(1-EXP(-Examples!$D$13*$A37))/(1+EXP(MIN(700,MAX(-700,(Examples!$D$14*$A37-Examples!$D$15)/Examples!$D$16))))))+Examples!$D$17*$A37^2)</f>
        <v>4405853.4592584977</v>
      </c>
      <c r="F37" s="33">
        <f>Examples!$E$18-(Examples!$E$10+Examples!$E$11)*$A37-(Examples!$E$6*Examples!$E$7*Examples!$E$8*EXP(-Examples!$E$9*$A37)*(1-(Examples!$E$12*(1-EXP(-Examples!$E$13*$A37))/(1+EXP(MIN(700,MAX(-700,(Examples!$E$14*$A37-Examples!$E$15)/Examples!$E$16))))))+Examples!$E$17*$A37^2)</f>
        <v>1112074.8938901289</v>
      </c>
      <c r="G37" s="33">
        <f>(Examples!$E$6*Examples!$E$7*Examples!$E$8*EXP(-Examples!$E$9*$A37)*(1-(Examples!$E$12*(1-EXP(-Examples!$E$13*$A37))/(1+EXP(MIN(700,MAX(-700,(Examples!$E$14*$A37-Examples!$E$15)/Examples!$E$16))))))+Examples!$E$17*$A37^2)</f>
        <v>1858175.1061098711</v>
      </c>
      <c r="H37" s="33">
        <f>Examples!$F$18-(Examples!$F$10+Examples!$F$11)*$A37-(Examples!$F$6*Examples!$F$7*Examples!$F$8*EXP(-Examples!$F$9*$A37)*(1-(Examples!$F$12*(1-EXP(-Examples!$F$13*$A37))/(1+EXP(MIN(700,MAX(-700,(Examples!$F$14*$A37-Examples!$F$15)/Examples!$F$16))))))+Examples!$F$17*$A37^2)</f>
        <v>125410.44021965505</v>
      </c>
      <c r="I37" s="33">
        <f>(Examples!$F$6*Examples!$F$7*Examples!$F$8*EXP(-Examples!$F$9*$A37)*(1-(Examples!$F$12*(1-EXP(-Examples!$F$13*$A37))/(1+EXP(MIN(700,MAX(-700,(Examples!$F$14*$A37-Examples!$F$15)/Examples!$F$16))))))+Examples!$F$17*$A37^2)</f>
        <v>17589.559780344949</v>
      </c>
      <c r="J37" s="33">
        <f>Examples!$G$18-(Examples!$G$10+Examples!$G$11)*$A37-(Examples!$G$6*Examples!$G$7*Examples!$G$8*EXP(-Examples!$G$9*$A37)*(1-(Examples!$G$12*(1-EXP(-Examples!$G$13*$A37))/(1+EXP(MIN(700,MAX(-700,(Examples!$G$14*$A37-Examples!$G$15)/Examples!$G$16))))))+Examples!$G$17*$A37^2)</f>
        <v>-72870.669040565612</v>
      </c>
      <c r="K37" s="33">
        <f>(Examples!$G$6*Examples!$G$7*Examples!$G$8*EXP(-Examples!$G$9*$A37)*(1-(Examples!$G$12*(1-EXP(-Examples!$G$13*$A37))/(1+EXP(MIN(700,MAX(-700,(Examples!$G$14*$A37-Examples!$G$15)/Examples!$G$16))))))+Examples!$G$17*$A37^2)</f>
        <v>1555370.6690405656</v>
      </c>
      <c r="L37" s="33">
        <f>Examples!$H$18-(Examples!$H$10+Examples!$H$11)*$A37-(Examples!$H$6*Examples!$H$7*Examples!$H$8*EXP(-Examples!$H$9*$A37)*(1-(Examples!$H$12*(1-EXP(-Examples!$H$13*$A37))/(1+EXP(MIN(700,MAX(-700,(Examples!$H$14*$A37-Examples!$H$15)/Examples!$H$16))))))+Examples!$H$17*$A37^2)</f>
        <v>-60871.904294715729</v>
      </c>
      <c r="M37" s="33">
        <f>(Examples!$H$6*Examples!$H$7*Examples!$H$8*EXP(-Examples!$H$9*$A37)*(1-(Examples!$H$12*(1-EXP(-Examples!$H$13*$A37))/(1+EXP(MIN(700,MAX(-700,(Examples!$H$14*$A37-Examples!$H$15)/Examples!$H$16))))))+Examples!$H$17*$A37^2)</f>
        <v>1543371.9042947157</v>
      </c>
    </row>
    <row r="38" spans="1:13" x14ac:dyDescent="0.25">
      <c r="A38" s="4">
        <f>(38-2)/100</f>
        <v>0.36</v>
      </c>
      <c r="B38" s="33">
        <f>Examples!$C$18-(Examples!$C$10+Examples!$C$11)*$A38-(Examples!$C$6*Examples!$C$7*Examples!$C$8*EXP(-Examples!$C$9*$A38)*(1-(Examples!$C$12*(1-EXP(-Examples!$C$13*$A38))/(1+EXP(MIN(700,MAX(-700,(Examples!$C$14*$A38-Examples!$C$15)/Examples!$C$16))))))+Examples!$C$17*$A38^2)</f>
        <v>89668.066033380805</v>
      </c>
      <c r="C38" s="33">
        <f>(Examples!$C$6*Examples!$C$7*Examples!$C$8*EXP(-Examples!$C$9*$A38)*(1-(Examples!$C$12*(1-EXP(-Examples!$C$13*$A38))/(1+EXP(MIN(700,MAX(-700,(Examples!$C$14*$A38-Examples!$C$15)/Examples!$C$16))))))+Examples!$C$17*$A38^2)</f>
        <v>497731.9339666192</v>
      </c>
      <c r="D38" s="33">
        <f>Examples!$D$18-(Examples!$D$10+Examples!$D$11)*$A38-(Examples!$D$6*Examples!$D$7*Examples!$D$8*EXP(-Examples!$D$9*$A38)*(1-(Examples!$D$12*(1-EXP(-Examples!$D$13*$A38))/(1+EXP(MIN(700,MAX(-700,(Examples!$D$14*$A38-Examples!$D$15)/Examples!$D$16))))))+Examples!$D$17*$A38^2)</f>
        <v>-1884055.2827689266</v>
      </c>
      <c r="E38" s="33">
        <f>(Examples!$D$6*Examples!$D$7*Examples!$D$8*EXP(-Examples!$D$9*$A38)*(1-(Examples!$D$12*(1-EXP(-Examples!$D$13*$A38))/(1+EXP(MIN(700,MAX(-700,(Examples!$D$14*$A38-Examples!$D$15)/Examples!$D$16))))))+Examples!$D$17*$A38^2)</f>
        <v>4367855.2827689266</v>
      </c>
      <c r="F38" s="33">
        <f>Examples!$E$18-(Examples!$E$10+Examples!$E$11)*$A38-(Examples!$E$6*Examples!$E$7*Examples!$E$8*EXP(-Examples!$E$9*$A38)*(1-(Examples!$E$12*(1-EXP(-Examples!$E$13*$A38))/(1+EXP(MIN(700,MAX(-700,(Examples!$E$14*$A38-Examples!$E$15)/Examples!$E$16))))))+Examples!$E$17*$A38^2)</f>
        <v>1130608.7350990437</v>
      </c>
      <c r="G38" s="33">
        <f>(Examples!$E$6*Examples!$E$7*Examples!$E$8*EXP(-Examples!$E$9*$A38)*(1-(Examples!$E$12*(1-EXP(-Examples!$E$13*$A38))/(1+EXP(MIN(700,MAX(-700,(Examples!$E$14*$A38-Examples!$E$15)/Examples!$E$16))))))+Examples!$E$17*$A38^2)</f>
        <v>1838791.2649009563</v>
      </c>
      <c r="H38" s="33">
        <f>Examples!$F$18-(Examples!$F$10+Examples!$F$11)*$A38-(Examples!$F$6*Examples!$F$7*Examples!$F$8*EXP(-Examples!$F$9*$A38)*(1-(Examples!$F$12*(1-EXP(-Examples!$F$13*$A38))/(1+EXP(MIN(700,MAX(-700,(Examples!$F$14*$A38-Examples!$F$15)/Examples!$F$16))))))+Examples!$F$17*$A38^2)</f>
        <v>125129.917265058</v>
      </c>
      <c r="I38" s="33">
        <f>(Examples!$F$6*Examples!$F$7*Examples!$F$8*EXP(-Examples!$F$9*$A38)*(1-(Examples!$F$12*(1-EXP(-Examples!$F$13*$A38))/(1+EXP(MIN(700,MAX(-700,(Examples!$F$14*$A38-Examples!$F$15)/Examples!$F$16))))))+Examples!$F$17*$A38^2)</f>
        <v>17670.082734942</v>
      </c>
      <c r="J38" s="33">
        <f>Examples!$G$18-(Examples!$G$10+Examples!$G$11)*$A38-(Examples!$G$6*Examples!$G$7*Examples!$G$8*EXP(-Examples!$G$9*$A38)*(1-(Examples!$G$12*(1-EXP(-Examples!$G$13*$A38))/(1+EXP(MIN(700,MAX(-700,(Examples!$G$14*$A38-Examples!$G$15)/Examples!$G$16))))))+Examples!$G$17*$A38^2)</f>
        <v>-62567.384949021507</v>
      </c>
      <c r="K38" s="33">
        <f>(Examples!$G$6*Examples!$G$7*Examples!$G$8*EXP(-Examples!$G$9*$A38)*(1-(Examples!$G$12*(1-EXP(-Examples!$G$13*$A38))/(1+EXP(MIN(700,MAX(-700,(Examples!$G$14*$A38-Examples!$G$15)/Examples!$G$16))))))+Examples!$G$17*$A38^2)</f>
        <v>1544567.3849490215</v>
      </c>
      <c r="L38" s="33">
        <f>Examples!$H$18-(Examples!$H$10+Examples!$H$11)*$A38-(Examples!$H$6*Examples!$H$7*Examples!$H$8*EXP(-Examples!$H$9*$A38)*(1-(Examples!$H$12*(1-EXP(-Examples!$H$13*$A38))/(1+EXP(MIN(700,MAX(-700,(Examples!$H$14*$A38-Examples!$H$15)/Examples!$H$16))))))+Examples!$H$17*$A38^2)</f>
        <v>-50147.741707447916</v>
      </c>
      <c r="M38" s="33">
        <f>(Examples!$H$6*Examples!$H$7*Examples!$H$8*EXP(-Examples!$H$9*$A38)*(1-(Examples!$H$12*(1-EXP(-Examples!$H$13*$A38))/(1+EXP(MIN(700,MAX(-700,(Examples!$H$14*$A38-Examples!$H$15)/Examples!$H$16))))))+Examples!$H$17*$A38^2)</f>
        <v>1532147.7417074479</v>
      </c>
    </row>
    <row r="39" spans="1:13" x14ac:dyDescent="0.25">
      <c r="A39" s="4">
        <f>(39-2)/100</f>
        <v>0.37</v>
      </c>
      <c r="B39" s="33">
        <f>Examples!$C$18-(Examples!$C$10+Examples!$C$11)*$A39-(Examples!$C$6*Examples!$C$7*Examples!$C$8*EXP(-Examples!$C$9*$A39)*(1-(Examples!$C$12*(1-EXP(-Examples!$C$13*$A39))/(1+EXP(MIN(700,MAX(-700,(Examples!$C$14*$A39-Examples!$C$15)/Examples!$C$16))))))+Examples!$C$17*$A39^2)</f>
        <v>91774.45044667559</v>
      </c>
      <c r="C39" s="33">
        <f>(Examples!$C$6*Examples!$C$7*Examples!$C$8*EXP(-Examples!$C$9*$A39)*(1-(Examples!$C$12*(1-EXP(-Examples!$C$13*$A39))/(1+EXP(MIN(700,MAX(-700,(Examples!$C$14*$A39-Examples!$C$15)/Examples!$C$16))))))+Examples!$C$17*$A39^2)</f>
        <v>495275.54955332441</v>
      </c>
      <c r="D39" s="33">
        <f>Examples!$D$18-(Examples!$D$10+Examples!$D$11)*$A39-(Examples!$D$6*Examples!$D$7*Examples!$D$8*EXP(-Examples!$D$9*$A39)*(1-(Examples!$D$12*(1-EXP(-Examples!$D$13*$A39))/(1+EXP(MIN(700,MAX(-700,(Examples!$D$14*$A39-Examples!$D$15)/Examples!$D$16))))))+Examples!$D$17*$A39^2)</f>
        <v>-1846876.7589402916</v>
      </c>
      <c r="E39" s="33">
        <f>(Examples!$D$6*Examples!$D$7*Examples!$D$8*EXP(-Examples!$D$9*$A39)*(1-(Examples!$D$12*(1-EXP(-Examples!$D$13*$A39))/(1+EXP(MIN(700,MAX(-700,(Examples!$D$14*$A39-Examples!$D$15)/Examples!$D$16))))))+Examples!$D$17*$A39^2)</f>
        <v>4330226.7589402916</v>
      </c>
      <c r="F39" s="33">
        <f>Examples!$E$18-(Examples!$E$10+Examples!$E$11)*$A39-(Examples!$E$6*Examples!$E$7*Examples!$E$8*EXP(-Examples!$E$9*$A39)*(1-(Examples!$E$12*(1-EXP(-Examples!$E$13*$A39))/(1+EXP(MIN(700,MAX(-700,(Examples!$E$14*$A39-Examples!$E$15)/Examples!$E$16))))))+Examples!$E$17*$A39^2)</f>
        <v>1148919.2442967773</v>
      </c>
      <c r="G39" s="33">
        <f>(Examples!$E$6*Examples!$E$7*Examples!$E$8*EXP(-Examples!$E$9*$A39)*(1-(Examples!$E$12*(1-EXP(-Examples!$E$13*$A39))/(1+EXP(MIN(700,MAX(-700,(Examples!$E$14*$A39-Examples!$E$15)/Examples!$E$16))))))+Examples!$E$17*$A39^2)</f>
        <v>1819630.7557032227</v>
      </c>
      <c r="H39" s="33">
        <f>Examples!$F$18-(Examples!$F$10+Examples!$F$11)*$A39-(Examples!$F$6*Examples!$F$7*Examples!$F$8*EXP(-Examples!$F$9*$A39)*(1-(Examples!$F$12*(1-EXP(-Examples!$F$13*$A39))/(1+EXP(MIN(700,MAX(-700,(Examples!$F$14*$A39-Examples!$F$15)/Examples!$F$16))))))+Examples!$F$17*$A39^2)</f>
        <v>124845.06654898303</v>
      </c>
      <c r="I39" s="33">
        <f>(Examples!$F$6*Examples!$F$7*Examples!$F$8*EXP(-Examples!$F$9*$A39)*(1-(Examples!$F$12*(1-EXP(-Examples!$F$13*$A39))/(1+EXP(MIN(700,MAX(-700,(Examples!$F$14*$A39-Examples!$F$15)/Examples!$F$16))))))+Examples!$F$17*$A39^2)</f>
        <v>17754.933451016972</v>
      </c>
      <c r="J39" s="33">
        <f>Examples!$G$18-(Examples!$G$10+Examples!$G$11)*$A39-(Examples!$G$6*Examples!$G$7*Examples!$G$8*EXP(-Examples!$G$9*$A39)*(1-(Examples!$G$12*(1-EXP(-Examples!$G$13*$A39))/(1+EXP(MIN(700,MAX(-700,(Examples!$G$14*$A39-Examples!$G$15)/Examples!$G$16))))))+Examples!$G$17*$A39^2)</f>
        <v>-52360.32489168644</v>
      </c>
      <c r="K39" s="33">
        <f>(Examples!$G$6*Examples!$G$7*Examples!$G$8*EXP(-Examples!$G$9*$A39)*(1-(Examples!$G$12*(1-EXP(-Examples!$G$13*$A39))/(1+EXP(MIN(700,MAX(-700,(Examples!$G$14*$A39-Examples!$G$15)/Examples!$G$16))))))+Examples!$G$17*$A39^2)</f>
        <v>1533860.3248916864</v>
      </c>
      <c r="L39" s="33">
        <f>Examples!$H$18-(Examples!$H$10+Examples!$H$11)*$A39-(Examples!$H$6*Examples!$H$7*Examples!$H$8*EXP(-Examples!$H$9*$A39)*(1-(Examples!$H$12*(1-EXP(-Examples!$H$13*$A39))/(1+EXP(MIN(700,MAX(-700,(Examples!$H$14*$A39-Examples!$H$15)/Examples!$H$16))))))+Examples!$H$17*$A39^2)</f>
        <v>-39515.149728503078</v>
      </c>
      <c r="M39" s="33">
        <f>(Examples!$H$6*Examples!$H$7*Examples!$H$8*EXP(-Examples!$H$9*$A39)*(1-(Examples!$H$12*(1-EXP(-Examples!$H$13*$A39))/(1+EXP(MIN(700,MAX(-700,(Examples!$H$14*$A39-Examples!$H$15)/Examples!$H$16))))))+Examples!$H$17*$A39^2)</f>
        <v>1521015.1497285031</v>
      </c>
    </row>
    <row r="40" spans="1:13" x14ac:dyDescent="0.25">
      <c r="A40" s="4">
        <f>(40-2)/100</f>
        <v>0.38</v>
      </c>
      <c r="B40" s="33">
        <f>Examples!$C$18-(Examples!$C$10+Examples!$C$11)*$A40-(Examples!$C$6*Examples!$C$7*Examples!$C$8*EXP(-Examples!$C$9*$A40)*(1-(Examples!$C$12*(1-EXP(-Examples!$C$13*$A40))/(1+EXP(MIN(700,MAX(-700,(Examples!$C$14*$A40-Examples!$C$15)/Examples!$C$16))))))+Examples!$C$17*$A40^2)</f>
        <v>93860.964034384873</v>
      </c>
      <c r="C40" s="33">
        <f>(Examples!$C$6*Examples!$C$7*Examples!$C$8*EXP(-Examples!$C$9*$A40)*(1-(Examples!$C$12*(1-EXP(-Examples!$C$13*$A40))/(1+EXP(MIN(700,MAX(-700,(Examples!$C$14*$A40-Examples!$C$15)/Examples!$C$16))))))+Examples!$C$17*$A40^2)</f>
        <v>492839.03596561513</v>
      </c>
      <c r="D40" s="33">
        <f>Examples!$D$18-(Examples!$D$10+Examples!$D$11)*$A40-(Examples!$D$6*Examples!$D$7*Examples!$D$8*EXP(-Examples!$D$9*$A40)*(1-(Examples!$D$12*(1-EXP(-Examples!$D$13*$A40))/(1+EXP(MIN(700,MAX(-700,(Examples!$D$14*$A40-Examples!$D$15)/Examples!$D$16))))))+Examples!$D$17*$A40^2)</f>
        <v>-1810064.2456143741</v>
      </c>
      <c r="E40" s="33">
        <f>(Examples!$D$6*Examples!$D$7*Examples!$D$8*EXP(-Examples!$D$9*$A40)*(1-(Examples!$D$12*(1-EXP(-Examples!$D$13*$A40))/(1+EXP(MIN(700,MAX(-700,(Examples!$D$14*$A40-Examples!$D$15)/Examples!$D$16))))))+Examples!$D$17*$A40^2)</f>
        <v>4292964.2456143741</v>
      </c>
      <c r="F40" s="33">
        <f>Examples!$E$18-(Examples!$E$10+Examples!$E$11)*$A40-(Examples!$E$6*Examples!$E$7*Examples!$E$8*EXP(-Examples!$E$9*$A40)*(1-(Examples!$E$12*(1-EXP(-Examples!$E$13*$A40))/(1+EXP(MIN(700,MAX(-700,(Examples!$E$14*$A40-Examples!$E$15)/Examples!$E$16))))))+Examples!$E$17*$A40^2)</f>
        <v>1167009.0206528082</v>
      </c>
      <c r="G40" s="33">
        <f>(Examples!$E$6*Examples!$E$7*Examples!$E$8*EXP(-Examples!$E$9*$A40)*(1-(Examples!$E$12*(1-EXP(-Examples!$E$13*$A40))/(1+EXP(MIN(700,MAX(-700,(Examples!$E$14*$A40-Examples!$E$15)/Examples!$E$16))))))+Examples!$E$17*$A40^2)</f>
        <v>1800690.9793471918</v>
      </c>
      <c r="H40" s="33">
        <f>Examples!$F$18-(Examples!$F$10+Examples!$F$11)*$A40-(Examples!$F$6*Examples!$F$7*Examples!$F$8*EXP(-Examples!$F$9*$A40)*(1-(Examples!$F$12*(1-EXP(-Examples!$F$13*$A40))/(1+EXP(MIN(700,MAX(-700,(Examples!$F$14*$A40-Examples!$F$15)/Examples!$F$16))))))+Examples!$F$17*$A40^2)</f>
        <v>124555.88776628659</v>
      </c>
      <c r="I40" s="33">
        <f>(Examples!$F$6*Examples!$F$7*Examples!$F$8*EXP(-Examples!$F$9*$A40)*(1-(Examples!$F$12*(1-EXP(-Examples!$F$13*$A40))/(1+EXP(MIN(700,MAX(-700,(Examples!$F$14*$A40-Examples!$F$15)/Examples!$F$16))))))+Examples!$F$17*$A40^2)</f>
        <v>17844.112233713422</v>
      </c>
      <c r="J40" s="33">
        <f>Examples!$G$18-(Examples!$G$10+Examples!$G$11)*$A40-(Examples!$G$6*Examples!$G$7*Examples!$G$8*EXP(-Examples!$G$9*$A40)*(1-(Examples!$G$12*(1-EXP(-Examples!$G$13*$A40))/(1+EXP(MIN(700,MAX(-700,(Examples!$G$14*$A40-Examples!$G$15)/Examples!$G$16))))))+Examples!$G$17*$A40^2)</f>
        <v>-42248.793514976045</v>
      </c>
      <c r="K40" s="33">
        <f>(Examples!$G$6*Examples!$G$7*Examples!$G$8*EXP(-Examples!$G$9*$A40)*(1-(Examples!$G$12*(1-EXP(-Examples!$G$13*$A40))/(1+EXP(MIN(700,MAX(-700,(Examples!$G$14*$A40-Examples!$G$15)/Examples!$G$16))))))+Examples!$G$17*$A40^2)</f>
        <v>1523248.793514976</v>
      </c>
      <c r="L40" s="33">
        <f>Examples!$H$18-(Examples!$H$10+Examples!$H$11)*$A40-(Examples!$H$6*Examples!$H$7*Examples!$H$8*EXP(-Examples!$H$9*$A40)*(1-(Examples!$H$12*(1-EXP(-Examples!$H$13*$A40))/(1+EXP(MIN(700,MAX(-700,(Examples!$H$14*$A40-Examples!$H$15)/Examples!$H$16))))))+Examples!$H$17*$A40^2)</f>
        <v>-28973.411364393542</v>
      </c>
      <c r="M40" s="33">
        <f>(Examples!$H$6*Examples!$H$7*Examples!$H$8*EXP(-Examples!$H$9*$A40)*(1-(Examples!$H$12*(1-EXP(-Examples!$H$13*$A40))/(1+EXP(MIN(700,MAX(-700,(Examples!$H$14*$A40-Examples!$H$15)/Examples!$H$16))))))+Examples!$H$17*$A40^2)</f>
        <v>1509973.4113643935</v>
      </c>
    </row>
    <row r="41" spans="1:13" x14ac:dyDescent="0.25">
      <c r="A41" s="4">
        <f>(41-2)/100</f>
        <v>0.39</v>
      </c>
      <c r="B41" s="33">
        <f>Examples!$C$18-(Examples!$C$10+Examples!$C$11)*$A41-(Examples!$C$6*Examples!$C$7*Examples!$C$8*EXP(-Examples!$C$9*$A41)*(1-(Examples!$C$12*(1-EXP(-Examples!$C$13*$A41))/(1+EXP(MIN(700,MAX(-700,(Examples!$C$14*$A41-Examples!$C$15)/Examples!$C$16))))))+Examples!$C$17*$A41^2)</f>
        <v>95927.658865154721</v>
      </c>
      <c r="C41" s="33">
        <f>(Examples!$C$6*Examples!$C$7*Examples!$C$8*EXP(-Examples!$C$9*$A41)*(1-(Examples!$C$12*(1-EXP(-Examples!$C$13*$A41))/(1+EXP(MIN(700,MAX(-700,(Examples!$C$14*$A41-Examples!$C$15)/Examples!$C$16))))))+Examples!$C$17*$A41^2)</f>
        <v>490422.34113484528</v>
      </c>
      <c r="D41" s="33">
        <f>Examples!$D$18-(Examples!$D$10+Examples!$D$11)*$A41-(Examples!$D$6*Examples!$D$7*Examples!$D$8*EXP(-Examples!$D$9*$A41)*(1-(Examples!$D$12*(1-EXP(-Examples!$D$13*$A41))/(1+EXP(MIN(700,MAX(-700,(Examples!$D$14*$A41-Examples!$D$15)/Examples!$D$16))))))+Examples!$D$17*$A41^2)</f>
        <v>-1773614.1384155098</v>
      </c>
      <c r="E41" s="33">
        <f>(Examples!$D$6*Examples!$D$7*Examples!$D$8*EXP(-Examples!$D$9*$A41)*(1-(Examples!$D$12*(1-EXP(-Examples!$D$13*$A41))/(1+EXP(MIN(700,MAX(-700,(Examples!$D$14*$A41-Examples!$D$15)/Examples!$D$16))))))+Examples!$D$17*$A41^2)</f>
        <v>4256064.1384155098</v>
      </c>
      <c r="F41" s="33">
        <f>Examples!$E$18-(Examples!$E$10+Examples!$E$11)*$A41-(Examples!$E$6*Examples!$E$7*Examples!$E$8*EXP(-Examples!$E$9*$A41)*(1-(Examples!$E$12*(1-EXP(-Examples!$E$13*$A41))/(1+EXP(MIN(700,MAX(-700,(Examples!$E$14*$A41-Examples!$E$15)/Examples!$E$16))))))+Examples!$E$17*$A41^2)</f>
        <v>1184880.6326179265</v>
      </c>
      <c r="G41" s="33">
        <f>(Examples!$E$6*Examples!$E$7*Examples!$E$8*EXP(-Examples!$E$9*$A41)*(1-(Examples!$E$12*(1-EXP(-Examples!$E$13*$A41))/(1+EXP(MIN(700,MAX(-700,(Examples!$E$14*$A41-Examples!$E$15)/Examples!$E$16))))))+Examples!$E$17*$A41^2)</f>
        <v>1781969.3673820735</v>
      </c>
      <c r="H41" s="33">
        <f>Examples!$F$18-(Examples!$F$10+Examples!$F$11)*$A41-(Examples!$F$6*Examples!$F$7*Examples!$F$8*EXP(-Examples!$F$9*$A41)*(1-(Examples!$F$12*(1-EXP(-Examples!$F$13*$A41))/(1+EXP(MIN(700,MAX(-700,(Examples!$F$14*$A41-Examples!$F$15)/Examples!$F$16))))))+Examples!$F$17*$A41^2)</f>
        <v>124262.38053508001</v>
      </c>
      <c r="I41" s="33">
        <f>(Examples!$F$6*Examples!$F$7*Examples!$F$8*EXP(-Examples!$F$9*$A41)*(1-(Examples!$F$12*(1-EXP(-Examples!$F$13*$A41))/(1+EXP(MIN(700,MAX(-700,(Examples!$F$14*$A41-Examples!$F$15)/Examples!$F$16))))))+Examples!$F$17*$A41^2)</f>
        <v>17937.619464919997</v>
      </c>
      <c r="J41" s="33">
        <f>Examples!$G$18-(Examples!$G$10+Examples!$G$11)*$A41-(Examples!$G$6*Examples!$G$7*Examples!$G$8*EXP(-Examples!$G$9*$A41)*(1-(Examples!$G$12*(1-EXP(-Examples!$G$13*$A41))/(1+EXP(MIN(700,MAX(-700,(Examples!$G$14*$A41-Examples!$G$15)/Examples!$G$16))))))+Examples!$G$17*$A41^2)</f>
        <v>-32232.101626927732</v>
      </c>
      <c r="K41" s="33">
        <f>(Examples!$G$6*Examples!$G$7*Examples!$G$8*EXP(-Examples!$G$9*$A41)*(1-(Examples!$G$12*(1-EXP(-Examples!$G$13*$A41))/(1+EXP(MIN(700,MAX(-700,(Examples!$G$14*$A41-Examples!$G$15)/Examples!$G$16))))))+Examples!$G$17*$A41^2)</f>
        <v>1512732.1016269277</v>
      </c>
      <c r="L41" s="33">
        <f>Examples!$H$18-(Examples!$H$10+Examples!$H$11)*$A41-(Examples!$H$6*Examples!$H$7*Examples!$H$8*EXP(-Examples!$H$9*$A41)*(1-(Examples!$H$12*(1-EXP(-Examples!$H$13*$A41))/(1+EXP(MIN(700,MAX(-700,(Examples!$H$14*$A41-Examples!$H$15)/Examples!$H$16))))))+Examples!$H$17*$A41^2)</f>
        <v>-18521.816389559535</v>
      </c>
      <c r="M41" s="33">
        <f>(Examples!$H$6*Examples!$H$7*Examples!$H$8*EXP(-Examples!$H$9*$A41)*(1-(Examples!$H$12*(1-EXP(-Examples!$H$13*$A41))/(1+EXP(MIN(700,MAX(-700,(Examples!$H$14*$A41-Examples!$H$15)/Examples!$H$16))))))+Examples!$H$17*$A41^2)</f>
        <v>1499021.8163895595</v>
      </c>
    </row>
    <row r="42" spans="1:13" x14ac:dyDescent="0.25">
      <c r="A42" s="4">
        <f>(42-2)/100</f>
        <v>0.4</v>
      </c>
      <c r="B42" s="33">
        <f>Examples!$C$18-(Examples!$C$10+Examples!$C$11)*$A42-(Examples!$C$6*Examples!$C$7*Examples!$C$8*EXP(-Examples!$C$9*$A42)*(1-(Examples!$C$12*(1-EXP(-Examples!$C$13*$A42))/(1+EXP(MIN(700,MAX(-700,(Examples!$C$14*$A42-Examples!$C$15)/Examples!$C$16))))))+Examples!$C$17*$A42^2)</f>
        <v>97974.584732815216</v>
      </c>
      <c r="C42" s="33">
        <f>(Examples!$C$6*Examples!$C$7*Examples!$C$8*EXP(-Examples!$C$9*$A42)*(1-(Examples!$C$12*(1-EXP(-Examples!$C$13*$A42))/(1+EXP(MIN(700,MAX(-700,(Examples!$C$14*$A42-Examples!$C$15)/Examples!$C$16))))))+Examples!$C$17*$A42^2)</f>
        <v>488025.41526718478</v>
      </c>
      <c r="D42" s="33">
        <f>Examples!$D$18-(Examples!$D$10+Examples!$D$11)*$A42-(Examples!$D$6*Examples!$D$7*Examples!$D$8*EXP(-Examples!$D$9*$A42)*(1-(Examples!$D$12*(1-EXP(-Examples!$D$13*$A42))/(1+EXP(MIN(700,MAX(-700,(Examples!$D$14*$A42-Examples!$D$15)/Examples!$D$16))))))+Examples!$D$17*$A42^2)</f>
        <v>-1737522.8703612154</v>
      </c>
      <c r="E42" s="33">
        <f>(Examples!$D$6*Examples!$D$7*Examples!$D$8*EXP(-Examples!$D$9*$A42)*(1-(Examples!$D$12*(1-EXP(-Examples!$D$13*$A42))/(1+EXP(MIN(700,MAX(-700,(Examples!$D$14*$A42-Examples!$D$15)/Examples!$D$16))))))+Examples!$D$17*$A42^2)</f>
        <v>4219522.8703612154</v>
      </c>
      <c r="F42" s="33">
        <f>Examples!$E$18-(Examples!$E$10+Examples!$E$11)*$A42-(Examples!$E$6*Examples!$E$7*Examples!$E$8*EXP(-Examples!$E$9*$A42)*(1-(Examples!$E$12*(1-EXP(-Examples!$E$13*$A42))/(1+EXP(MIN(700,MAX(-700,(Examples!$E$14*$A42-Examples!$E$15)/Examples!$E$16))))))+Examples!$E$17*$A42^2)</f>
        <v>1202536.6182895077</v>
      </c>
      <c r="G42" s="33">
        <f>(Examples!$E$6*Examples!$E$7*Examples!$E$8*EXP(-Examples!$E$9*$A42)*(1-(Examples!$E$12*(1-EXP(-Examples!$E$13*$A42))/(1+EXP(MIN(700,MAX(-700,(Examples!$E$14*$A42-Examples!$E$15)/Examples!$E$16))))))+Examples!$E$17*$A42^2)</f>
        <v>1763463.3817104923</v>
      </c>
      <c r="H42" s="33">
        <f>Examples!$F$18-(Examples!$F$10+Examples!$F$11)*$A42-(Examples!$F$6*Examples!$F$7*Examples!$F$8*EXP(-Examples!$F$9*$A42)*(1-(Examples!$F$12*(1-EXP(-Examples!$F$13*$A42))/(1+EXP(MIN(700,MAX(-700,(Examples!$F$14*$A42-Examples!$F$15)/Examples!$F$16))))))+Examples!$F$17*$A42^2)</f>
        <v>123964.54439473012</v>
      </c>
      <c r="I42" s="33">
        <f>(Examples!$F$6*Examples!$F$7*Examples!$F$8*EXP(-Examples!$F$9*$A42)*(1-(Examples!$F$12*(1-EXP(-Examples!$F$13*$A42))/(1+EXP(MIN(700,MAX(-700,(Examples!$F$14*$A42-Examples!$F$15)/Examples!$F$16))))))+Examples!$F$17*$A42^2)</f>
        <v>18035.455605269883</v>
      </c>
      <c r="J42" s="33">
        <f>Examples!$G$18-(Examples!$G$10+Examples!$G$11)*$A42-(Examples!$G$6*Examples!$G$7*Examples!$G$8*EXP(-Examples!$G$9*$A42)*(1-(Examples!$G$12*(1-EXP(-Examples!$G$13*$A42))/(1+EXP(MIN(700,MAX(-700,(Examples!$G$14*$A42-Examples!$G$15)/Examples!$G$16))))))+Examples!$G$17*$A42^2)</f>
        <v>-22309.566137286369</v>
      </c>
      <c r="K42" s="33">
        <f>(Examples!$G$6*Examples!$G$7*Examples!$G$8*EXP(-Examples!$G$9*$A42)*(1-(Examples!$G$12*(1-EXP(-Examples!$G$13*$A42))/(1+EXP(MIN(700,MAX(-700,(Examples!$G$14*$A42-Examples!$G$15)/Examples!$G$16))))))+Examples!$G$17*$A42^2)</f>
        <v>1502309.5661372864</v>
      </c>
      <c r="L42" s="33">
        <f>Examples!$H$18-(Examples!$H$10+Examples!$H$11)*$A42-(Examples!$H$6*Examples!$H$7*Examples!$H$8*EXP(-Examples!$H$9*$A42)*(1-(Examples!$H$12*(1-EXP(-Examples!$H$13*$A42))/(1+EXP(MIN(700,MAX(-700,(Examples!$H$14*$A42-Examples!$H$15)/Examples!$H$16))))))+Examples!$H$17*$A42^2)</f>
        <v>-8159.6613140210975</v>
      </c>
      <c r="M42" s="33">
        <f>(Examples!$H$6*Examples!$H$7*Examples!$H$8*EXP(-Examples!$H$9*$A42)*(1-(Examples!$H$12*(1-EXP(-Examples!$H$13*$A42))/(1+EXP(MIN(700,MAX(-700,(Examples!$H$14*$A42-Examples!$H$15)/Examples!$H$16))))))+Examples!$H$17*$A42^2)</f>
        <v>1488159.6613140211</v>
      </c>
    </row>
    <row r="43" spans="1:13" x14ac:dyDescent="0.25">
      <c r="A43" s="4">
        <f>(43-2)/100</f>
        <v>0.41</v>
      </c>
      <c r="B43" s="33">
        <f>Examples!$C$18-(Examples!$C$10+Examples!$C$11)*$A43-(Examples!$C$6*Examples!$C$7*Examples!$C$8*EXP(-Examples!$C$9*$A43)*(1-(Examples!$C$12*(1-EXP(-Examples!$C$13*$A43))/(1+EXP(MIN(700,MAX(-700,(Examples!$C$14*$A43-Examples!$C$15)/Examples!$C$16))))))+Examples!$C$17*$A43^2)</f>
        <v>100001.78911738697</v>
      </c>
      <c r="C43" s="33">
        <f>(Examples!$C$6*Examples!$C$7*Examples!$C$8*EXP(-Examples!$C$9*$A43)*(1-(Examples!$C$12*(1-EXP(-Examples!$C$13*$A43))/(1+EXP(MIN(700,MAX(-700,(Examples!$C$14*$A43-Examples!$C$15)/Examples!$C$16))))))+Examples!$C$17*$A43^2)</f>
        <v>485648.21088261303</v>
      </c>
      <c r="D43" s="33">
        <f>Examples!$D$18-(Examples!$D$10+Examples!$D$11)*$A43-(Examples!$D$6*Examples!$D$7*Examples!$D$8*EXP(-Examples!$D$9*$A43)*(1-(Examples!$D$12*(1-EXP(-Examples!$D$13*$A43))/(1+EXP(MIN(700,MAX(-700,(Examples!$D$14*$A43-Examples!$D$15)/Examples!$D$16))))))+Examples!$D$17*$A43^2)</f>
        <v>-1701786.9114768319</v>
      </c>
      <c r="E43" s="33">
        <f>(Examples!$D$6*Examples!$D$7*Examples!$D$8*EXP(-Examples!$D$9*$A43)*(1-(Examples!$D$12*(1-EXP(-Examples!$D$13*$A43))/(1+EXP(MIN(700,MAX(-700,(Examples!$D$14*$A43-Examples!$D$15)/Examples!$D$16))))))+Examples!$D$17*$A43^2)</f>
        <v>4183336.9114768319</v>
      </c>
      <c r="F43" s="33">
        <f>Examples!$E$18-(Examples!$E$10+Examples!$E$11)*$A43-(Examples!$E$6*Examples!$E$7*Examples!$E$8*EXP(-Examples!$E$9*$A43)*(1-(Examples!$E$12*(1-EXP(-Examples!$E$13*$A43))/(1+EXP(MIN(700,MAX(-700,(Examples!$E$14*$A43-Examples!$E$15)/Examples!$E$16))))))+Examples!$E$17*$A43^2)</f>
        <v>1219979.4857724307</v>
      </c>
      <c r="G43" s="33">
        <f>(Examples!$E$6*Examples!$E$7*Examples!$E$8*EXP(-Examples!$E$9*$A43)*(1-(Examples!$E$12*(1-EXP(-Examples!$E$13*$A43))/(1+EXP(MIN(700,MAX(-700,(Examples!$E$14*$A43-Examples!$E$15)/Examples!$E$16))))))+Examples!$E$17*$A43^2)</f>
        <v>1745170.5142275693</v>
      </c>
      <c r="H43" s="33">
        <f>Examples!$F$18-(Examples!$F$10+Examples!$F$11)*$A43-(Examples!$F$6*Examples!$F$7*Examples!$F$8*EXP(-Examples!$F$9*$A43)*(1-(Examples!$F$12*(1-EXP(-Examples!$F$13*$A43))/(1+EXP(MIN(700,MAX(-700,(Examples!$F$14*$A43-Examples!$F$15)/Examples!$F$16))))))+Examples!$F$17*$A43^2)</f>
        <v>123662.37880384779</v>
      </c>
      <c r="I43" s="33">
        <f>(Examples!$F$6*Examples!$F$7*Examples!$F$8*EXP(-Examples!$F$9*$A43)*(1-(Examples!$F$12*(1-EXP(-Examples!$F$13*$A43))/(1+EXP(MIN(700,MAX(-700,(Examples!$F$14*$A43-Examples!$F$15)/Examples!$F$16))))))+Examples!$F$17*$A43^2)</f>
        <v>18137.621196152209</v>
      </c>
      <c r="J43" s="33">
        <f>Examples!$G$18-(Examples!$G$10+Examples!$G$11)*$A43-(Examples!$G$6*Examples!$G$7*Examples!$G$8*EXP(-Examples!$G$9*$A43)*(1-(Examples!$G$12*(1-EXP(-Examples!$G$13*$A43))/(1+EXP(MIN(700,MAX(-700,(Examples!$G$14*$A43-Examples!$G$15)/Examples!$G$16))))))+Examples!$G$17*$A43^2)</f>
        <v>-12480.50999782118</v>
      </c>
      <c r="K43" s="33">
        <f>(Examples!$G$6*Examples!$G$7*Examples!$G$8*EXP(-Examples!$G$9*$A43)*(1-(Examples!$G$12*(1-EXP(-Examples!$G$13*$A43))/(1+EXP(MIN(700,MAX(-700,(Examples!$G$14*$A43-Examples!$G$15)/Examples!$G$16))))))+Examples!$G$17*$A43^2)</f>
        <v>1491980.5099978212</v>
      </c>
      <c r="L43" s="33">
        <f>Examples!$H$18-(Examples!$H$10+Examples!$H$11)*$A43-(Examples!$H$6*Examples!$H$7*Examples!$H$8*EXP(-Examples!$H$9*$A43)*(1-(Examples!$H$12*(1-EXP(-Examples!$H$13*$A43))/(1+EXP(MIN(700,MAX(-700,(Examples!$H$14*$A43-Examples!$H$15)/Examples!$H$16))))))+Examples!$H$17*$A43^2)</f>
        <v>2113.7506479383446</v>
      </c>
      <c r="M43" s="33">
        <f>(Examples!$H$6*Examples!$H$7*Examples!$H$8*EXP(-Examples!$H$9*$A43)*(1-(Examples!$H$12*(1-EXP(-Examples!$H$13*$A43))/(1+EXP(MIN(700,MAX(-700,(Examples!$H$14*$A43-Examples!$H$15)/Examples!$H$16))))))+Examples!$H$17*$A43^2)</f>
        <v>1477386.2493520617</v>
      </c>
    </row>
    <row r="44" spans="1:13" x14ac:dyDescent="0.25">
      <c r="A44" s="4">
        <f>(44-2)/100</f>
        <v>0.42</v>
      </c>
      <c r="B44" s="33">
        <f>Examples!$C$18-(Examples!$C$10+Examples!$C$11)*$A44-(Examples!$C$6*Examples!$C$7*Examples!$C$8*EXP(-Examples!$C$9*$A44)*(1-(Examples!$C$12*(1-EXP(-Examples!$C$13*$A44))/(1+EXP(MIN(700,MAX(-700,(Examples!$C$14*$A44-Examples!$C$15)/Examples!$C$16))))))+Examples!$C$17*$A44^2)</f>
        <v>102009.31714538054</v>
      </c>
      <c r="C44" s="33">
        <f>(Examples!$C$6*Examples!$C$7*Examples!$C$8*EXP(-Examples!$C$9*$A44)*(1-(Examples!$C$12*(1-EXP(-Examples!$C$13*$A44))/(1+EXP(MIN(700,MAX(-700,(Examples!$C$14*$A44-Examples!$C$15)/Examples!$C$16))))))+Examples!$C$17*$A44^2)</f>
        <v>483290.68285461946</v>
      </c>
      <c r="D44" s="33">
        <f>Examples!$D$18-(Examples!$D$10+Examples!$D$11)*$A44-(Examples!$D$6*Examples!$D$7*Examples!$D$8*EXP(-Examples!$D$9*$A44)*(1-(Examples!$D$12*(1-EXP(-Examples!$D$13*$A44))/(1+EXP(MIN(700,MAX(-700,(Examples!$D$14*$A44-Examples!$D$15)/Examples!$D$16))))))+Examples!$D$17*$A44^2)</f>
        <v>-1666402.7684141705</v>
      </c>
      <c r="E44" s="33">
        <f>(Examples!$D$6*Examples!$D$7*Examples!$D$8*EXP(-Examples!$D$9*$A44)*(1-(Examples!$D$12*(1-EXP(-Examples!$D$13*$A44))/(1+EXP(MIN(700,MAX(-700,(Examples!$D$14*$A44-Examples!$D$15)/Examples!$D$16))))))+Examples!$D$17*$A44^2)</f>
        <v>4147502.7684141705</v>
      </c>
      <c r="F44" s="33">
        <f>Examples!$E$18-(Examples!$E$10+Examples!$E$11)*$A44-(Examples!$E$6*Examples!$E$7*Examples!$E$8*EXP(-Examples!$E$9*$A44)*(1-(Examples!$E$12*(1-EXP(-Examples!$E$13*$A44))/(1+EXP(MIN(700,MAX(-700,(Examples!$E$14*$A44-Examples!$E$15)/Examples!$E$16))))))+Examples!$E$17*$A44^2)</f>
        <v>1237211.7135357088</v>
      </c>
      <c r="G44" s="33">
        <f>(Examples!$E$6*Examples!$E$7*Examples!$E$8*EXP(-Examples!$E$9*$A44)*(1-(Examples!$E$12*(1-EXP(-Examples!$E$13*$A44))/(1+EXP(MIN(700,MAX(-700,(Examples!$E$14*$A44-Examples!$E$15)/Examples!$E$16))))))+Examples!$E$17*$A44^2)</f>
        <v>1727088.2864642912</v>
      </c>
      <c r="H44" s="33">
        <f>Examples!$F$18-(Examples!$F$10+Examples!$F$11)*$A44-(Examples!$F$6*Examples!$F$7*Examples!$F$8*EXP(-Examples!$F$9*$A44)*(1-(Examples!$F$12*(1-EXP(-Examples!$F$13*$A44))/(1+EXP(MIN(700,MAX(-700,(Examples!$F$14*$A44-Examples!$F$15)/Examples!$F$16))))))+Examples!$F$17*$A44^2)</f>
        <v>123355.88313826962</v>
      </c>
      <c r="I44" s="33">
        <f>(Examples!$F$6*Examples!$F$7*Examples!$F$8*EXP(-Examples!$F$9*$A44)*(1-(Examples!$F$12*(1-EXP(-Examples!$F$13*$A44))/(1+EXP(MIN(700,MAX(-700,(Examples!$F$14*$A44-Examples!$F$15)/Examples!$F$16))))))+Examples!$F$17*$A44^2)</f>
        <v>18244.116861730381</v>
      </c>
      <c r="J44" s="33">
        <f>Examples!$G$18-(Examples!$G$10+Examples!$G$11)*$A44-(Examples!$G$6*Examples!$G$7*Examples!$G$8*EXP(-Examples!$G$9*$A44)*(1-(Examples!$G$12*(1-EXP(-Examples!$G$13*$A44))/(1+EXP(MIN(700,MAX(-700,(Examples!$G$14*$A44-Examples!$G$15)/Examples!$G$16))))))+Examples!$G$17*$A44^2)</f>
        <v>-2744.2621428661514</v>
      </c>
      <c r="K44" s="33">
        <f>(Examples!$G$6*Examples!$G$7*Examples!$G$8*EXP(-Examples!$G$9*$A44)*(1-(Examples!$G$12*(1-EXP(-Examples!$G$13*$A44))/(1+EXP(MIN(700,MAX(-700,(Examples!$G$14*$A44-Examples!$G$15)/Examples!$G$16))))))+Examples!$G$17*$A44^2)</f>
        <v>1481744.2621428662</v>
      </c>
      <c r="L44" s="33">
        <f>Examples!$H$18-(Examples!$H$10+Examples!$H$11)*$A44-(Examples!$H$6*Examples!$H$7*Examples!$H$8*EXP(-Examples!$H$9*$A44)*(1-(Examples!$H$12*(1-EXP(-Examples!$H$13*$A44))/(1+EXP(MIN(700,MAX(-700,(Examples!$H$14*$A44-Examples!$H$15)/Examples!$H$16))))))+Examples!$H$17*$A44^2)</f>
        <v>12299.109608061379</v>
      </c>
      <c r="M44" s="33">
        <f>(Examples!$H$6*Examples!$H$7*Examples!$H$8*EXP(-Examples!$H$9*$A44)*(1-(Examples!$H$12*(1-EXP(-Examples!$H$13*$A44))/(1+EXP(MIN(700,MAX(-700,(Examples!$H$14*$A44-Examples!$H$15)/Examples!$H$16))))))+Examples!$H$17*$A44^2)</f>
        <v>1466700.8903919386</v>
      </c>
    </row>
    <row r="45" spans="1:13" x14ac:dyDescent="0.25">
      <c r="A45" s="4">
        <f>(45-2)/100</f>
        <v>0.43</v>
      </c>
      <c r="B45" s="33">
        <f>Examples!$C$18-(Examples!$C$10+Examples!$C$11)*$A45-(Examples!$C$6*Examples!$C$7*Examples!$C$8*EXP(-Examples!$C$9*$A45)*(1-(Examples!$C$12*(1-EXP(-Examples!$C$13*$A45))/(1+EXP(MIN(700,MAX(-700,(Examples!$C$14*$A45-Examples!$C$15)/Examples!$C$16))))))+Examples!$C$17*$A45^2)</f>
        <v>103997.21154941688</v>
      </c>
      <c r="C45" s="33">
        <f>(Examples!$C$6*Examples!$C$7*Examples!$C$8*EXP(-Examples!$C$9*$A45)*(1-(Examples!$C$12*(1-EXP(-Examples!$C$13*$A45))/(1+EXP(MIN(700,MAX(-700,(Examples!$C$14*$A45-Examples!$C$15)/Examples!$C$16))))))+Examples!$C$17*$A45^2)</f>
        <v>480952.78845058312</v>
      </c>
      <c r="D45" s="33">
        <f>Examples!$D$18-(Examples!$D$10+Examples!$D$11)*$A45-(Examples!$D$6*Examples!$D$7*Examples!$D$8*EXP(-Examples!$D$9*$A45)*(1-(Examples!$D$12*(1-EXP(-Examples!$D$13*$A45))/(1+EXP(MIN(700,MAX(-700,(Examples!$D$14*$A45-Examples!$D$15)/Examples!$D$16))))))+Examples!$D$17*$A45^2)</f>
        <v>-1631366.9840741046</v>
      </c>
      <c r="E45" s="33">
        <f>(Examples!$D$6*Examples!$D$7*Examples!$D$8*EXP(-Examples!$D$9*$A45)*(1-(Examples!$D$12*(1-EXP(-Examples!$D$13*$A45))/(1+EXP(MIN(700,MAX(-700,(Examples!$D$14*$A45-Examples!$D$15)/Examples!$D$16))))))+Examples!$D$17*$A45^2)</f>
        <v>4112016.9840741046</v>
      </c>
      <c r="F45" s="33">
        <f>Examples!$E$18-(Examples!$E$10+Examples!$E$11)*$A45-(Examples!$E$6*Examples!$E$7*Examples!$E$8*EXP(-Examples!$E$9*$A45)*(1-(Examples!$E$12*(1-EXP(-Examples!$E$13*$A45))/(1+EXP(MIN(700,MAX(-700,(Examples!$E$14*$A45-Examples!$E$15)/Examples!$E$16))))))+Examples!$E$17*$A45^2)</f>
        <v>1254235.750764868</v>
      </c>
      <c r="G45" s="33">
        <f>(Examples!$E$6*Examples!$E$7*Examples!$E$8*EXP(-Examples!$E$9*$A45)*(1-(Examples!$E$12*(1-EXP(-Examples!$E$13*$A45))/(1+EXP(MIN(700,MAX(-700,(Examples!$E$14*$A45-Examples!$E$15)/Examples!$E$16))))))+Examples!$E$17*$A45^2)</f>
        <v>1709214.249235132</v>
      </c>
      <c r="H45" s="33">
        <f>Examples!$F$18-(Examples!$F$10+Examples!$F$11)*$A45-(Examples!$F$6*Examples!$F$7*Examples!$F$8*EXP(-Examples!$F$9*$A45)*(1-(Examples!$F$12*(1-EXP(-Examples!$F$13*$A45))/(1+EXP(MIN(700,MAX(-700,(Examples!$F$14*$A45-Examples!$F$15)/Examples!$F$16))))))+Examples!$F$17*$A45^2)</f>
        <v>123045.05668903823</v>
      </c>
      <c r="I45" s="33">
        <f>(Examples!$F$6*Examples!$F$7*Examples!$F$8*EXP(-Examples!$F$9*$A45)*(1-(Examples!$F$12*(1-EXP(-Examples!$F$13*$A45))/(1+EXP(MIN(700,MAX(-700,(Examples!$F$14*$A45-Examples!$F$15)/Examples!$F$16))))))+Examples!$F$17*$A45^2)</f>
        <v>18354.943310961764</v>
      </c>
      <c r="J45" s="33">
        <f>Examples!$G$18-(Examples!$G$10+Examples!$G$11)*$A45-(Examples!$G$6*Examples!$G$7*Examples!$G$8*EXP(-Examples!$G$9*$A45)*(1-(Examples!$G$12*(1-EXP(-Examples!$G$13*$A45))/(1+EXP(MIN(700,MAX(-700,(Examples!$G$14*$A45-Examples!$G$15)/Examples!$G$16))))))+Examples!$G$17*$A45^2)</f>
        <v>6899.842569922097</v>
      </c>
      <c r="K45" s="33">
        <f>(Examples!$G$6*Examples!$G$7*Examples!$G$8*EXP(-Examples!$G$9*$A45)*(1-(Examples!$G$12*(1-EXP(-Examples!$G$13*$A45))/(1+EXP(MIN(700,MAX(-700,(Examples!$G$14*$A45-Examples!$G$15)/Examples!$G$16))))))+Examples!$G$17*$A45^2)</f>
        <v>1471600.1574300779</v>
      </c>
      <c r="L45" s="33">
        <f>Examples!$H$18-(Examples!$H$10+Examples!$H$11)*$A45-(Examples!$H$6*Examples!$H$7*Examples!$H$8*EXP(-Examples!$H$9*$A45)*(1-(Examples!$H$12*(1-EXP(-Examples!$H$13*$A45))/(1+EXP(MIN(700,MAX(-700,(Examples!$H$14*$A45-Examples!$H$15)/Examples!$H$16))))))+Examples!$H$17*$A45^2)</f>
        <v>22397.099033354782</v>
      </c>
      <c r="M45" s="33">
        <f>(Examples!$H$6*Examples!$H$7*Examples!$H$8*EXP(-Examples!$H$9*$A45)*(1-(Examples!$H$12*(1-EXP(-Examples!$H$13*$A45))/(1+EXP(MIN(700,MAX(-700,(Examples!$H$14*$A45-Examples!$H$15)/Examples!$H$16))))))+Examples!$H$17*$A45^2)</f>
        <v>1456102.9009666452</v>
      </c>
    </row>
    <row r="46" spans="1:13" x14ac:dyDescent="0.25">
      <c r="A46" s="4">
        <f>(46-2)/100</f>
        <v>0.44</v>
      </c>
      <c r="B46" s="33">
        <f>Examples!$C$18-(Examples!$C$10+Examples!$C$11)*$A46-(Examples!$C$6*Examples!$C$7*Examples!$C$8*EXP(-Examples!$C$9*$A46)*(1-(Examples!$C$12*(1-EXP(-Examples!$C$13*$A46))/(1+EXP(MIN(700,MAX(-700,(Examples!$C$14*$A46-Examples!$C$15)/Examples!$C$16))))))+Examples!$C$17*$A46^2)</f>
        <v>105965.5126272036</v>
      </c>
      <c r="C46" s="33">
        <f>(Examples!$C$6*Examples!$C$7*Examples!$C$8*EXP(-Examples!$C$9*$A46)*(1-(Examples!$C$12*(1-EXP(-Examples!$C$13*$A46))/(1+EXP(MIN(700,MAX(-700,(Examples!$C$14*$A46-Examples!$C$15)/Examples!$C$16))))))+Examples!$C$17*$A46^2)</f>
        <v>478634.4873727964</v>
      </c>
      <c r="D46" s="33">
        <f>Examples!$D$18-(Examples!$D$10+Examples!$D$11)*$A46-(Examples!$D$6*Examples!$D$7*Examples!$D$8*EXP(-Examples!$D$9*$A46)*(1-(Examples!$D$12*(1-EXP(-Examples!$D$13*$A46))/(1+EXP(MIN(700,MAX(-700,(Examples!$D$14*$A46-Examples!$D$15)/Examples!$D$16))))))+Examples!$D$17*$A46^2)</f>
        <v>-1596676.1372330687</v>
      </c>
      <c r="E46" s="33">
        <f>(Examples!$D$6*Examples!$D$7*Examples!$D$8*EXP(-Examples!$D$9*$A46)*(1-(Examples!$D$12*(1-EXP(-Examples!$D$13*$A46))/(1+EXP(MIN(700,MAX(-700,(Examples!$D$14*$A46-Examples!$D$15)/Examples!$D$16))))))+Examples!$D$17*$A46^2)</f>
        <v>4076876.1372330687</v>
      </c>
      <c r="F46" s="33">
        <f>Examples!$E$18-(Examples!$E$10+Examples!$E$11)*$A46-(Examples!$E$6*Examples!$E$7*Examples!$E$8*EXP(-Examples!$E$9*$A46)*(1-(Examples!$E$12*(1-EXP(-Examples!$E$13*$A46))/(1+EXP(MIN(700,MAX(-700,(Examples!$E$14*$A46-Examples!$E$15)/Examples!$E$16))))))+Examples!$E$17*$A46^2)</f>
        <v>1271054.0177101369</v>
      </c>
      <c r="G46" s="33">
        <f>(Examples!$E$6*Examples!$E$7*Examples!$E$8*EXP(-Examples!$E$9*$A46)*(1-(Examples!$E$12*(1-EXP(-Examples!$E$13*$A46))/(1+EXP(MIN(700,MAX(-700,(Examples!$E$14*$A46-Examples!$E$15)/Examples!$E$16))))))+Examples!$E$17*$A46^2)</f>
        <v>1691545.9822898631</v>
      </c>
      <c r="H46" s="33">
        <f>Examples!$F$18-(Examples!$F$10+Examples!$F$11)*$A46-(Examples!$F$6*Examples!$F$7*Examples!$F$8*EXP(-Examples!$F$9*$A46)*(1-(Examples!$F$12*(1-EXP(-Examples!$F$13*$A46))/(1+EXP(MIN(700,MAX(-700,(Examples!$F$14*$A46-Examples!$F$15)/Examples!$F$16))))))+Examples!$F$17*$A46^2)</f>
        <v>122729.89866038748</v>
      </c>
      <c r="I46" s="33">
        <f>(Examples!$F$6*Examples!$F$7*Examples!$F$8*EXP(-Examples!$F$9*$A46)*(1-(Examples!$F$12*(1-EXP(-Examples!$F$13*$A46))/(1+EXP(MIN(700,MAX(-700,(Examples!$F$14*$A46-Examples!$F$15)/Examples!$F$16))))))+Examples!$F$17*$A46^2)</f>
        <v>18470.10133961252</v>
      </c>
      <c r="J46" s="33">
        <f>Examples!$G$18-(Examples!$G$10+Examples!$G$11)*$A46-(Examples!$G$6*Examples!$G$7*Examples!$G$8*EXP(-Examples!$G$9*$A46)*(1-(Examples!$G$12*(1-EXP(-Examples!$G$13*$A46))/(1+EXP(MIN(700,MAX(-700,(Examples!$G$14*$A46-Examples!$G$15)/Examples!$G$16))))))+Examples!$G$17*$A46^2)</f>
        <v>16452.463418594329</v>
      </c>
      <c r="K46" s="33">
        <f>(Examples!$G$6*Examples!$G$7*Examples!$G$8*EXP(-Examples!$G$9*$A46)*(1-(Examples!$G$12*(1-EXP(-Examples!$G$13*$A46))/(1+EXP(MIN(700,MAX(-700,(Examples!$G$14*$A46-Examples!$G$15)/Examples!$G$16))))))+Examples!$G$17*$A46^2)</f>
        <v>1461547.5365814057</v>
      </c>
      <c r="L46" s="33">
        <f>Examples!$H$18-(Examples!$H$10+Examples!$H$11)*$A46-(Examples!$H$6*Examples!$H$7*Examples!$H$8*EXP(-Examples!$H$9*$A46)*(1-(Examples!$H$12*(1-EXP(-Examples!$H$13*$A46))/(1+EXP(MIN(700,MAX(-700,(Examples!$H$14*$A46-Examples!$H$15)/Examples!$H$16))))))+Examples!$H$17*$A46^2)</f>
        <v>32408.395774265751</v>
      </c>
      <c r="M46" s="33">
        <f>(Examples!$H$6*Examples!$H$7*Examples!$H$8*EXP(-Examples!$H$9*$A46)*(1-(Examples!$H$12*(1-EXP(-Examples!$H$13*$A46))/(1+EXP(MIN(700,MAX(-700,(Examples!$H$14*$A46-Examples!$H$15)/Examples!$H$16))))))+Examples!$H$17*$A46^2)</f>
        <v>1445591.6042257342</v>
      </c>
    </row>
    <row r="47" spans="1:13" x14ac:dyDescent="0.25">
      <c r="A47" s="4">
        <f>(47-2)/100</f>
        <v>0.45</v>
      </c>
      <c r="B47" s="33">
        <f>Examples!$C$18-(Examples!$C$10+Examples!$C$11)*$A47-(Examples!$C$6*Examples!$C$7*Examples!$C$8*EXP(-Examples!$C$9*$A47)*(1-(Examples!$C$12*(1-EXP(-Examples!$C$13*$A47))/(1+EXP(MIN(700,MAX(-700,(Examples!$C$14*$A47-Examples!$C$15)/Examples!$C$16))))))+Examples!$C$17*$A47^2)</f>
        <v>107914.25819990167</v>
      </c>
      <c r="C47" s="33">
        <f>(Examples!$C$6*Examples!$C$7*Examples!$C$8*EXP(-Examples!$C$9*$A47)*(1-(Examples!$C$12*(1-EXP(-Examples!$C$13*$A47))/(1+EXP(MIN(700,MAX(-700,(Examples!$C$14*$A47-Examples!$C$15)/Examples!$C$16))))))+Examples!$C$17*$A47^2)</f>
        <v>476335.74180009833</v>
      </c>
      <c r="D47" s="33">
        <f>Examples!$D$18-(Examples!$D$10+Examples!$D$11)*$A47-(Examples!$D$6*Examples!$D$7*Examples!$D$8*EXP(-Examples!$D$9*$A47)*(1-(Examples!$D$12*(1-EXP(-Examples!$D$13*$A47))/(1+EXP(MIN(700,MAX(-700,(Examples!$D$14*$A47-Examples!$D$15)/Examples!$D$16))))))+Examples!$D$17*$A47^2)</f>
        <v>-1562326.8421734245</v>
      </c>
      <c r="E47" s="33">
        <f>(Examples!$D$6*Examples!$D$7*Examples!$D$8*EXP(-Examples!$D$9*$A47)*(1-(Examples!$D$12*(1-EXP(-Examples!$D$13*$A47))/(1+EXP(MIN(700,MAX(-700,(Examples!$D$14*$A47-Examples!$D$15)/Examples!$D$16))))))+Examples!$D$17*$A47^2)</f>
        <v>4042076.8421734245</v>
      </c>
      <c r="F47" s="33">
        <f>Examples!$E$18-(Examples!$E$10+Examples!$E$11)*$A47-(Examples!$E$6*Examples!$E$7*Examples!$E$8*EXP(-Examples!$E$9*$A47)*(1-(Examples!$E$12*(1-EXP(-Examples!$E$13*$A47))/(1+EXP(MIN(700,MAX(-700,(Examples!$E$14*$A47-Examples!$E$15)/Examples!$E$16))))))+Examples!$E$17*$A47^2)</f>
        <v>1287668.9060304903</v>
      </c>
      <c r="G47" s="33">
        <f>(Examples!$E$6*Examples!$E$7*Examples!$E$8*EXP(-Examples!$E$9*$A47)*(1-(Examples!$E$12*(1-EXP(-Examples!$E$13*$A47))/(1+EXP(MIN(700,MAX(-700,(Examples!$E$14*$A47-Examples!$E$15)/Examples!$E$16))))))+Examples!$E$17*$A47^2)</f>
        <v>1674081.0939695097</v>
      </c>
      <c r="H47" s="33">
        <f>Examples!$F$18-(Examples!$F$10+Examples!$F$11)*$A47-(Examples!$F$6*Examples!$F$7*Examples!$F$8*EXP(-Examples!$F$9*$A47)*(1-(Examples!$F$12*(1-EXP(-Examples!$F$13*$A47))/(1+EXP(MIN(700,MAX(-700,(Examples!$F$14*$A47-Examples!$F$15)/Examples!$F$16))))))+Examples!$F$17*$A47^2)</f>
        <v>122410.40816773921</v>
      </c>
      <c r="I47" s="33">
        <f>(Examples!$F$6*Examples!$F$7*Examples!$F$8*EXP(-Examples!$F$9*$A47)*(1-(Examples!$F$12*(1-EXP(-Examples!$F$13*$A47))/(1+EXP(MIN(700,MAX(-700,(Examples!$F$14*$A47-Examples!$F$15)/Examples!$F$16))))))+Examples!$F$17*$A47^2)</f>
        <v>18589.59183226079</v>
      </c>
      <c r="J47" s="33">
        <f>Examples!$G$18-(Examples!$G$10+Examples!$G$11)*$A47-(Examples!$G$6*Examples!$G$7*Examples!$G$8*EXP(-Examples!$G$9*$A47)*(1-(Examples!$G$12*(1-EXP(-Examples!$G$13*$A47))/(1+EXP(MIN(700,MAX(-700,(Examples!$G$14*$A47-Examples!$G$15)/Examples!$G$16))))))+Examples!$G$17*$A47^2)</f>
        <v>25914.253875734285</v>
      </c>
      <c r="K47" s="33">
        <f>(Examples!$G$6*Examples!$G$7*Examples!$G$8*EXP(-Examples!$G$9*$A47)*(1-(Examples!$G$12*(1-EXP(-Examples!$G$13*$A47))/(1+EXP(MIN(700,MAX(-700,(Examples!$G$14*$A47-Examples!$G$15)/Examples!$G$16))))))+Examples!$G$17*$A47^2)</f>
        <v>1451585.7461242657</v>
      </c>
      <c r="L47" s="33">
        <f>Examples!$H$18-(Examples!$H$10+Examples!$H$11)*$A47-(Examples!$H$6*Examples!$H$7*Examples!$H$8*EXP(-Examples!$H$9*$A47)*(1-(Examples!$H$12*(1-EXP(-Examples!$H$13*$A47))/(1+EXP(MIN(700,MAX(-700,(Examples!$H$14*$A47-Examples!$H$15)/Examples!$H$16))))))+Examples!$H$17*$A47^2)</f>
        <v>42333.670091784094</v>
      </c>
      <c r="M47" s="33">
        <f>(Examples!$H$6*Examples!$H$7*Examples!$H$8*EXP(-Examples!$H$9*$A47)*(1-(Examples!$H$12*(1-EXP(-Examples!$H$13*$A47))/(1+EXP(MIN(700,MAX(-700,(Examples!$H$14*$A47-Examples!$H$15)/Examples!$H$16))))))+Examples!$H$17*$A47^2)</f>
        <v>1435166.3299082159</v>
      </c>
    </row>
    <row r="48" spans="1:13" x14ac:dyDescent="0.25">
      <c r="A48" s="4">
        <f>(48-2)/100</f>
        <v>0.46</v>
      </c>
      <c r="B48" s="33">
        <f>Examples!$C$18-(Examples!$C$10+Examples!$C$11)*$A48-(Examples!$C$6*Examples!$C$7*Examples!$C$8*EXP(-Examples!$C$9*$A48)*(1-(Examples!$C$12*(1-EXP(-Examples!$C$13*$A48))/(1+EXP(MIN(700,MAX(-700,(Examples!$C$14*$A48-Examples!$C$15)/Examples!$C$16))))))+Examples!$C$17*$A48^2)</f>
        <v>109843.48356992961</v>
      </c>
      <c r="C48" s="33">
        <f>(Examples!$C$6*Examples!$C$7*Examples!$C$8*EXP(-Examples!$C$9*$A48)*(1-(Examples!$C$12*(1-EXP(-Examples!$C$13*$A48))/(1+EXP(MIN(700,MAX(-700,(Examples!$C$14*$A48-Examples!$C$15)/Examples!$C$16))))))+Examples!$C$17*$A48^2)</f>
        <v>474056.51643007039</v>
      </c>
      <c r="D48" s="33">
        <f>Examples!$D$18-(Examples!$D$10+Examples!$D$11)*$A48-(Examples!$D$6*Examples!$D$7*Examples!$D$8*EXP(-Examples!$D$9*$A48)*(1-(Examples!$D$12*(1-EXP(-Examples!$D$13*$A48))/(1+EXP(MIN(700,MAX(-700,(Examples!$D$14*$A48-Examples!$D$15)/Examples!$D$16))))))+Examples!$D$17*$A48^2)</f>
        <v>-1528315.7483176482</v>
      </c>
      <c r="E48" s="33">
        <f>(Examples!$D$6*Examples!$D$7*Examples!$D$8*EXP(-Examples!$D$9*$A48)*(1-(Examples!$D$12*(1-EXP(-Examples!$D$13*$A48))/(1+EXP(MIN(700,MAX(-700,(Examples!$D$14*$A48-Examples!$D$15)/Examples!$D$16))))))+Examples!$D$17*$A48^2)</f>
        <v>4007615.7483176482</v>
      </c>
      <c r="F48" s="33">
        <f>Examples!$E$18-(Examples!$E$10+Examples!$E$11)*$A48-(Examples!$E$6*Examples!$E$7*Examples!$E$8*EXP(-Examples!$E$9*$A48)*(1-(Examples!$E$12*(1-EXP(-Examples!$E$13*$A48))/(1+EXP(MIN(700,MAX(-700,(Examples!$E$14*$A48-Examples!$E$15)/Examples!$E$16))))))+Examples!$E$17*$A48^2)</f>
        <v>1304082.7791335969</v>
      </c>
      <c r="G48" s="33">
        <f>(Examples!$E$6*Examples!$E$7*Examples!$E$8*EXP(-Examples!$E$9*$A48)*(1-(Examples!$E$12*(1-EXP(-Examples!$E$13*$A48))/(1+EXP(MIN(700,MAX(-700,(Examples!$E$14*$A48-Examples!$E$15)/Examples!$E$16))))))+Examples!$E$17*$A48^2)</f>
        <v>1656817.2208664031</v>
      </c>
      <c r="H48" s="33">
        <f>Examples!$F$18-(Examples!$F$10+Examples!$F$11)*$A48-(Examples!$F$6*Examples!$F$7*Examples!$F$8*EXP(-Examples!$F$9*$A48)*(1-(Examples!$F$12*(1-EXP(-Examples!$F$13*$A48))/(1+EXP(MIN(700,MAX(-700,(Examples!$F$14*$A48-Examples!$F$15)/Examples!$F$16))))))+Examples!$F$17*$A48^2)</f>
        <v>122086.58423571927</v>
      </c>
      <c r="I48" s="33">
        <f>(Examples!$F$6*Examples!$F$7*Examples!$F$8*EXP(-Examples!$F$9*$A48)*(1-(Examples!$F$12*(1-EXP(-Examples!$F$13*$A48))/(1+EXP(MIN(700,MAX(-700,(Examples!$F$14*$A48-Examples!$F$15)/Examples!$F$16))))))+Examples!$F$17*$A48^2)</f>
        <v>18713.415764280729</v>
      </c>
      <c r="J48" s="33">
        <f>Examples!$G$18-(Examples!$G$10+Examples!$G$11)*$A48-(Examples!$G$6*Examples!$G$7*Examples!$G$8*EXP(-Examples!$G$9*$A48)*(1-(Examples!$G$12*(1-EXP(-Examples!$G$13*$A48))/(1+EXP(MIN(700,MAX(-700,(Examples!$G$14*$A48-Examples!$G$15)/Examples!$G$16))))))+Examples!$G$17*$A48^2)</f>
        <v>35285.861667082878</v>
      </c>
      <c r="K48" s="33">
        <f>(Examples!$G$6*Examples!$G$7*Examples!$G$8*EXP(-Examples!$G$9*$A48)*(1-(Examples!$G$12*(1-EXP(-Examples!$G$13*$A48))/(1+EXP(MIN(700,MAX(-700,(Examples!$G$14*$A48-Examples!$G$15)/Examples!$G$16))))))+Examples!$G$17*$A48^2)</f>
        <v>1441714.1383329171</v>
      </c>
      <c r="L48" s="33">
        <f>Examples!$H$18-(Examples!$H$10+Examples!$H$11)*$A48-(Examples!$H$6*Examples!$H$7*Examples!$H$8*EXP(-Examples!$H$9*$A48)*(1-(Examples!$H$12*(1-EXP(-Examples!$H$13*$A48))/(1+EXP(MIN(700,MAX(-700,(Examples!$H$14*$A48-Examples!$H$15)/Examples!$H$16))))))+Examples!$H$17*$A48^2)</f>
        <v>52173.585683454294</v>
      </c>
      <c r="M48" s="33">
        <f>(Examples!$H$6*Examples!$H$7*Examples!$H$8*EXP(-Examples!$H$9*$A48)*(1-(Examples!$H$12*(1-EXP(-Examples!$H$13*$A48))/(1+EXP(MIN(700,MAX(-700,(Examples!$H$14*$A48-Examples!$H$15)/Examples!$H$16))))))+Examples!$H$17*$A48^2)</f>
        <v>1424826.4143165457</v>
      </c>
    </row>
    <row r="49" spans="1:13" x14ac:dyDescent="0.25">
      <c r="A49" s="4">
        <f>(49-2)/100</f>
        <v>0.47</v>
      </c>
      <c r="B49" s="33">
        <f>Examples!$C$18-(Examples!$C$10+Examples!$C$11)*$A49-(Examples!$C$6*Examples!$C$7*Examples!$C$8*EXP(-Examples!$C$9*$A49)*(1-(Examples!$C$12*(1-EXP(-Examples!$C$13*$A49))/(1+EXP(MIN(700,MAX(-700,(Examples!$C$14*$A49-Examples!$C$15)/Examples!$C$16))))))+Examples!$C$17*$A49^2)</f>
        <v>111753.22147824761</v>
      </c>
      <c r="C49" s="33">
        <f>(Examples!$C$6*Examples!$C$7*Examples!$C$8*EXP(-Examples!$C$9*$A49)*(1-(Examples!$C$12*(1-EXP(-Examples!$C$13*$A49))/(1+EXP(MIN(700,MAX(-700,(Examples!$C$14*$A49-Examples!$C$15)/Examples!$C$16))))))+Examples!$C$17*$A49^2)</f>
        <v>471796.77852175239</v>
      </c>
      <c r="D49" s="33">
        <f>Examples!$D$18-(Examples!$D$10+Examples!$D$11)*$A49-(Examples!$D$6*Examples!$D$7*Examples!$D$8*EXP(-Examples!$D$9*$A49)*(1-(Examples!$D$12*(1-EXP(-Examples!$D$13*$A49))/(1+EXP(MIN(700,MAX(-700,(Examples!$D$14*$A49-Examples!$D$15)/Examples!$D$16))))))+Examples!$D$17*$A49^2)</f>
        <v>-1494639.5398663012</v>
      </c>
      <c r="E49" s="33">
        <f>(Examples!$D$6*Examples!$D$7*Examples!$D$8*EXP(-Examples!$D$9*$A49)*(1-(Examples!$D$12*(1-EXP(-Examples!$D$13*$A49))/(1+EXP(MIN(700,MAX(-700,(Examples!$D$14*$A49-Examples!$D$15)/Examples!$D$16))))))+Examples!$D$17*$A49^2)</f>
        <v>3973489.5398663012</v>
      </c>
      <c r="F49" s="33">
        <f>Examples!$E$18-(Examples!$E$10+Examples!$E$11)*$A49-(Examples!$E$6*Examples!$E$7*Examples!$E$8*EXP(-Examples!$E$9*$A49)*(1-(Examples!$E$12*(1-EXP(-Examples!$E$13*$A49))/(1+EXP(MIN(700,MAX(-700,(Examples!$E$14*$A49-Examples!$E$15)/Examples!$E$16))))))+Examples!$E$17*$A49^2)</f>
        <v>1320297.9725117262</v>
      </c>
      <c r="G49" s="33">
        <f>(Examples!$E$6*Examples!$E$7*Examples!$E$8*EXP(-Examples!$E$9*$A49)*(1-(Examples!$E$12*(1-EXP(-Examples!$E$13*$A49))/(1+EXP(MIN(700,MAX(-700,(Examples!$E$14*$A49-Examples!$E$15)/Examples!$E$16))))))+Examples!$E$17*$A49^2)</f>
        <v>1639752.0274882738</v>
      </c>
      <c r="H49" s="33">
        <f>Examples!$F$18-(Examples!$F$10+Examples!$F$11)*$A49-(Examples!$F$6*Examples!$F$7*Examples!$F$8*EXP(-Examples!$F$9*$A49)*(1-(Examples!$F$12*(1-EXP(-Examples!$F$13*$A49))/(1+EXP(MIN(700,MAX(-700,(Examples!$F$14*$A49-Examples!$F$15)/Examples!$F$16))))))+Examples!$F$17*$A49^2)</f>
        <v>121758.42579620078</v>
      </c>
      <c r="I49" s="33">
        <f>(Examples!$F$6*Examples!$F$7*Examples!$F$8*EXP(-Examples!$F$9*$A49)*(1-(Examples!$F$12*(1-EXP(-Examples!$F$13*$A49))/(1+EXP(MIN(700,MAX(-700,(Examples!$F$14*$A49-Examples!$F$15)/Examples!$F$16))))))+Examples!$F$17*$A49^2)</f>
        <v>18841.574203799213</v>
      </c>
      <c r="J49" s="33">
        <f>Examples!$G$18-(Examples!$G$10+Examples!$G$11)*$A49-(Examples!$G$6*Examples!$G$7*Examples!$G$8*EXP(-Examples!$G$9*$A49)*(1-(Examples!$G$12*(1-EXP(-Examples!$G$13*$A49))/(1+EXP(MIN(700,MAX(-700,(Examples!$G$14*$A49-Examples!$G$15)/Examples!$G$16))))))+Examples!$G$17*$A49^2)</f>
        <v>44567.928829970304</v>
      </c>
      <c r="K49" s="33">
        <f>(Examples!$G$6*Examples!$G$7*Examples!$G$8*EXP(-Examples!$G$9*$A49)*(1-(Examples!$G$12*(1-EXP(-Examples!$G$13*$A49))/(1+EXP(MIN(700,MAX(-700,(Examples!$G$14*$A49-Examples!$G$15)/Examples!$G$16))))))+Examples!$G$17*$A49^2)</f>
        <v>1431932.0711700297</v>
      </c>
      <c r="L49" s="33">
        <f>Examples!$H$18-(Examples!$H$10+Examples!$H$11)*$A49-(Examples!$H$6*Examples!$H$7*Examples!$H$8*EXP(-Examples!$H$9*$A49)*(1-(Examples!$H$12*(1-EXP(-Examples!$H$13*$A49))/(1+EXP(MIN(700,MAX(-700,(Examples!$H$14*$A49-Examples!$H$15)/Examples!$H$16))))))+Examples!$H$17*$A49^2)</f>
        <v>61928.799708282342</v>
      </c>
      <c r="M49" s="33">
        <f>(Examples!$H$6*Examples!$H$7*Examples!$H$8*EXP(-Examples!$H$9*$A49)*(1-(Examples!$H$12*(1-EXP(-Examples!$H$13*$A49))/(1+EXP(MIN(700,MAX(-700,(Examples!$H$14*$A49-Examples!$H$15)/Examples!$H$16))))))+Examples!$H$17*$A49^2)</f>
        <v>1414571.2002917177</v>
      </c>
    </row>
    <row r="50" spans="1:13" x14ac:dyDescent="0.25">
      <c r="A50" s="4">
        <f>(50-2)/100</f>
        <v>0.48</v>
      </c>
      <c r="B50" s="33">
        <f>Examples!$C$18-(Examples!$C$10+Examples!$C$11)*$A50-(Examples!$C$6*Examples!$C$7*Examples!$C$8*EXP(-Examples!$C$9*$A50)*(1-(Examples!$C$12*(1-EXP(-Examples!$C$13*$A50))/(1+EXP(MIN(700,MAX(-700,(Examples!$C$14*$A50-Examples!$C$15)/Examples!$C$16))))))+Examples!$C$17*$A50^2)</f>
        <v>113643.50206117664</v>
      </c>
      <c r="C50" s="33">
        <f>(Examples!$C$6*Examples!$C$7*Examples!$C$8*EXP(-Examples!$C$9*$A50)*(1-(Examples!$C$12*(1-EXP(-Examples!$C$13*$A50))/(1+EXP(MIN(700,MAX(-700,(Examples!$C$14*$A50-Examples!$C$15)/Examples!$C$16))))))+Examples!$C$17*$A50^2)</f>
        <v>469556.49793882336</v>
      </c>
      <c r="D50" s="33">
        <f>Examples!$D$18-(Examples!$D$10+Examples!$D$11)*$A50-(Examples!$D$6*Examples!$D$7*Examples!$D$8*EXP(-Examples!$D$9*$A50)*(1-(Examples!$D$12*(1-EXP(-Examples!$D$13*$A50))/(1+EXP(MIN(700,MAX(-700,(Examples!$D$14*$A50-Examples!$D$15)/Examples!$D$16))))))+Examples!$D$17*$A50^2)</f>
        <v>-1461294.935439751</v>
      </c>
      <c r="E50" s="33">
        <f>(Examples!$D$6*Examples!$D$7*Examples!$D$8*EXP(-Examples!$D$9*$A50)*(1-(Examples!$D$12*(1-EXP(-Examples!$D$13*$A50))/(1+EXP(MIN(700,MAX(-700,(Examples!$D$14*$A50-Examples!$D$15)/Examples!$D$16))))))+Examples!$D$17*$A50^2)</f>
        <v>3939694.935439751</v>
      </c>
      <c r="F50" s="33">
        <f>Examples!$E$18-(Examples!$E$10+Examples!$E$11)*$A50-(Examples!$E$6*Examples!$E$7*Examples!$E$8*EXP(-Examples!$E$9*$A50)*(1-(Examples!$E$12*(1-EXP(-Examples!$E$13*$A50))/(1+EXP(MIN(700,MAX(-700,(Examples!$E$14*$A50-Examples!$E$15)/Examples!$E$16))))))+Examples!$E$17*$A50^2)</f>
        <v>1336316.7940736504</v>
      </c>
      <c r="G50" s="33">
        <f>(Examples!$E$6*Examples!$E$7*Examples!$E$8*EXP(-Examples!$E$9*$A50)*(1-(Examples!$E$12*(1-EXP(-Examples!$E$13*$A50))/(1+EXP(MIN(700,MAX(-700,(Examples!$E$14*$A50-Examples!$E$15)/Examples!$E$16))))))+Examples!$E$17*$A50^2)</f>
        <v>1622883.2059263496</v>
      </c>
      <c r="H50" s="33">
        <f>Examples!$F$18-(Examples!$F$10+Examples!$F$11)*$A50-(Examples!$F$6*Examples!$F$7*Examples!$F$8*EXP(-Examples!$F$9*$A50)*(1-(Examples!$F$12*(1-EXP(-Examples!$F$13*$A50))/(1+EXP(MIN(700,MAX(-700,(Examples!$F$14*$A50-Examples!$F$15)/Examples!$F$16))))))+Examples!$F$17*$A50^2)</f>
        <v>121425.93168638382</v>
      </c>
      <c r="I50" s="33">
        <f>(Examples!$F$6*Examples!$F$7*Examples!$F$8*EXP(-Examples!$F$9*$A50)*(1-(Examples!$F$12*(1-EXP(-Examples!$F$13*$A50))/(1+EXP(MIN(700,MAX(-700,(Examples!$F$14*$A50-Examples!$F$15)/Examples!$F$16))))))+Examples!$F$17*$A50^2)</f>
        <v>18974.068313616182</v>
      </c>
      <c r="J50" s="33">
        <f>Examples!$G$18-(Examples!$G$10+Examples!$G$11)*$A50-(Examples!$G$6*Examples!$G$7*Examples!$G$8*EXP(-Examples!$G$9*$A50)*(1-(Examples!$G$12*(1-EXP(-Examples!$G$13*$A50))/(1+EXP(MIN(700,MAX(-700,(Examples!$G$14*$A50-Examples!$G$15)/Examples!$G$16))))))+Examples!$G$17*$A50^2)</f>
        <v>53761.091771562817</v>
      </c>
      <c r="K50" s="33">
        <f>(Examples!$G$6*Examples!$G$7*Examples!$G$8*EXP(-Examples!$G$9*$A50)*(1-(Examples!$G$12*(1-EXP(-Examples!$G$13*$A50))/(1+EXP(MIN(700,MAX(-700,(Examples!$G$14*$A50-Examples!$G$15)/Examples!$G$16))))))+Examples!$G$17*$A50^2)</f>
        <v>1422238.9082284372</v>
      </c>
      <c r="L50" s="33">
        <f>Examples!$H$18-(Examples!$H$10+Examples!$H$11)*$A50-(Examples!$H$6*Examples!$H$7*Examples!$H$8*EXP(-Examples!$H$9*$A50)*(1-(Examples!$H$12*(1-EXP(-Examples!$H$13*$A50))/(1+EXP(MIN(700,MAX(-700,(Examples!$H$14*$A50-Examples!$H$15)/Examples!$H$16))))))+Examples!$H$17*$A50^2)</f>
        <v>71599.962810523808</v>
      </c>
      <c r="M50" s="33">
        <f>(Examples!$H$6*Examples!$H$7*Examples!$H$8*EXP(-Examples!$H$9*$A50)*(1-(Examples!$H$12*(1-EXP(-Examples!$H$13*$A50))/(1+EXP(MIN(700,MAX(-700,(Examples!$H$14*$A50-Examples!$H$15)/Examples!$H$16))))))+Examples!$H$17*$A50^2)</f>
        <v>1404400.0371894762</v>
      </c>
    </row>
    <row r="51" spans="1:13" x14ac:dyDescent="0.25">
      <c r="A51" s="4">
        <f>(51-2)/100</f>
        <v>0.49</v>
      </c>
      <c r="B51" s="33">
        <f>Examples!$C$18-(Examples!$C$10+Examples!$C$11)*$A51-(Examples!$C$6*Examples!$C$7*Examples!$C$8*EXP(-Examples!$C$9*$A51)*(1-(Examples!$C$12*(1-EXP(-Examples!$C$13*$A51))/(1+EXP(MIN(700,MAX(-700,(Examples!$C$14*$A51-Examples!$C$15)/Examples!$C$16))))))+Examples!$C$17*$A51^2)</f>
        <v>115514.35280681011</v>
      </c>
      <c r="C51" s="33">
        <f>(Examples!$C$6*Examples!$C$7*Examples!$C$8*EXP(-Examples!$C$9*$A51)*(1-(Examples!$C$12*(1-EXP(-Examples!$C$13*$A51))/(1+EXP(MIN(700,MAX(-700,(Examples!$C$14*$A51-Examples!$C$15)/Examples!$C$16))))))+Examples!$C$17*$A51^2)</f>
        <v>467335.64719318989</v>
      </c>
      <c r="D51" s="33">
        <f>Examples!$D$18-(Examples!$D$10+Examples!$D$11)*$A51-(Examples!$D$6*Examples!$D$7*Examples!$D$8*EXP(-Examples!$D$9*$A51)*(1-(Examples!$D$12*(1-EXP(-Examples!$D$13*$A51))/(1+EXP(MIN(700,MAX(-700,(Examples!$D$14*$A51-Examples!$D$15)/Examples!$D$16))))))+Examples!$D$17*$A51^2)</f>
        <v>-1428278.6877235826</v>
      </c>
      <c r="E51" s="33">
        <f>(Examples!$D$6*Examples!$D$7*Examples!$D$8*EXP(-Examples!$D$9*$A51)*(1-(Examples!$D$12*(1-EXP(-Examples!$D$13*$A51))/(1+EXP(MIN(700,MAX(-700,(Examples!$D$14*$A51-Examples!$D$15)/Examples!$D$16))))))+Examples!$D$17*$A51^2)</f>
        <v>3906228.6877235826</v>
      </c>
      <c r="F51" s="33">
        <f>Examples!$E$18-(Examples!$E$10+Examples!$E$11)*$A51-(Examples!$E$6*Examples!$E$7*Examples!$E$8*EXP(-Examples!$E$9*$A51)*(1-(Examples!$E$12*(1-EXP(-Examples!$E$13*$A51))/(1+EXP(MIN(700,MAX(-700,(Examples!$E$14*$A51-Examples!$E$15)/Examples!$E$16))))))+Examples!$E$17*$A51^2)</f>
        <v>1352141.5244726029</v>
      </c>
      <c r="G51" s="33">
        <f>(Examples!$E$6*Examples!$E$7*Examples!$E$8*EXP(-Examples!$E$9*$A51)*(1-(Examples!$E$12*(1-EXP(-Examples!$E$13*$A51))/(1+EXP(MIN(700,MAX(-700,(Examples!$E$14*$A51-Examples!$E$15)/Examples!$E$16))))))+Examples!$E$17*$A51^2)</f>
        <v>1606208.4755273971</v>
      </c>
      <c r="H51" s="33">
        <f>Examples!$F$18-(Examples!$F$10+Examples!$F$11)*$A51-(Examples!$F$6*Examples!$F$7*Examples!$F$8*EXP(-Examples!$F$9*$A51)*(1-(Examples!$F$12*(1-EXP(-Examples!$F$13*$A51))/(1+EXP(MIN(700,MAX(-700,(Examples!$F$14*$A51-Examples!$F$15)/Examples!$F$16))))))+Examples!$F$17*$A51^2)</f>
        <v>121089.10064692104</v>
      </c>
      <c r="I51" s="33">
        <f>(Examples!$F$6*Examples!$F$7*Examples!$F$8*EXP(-Examples!$F$9*$A51)*(1-(Examples!$F$12*(1-EXP(-Examples!$F$13*$A51))/(1+EXP(MIN(700,MAX(-700,(Examples!$F$14*$A51-Examples!$F$15)/Examples!$F$16))))))+Examples!$F$17*$A51^2)</f>
        <v>19110.899353078959</v>
      </c>
      <c r="J51" s="33">
        <f>Examples!$G$18-(Examples!$G$10+Examples!$G$11)*$A51-(Examples!$G$6*Examples!$G$7*Examples!$G$8*EXP(-Examples!$G$9*$A51)*(1-(Examples!$G$12*(1-EXP(-Examples!$G$13*$A51))/(1+EXP(MIN(700,MAX(-700,(Examples!$G$14*$A51-Examples!$G$15)/Examples!$G$16))))))+Examples!$G$17*$A51^2)</f>
        <v>62865.981326923706</v>
      </c>
      <c r="K51" s="33">
        <f>(Examples!$G$6*Examples!$G$7*Examples!$G$8*EXP(-Examples!$G$9*$A51)*(1-(Examples!$G$12*(1-EXP(-Examples!$G$13*$A51))/(1+EXP(MIN(700,MAX(-700,(Examples!$G$14*$A51-Examples!$G$15)/Examples!$G$16))))))+Examples!$G$17*$A51^2)</f>
        <v>1412634.0186730763</v>
      </c>
      <c r="L51" s="33">
        <f>Examples!$H$18-(Examples!$H$10+Examples!$H$11)*$A51-(Examples!$H$6*Examples!$H$7*Examples!$H$8*EXP(-Examples!$H$9*$A51)*(1-(Examples!$H$12*(1-EXP(-Examples!$H$13*$A51))/(1+EXP(MIN(700,MAX(-700,(Examples!$H$14*$A51-Examples!$H$15)/Examples!$H$16))))))+Examples!$H$17*$A51^2)</f>
        <v>81187.719142335467</v>
      </c>
      <c r="M51" s="33">
        <f>(Examples!$H$6*Examples!$H$7*Examples!$H$8*EXP(-Examples!$H$9*$A51)*(1-(Examples!$H$12*(1-EXP(-Examples!$H$13*$A51))/(1+EXP(MIN(700,MAX(-700,(Examples!$H$14*$A51-Examples!$H$15)/Examples!$H$16))))))+Examples!$H$17*$A51^2)</f>
        <v>1394312.2808576645</v>
      </c>
    </row>
    <row r="52" spans="1:13" x14ac:dyDescent="0.25">
      <c r="A52" s="4">
        <f>(52-2)/100</f>
        <v>0.5</v>
      </c>
      <c r="B52" s="33">
        <f>Examples!$C$18-(Examples!$C$10+Examples!$C$11)*$A52-(Examples!$C$6*Examples!$C$7*Examples!$C$8*EXP(-Examples!$C$9*$A52)*(1-(Examples!$C$12*(1-EXP(-Examples!$C$13*$A52))/(1+EXP(MIN(700,MAX(-700,(Examples!$C$14*$A52-Examples!$C$15)/Examples!$C$16))))))+Examples!$C$17*$A52^2)</f>
        <v>117365.79851108155</v>
      </c>
      <c r="C52" s="33">
        <f>(Examples!$C$6*Examples!$C$7*Examples!$C$8*EXP(-Examples!$C$9*$A52)*(1-(Examples!$C$12*(1-EXP(-Examples!$C$13*$A52))/(1+EXP(MIN(700,MAX(-700,(Examples!$C$14*$A52-Examples!$C$15)/Examples!$C$16))))))+Examples!$C$17*$A52^2)</f>
        <v>465134.20148891845</v>
      </c>
      <c r="D52" s="33">
        <f>Examples!$D$18-(Examples!$D$10+Examples!$D$11)*$A52-(Examples!$D$6*Examples!$D$7*Examples!$D$8*EXP(-Examples!$D$9*$A52)*(1-(Examples!$D$12*(1-EXP(-Examples!$D$13*$A52))/(1+EXP(MIN(700,MAX(-700,(Examples!$D$14*$A52-Examples!$D$15)/Examples!$D$16))))))+Examples!$D$17*$A52^2)</f>
        <v>-1395587.5831176792</v>
      </c>
      <c r="E52" s="33">
        <f>(Examples!$D$6*Examples!$D$7*Examples!$D$8*EXP(-Examples!$D$9*$A52)*(1-(Examples!$D$12*(1-EXP(-Examples!$D$13*$A52))/(1+EXP(MIN(700,MAX(-700,(Examples!$D$14*$A52-Examples!$D$15)/Examples!$D$16))))))+Examples!$D$17*$A52^2)</f>
        <v>3873087.5831176792</v>
      </c>
      <c r="F52" s="33">
        <f>Examples!$E$18-(Examples!$E$10+Examples!$E$11)*$A52-(Examples!$E$6*Examples!$E$7*Examples!$E$8*EXP(-Examples!$E$9*$A52)*(1-(Examples!$E$12*(1-EXP(-Examples!$E$13*$A52))/(1+EXP(MIN(700,MAX(-700,(Examples!$E$14*$A52-Examples!$E$15)/Examples!$E$16))))))+Examples!$E$17*$A52^2)</f>
        <v>1367774.4174303308</v>
      </c>
      <c r="G52" s="33">
        <f>(Examples!$E$6*Examples!$E$7*Examples!$E$8*EXP(-Examples!$E$9*$A52)*(1-(Examples!$E$12*(1-EXP(-Examples!$E$13*$A52))/(1+EXP(MIN(700,MAX(-700,(Examples!$E$14*$A52-Examples!$E$15)/Examples!$E$16))))))+Examples!$E$17*$A52^2)</f>
        <v>1589725.5825696692</v>
      </c>
      <c r="H52" s="33">
        <f>Examples!$F$18-(Examples!$F$10+Examples!$F$11)*$A52-(Examples!$F$6*Examples!$F$7*Examples!$F$8*EXP(-Examples!$F$9*$A52)*(1-(Examples!$F$12*(1-EXP(-Examples!$F$13*$A52))/(1+EXP(MIN(700,MAX(-700,(Examples!$F$14*$A52-Examples!$F$15)/Examples!$F$16))))))+Examples!$F$17*$A52^2)</f>
        <v>120747.93132010019</v>
      </c>
      <c r="I52" s="33">
        <f>(Examples!$F$6*Examples!$F$7*Examples!$F$8*EXP(-Examples!$F$9*$A52)*(1-(Examples!$F$12*(1-EXP(-Examples!$F$13*$A52))/(1+EXP(MIN(700,MAX(-700,(Examples!$F$14*$A52-Examples!$F$15)/Examples!$F$16))))))+Examples!$F$17*$A52^2)</f>
        <v>19252.068679899807</v>
      </c>
      <c r="J52" s="33">
        <f>Examples!$G$18-(Examples!$G$10+Examples!$G$11)*$A52-(Examples!$G$6*Examples!$G$7*Examples!$G$8*EXP(-Examples!$G$9*$A52)*(1-(Examples!$G$12*(1-EXP(-Examples!$G$13*$A52))/(1+EXP(MIN(700,MAX(-700,(Examples!$G$14*$A52-Examples!$G$15)/Examples!$G$16))))))+Examples!$G$17*$A52^2)</f>
        <v>71883.222816901049</v>
      </c>
      <c r="K52" s="33">
        <f>(Examples!$G$6*Examples!$G$7*Examples!$G$8*EXP(-Examples!$G$9*$A52)*(1-(Examples!$G$12*(1-EXP(-Examples!$G$13*$A52))/(1+EXP(MIN(700,MAX(-700,(Examples!$G$14*$A52-Examples!$G$15)/Examples!$G$16))))))+Examples!$G$17*$A52^2)</f>
        <v>1403116.777183099</v>
      </c>
      <c r="L52" s="33">
        <f>Examples!$H$18-(Examples!$H$10+Examples!$H$11)*$A52-(Examples!$H$6*Examples!$H$7*Examples!$H$8*EXP(-Examples!$H$9*$A52)*(1-(Examples!$H$12*(1-EXP(-Examples!$H$13*$A52))/(1+EXP(MIN(700,MAX(-700,(Examples!$H$14*$A52-Examples!$H$15)/Examples!$H$16))))))+Examples!$H$17*$A52^2)</f>
        <v>90692.70638527628</v>
      </c>
      <c r="M52" s="33">
        <f>(Examples!$H$6*Examples!$H$7*Examples!$H$8*EXP(-Examples!$H$9*$A52)*(1-(Examples!$H$12*(1-EXP(-Examples!$H$13*$A52))/(1+EXP(MIN(700,MAX(-700,(Examples!$H$14*$A52-Examples!$H$15)/Examples!$H$16))))))+Examples!$H$17*$A52^2)</f>
        <v>1384307.2936147237</v>
      </c>
    </row>
    <row r="53" spans="1:13" x14ac:dyDescent="0.25">
      <c r="A53" s="4">
        <f>(53-2)/100</f>
        <v>0.51</v>
      </c>
      <c r="B53" s="33">
        <f>Examples!$C$18-(Examples!$C$10+Examples!$C$11)*$A53-(Examples!$C$6*Examples!$C$7*Examples!$C$8*EXP(-Examples!$C$9*$A53)*(1-(Examples!$C$12*(1-EXP(-Examples!$C$13*$A53))/(1+EXP(MIN(700,MAX(-700,(Examples!$C$14*$A53-Examples!$C$15)/Examples!$C$16))))))+Examples!$C$17*$A53^2)</f>
        <v>119197.86123355787</v>
      </c>
      <c r="C53" s="33">
        <f>(Examples!$C$6*Examples!$C$7*Examples!$C$8*EXP(-Examples!$C$9*$A53)*(1-(Examples!$C$12*(1-EXP(-Examples!$C$13*$A53))/(1+EXP(MIN(700,MAX(-700,(Examples!$C$14*$A53-Examples!$C$15)/Examples!$C$16))))))+Examples!$C$17*$A53^2)</f>
        <v>462952.13876644213</v>
      </c>
      <c r="D53" s="33">
        <f>Examples!$D$18-(Examples!$D$10+Examples!$D$11)*$A53-(Examples!$D$6*Examples!$D$7*Examples!$D$8*EXP(-Examples!$D$9*$A53)*(1-(Examples!$D$12*(1-EXP(-Examples!$D$13*$A53))/(1+EXP(MIN(700,MAX(-700,(Examples!$D$14*$A53-Examples!$D$15)/Examples!$D$16))))))+Examples!$D$17*$A53^2)</f>
        <v>-1363218.4413889279</v>
      </c>
      <c r="E53" s="33">
        <f>(Examples!$D$6*Examples!$D$7*Examples!$D$8*EXP(-Examples!$D$9*$A53)*(1-(Examples!$D$12*(1-EXP(-Examples!$D$13*$A53))/(1+EXP(MIN(700,MAX(-700,(Examples!$D$14*$A53-Examples!$D$15)/Examples!$D$16))))))+Examples!$D$17*$A53^2)</f>
        <v>3840268.4413889279</v>
      </c>
      <c r="F53" s="33">
        <f>Examples!$E$18-(Examples!$E$10+Examples!$E$11)*$A53-(Examples!$E$6*Examples!$E$7*Examples!$E$8*EXP(-Examples!$E$9*$A53)*(1-(Examples!$E$12*(1-EXP(-Examples!$E$13*$A53))/(1+EXP(MIN(700,MAX(-700,(Examples!$E$14*$A53-Examples!$E$15)/Examples!$E$16))))))+Examples!$E$17*$A53^2)</f>
        <v>1383217.700057291</v>
      </c>
      <c r="G53" s="33">
        <f>(Examples!$E$6*Examples!$E$7*Examples!$E$8*EXP(-Examples!$E$9*$A53)*(1-(Examples!$E$12*(1-EXP(-Examples!$E$13*$A53))/(1+EXP(MIN(700,MAX(-700,(Examples!$E$14*$A53-Examples!$E$15)/Examples!$E$16))))))+Examples!$E$17*$A53^2)</f>
        <v>1573432.299942709</v>
      </c>
      <c r="H53" s="33">
        <f>Examples!$F$18-(Examples!$F$10+Examples!$F$11)*$A53-(Examples!$F$6*Examples!$F$7*Examples!$F$8*EXP(-Examples!$F$9*$A53)*(1-(Examples!$F$12*(1-EXP(-Examples!$F$13*$A53))/(1+EXP(MIN(700,MAX(-700,(Examples!$F$14*$A53-Examples!$F$15)/Examples!$F$16))))))+Examples!$F$17*$A53^2)</f>
        <v>120402.42224809458</v>
      </c>
      <c r="I53" s="33">
        <f>(Examples!$F$6*Examples!$F$7*Examples!$F$8*EXP(-Examples!$F$9*$A53)*(1-(Examples!$F$12*(1-EXP(-Examples!$F$13*$A53))/(1+EXP(MIN(700,MAX(-700,(Examples!$F$14*$A53-Examples!$F$15)/Examples!$F$16))))))+Examples!$F$17*$A53^2)</f>
        <v>19397.577751905421</v>
      </c>
      <c r="J53" s="33">
        <f>Examples!$G$18-(Examples!$G$10+Examples!$G$11)*$A53-(Examples!$G$6*Examples!$G$7*Examples!$G$8*EXP(-Examples!$G$9*$A53)*(1-(Examples!$G$12*(1-EXP(-Examples!$G$13*$A53))/(1+EXP(MIN(700,MAX(-700,(Examples!$G$14*$A53-Examples!$G$15)/Examples!$G$16))))))+Examples!$G$17*$A53^2)</f>
        <v>80813.436105846427</v>
      </c>
      <c r="K53" s="33">
        <f>(Examples!$G$6*Examples!$G$7*Examples!$G$8*EXP(-Examples!$G$9*$A53)*(1-(Examples!$G$12*(1-EXP(-Examples!$G$13*$A53))/(1+EXP(MIN(700,MAX(-700,(Examples!$G$14*$A53-Examples!$G$15)/Examples!$G$16))))))+Examples!$G$17*$A53^2)</f>
        <v>1393686.5638941536</v>
      </c>
      <c r="L53" s="33">
        <f>Examples!$H$18-(Examples!$H$10+Examples!$H$11)*$A53-(Examples!$H$6*Examples!$H$7*Examples!$H$8*EXP(-Examples!$H$9*$A53)*(1-(Examples!$H$12*(1-EXP(-Examples!$H$13*$A53))/(1+EXP(MIN(700,MAX(-700,(Examples!$H$14*$A53-Examples!$H$15)/Examples!$H$16))))))+Examples!$H$17*$A53^2)</f>
        <v>100115.55577063933</v>
      </c>
      <c r="M53" s="33">
        <f>(Examples!$H$6*Examples!$H$7*Examples!$H$8*EXP(-Examples!$H$9*$A53)*(1-(Examples!$H$12*(1-EXP(-Examples!$H$13*$A53))/(1+EXP(MIN(700,MAX(-700,(Examples!$H$14*$A53-Examples!$H$15)/Examples!$H$16))))))+Examples!$H$17*$A53^2)</f>
        <v>1374384.4442293607</v>
      </c>
    </row>
    <row r="54" spans="1:13" x14ac:dyDescent="0.25">
      <c r="A54" s="4">
        <f>(54-2)/100</f>
        <v>0.52</v>
      </c>
      <c r="B54" s="33">
        <f>Examples!$C$18-(Examples!$C$10+Examples!$C$11)*$A54-(Examples!$C$6*Examples!$C$7*Examples!$C$8*EXP(-Examples!$C$9*$A54)*(1-(Examples!$C$12*(1-EXP(-Examples!$C$13*$A54))/(1+EXP(MIN(700,MAX(-700,(Examples!$C$14*$A54-Examples!$C$15)/Examples!$C$16))))))+Examples!$C$17*$A54^2)</f>
        <v>121010.56025303621</v>
      </c>
      <c r="C54" s="33">
        <f>(Examples!$C$6*Examples!$C$7*Examples!$C$8*EXP(-Examples!$C$9*$A54)*(1-(Examples!$C$12*(1-EXP(-Examples!$C$13*$A54))/(1+EXP(MIN(700,MAX(-700,(Examples!$C$14*$A54-Examples!$C$15)/Examples!$C$16))))))+Examples!$C$17*$A54^2)</f>
        <v>460789.43974696379</v>
      </c>
      <c r="D54" s="33">
        <f>Examples!$D$18-(Examples!$D$10+Examples!$D$11)*$A54-(Examples!$D$6*Examples!$D$7*Examples!$D$8*EXP(-Examples!$D$9*$A54)*(1-(Examples!$D$12*(1-EXP(-Examples!$D$13*$A54))/(1+EXP(MIN(700,MAX(-700,(Examples!$D$14*$A54-Examples!$D$15)/Examples!$D$16))))))+Examples!$D$17*$A54^2)</f>
        <v>-1331168.1153275049</v>
      </c>
      <c r="E54" s="33">
        <f>(Examples!$D$6*Examples!$D$7*Examples!$D$8*EXP(-Examples!$D$9*$A54)*(1-(Examples!$D$12*(1-EXP(-Examples!$D$13*$A54))/(1+EXP(MIN(700,MAX(-700,(Examples!$D$14*$A54-Examples!$D$15)/Examples!$D$16))))))+Examples!$D$17*$A54^2)</f>
        <v>3807768.1153275049</v>
      </c>
      <c r="F54" s="33">
        <f>Examples!$E$18-(Examples!$E$10+Examples!$E$11)*$A54-(Examples!$E$6*Examples!$E$7*Examples!$E$8*EXP(-Examples!$E$9*$A54)*(1-(Examples!$E$12*(1-EXP(-Examples!$E$13*$A54))/(1+EXP(MIN(700,MAX(-700,(Examples!$E$14*$A54-Examples!$E$15)/Examples!$E$16))))))+Examples!$E$17*$A54^2)</f>
        <v>1398473.57316904</v>
      </c>
      <c r="G54" s="33">
        <f>(Examples!$E$6*Examples!$E$7*Examples!$E$8*EXP(-Examples!$E$9*$A54)*(1-(Examples!$E$12*(1-EXP(-Examples!$E$13*$A54))/(1+EXP(MIN(700,MAX(-700,(Examples!$E$14*$A54-Examples!$E$15)/Examples!$E$16))))))+Examples!$E$17*$A54^2)</f>
        <v>1557326.42683096</v>
      </c>
      <c r="H54" s="33">
        <f>Examples!$F$18-(Examples!$F$10+Examples!$F$11)*$A54-(Examples!$F$6*Examples!$F$7*Examples!$F$8*EXP(-Examples!$F$9*$A54)*(1-(Examples!$F$12*(1-EXP(-Examples!$F$13*$A54))/(1+EXP(MIN(700,MAX(-700,(Examples!$F$14*$A54-Examples!$F$15)/Examples!$F$16))))))+Examples!$F$17*$A54^2)</f>
        <v>120052.57187129429</v>
      </c>
      <c r="I54" s="33">
        <f>(Examples!$F$6*Examples!$F$7*Examples!$F$8*EXP(-Examples!$F$9*$A54)*(1-(Examples!$F$12*(1-EXP(-Examples!$F$13*$A54))/(1+EXP(MIN(700,MAX(-700,(Examples!$F$14*$A54-Examples!$F$15)/Examples!$F$16))))))+Examples!$F$17*$A54^2)</f>
        <v>19547.428128705717</v>
      </c>
      <c r="J54" s="33">
        <f>Examples!$G$18-(Examples!$G$10+Examples!$G$11)*$A54-(Examples!$G$6*Examples!$G$7*Examples!$G$8*EXP(-Examples!$G$9*$A54)*(1-(Examples!$G$12*(1-EXP(-Examples!$G$13*$A54))/(1+EXP(MIN(700,MAX(-700,(Examples!$G$14*$A54-Examples!$G$15)/Examples!$G$16))))))+Examples!$G$17*$A54^2)</f>
        <v>89657.235659166705</v>
      </c>
      <c r="K54" s="33">
        <f>(Examples!$G$6*Examples!$G$7*Examples!$G$8*EXP(-Examples!$G$9*$A54)*(1-(Examples!$G$12*(1-EXP(-Examples!$G$13*$A54))/(1+EXP(MIN(700,MAX(-700,(Examples!$G$14*$A54-Examples!$G$15)/Examples!$G$16))))))+Examples!$G$17*$A54^2)</f>
        <v>1384342.7643408333</v>
      </c>
      <c r="L54" s="33">
        <f>Examples!$H$18-(Examples!$H$10+Examples!$H$11)*$A54-(Examples!$H$6*Examples!$H$7*Examples!$H$8*EXP(-Examples!$H$9*$A54)*(1-(Examples!$H$12*(1-EXP(-Examples!$H$13*$A54))/(1+EXP(MIN(700,MAX(-700,(Examples!$H$14*$A54-Examples!$H$15)/Examples!$H$16))))))+Examples!$H$17*$A54^2)</f>
        <v>109456.89209859865</v>
      </c>
      <c r="M54" s="33">
        <f>(Examples!$H$6*Examples!$H$7*Examples!$H$8*EXP(-Examples!$H$9*$A54)*(1-(Examples!$H$12*(1-EXP(-Examples!$H$13*$A54))/(1+EXP(MIN(700,MAX(-700,(Examples!$H$14*$A54-Examples!$H$15)/Examples!$H$16))))))+Examples!$H$17*$A54^2)</f>
        <v>1364543.1079014014</v>
      </c>
    </row>
    <row r="55" spans="1:13" x14ac:dyDescent="0.25">
      <c r="A55" s="4">
        <f>(55-2)/100</f>
        <v>0.53</v>
      </c>
      <c r="B55" s="33">
        <f>Examples!$C$18-(Examples!$C$10+Examples!$C$11)*$A55-(Examples!$C$6*Examples!$C$7*Examples!$C$8*EXP(-Examples!$C$9*$A55)*(1-(Examples!$C$12*(1-EXP(-Examples!$C$13*$A55))/(1+EXP(MIN(700,MAX(-700,(Examples!$C$14*$A55-Examples!$C$15)/Examples!$C$16))))))+Examples!$C$17*$A55^2)</f>
        <v>122803.91202302702</v>
      </c>
      <c r="C55" s="33">
        <f>(Examples!$C$6*Examples!$C$7*Examples!$C$8*EXP(-Examples!$C$9*$A55)*(1-(Examples!$C$12*(1-EXP(-Examples!$C$13*$A55))/(1+EXP(MIN(700,MAX(-700,(Examples!$C$14*$A55-Examples!$C$15)/Examples!$C$16))))))+Examples!$C$17*$A55^2)</f>
        <v>458646.08797697298</v>
      </c>
      <c r="D55" s="33">
        <f>Examples!$D$18-(Examples!$D$10+Examples!$D$11)*$A55-(Examples!$D$6*Examples!$D$7*Examples!$D$8*EXP(-Examples!$D$9*$A55)*(1-(Examples!$D$12*(1-EXP(-Examples!$D$13*$A55))/(1+EXP(MIN(700,MAX(-700,(Examples!$D$14*$A55-Examples!$D$15)/Examples!$D$16))))))+Examples!$D$17*$A55^2)</f>
        <v>-1299433.4904067144</v>
      </c>
      <c r="E55" s="33">
        <f>(Examples!$D$6*Examples!$D$7*Examples!$D$8*EXP(-Examples!$D$9*$A55)*(1-(Examples!$D$12*(1-EXP(-Examples!$D$13*$A55))/(1+EXP(MIN(700,MAX(-700,(Examples!$D$14*$A55-Examples!$D$15)/Examples!$D$16))))))+Examples!$D$17*$A55^2)</f>
        <v>3775583.4904067144</v>
      </c>
      <c r="F55" s="33">
        <f>Examples!$E$18-(Examples!$E$10+Examples!$E$11)*$A55-(Examples!$E$6*Examples!$E$7*Examples!$E$8*EXP(-Examples!$E$9*$A55)*(1-(Examples!$E$12*(1-EXP(-Examples!$E$13*$A55))/(1+EXP(MIN(700,MAX(-700,(Examples!$E$14*$A55-Examples!$E$15)/Examples!$E$16))))))+Examples!$E$17*$A55^2)</f>
        <v>1413544.2115988501</v>
      </c>
      <c r="G55" s="33">
        <f>(Examples!$E$6*Examples!$E$7*Examples!$E$8*EXP(-Examples!$E$9*$A55)*(1-(Examples!$E$12*(1-EXP(-Examples!$E$13*$A55))/(1+EXP(MIN(700,MAX(-700,(Examples!$E$14*$A55-Examples!$E$15)/Examples!$E$16))))))+Examples!$E$17*$A55^2)</f>
        <v>1541405.7884011499</v>
      </c>
      <c r="H55" s="33">
        <f>Examples!$F$18-(Examples!$F$10+Examples!$F$11)*$A55-(Examples!$F$6*Examples!$F$7*Examples!$F$8*EXP(-Examples!$F$9*$A55)*(1-(Examples!$F$12*(1-EXP(-Examples!$F$13*$A55))/(1+EXP(MIN(700,MAX(-700,(Examples!$F$14*$A55-Examples!$F$15)/Examples!$F$16))))))+Examples!$F$17*$A55^2)</f>
        <v>119698.37852673129</v>
      </c>
      <c r="I55" s="33">
        <f>(Examples!$F$6*Examples!$F$7*Examples!$F$8*EXP(-Examples!$F$9*$A55)*(1-(Examples!$F$12*(1-EXP(-Examples!$F$13*$A55))/(1+EXP(MIN(700,MAX(-700,(Examples!$F$14*$A55-Examples!$F$15)/Examples!$F$16))))))+Examples!$F$17*$A55^2)</f>
        <v>19701.621473268708</v>
      </c>
      <c r="J55" s="33">
        <f>Examples!$G$18-(Examples!$G$10+Examples!$G$11)*$A55-(Examples!$G$6*Examples!$G$7*Examples!$G$8*EXP(-Examples!$G$9*$A55)*(1-(Examples!$G$12*(1-EXP(-Examples!$G$13*$A55))/(1+EXP(MIN(700,MAX(-700,(Examples!$G$14*$A55-Examples!$G$15)/Examples!$G$16))))))+Examples!$G$17*$A55^2)</f>
        <v>98415.230600716546</v>
      </c>
      <c r="K55" s="33">
        <f>(Examples!$G$6*Examples!$G$7*Examples!$G$8*EXP(-Examples!$G$9*$A55)*(1-(Examples!$G$12*(1-EXP(-Examples!$G$13*$A55))/(1+EXP(MIN(700,MAX(-700,(Examples!$G$14*$A55-Examples!$G$15)/Examples!$G$16))))))+Examples!$G$17*$A55^2)</f>
        <v>1375084.7693992835</v>
      </c>
      <c r="L55" s="33">
        <f>Examples!$H$18-(Examples!$H$10+Examples!$H$11)*$A55-(Examples!$H$6*Examples!$H$7*Examples!$H$8*EXP(-Examples!$H$9*$A55)*(1-(Examples!$H$12*(1-EXP(-Examples!$H$13*$A55))/(1+EXP(MIN(700,MAX(-700,(Examples!$H$14*$A55-Examples!$H$15)/Examples!$H$16))))))+Examples!$H$17*$A55^2)</f>
        <v>118717.3337561544</v>
      </c>
      <c r="M55" s="33">
        <f>(Examples!$H$6*Examples!$H$7*Examples!$H$8*EXP(-Examples!$H$9*$A55)*(1-(Examples!$H$12*(1-EXP(-Examples!$H$13*$A55))/(1+EXP(MIN(700,MAX(-700,(Examples!$H$14*$A55-Examples!$H$15)/Examples!$H$16))))))+Examples!$H$17*$A55^2)</f>
        <v>1354782.6662438456</v>
      </c>
    </row>
    <row r="56" spans="1:13" x14ac:dyDescent="0.25">
      <c r="A56" s="4">
        <f>(56-2)/100</f>
        <v>0.54</v>
      </c>
      <c r="B56" s="33">
        <f>Examples!$C$18-(Examples!$C$10+Examples!$C$11)*$A56-(Examples!$C$6*Examples!$C$7*Examples!$C$8*EXP(-Examples!$C$9*$A56)*(1-(Examples!$C$12*(1-EXP(-Examples!$C$13*$A56))/(1+EXP(MIN(700,MAX(-700,(Examples!$C$14*$A56-Examples!$C$15)/Examples!$C$16))))))+Examples!$C$17*$A56^2)</f>
        <v>124577.93012721499</v>
      </c>
      <c r="C56" s="33">
        <f>(Examples!$C$6*Examples!$C$7*Examples!$C$8*EXP(-Examples!$C$9*$A56)*(1-(Examples!$C$12*(1-EXP(-Examples!$C$13*$A56))/(1+EXP(MIN(700,MAX(-700,(Examples!$C$14*$A56-Examples!$C$15)/Examples!$C$16))))))+Examples!$C$17*$A56^2)</f>
        <v>456522.06987278501</v>
      </c>
      <c r="D56" s="33">
        <f>Examples!$D$18-(Examples!$D$10+Examples!$D$11)*$A56-(Examples!$D$6*Examples!$D$7*Examples!$D$8*EXP(-Examples!$D$9*$A56)*(1-(Examples!$D$12*(1-EXP(-Examples!$D$13*$A56))/(1+EXP(MIN(700,MAX(-700,(Examples!$D$14*$A56-Examples!$D$15)/Examples!$D$16))))))+Examples!$D$17*$A56^2)</f>
        <v>-1268011.4844463207</v>
      </c>
      <c r="E56" s="33">
        <f>(Examples!$D$6*Examples!$D$7*Examples!$D$8*EXP(-Examples!$D$9*$A56)*(1-(Examples!$D$12*(1-EXP(-Examples!$D$13*$A56))/(1+EXP(MIN(700,MAX(-700,(Examples!$D$14*$A56-Examples!$D$15)/Examples!$D$16))))))+Examples!$D$17*$A56^2)</f>
        <v>3743711.4844463207</v>
      </c>
      <c r="F56" s="33">
        <f>Examples!$E$18-(Examples!$E$10+Examples!$E$11)*$A56-(Examples!$E$6*Examples!$E$7*Examples!$E$8*EXP(-Examples!$E$9*$A56)*(1-(Examples!$E$12*(1-EXP(-Examples!$E$13*$A56))/(1+EXP(MIN(700,MAX(-700,(Examples!$E$14*$A56-Examples!$E$15)/Examples!$E$16))))))+Examples!$E$17*$A56^2)</f>
        <v>1428431.7645066173</v>
      </c>
      <c r="G56" s="33">
        <f>(Examples!$E$6*Examples!$E$7*Examples!$E$8*EXP(-Examples!$E$9*$A56)*(1-(Examples!$E$12*(1-EXP(-Examples!$E$13*$A56))/(1+EXP(MIN(700,MAX(-700,(Examples!$E$14*$A56-Examples!$E$15)/Examples!$E$16))))))+Examples!$E$17*$A56^2)</f>
        <v>1525668.2354933827</v>
      </c>
      <c r="H56" s="33">
        <f>Examples!$F$18-(Examples!$F$10+Examples!$F$11)*$A56-(Examples!$F$6*Examples!$F$7*Examples!$F$8*EXP(-Examples!$F$9*$A56)*(1-(Examples!$F$12*(1-EXP(-Examples!$F$13*$A56))/(1+EXP(MIN(700,MAX(-700,(Examples!$F$14*$A56-Examples!$F$15)/Examples!$F$16))))))+Examples!$F$17*$A56^2)</f>
        <v>119339.84044661302</v>
      </c>
      <c r="I56" s="33">
        <f>(Examples!$F$6*Examples!$F$7*Examples!$F$8*EXP(-Examples!$F$9*$A56)*(1-(Examples!$F$12*(1-EXP(-Examples!$F$13*$A56))/(1+EXP(MIN(700,MAX(-700,(Examples!$F$14*$A56-Examples!$F$15)/Examples!$F$16))))))+Examples!$F$17*$A56^2)</f>
        <v>19860.159553386988</v>
      </c>
      <c r="J56" s="33">
        <f>Examples!$G$18-(Examples!$G$10+Examples!$G$11)*$A56-(Examples!$G$6*Examples!$G$7*Examples!$G$8*EXP(-Examples!$G$9*$A56)*(1-(Examples!$G$12*(1-EXP(-Examples!$G$13*$A56))/(1+EXP(MIN(700,MAX(-700,(Examples!$G$14*$A56-Examples!$G$15)/Examples!$G$16))))))+Examples!$G$17*$A56^2)</f>
        <v>107088.02477004216</v>
      </c>
      <c r="K56" s="33">
        <f>(Examples!$G$6*Examples!$G$7*Examples!$G$8*EXP(-Examples!$G$9*$A56)*(1-(Examples!$G$12*(1-EXP(-Examples!$G$13*$A56))/(1+EXP(MIN(700,MAX(-700,(Examples!$G$14*$A56-Examples!$G$15)/Examples!$G$16))))))+Examples!$G$17*$A56^2)</f>
        <v>1365911.9752299578</v>
      </c>
      <c r="L56" s="33">
        <f>Examples!$H$18-(Examples!$H$10+Examples!$H$11)*$A56-(Examples!$H$6*Examples!$H$7*Examples!$H$8*EXP(-Examples!$H$9*$A56)*(1-(Examples!$H$12*(1-EXP(-Examples!$H$13*$A56))/(1+EXP(MIN(700,MAX(-700,(Examples!$H$14*$A56-Examples!$H$15)/Examples!$H$16))))))+Examples!$H$17*$A56^2)</f>
        <v>127897.49273385573</v>
      </c>
      <c r="M56" s="33">
        <f>(Examples!$H$6*Examples!$H$7*Examples!$H$8*EXP(-Examples!$H$9*$A56)*(1-(Examples!$H$12*(1-EXP(-Examples!$H$13*$A56))/(1+EXP(MIN(700,MAX(-700,(Examples!$H$14*$A56-Examples!$H$15)/Examples!$H$16))))))+Examples!$H$17*$A56^2)</f>
        <v>1345102.5072661443</v>
      </c>
    </row>
    <row r="57" spans="1:13" x14ac:dyDescent="0.25">
      <c r="A57" s="4">
        <f>(57-2)/100</f>
        <v>0.55000000000000004</v>
      </c>
      <c r="B57" s="33">
        <f>Examples!$C$18-(Examples!$C$10+Examples!$C$11)*$A57-(Examples!$C$6*Examples!$C$7*Examples!$C$8*EXP(-Examples!$C$9*$A57)*(1-(Examples!$C$12*(1-EXP(-Examples!$C$13*$A57))/(1+EXP(MIN(700,MAX(-700,(Examples!$C$14*$A57-Examples!$C$15)/Examples!$C$16))))))+Examples!$C$17*$A57^2)</f>
        <v>126332.62523499673</v>
      </c>
      <c r="C57" s="33">
        <f>(Examples!$C$6*Examples!$C$7*Examples!$C$8*EXP(-Examples!$C$9*$A57)*(1-(Examples!$C$12*(1-EXP(-Examples!$C$13*$A57))/(1+EXP(MIN(700,MAX(-700,(Examples!$C$14*$A57-Examples!$C$15)/Examples!$C$16))))))+Examples!$C$17*$A57^2)</f>
        <v>454417.37476500327</v>
      </c>
      <c r="D57" s="33">
        <f>Examples!$D$18-(Examples!$D$10+Examples!$D$11)*$A57-(Examples!$D$6*Examples!$D$7*Examples!$D$8*EXP(-Examples!$D$9*$A57)*(1-(Examples!$D$12*(1-EXP(-Examples!$D$13*$A57))/(1+EXP(MIN(700,MAX(-700,(Examples!$D$14*$A57-Examples!$D$15)/Examples!$D$16))))))+Examples!$D$17*$A57^2)</f>
        <v>-1236899.0472793709</v>
      </c>
      <c r="E57" s="33">
        <f>(Examples!$D$6*Examples!$D$7*Examples!$D$8*EXP(-Examples!$D$9*$A57)*(1-(Examples!$D$12*(1-EXP(-Examples!$D$13*$A57))/(1+EXP(MIN(700,MAX(-700,(Examples!$D$14*$A57-Examples!$D$15)/Examples!$D$16))))))+Examples!$D$17*$A57^2)</f>
        <v>3712149.0472793709</v>
      </c>
      <c r="F57" s="33">
        <f>Examples!$E$18-(Examples!$E$10+Examples!$E$11)*$A57-(Examples!$E$6*Examples!$E$7*Examples!$E$8*EXP(-Examples!$E$9*$A57)*(1-(Examples!$E$12*(1-EXP(-Examples!$E$13*$A57))/(1+EXP(MIN(700,MAX(-700,(Examples!$E$14*$A57-Examples!$E$15)/Examples!$E$16))))))+Examples!$E$17*$A57^2)</f>
        <v>1443138.3556840844</v>
      </c>
      <c r="G57" s="33">
        <f>(Examples!$E$6*Examples!$E$7*Examples!$E$8*EXP(-Examples!$E$9*$A57)*(1-(Examples!$E$12*(1-EXP(-Examples!$E$13*$A57))/(1+EXP(MIN(700,MAX(-700,(Examples!$E$14*$A57-Examples!$E$15)/Examples!$E$16))))))+Examples!$E$17*$A57^2)</f>
        <v>1510111.6443159156</v>
      </c>
      <c r="H57" s="33">
        <f>Examples!$F$18-(Examples!$F$10+Examples!$F$11)*$A57-(Examples!$F$6*Examples!$F$7*Examples!$F$8*EXP(-Examples!$F$9*$A57)*(1-(Examples!$F$12*(1-EXP(-Examples!$F$13*$A57))/(1+EXP(MIN(700,MAX(-700,(Examples!$F$14*$A57-Examples!$F$15)/Examples!$F$16))))))+Examples!$F$17*$A57^2)</f>
        <v>118976.95575697959</v>
      </c>
      <c r="I57" s="33">
        <f>(Examples!$F$6*Examples!$F$7*Examples!$F$8*EXP(-Examples!$F$9*$A57)*(1-(Examples!$F$12*(1-EXP(-Examples!$F$13*$A57))/(1+EXP(MIN(700,MAX(-700,(Examples!$F$14*$A57-Examples!$F$15)/Examples!$F$16))))))+Examples!$F$17*$A57^2)</f>
        <v>20023.044243020409</v>
      </c>
      <c r="J57" s="33">
        <f>Examples!$G$18-(Examples!$G$10+Examples!$G$11)*$A57-(Examples!$G$6*Examples!$G$7*Examples!$G$8*EXP(-Examples!$G$9*$A57)*(1-(Examples!$G$12*(1-EXP(-Examples!$G$13*$A57))/(1+EXP(MIN(700,MAX(-700,(Examples!$G$14*$A57-Examples!$G$15)/Examples!$G$16))))))+Examples!$G$17*$A57^2)</f>
        <v>115676.21677947044</v>
      </c>
      <c r="K57" s="33">
        <f>(Examples!$G$6*Examples!$G$7*Examples!$G$8*EXP(-Examples!$G$9*$A57)*(1-(Examples!$G$12*(1-EXP(-Examples!$G$13*$A57))/(1+EXP(MIN(700,MAX(-700,(Examples!$G$14*$A57-Examples!$G$15)/Examples!$G$16))))))+Examples!$G$17*$A57^2)</f>
        <v>1356823.7832205296</v>
      </c>
      <c r="L57" s="33">
        <f>Examples!$H$18-(Examples!$H$10+Examples!$H$11)*$A57-(Examples!$H$6*Examples!$H$7*Examples!$H$8*EXP(-Examples!$H$9*$A57)*(1-(Examples!$H$12*(1-EXP(-Examples!$H$13*$A57))/(1+EXP(MIN(700,MAX(-700,(Examples!$H$14*$A57-Examples!$H$15)/Examples!$H$16))))))+Examples!$H$17*$A57^2)</f>
        <v>136997.97464128607</v>
      </c>
      <c r="M57" s="33">
        <f>(Examples!$H$6*Examples!$H$7*Examples!$H$8*EXP(-Examples!$H$9*$A57)*(1-(Examples!$H$12*(1-EXP(-Examples!$H$13*$A57))/(1+EXP(MIN(700,MAX(-700,(Examples!$H$14*$A57-Examples!$H$15)/Examples!$H$16))))))+Examples!$H$17*$A57^2)</f>
        <v>1335502.0253587139</v>
      </c>
    </row>
    <row r="58" spans="1:13" x14ac:dyDescent="0.25">
      <c r="A58" s="4">
        <f>(58-2)/100</f>
        <v>0.56000000000000005</v>
      </c>
      <c r="B58" s="33">
        <f>Examples!$C$18-(Examples!$C$10+Examples!$C$11)*$A58-(Examples!$C$6*Examples!$C$7*Examples!$C$8*EXP(-Examples!$C$9*$A58)*(1-(Examples!$C$12*(1-EXP(-Examples!$C$13*$A58))/(1+EXP(MIN(700,MAX(-700,(Examples!$C$14*$A58-Examples!$C$15)/Examples!$C$16))))))+Examples!$C$17*$A58^2)</f>
        <v>128068.00505720318</v>
      </c>
      <c r="C58" s="33">
        <f>(Examples!$C$6*Examples!$C$7*Examples!$C$8*EXP(-Examples!$C$9*$A58)*(1-(Examples!$C$12*(1-EXP(-Examples!$C$13*$A58))/(1+EXP(MIN(700,MAX(-700,(Examples!$C$14*$A58-Examples!$C$15)/Examples!$C$16))))))+Examples!$C$17*$A58^2)</f>
        <v>452331.99494279682</v>
      </c>
      <c r="D58" s="33">
        <f>Examples!$D$18-(Examples!$D$10+Examples!$D$11)*$A58-(Examples!$D$6*Examples!$D$7*Examples!$D$8*EXP(-Examples!$D$9*$A58)*(1-(Examples!$D$12*(1-EXP(-Examples!$D$13*$A58))/(1+EXP(MIN(700,MAX(-700,(Examples!$D$14*$A58-Examples!$D$15)/Examples!$D$16))))))+Examples!$D$17*$A58^2)</f>
        <v>-1206093.1604224294</v>
      </c>
      <c r="E58" s="33">
        <f>(Examples!$D$6*Examples!$D$7*Examples!$D$8*EXP(-Examples!$D$9*$A58)*(1-(Examples!$D$12*(1-EXP(-Examples!$D$13*$A58))/(1+EXP(MIN(700,MAX(-700,(Examples!$D$14*$A58-Examples!$D$15)/Examples!$D$16))))))+Examples!$D$17*$A58^2)</f>
        <v>3680893.1604224294</v>
      </c>
      <c r="F58" s="33">
        <f>Examples!$E$18-(Examples!$E$10+Examples!$E$11)*$A58-(Examples!$E$6*Examples!$E$7*Examples!$E$8*EXP(-Examples!$E$9*$A58)*(1-(Examples!$E$12*(1-EXP(-Examples!$E$13*$A58))/(1+EXP(MIN(700,MAX(-700,(Examples!$E$14*$A58-Examples!$E$15)/Examples!$E$16))))))+Examples!$E$17*$A58^2)</f>
        <v>1457666.0838564353</v>
      </c>
      <c r="G58" s="33">
        <f>(Examples!$E$6*Examples!$E$7*Examples!$E$8*EXP(-Examples!$E$9*$A58)*(1-(Examples!$E$12*(1-EXP(-Examples!$E$13*$A58))/(1+EXP(MIN(700,MAX(-700,(Examples!$E$14*$A58-Examples!$E$15)/Examples!$E$16))))))+Examples!$E$17*$A58^2)</f>
        <v>1494733.9161435647</v>
      </c>
      <c r="H58" s="33">
        <f>Examples!$F$18-(Examples!$F$10+Examples!$F$11)*$A58-(Examples!$F$6*Examples!$F$7*Examples!$F$8*EXP(-Examples!$F$9*$A58)*(1-(Examples!$F$12*(1-EXP(-Examples!$F$13*$A58))/(1+EXP(MIN(700,MAX(-700,(Examples!$F$14*$A58-Examples!$F$15)/Examples!$F$16))))))+Examples!$F$17*$A58^2)</f>
        <v>118609.72247650159</v>
      </c>
      <c r="I58" s="33">
        <f>(Examples!$F$6*Examples!$F$7*Examples!$F$8*EXP(-Examples!$F$9*$A58)*(1-(Examples!$F$12*(1-EXP(-Examples!$F$13*$A58))/(1+EXP(MIN(700,MAX(-700,(Examples!$F$14*$A58-Examples!$F$15)/Examples!$F$16))))))+Examples!$F$17*$A58^2)</f>
        <v>20190.277523498411</v>
      </c>
      <c r="J58" s="33">
        <f>Examples!$G$18-(Examples!$G$10+Examples!$G$11)*$A58-(Examples!$G$6*Examples!$G$7*Examples!$G$8*EXP(-Examples!$G$9*$A58)*(1-(Examples!$G$12*(1-EXP(-Examples!$G$13*$A58))/(1+EXP(MIN(700,MAX(-700,(Examples!$G$14*$A58-Examples!$G$15)/Examples!$G$16))))))+Examples!$G$17*$A58^2)</f>
        <v>124180.40007105912</v>
      </c>
      <c r="K58" s="33">
        <f>(Examples!$G$6*Examples!$G$7*Examples!$G$8*EXP(-Examples!$G$9*$A58)*(1-(Examples!$G$12*(1-EXP(-Examples!$G$13*$A58))/(1+EXP(MIN(700,MAX(-700,(Examples!$G$14*$A58-Examples!$G$15)/Examples!$G$16))))))+Examples!$G$17*$A58^2)</f>
        <v>1347819.5999289409</v>
      </c>
      <c r="L58" s="33">
        <f>Examples!$H$18-(Examples!$H$10+Examples!$H$11)*$A58-(Examples!$H$6*Examples!$H$7*Examples!$H$8*EXP(-Examples!$H$9*$A58)*(1-(Examples!$H$12*(1-EXP(-Examples!$H$13*$A58))/(1+EXP(MIN(700,MAX(-700,(Examples!$H$14*$A58-Examples!$H$15)/Examples!$H$16))))))+Examples!$H$17*$A58^2)</f>
        <v>146019.37872129097</v>
      </c>
      <c r="M58" s="33">
        <f>(Examples!$H$6*Examples!$H$7*Examples!$H$8*EXP(-Examples!$H$9*$A58)*(1-(Examples!$H$12*(1-EXP(-Examples!$H$13*$A58))/(1+EXP(MIN(700,MAX(-700,(Examples!$H$14*$A58-Examples!$H$15)/Examples!$H$16))))))+Examples!$H$17*$A58^2)</f>
        <v>1325980.621278709</v>
      </c>
    </row>
    <row r="59" spans="1:13" x14ac:dyDescent="0.25">
      <c r="A59" s="4">
        <f>(59-2)/100</f>
        <v>0.56999999999999995</v>
      </c>
      <c r="B59" s="33">
        <f>Examples!$C$18-(Examples!$C$10+Examples!$C$11)*$A59-(Examples!$C$6*Examples!$C$7*Examples!$C$8*EXP(-Examples!$C$9*$A59)*(1-(Examples!$C$12*(1-EXP(-Examples!$C$13*$A59))/(1+EXP(MIN(700,MAX(-700,(Examples!$C$14*$A59-Examples!$C$15)/Examples!$C$16))))))+Examples!$C$17*$A59^2)</f>
        <v>129784.07430212147</v>
      </c>
      <c r="C59" s="33">
        <f>(Examples!$C$6*Examples!$C$7*Examples!$C$8*EXP(-Examples!$C$9*$A59)*(1-(Examples!$C$12*(1-EXP(-Examples!$C$13*$A59))/(1+EXP(MIN(700,MAX(-700,(Examples!$C$14*$A59-Examples!$C$15)/Examples!$C$16))))))+Examples!$C$17*$A59^2)</f>
        <v>450265.92569787853</v>
      </c>
      <c r="D59" s="33">
        <f>Examples!$D$18-(Examples!$D$10+Examples!$D$11)*$A59-(Examples!$D$6*Examples!$D$7*Examples!$D$8*EXP(-Examples!$D$9*$A59)*(1-(Examples!$D$12*(1-EXP(-Examples!$D$13*$A59))/(1+EXP(MIN(700,MAX(-700,(Examples!$D$14*$A59-Examples!$D$15)/Examples!$D$16))))))+Examples!$D$17*$A59^2)</f>
        <v>-1175590.836749224</v>
      </c>
      <c r="E59" s="33">
        <f>(Examples!$D$6*Examples!$D$7*Examples!$D$8*EXP(-Examples!$D$9*$A59)*(1-(Examples!$D$12*(1-EXP(-Examples!$D$13*$A59))/(1+EXP(MIN(700,MAX(-700,(Examples!$D$14*$A59-Examples!$D$15)/Examples!$D$16))))))+Examples!$D$17*$A59^2)</f>
        <v>3649940.836749224</v>
      </c>
      <c r="F59" s="33">
        <f>Examples!$E$18-(Examples!$E$10+Examples!$E$11)*$A59-(Examples!$E$6*Examples!$E$7*Examples!$E$8*EXP(-Examples!$E$9*$A59)*(1-(Examples!$E$12*(1-EXP(-Examples!$E$13*$A59))/(1+EXP(MIN(700,MAX(-700,(Examples!$E$14*$A59-Examples!$E$15)/Examples!$E$16))))))+Examples!$E$17*$A59^2)</f>
        <v>1472017.0229803012</v>
      </c>
      <c r="G59" s="33">
        <f>(Examples!$E$6*Examples!$E$7*Examples!$E$8*EXP(-Examples!$E$9*$A59)*(1-(Examples!$E$12*(1-EXP(-Examples!$E$13*$A59))/(1+EXP(MIN(700,MAX(-700,(Examples!$E$14*$A59-Examples!$E$15)/Examples!$E$16))))))+Examples!$E$17*$A59^2)</f>
        <v>1479532.9770196988</v>
      </c>
      <c r="H59" s="33">
        <f>Examples!$F$18-(Examples!$F$10+Examples!$F$11)*$A59-(Examples!$F$6*Examples!$F$7*Examples!$F$8*EXP(-Examples!$F$9*$A59)*(1-(Examples!$F$12*(1-EXP(-Examples!$F$13*$A59))/(1+EXP(MIN(700,MAX(-700,(Examples!$F$14*$A59-Examples!$F$15)/Examples!$F$16))))))+Examples!$F$17*$A59^2)</f>
        <v>118238.13851543557</v>
      </c>
      <c r="I59" s="33">
        <f>(Examples!$F$6*Examples!$F$7*Examples!$F$8*EXP(-Examples!$F$9*$A59)*(1-(Examples!$F$12*(1-EXP(-Examples!$F$13*$A59))/(1+EXP(MIN(700,MAX(-700,(Examples!$F$14*$A59-Examples!$F$15)/Examples!$F$16))))))+Examples!$F$17*$A59^2)</f>
        <v>20361.861484564426</v>
      </c>
      <c r="J59" s="33">
        <f>Examples!$G$18-(Examples!$G$10+Examples!$G$11)*$A59-(Examples!$G$6*Examples!$G$7*Examples!$G$8*EXP(-Examples!$G$9*$A59)*(1-(Examples!$G$12*(1-EXP(-Examples!$G$13*$A59))/(1+EXP(MIN(700,MAX(-700,(Examples!$G$14*$A59-Examples!$G$15)/Examples!$G$16))))))+Examples!$G$17*$A59^2)</f>
        <v>132601.16297340789</v>
      </c>
      <c r="K59" s="33">
        <f>(Examples!$G$6*Examples!$G$7*Examples!$G$8*EXP(-Examples!$G$9*$A59)*(1-(Examples!$G$12*(1-EXP(-Examples!$G$13*$A59))/(1+EXP(MIN(700,MAX(-700,(Examples!$G$14*$A59-Examples!$G$15)/Examples!$G$16))))))+Examples!$G$17*$A59^2)</f>
        <v>1338898.8370265921</v>
      </c>
      <c r="L59" s="33">
        <f>Examples!$H$18-(Examples!$H$10+Examples!$H$11)*$A59-(Examples!$H$6*Examples!$H$7*Examples!$H$8*EXP(-Examples!$H$9*$A59)*(1-(Examples!$H$12*(1-EXP(-Examples!$H$13*$A59))/(1+EXP(MIN(700,MAX(-700,(Examples!$H$14*$A59-Examples!$H$15)/Examples!$H$16))))))+Examples!$H$17*$A59^2)</f>
        <v>154962.29786292533</v>
      </c>
      <c r="M59" s="33">
        <f>(Examples!$H$6*Examples!$H$7*Examples!$H$8*EXP(-Examples!$H$9*$A59)*(1-(Examples!$H$12*(1-EXP(-Examples!$H$13*$A59))/(1+EXP(MIN(700,MAX(-700,(Examples!$H$14*$A59-Examples!$H$15)/Examples!$H$16))))))+Examples!$H$17*$A59^2)</f>
        <v>1316537.7021370747</v>
      </c>
    </row>
    <row r="60" spans="1:13" x14ac:dyDescent="0.25">
      <c r="A60" s="4">
        <f>(60-2)/100</f>
        <v>0.57999999999999996</v>
      </c>
      <c r="B60" s="33">
        <f>Examples!$C$18-(Examples!$C$10+Examples!$C$11)*$A60-(Examples!$C$6*Examples!$C$7*Examples!$C$8*EXP(-Examples!$C$9*$A60)*(1-(Examples!$C$12*(1-EXP(-Examples!$C$13*$A60))/(1+EXP(MIN(700,MAX(-700,(Examples!$C$14*$A60-Examples!$C$15)/Examples!$C$16))))))+Examples!$C$17*$A60^2)</f>
        <v>131480.83463194343</v>
      </c>
      <c r="C60" s="33">
        <f>(Examples!$C$6*Examples!$C$7*Examples!$C$8*EXP(-Examples!$C$9*$A60)*(1-(Examples!$C$12*(1-EXP(-Examples!$C$13*$A60))/(1+EXP(MIN(700,MAX(-700,(Examples!$C$14*$A60-Examples!$C$15)/Examples!$C$16))))))+Examples!$C$17*$A60^2)</f>
        <v>448219.16536805657</v>
      </c>
      <c r="D60" s="33">
        <f>Examples!$D$18-(Examples!$D$10+Examples!$D$11)*$A60-(Examples!$D$6*Examples!$D$7*Examples!$D$8*EXP(-Examples!$D$9*$A60)*(1-(Examples!$D$12*(1-EXP(-Examples!$D$13*$A60))/(1+EXP(MIN(700,MAX(-700,(Examples!$D$14*$A60-Examples!$D$15)/Examples!$D$16))))))+Examples!$D$17*$A60^2)</f>
        <v>-1145389.1201676368</v>
      </c>
      <c r="E60" s="33">
        <f>(Examples!$D$6*Examples!$D$7*Examples!$D$8*EXP(-Examples!$D$9*$A60)*(1-(Examples!$D$12*(1-EXP(-Examples!$D$13*$A60))/(1+EXP(MIN(700,MAX(-700,(Examples!$D$14*$A60-Examples!$D$15)/Examples!$D$16))))))+Examples!$D$17*$A60^2)</f>
        <v>3619289.1201676368</v>
      </c>
      <c r="F60" s="33">
        <f>Examples!$E$18-(Examples!$E$10+Examples!$E$11)*$A60-(Examples!$E$6*Examples!$E$7*Examples!$E$8*EXP(-Examples!$E$9*$A60)*(1-(Examples!$E$12*(1-EXP(-Examples!$E$13*$A60))/(1+EXP(MIN(700,MAX(-700,(Examples!$E$14*$A60-Examples!$E$15)/Examples!$E$16))))))+Examples!$E$17*$A60^2)</f>
        <v>1486193.2225382235</v>
      </c>
      <c r="G60" s="33">
        <f>(Examples!$E$6*Examples!$E$7*Examples!$E$8*EXP(-Examples!$E$9*$A60)*(1-(Examples!$E$12*(1-EXP(-Examples!$E$13*$A60))/(1+EXP(MIN(700,MAX(-700,(Examples!$E$14*$A60-Examples!$E$15)/Examples!$E$16))))))+Examples!$E$17*$A60^2)</f>
        <v>1464506.7774617765</v>
      </c>
      <c r="H60" s="33">
        <f>Examples!$F$18-(Examples!$F$10+Examples!$F$11)*$A60-(Examples!$F$6*Examples!$F$7*Examples!$F$8*EXP(-Examples!$F$9*$A60)*(1-(Examples!$F$12*(1-EXP(-Examples!$F$13*$A60))/(1+EXP(MIN(700,MAX(-700,(Examples!$F$14*$A60-Examples!$F$15)/Examples!$F$16))))))+Examples!$F$17*$A60^2)</f>
        <v>117862.20167475648</v>
      </c>
      <c r="I60" s="33">
        <f>(Examples!$F$6*Examples!$F$7*Examples!$F$8*EXP(-Examples!$F$9*$A60)*(1-(Examples!$F$12*(1-EXP(-Examples!$F$13*$A60))/(1+EXP(MIN(700,MAX(-700,(Examples!$F$14*$A60-Examples!$F$15)/Examples!$F$16))))))+Examples!$F$17*$A60^2)</f>
        <v>20537.798325243519</v>
      </c>
      <c r="J60" s="33">
        <f>Examples!$G$18-(Examples!$G$10+Examples!$G$11)*$A60-(Examples!$G$6*Examples!$G$7*Examples!$G$8*EXP(-Examples!$G$9*$A60)*(1-(Examples!$G$12*(1-EXP(-Examples!$G$13*$A60))/(1+EXP(MIN(700,MAX(-700,(Examples!$G$14*$A60-Examples!$G$15)/Examples!$G$16))))))+Examples!$G$17*$A60^2)</f>
        <v>140939.08875833591</v>
      </c>
      <c r="K60" s="33">
        <f>(Examples!$G$6*Examples!$G$7*Examples!$G$8*EXP(-Examples!$G$9*$A60)*(1-(Examples!$G$12*(1-EXP(-Examples!$G$13*$A60))/(1+EXP(MIN(700,MAX(-700,(Examples!$G$14*$A60-Examples!$G$15)/Examples!$G$16))))))+Examples!$G$17*$A60^2)</f>
        <v>1330060.9112416641</v>
      </c>
      <c r="L60" s="33">
        <f>Examples!$H$18-(Examples!$H$10+Examples!$H$11)*$A60-(Examples!$H$6*Examples!$H$7*Examples!$H$8*EXP(-Examples!$H$9*$A60)*(1-(Examples!$H$12*(1-EXP(-Examples!$H$13*$A60))/(1+EXP(MIN(700,MAX(-700,(Examples!$H$14*$A60-Examples!$H$15)/Examples!$H$16))))))+Examples!$H$17*$A60^2)</f>
        <v>163827.31861311058</v>
      </c>
      <c r="M60" s="33">
        <f>(Examples!$H$6*Examples!$H$7*Examples!$H$8*EXP(-Examples!$H$9*$A60)*(1-(Examples!$H$12*(1-EXP(-Examples!$H$13*$A60))/(1+EXP(MIN(700,MAX(-700,(Examples!$H$14*$A60-Examples!$H$15)/Examples!$H$16))))))+Examples!$H$17*$A60^2)</f>
        <v>1307172.6813868894</v>
      </c>
    </row>
    <row r="61" spans="1:13" x14ac:dyDescent="0.25">
      <c r="A61" s="4">
        <f>(61-2)/100</f>
        <v>0.59</v>
      </c>
      <c r="B61" s="33">
        <f>Examples!$C$18-(Examples!$C$10+Examples!$C$11)*$A61-(Examples!$C$6*Examples!$C$7*Examples!$C$8*EXP(-Examples!$C$9*$A61)*(1-(Examples!$C$12*(1-EXP(-Examples!$C$13*$A61))/(1+EXP(MIN(700,MAX(-700,(Examples!$C$14*$A61-Examples!$C$15)/Examples!$C$16))))))+Examples!$C$17*$A61^2)</f>
        <v>133158.28461977362</v>
      </c>
      <c r="C61" s="33">
        <f>(Examples!$C$6*Examples!$C$7*Examples!$C$8*EXP(-Examples!$C$9*$A61)*(1-(Examples!$C$12*(1-EXP(-Examples!$C$13*$A61))/(1+EXP(MIN(700,MAX(-700,(Examples!$C$14*$A61-Examples!$C$15)/Examples!$C$16))))))+Examples!$C$17*$A61^2)</f>
        <v>446191.71538022638</v>
      </c>
      <c r="D61" s="33">
        <f>Examples!$D$18-(Examples!$D$10+Examples!$D$11)*$A61-(Examples!$D$6*Examples!$D$7*Examples!$D$8*EXP(-Examples!$D$9*$A61)*(1-(Examples!$D$12*(1-EXP(-Examples!$D$13*$A61))/(1+EXP(MIN(700,MAX(-700,(Examples!$D$14*$A61-Examples!$D$15)/Examples!$D$16))))))+Examples!$D$17*$A61^2)</f>
        <v>-1115485.0853000302</v>
      </c>
      <c r="E61" s="33">
        <f>(Examples!$D$6*Examples!$D$7*Examples!$D$8*EXP(-Examples!$D$9*$A61)*(1-(Examples!$D$12*(1-EXP(-Examples!$D$13*$A61))/(1+EXP(MIN(700,MAX(-700,(Examples!$D$14*$A61-Examples!$D$15)/Examples!$D$16))))))+Examples!$D$17*$A61^2)</f>
        <v>3588935.0853000302</v>
      </c>
      <c r="F61" s="33">
        <f>Examples!$E$18-(Examples!$E$10+Examples!$E$11)*$A61-(Examples!$E$6*Examples!$E$7*Examples!$E$8*EXP(-Examples!$E$9*$A61)*(1-(Examples!$E$12*(1-EXP(-Examples!$E$13*$A61))/(1+EXP(MIN(700,MAX(-700,(Examples!$E$14*$A61-Examples!$E$15)/Examples!$E$16))))))+Examples!$E$17*$A61^2)</f>
        <v>1500196.7078296063</v>
      </c>
      <c r="G61" s="33">
        <f>(Examples!$E$6*Examples!$E$7*Examples!$E$8*EXP(-Examples!$E$9*$A61)*(1-(Examples!$E$12*(1-EXP(-Examples!$E$13*$A61))/(1+EXP(MIN(700,MAX(-700,(Examples!$E$14*$A61-Examples!$E$15)/Examples!$E$16))))))+Examples!$E$17*$A61^2)</f>
        <v>1449653.2921703937</v>
      </c>
      <c r="H61" s="33">
        <f>Examples!$F$18-(Examples!$F$10+Examples!$F$11)*$A61-(Examples!$F$6*Examples!$F$7*Examples!$F$8*EXP(-Examples!$F$9*$A61)*(1-(Examples!$F$12*(1-EXP(-Examples!$F$13*$A61))/(1+EXP(MIN(700,MAX(-700,(Examples!$F$14*$A61-Examples!$F$15)/Examples!$F$16))))))+Examples!$F$17*$A61^2)</f>
        <v>117481.90964548664</v>
      </c>
      <c r="I61" s="33">
        <f>(Examples!$F$6*Examples!$F$7*Examples!$F$8*EXP(-Examples!$F$9*$A61)*(1-(Examples!$F$12*(1-EXP(-Examples!$F$13*$A61))/(1+EXP(MIN(700,MAX(-700,(Examples!$F$14*$A61-Examples!$F$15)/Examples!$F$16))))))+Examples!$F$17*$A61^2)</f>
        <v>20718.090354513366</v>
      </c>
      <c r="J61" s="33">
        <f>Examples!$G$18-(Examples!$G$10+Examples!$G$11)*$A61-(Examples!$G$6*Examples!$G$7*Examples!$G$8*EXP(-Examples!$G$9*$A61)*(1-(Examples!$G$12*(1-EXP(-Examples!$G$13*$A61))/(1+EXP(MIN(700,MAX(-700,(Examples!$G$14*$A61-Examples!$G$15)/Examples!$G$16))))))+Examples!$G$17*$A61^2)</f>
        <v>149194.75569743291</v>
      </c>
      <c r="K61" s="33">
        <f>(Examples!$G$6*Examples!$G$7*Examples!$G$8*EXP(-Examples!$G$9*$A61)*(1-(Examples!$G$12*(1-EXP(-Examples!$G$13*$A61))/(1+EXP(MIN(700,MAX(-700,(Examples!$G$14*$A61-Examples!$G$15)/Examples!$G$16))))))+Examples!$G$17*$A61^2)</f>
        <v>1321305.2443025671</v>
      </c>
      <c r="L61" s="33">
        <f>Examples!$H$18-(Examples!$H$10+Examples!$H$11)*$A61-(Examples!$H$6*Examples!$H$7*Examples!$H$8*EXP(-Examples!$H$9*$A61)*(1-(Examples!$H$12*(1-EXP(-Examples!$H$13*$A61))/(1+EXP(MIN(700,MAX(-700,(Examples!$H$14*$A61-Examples!$H$15)/Examples!$H$16))))))+Examples!$H$17*$A61^2)</f>
        <v>172615.02118696715</v>
      </c>
      <c r="M61" s="33">
        <f>(Examples!$H$6*Examples!$H$7*Examples!$H$8*EXP(-Examples!$H$9*$A61)*(1-(Examples!$H$12*(1-EXP(-Examples!$H$13*$A61))/(1+EXP(MIN(700,MAX(-700,(Examples!$H$14*$A61-Examples!$H$15)/Examples!$H$16))))))+Examples!$H$17*$A61^2)</f>
        <v>1297884.9788130329</v>
      </c>
    </row>
    <row r="62" spans="1:13" x14ac:dyDescent="0.25">
      <c r="A62" s="4">
        <f>(62-2)/100</f>
        <v>0.6</v>
      </c>
      <c r="B62" s="33">
        <f>Examples!$C$18-(Examples!$C$10+Examples!$C$11)*$A62-(Examples!$C$6*Examples!$C$7*Examples!$C$8*EXP(-Examples!$C$9*$A62)*(1-(Examples!$C$12*(1-EXP(-Examples!$C$13*$A62))/(1+EXP(MIN(700,MAX(-700,(Examples!$C$14*$A62-Examples!$C$15)/Examples!$C$16))))))+Examples!$C$17*$A62^2)</f>
        <v>134816.41970734386</v>
      </c>
      <c r="C62" s="33">
        <f>(Examples!$C$6*Examples!$C$7*Examples!$C$8*EXP(-Examples!$C$9*$A62)*(1-(Examples!$C$12*(1-EXP(-Examples!$C$13*$A62))/(1+EXP(MIN(700,MAX(-700,(Examples!$C$14*$A62-Examples!$C$15)/Examples!$C$16))))))+Examples!$C$17*$A62^2)</f>
        <v>444183.58029265614</v>
      </c>
      <c r="D62" s="33">
        <f>Examples!$D$18-(Examples!$D$10+Examples!$D$11)*$A62-(Examples!$D$6*Examples!$D$7*Examples!$D$8*EXP(-Examples!$D$9*$A62)*(1-(Examples!$D$12*(1-EXP(-Examples!$D$13*$A62))/(1+EXP(MIN(700,MAX(-700,(Examples!$D$14*$A62-Examples!$D$15)/Examples!$D$16))))))+Examples!$D$17*$A62^2)</f>
        <v>-1085875.8371668505</v>
      </c>
      <c r="E62" s="33">
        <f>(Examples!$D$6*Examples!$D$7*Examples!$D$8*EXP(-Examples!$D$9*$A62)*(1-(Examples!$D$12*(1-EXP(-Examples!$D$13*$A62))/(1+EXP(MIN(700,MAX(-700,(Examples!$D$14*$A62-Examples!$D$15)/Examples!$D$16))))))+Examples!$D$17*$A62^2)</f>
        <v>3558875.8371668505</v>
      </c>
      <c r="F62" s="33">
        <f>Examples!$E$18-(Examples!$E$10+Examples!$E$11)*$A62-(Examples!$E$6*Examples!$E$7*Examples!$E$8*EXP(-Examples!$E$9*$A62)*(1-(Examples!$E$12*(1-EXP(-Examples!$E$13*$A62))/(1+EXP(MIN(700,MAX(-700,(Examples!$E$14*$A62-Examples!$E$15)/Examples!$E$16))))))+Examples!$E$17*$A62^2)</f>
        <v>1514029.4802582148</v>
      </c>
      <c r="G62" s="33">
        <f>(Examples!$E$6*Examples!$E$7*Examples!$E$8*EXP(-Examples!$E$9*$A62)*(1-(Examples!$E$12*(1-EXP(-Examples!$E$13*$A62))/(1+EXP(MIN(700,MAX(-700,(Examples!$E$14*$A62-Examples!$E$15)/Examples!$E$16))))))+Examples!$E$17*$A62^2)</f>
        <v>1434970.5197417852</v>
      </c>
      <c r="H62" s="33">
        <f>Examples!$F$18-(Examples!$F$10+Examples!$F$11)*$A62-(Examples!$F$6*Examples!$F$7*Examples!$F$8*EXP(-Examples!$F$9*$A62)*(1-(Examples!$F$12*(1-EXP(-Examples!$F$13*$A62))/(1+EXP(MIN(700,MAX(-700,(Examples!$F$14*$A62-Examples!$F$15)/Examples!$F$16))))))+Examples!$F$17*$A62^2)</f>
        <v>117097.26000824253</v>
      </c>
      <c r="I62" s="33">
        <f>(Examples!$F$6*Examples!$F$7*Examples!$F$8*EXP(-Examples!$F$9*$A62)*(1-(Examples!$F$12*(1-EXP(-Examples!$F$13*$A62))/(1+EXP(MIN(700,MAX(-700,(Examples!$F$14*$A62-Examples!$F$15)/Examples!$F$16))))))+Examples!$F$17*$A62^2)</f>
        <v>20902.739991757473</v>
      </c>
      <c r="J62" s="33">
        <f>Examples!$G$18-(Examples!$G$10+Examples!$G$11)*$A62-(Examples!$G$6*Examples!$G$7*Examples!$G$8*EXP(-Examples!$G$9*$A62)*(1-(Examples!$G$12*(1-EXP(-Examples!$G$13*$A62))/(1+EXP(MIN(700,MAX(-700,(Examples!$G$14*$A62-Examples!$G$15)/Examples!$G$16))))))+Examples!$G$17*$A62^2)</f>
        <v>157368.73711848515</v>
      </c>
      <c r="K62" s="33">
        <f>(Examples!$G$6*Examples!$G$7*Examples!$G$8*EXP(-Examples!$G$9*$A62)*(1-(Examples!$G$12*(1-EXP(-Examples!$G$13*$A62))/(1+EXP(MIN(700,MAX(-700,(Examples!$G$14*$A62-Examples!$G$15)/Examples!$G$16))))))+Examples!$G$17*$A62^2)</f>
        <v>1312631.2628815148</v>
      </c>
      <c r="L62" s="33">
        <f>Examples!$H$18-(Examples!$H$10+Examples!$H$11)*$A62-(Examples!$H$6*Examples!$H$7*Examples!$H$8*EXP(-Examples!$H$9*$A62)*(1-(Examples!$H$12*(1-EXP(-Examples!$H$13*$A62))/(1+EXP(MIN(700,MAX(-700,(Examples!$H$14*$A62-Examples!$H$15)/Examples!$H$16))))))+Examples!$H$17*$A62^2)</f>
        <v>181325.97947681672</v>
      </c>
      <c r="M62" s="33">
        <f>(Examples!$H$6*Examples!$H$7*Examples!$H$8*EXP(-Examples!$H$9*$A62)*(1-(Examples!$H$12*(1-EXP(-Examples!$H$13*$A62))/(1+EXP(MIN(700,MAX(-700,(Examples!$H$14*$A62-Examples!$H$15)/Examples!$H$16))))))+Examples!$H$17*$A62^2)</f>
        <v>1288674.0205231833</v>
      </c>
    </row>
    <row r="63" spans="1:13" x14ac:dyDescent="0.25">
      <c r="A63" s="4">
        <f>(63-2)/100</f>
        <v>0.61</v>
      </c>
      <c r="B63" s="33">
        <f>Examples!$C$18-(Examples!$C$10+Examples!$C$11)*$A63-(Examples!$C$6*Examples!$C$7*Examples!$C$8*EXP(-Examples!$C$9*$A63)*(1-(Examples!$C$12*(1-EXP(-Examples!$C$13*$A63))/(1+EXP(MIN(700,MAX(-700,(Examples!$C$14*$A63-Examples!$C$15)/Examples!$C$16))))))+Examples!$C$17*$A63^2)</f>
        <v>136455.23216358857</v>
      </c>
      <c r="C63" s="33">
        <f>(Examples!$C$6*Examples!$C$7*Examples!$C$8*EXP(-Examples!$C$9*$A63)*(1-(Examples!$C$12*(1-EXP(-Examples!$C$13*$A63))/(1+EXP(MIN(700,MAX(-700,(Examples!$C$14*$A63-Examples!$C$15)/Examples!$C$16))))))+Examples!$C$17*$A63^2)</f>
        <v>442194.76783641143</v>
      </c>
      <c r="D63" s="33">
        <f>Examples!$D$18-(Examples!$D$10+Examples!$D$11)*$A63-(Examples!$D$6*Examples!$D$7*Examples!$D$8*EXP(-Examples!$D$9*$A63)*(1-(Examples!$D$12*(1-EXP(-Examples!$D$13*$A63))/(1+EXP(MIN(700,MAX(-700,(Examples!$D$14*$A63-Examples!$D$15)/Examples!$D$16))))))+Examples!$D$17*$A63^2)</f>
        <v>-1056558.5108734835</v>
      </c>
      <c r="E63" s="33">
        <f>(Examples!$D$6*Examples!$D$7*Examples!$D$8*EXP(-Examples!$D$9*$A63)*(1-(Examples!$D$12*(1-EXP(-Examples!$D$13*$A63))/(1+EXP(MIN(700,MAX(-700,(Examples!$D$14*$A63-Examples!$D$15)/Examples!$D$16))))))+Examples!$D$17*$A63^2)</f>
        <v>3529108.5108734835</v>
      </c>
      <c r="F63" s="33">
        <f>Examples!$E$18-(Examples!$E$10+Examples!$E$11)*$A63-(Examples!$E$6*Examples!$E$7*Examples!$E$8*EXP(-Examples!$E$9*$A63)*(1-(Examples!$E$12*(1-EXP(-Examples!$E$13*$A63))/(1+EXP(MIN(700,MAX(-700,(Examples!$E$14*$A63-Examples!$E$15)/Examples!$E$16))))))+Examples!$E$17*$A63^2)</f>
        <v>1527693.5176162496</v>
      </c>
      <c r="G63" s="33">
        <f>(Examples!$E$6*Examples!$E$7*Examples!$E$8*EXP(-Examples!$E$9*$A63)*(1-(Examples!$E$12*(1-EXP(-Examples!$E$13*$A63))/(1+EXP(MIN(700,MAX(-700,(Examples!$E$14*$A63-Examples!$E$15)/Examples!$E$16))))))+Examples!$E$17*$A63^2)</f>
        <v>1420456.4823837504</v>
      </c>
      <c r="H63" s="33">
        <f>Examples!$F$18-(Examples!$F$10+Examples!$F$11)*$A63-(Examples!$F$6*Examples!$F$7*Examples!$F$8*EXP(-Examples!$F$9*$A63)*(1-(Examples!$F$12*(1-EXP(-Examples!$F$13*$A63))/(1+EXP(MIN(700,MAX(-700,(Examples!$F$14*$A63-Examples!$F$15)/Examples!$F$16))))))+Examples!$F$17*$A63^2)</f>
        <v>116708.25023302168</v>
      </c>
      <c r="I63" s="33">
        <f>(Examples!$F$6*Examples!$F$7*Examples!$F$8*EXP(-Examples!$F$9*$A63)*(1-(Examples!$F$12*(1-EXP(-Examples!$F$13*$A63))/(1+EXP(MIN(700,MAX(-700,(Examples!$F$14*$A63-Examples!$F$15)/Examples!$F$16))))))+Examples!$F$17*$A63^2)</f>
        <v>21091.749766978319</v>
      </c>
      <c r="J63" s="33">
        <f>Examples!$G$18-(Examples!$G$10+Examples!$G$11)*$A63-(Examples!$G$6*Examples!$G$7*Examples!$G$8*EXP(-Examples!$G$9*$A63)*(1-(Examples!$G$12*(1-EXP(-Examples!$G$13*$A63))/(1+EXP(MIN(700,MAX(-700,(Examples!$G$14*$A63-Examples!$G$15)/Examples!$G$16))))))+Examples!$G$17*$A63^2)</f>
        <v>165461.60146178328</v>
      </c>
      <c r="K63" s="33">
        <f>(Examples!$G$6*Examples!$G$7*Examples!$G$8*EXP(-Examples!$G$9*$A63)*(1-(Examples!$G$12*(1-EXP(-Examples!$G$13*$A63))/(1+EXP(MIN(700,MAX(-700,(Examples!$G$14*$A63-Examples!$G$15)/Examples!$G$16))))))+Examples!$G$17*$A63^2)</f>
        <v>1304038.3985382167</v>
      </c>
      <c r="L63" s="33">
        <f>Examples!$H$18-(Examples!$H$10+Examples!$H$11)*$A63-(Examples!$H$6*Examples!$H$7*Examples!$H$8*EXP(-Examples!$H$9*$A63)*(1-(Examples!$H$12*(1-EXP(-Examples!$H$13*$A63))/(1+EXP(MIN(700,MAX(-700,(Examples!$H$14*$A63-Examples!$H$15)/Examples!$H$16))))))+Examples!$H$17*$A63^2)</f>
        <v>189960.76105981902</v>
      </c>
      <c r="M63" s="33">
        <f>(Examples!$H$6*Examples!$H$7*Examples!$H$8*EXP(-Examples!$H$9*$A63)*(1-(Examples!$H$12*(1-EXP(-Examples!$H$13*$A63))/(1+EXP(MIN(700,MAX(-700,(Examples!$H$14*$A63-Examples!$H$15)/Examples!$H$16))))))+Examples!$H$17*$A63^2)</f>
        <v>1279539.238940181</v>
      </c>
    </row>
    <row r="64" spans="1:13" x14ac:dyDescent="0.25">
      <c r="A64" s="4">
        <f>(64-2)/100</f>
        <v>0.62</v>
      </c>
      <c r="B64" s="33">
        <f>Examples!$C$18-(Examples!$C$10+Examples!$C$11)*$A64-(Examples!$C$6*Examples!$C$7*Examples!$C$8*EXP(-Examples!$C$9*$A64)*(1-(Examples!$C$12*(1-EXP(-Examples!$C$13*$A64))/(1+EXP(MIN(700,MAX(-700,(Examples!$C$14*$A64-Examples!$C$15)/Examples!$C$16))))))+Examples!$C$17*$A64^2)</f>
        <v>138074.71104424878</v>
      </c>
      <c r="C64" s="33">
        <f>(Examples!$C$6*Examples!$C$7*Examples!$C$8*EXP(-Examples!$C$9*$A64)*(1-(Examples!$C$12*(1-EXP(-Examples!$C$13*$A64))/(1+EXP(MIN(700,MAX(-700,(Examples!$C$14*$A64-Examples!$C$15)/Examples!$C$16))))))+Examples!$C$17*$A64^2)</f>
        <v>440225.28895575122</v>
      </c>
      <c r="D64" s="33">
        <f>Examples!$D$18-(Examples!$D$10+Examples!$D$11)*$A64-(Examples!$D$6*Examples!$D$7*Examples!$D$8*EXP(-Examples!$D$9*$A64)*(1-(Examples!$D$12*(1-EXP(-Examples!$D$13*$A64))/(1+EXP(MIN(700,MAX(-700,(Examples!$D$14*$A64-Examples!$D$15)/Examples!$D$16))))))+Examples!$D$17*$A64^2)</f>
        <v>-1027530.271300327</v>
      </c>
      <c r="E64" s="33">
        <f>(Examples!$D$6*Examples!$D$7*Examples!$D$8*EXP(-Examples!$D$9*$A64)*(1-(Examples!$D$12*(1-EXP(-Examples!$D$13*$A64))/(1+EXP(MIN(700,MAX(-700,(Examples!$D$14*$A64-Examples!$D$15)/Examples!$D$16))))))+Examples!$D$17*$A64^2)</f>
        <v>3499630.271300327</v>
      </c>
      <c r="F64" s="33">
        <f>Examples!$E$18-(Examples!$E$10+Examples!$E$11)*$A64-(Examples!$E$6*Examples!$E$7*Examples!$E$8*EXP(-Examples!$E$9*$A64)*(1-(Examples!$E$12*(1-EXP(-Examples!$E$13*$A64))/(1+EXP(MIN(700,MAX(-700,(Examples!$E$14*$A64-Examples!$E$15)/Examples!$E$16))))))+Examples!$E$17*$A64^2)</f>
        <v>1541190.7743650412</v>
      </c>
      <c r="G64" s="33">
        <f>(Examples!$E$6*Examples!$E$7*Examples!$E$8*EXP(-Examples!$E$9*$A64)*(1-(Examples!$E$12*(1-EXP(-Examples!$E$13*$A64))/(1+EXP(MIN(700,MAX(-700,(Examples!$E$14*$A64-Examples!$E$15)/Examples!$E$16))))))+Examples!$E$17*$A64^2)</f>
        <v>1406109.2256349588</v>
      </c>
      <c r="H64" s="33">
        <f>Examples!$F$18-(Examples!$F$10+Examples!$F$11)*$A64-(Examples!$F$6*Examples!$F$7*Examples!$F$8*EXP(-Examples!$F$9*$A64)*(1-(Examples!$F$12*(1-EXP(-Examples!$F$13*$A64))/(1+EXP(MIN(700,MAX(-700,(Examples!$F$14*$A64-Examples!$F$15)/Examples!$F$16))))))+Examples!$F$17*$A64^2)</f>
        <v>116314.8776792531</v>
      </c>
      <c r="I64" s="33">
        <f>(Examples!$F$6*Examples!$F$7*Examples!$F$8*EXP(-Examples!$F$9*$A64)*(1-(Examples!$F$12*(1-EXP(-Examples!$F$13*$A64))/(1+EXP(MIN(700,MAX(-700,(Examples!$F$14*$A64-Examples!$F$15)/Examples!$F$16))))))+Examples!$F$17*$A64^2)</f>
        <v>21285.122320746901</v>
      </c>
      <c r="J64" s="33">
        <f>Examples!$G$18-(Examples!$G$10+Examples!$G$11)*$A64-(Examples!$G$6*Examples!$G$7*Examples!$G$8*EXP(-Examples!$G$9*$A64)*(1-(Examples!$G$12*(1-EXP(-Examples!$G$13*$A64))/(1+EXP(MIN(700,MAX(-700,(Examples!$G$14*$A64-Examples!$G$15)/Examples!$G$16))))))+Examples!$G$17*$A64^2)</f>
        <v>173473.91233631759</v>
      </c>
      <c r="K64" s="33">
        <f>(Examples!$G$6*Examples!$G$7*Examples!$G$8*EXP(-Examples!$G$9*$A64)*(1-(Examples!$G$12*(1-EXP(-Examples!$G$13*$A64))/(1+EXP(MIN(700,MAX(-700,(Examples!$G$14*$A64-Examples!$G$15)/Examples!$G$16))))))+Examples!$G$17*$A64^2)</f>
        <v>1295526.0876636824</v>
      </c>
      <c r="L64" s="33">
        <f>Examples!$H$18-(Examples!$H$10+Examples!$H$11)*$A64-(Examples!$H$6*Examples!$H$7*Examples!$H$8*EXP(-Examples!$H$9*$A64)*(1-(Examples!$H$12*(1-EXP(-Examples!$H$13*$A64))/(1+EXP(MIN(700,MAX(-700,(Examples!$H$14*$A64-Examples!$H$15)/Examples!$H$16))))))+Examples!$H$17*$A64^2)</f>
        <v>198519.92720423639</v>
      </c>
      <c r="M64" s="33">
        <f>(Examples!$H$6*Examples!$H$7*Examples!$H$8*EXP(-Examples!$H$9*$A64)*(1-(Examples!$H$12*(1-EXP(-Examples!$H$13*$A64))/(1+EXP(MIN(700,MAX(-700,(Examples!$H$14*$A64-Examples!$H$15)/Examples!$H$16))))))+Examples!$H$17*$A64^2)</f>
        <v>1270480.0727957636</v>
      </c>
    </row>
    <row r="65" spans="1:13" x14ac:dyDescent="0.25">
      <c r="A65" s="4">
        <f>(65-2)/100</f>
        <v>0.63</v>
      </c>
      <c r="B65" s="33">
        <f>Examples!$C$18-(Examples!$C$10+Examples!$C$11)*$A65-(Examples!$C$6*Examples!$C$7*Examples!$C$8*EXP(-Examples!$C$9*$A65)*(1-(Examples!$C$12*(1-EXP(-Examples!$C$13*$A65))/(1+EXP(MIN(700,MAX(-700,(Examples!$C$14*$A65-Examples!$C$15)/Examples!$C$16))))))+Examples!$C$17*$A65^2)</f>
        <v>139674.84215268167</v>
      </c>
      <c r="C65" s="33">
        <f>(Examples!$C$6*Examples!$C$7*Examples!$C$8*EXP(-Examples!$C$9*$A65)*(1-(Examples!$C$12*(1-EXP(-Examples!$C$13*$A65))/(1+EXP(MIN(700,MAX(-700,(Examples!$C$14*$A65-Examples!$C$15)/Examples!$C$16))))))+Examples!$C$17*$A65^2)</f>
        <v>438275.15784731833</v>
      </c>
      <c r="D65" s="33">
        <f>Examples!$D$18-(Examples!$D$10+Examples!$D$11)*$A65-(Examples!$D$6*Examples!$D$7*Examples!$D$8*EXP(-Examples!$D$9*$A65)*(1-(Examples!$D$12*(1-EXP(-Examples!$D$13*$A65))/(1+EXP(MIN(700,MAX(-700,(Examples!$D$14*$A65-Examples!$D$15)/Examples!$D$16))))))+Examples!$D$17*$A65^2)</f>
        <v>-998788.31279604277</v>
      </c>
      <c r="E65" s="33">
        <f>(Examples!$D$6*Examples!$D$7*Examples!$D$8*EXP(-Examples!$D$9*$A65)*(1-(Examples!$D$12*(1-EXP(-Examples!$D$13*$A65))/(1+EXP(MIN(700,MAX(-700,(Examples!$D$14*$A65-Examples!$D$15)/Examples!$D$16))))))+Examples!$D$17*$A65^2)</f>
        <v>3470438.3127960428</v>
      </c>
      <c r="F65" s="33">
        <f>Examples!$E$18-(Examples!$E$10+Examples!$E$11)*$A65-(Examples!$E$6*Examples!$E$7*Examples!$E$8*EXP(-Examples!$E$9*$A65)*(1-(Examples!$E$12*(1-EXP(-Examples!$E$13*$A65))/(1+EXP(MIN(700,MAX(-700,(Examples!$E$14*$A65-Examples!$E$15)/Examples!$E$16))))))+Examples!$E$17*$A65^2)</f>
        <v>1554523.1819124066</v>
      </c>
      <c r="G65" s="33">
        <f>(Examples!$E$6*Examples!$E$7*Examples!$E$8*EXP(-Examples!$E$9*$A65)*(1-(Examples!$E$12*(1-EXP(-Examples!$E$13*$A65))/(1+EXP(MIN(700,MAX(-700,(Examples!$E$14*$A65-Examples!$E$15)/Examples!$E$16))))))+Examples!$E$17*$A65^2)</f>
        <v>1391926.8180875934</v>
      </c>
      <c r="H65" s="33">
        <f>Examples!$F$18-(Examples!$F$10+Examples!$F$11)*$A65-(Examples!$F$6*Examples!$F$7*Examples!$F$8*EXP(-Examples!$F$9*$A65)*(1-(Examples!$F$12*(1-EXP(-Examples!$F$13*$A65))/(1+EXP(MIN(700,MAX(-700,(Examples!$F$14*$A65-Examples!$F$15)/Examples!$F$16))))))+Examples!$F$17*$A65^2)</f>
        <v>115917.13959613591</v>
      </c>
      <c r="I65" s="33">
        <f>(Examples!$F$6*Examples!$F$7*Examples!$F$8*EXP(-Examples!$F$9*$A65)*(1-(Examples!$F$12*(1-EXP(-Examples!$F$13*$A65))/(1+EXP(MIN(700,MAX(-700,(Examples!$F$14*$A65-Examples!$F$15)/Examples!$F$16))))))+Examples!$F$17*$A65^2)</f>
        <v>21482.860403864099</v>
      </c>
      <c r="J65" s="33">
        <f>Examples!$G$18-(Examples!$G$10+Examples!$G$11)*$A65-(Examples!$G$6*Examples!$G$7*Examples!$G$8*EXP(-Examples!$G$9*$A65)*(1-(Examples!$G$12*(1-EXP(-Examples!$G$13*$A65))/(1+EXP(MIN(700,MAX(-700,(Examples!$G$14*$A65-Examples!$G$15)/Examples!$G$16))))))+Examples!$G$17*$A65^2)</f>
        <v>181406.22857585922</v>
      </c>
      <c r="K65" s="33">
        <f>(Examples!$G$6*Examples!$G$7*Examples!$G$8*EXP(-Examples!$G$9*$A65)*(1-(Examples!$G$12*(1-EXP(-Examples!$G$13*$A65))/(1+EXP(MIN(700,MAX(-700,(Examples!$G$14*$A65-Examples!$G$15)/Examples!$G$16))))))+Examples!$G$17*$A65^2)</f>
        <v>1287093.7714241408</v>
      </c>
      <c r="L65" s="33">
        <f>Examples!$H$18-(Examples!$H$10+Examples!$H$11)*$A65-(Examples!$H$6*Examples!$H$7*Examples!$H$8*EXP(-Examples!$H$9*$A65)*(1-(Examples!$H$12*(1-EXP(-Examples!$H$13*$A65))/(1+EXP(MIN(700,MAX(-700,(Examples!$H$14*$A65-Examples!$H$15)/Examples!$H$16))))))+Examples!$H$17*$A65^2)</f>
        <v>207004.03287428967</v>
      </c>
      <c r="M65" s="33">
        <f>(Examples!$H$6*Examples!$H$7*Examples!$H$8*EXP(-Examples!$H$9*$A65)*(1-(Examples!$H$12*(1-EXP(-Examples!$H$13*$A65))/(1+EXP(MIN(700,MAX(-700,(Examples!$H$14*$A65-Examples!$H$15)/Examples!$H$16))))))+Examples!$H$17*$A65^2)</f>
        <v>1261495.9671257103</v>
      </c>
    </row>
    <row r="66" spans="1:13" x14ac:dyDescent="0.25">
      <c r="A66" s="4">
        <f>(66-2)/100</f>
        <v>0.64</v>
      </c>
      <c r="B66" s="33">
        <f>Examples!$C$18-(Examples!$C$10+Examples!$C$11)*$A66-(Examples!$C$6*Examples!$C$7*Examples!$C$8*EXP(-Examples!$C$9*$A66)*(1-(Examples!$C$12*(1-EXP(-Examples!$C$13*$A66))/(1+EXP(MIN(700,MAX(-700,(Examples!$C$14*$A66-Examples!$C$15)/Examples!$C$16))))))+Examples!$C$17*$A66^2)</f>
        <v>141255.60800206888</v>
      </c>
      <c r="C66" s="33">
        <f>(Examples!$C$6*Examples!$C$7*Examples!$C$8*EXP(-Examples!$C$9*$A66)*(1-(Examples!$C$12*(1-EXP(-Examples!$C$13*$A66))/(1+EXP(MIN(700,MAX(-700,(Examples!$C$14*$A66-Examples!$C$15)/Examples!$C$16))))))+Examples!$C$17*$A66^2)</f>
        <v>436344.39199793112</v>
      </c>
      <c r="D66" s="33">
        <f>Examples!$D$18-(Examples!$D$10+Examples!$D$11)*$A66-(Examples!$D$6*Examples!$D$7*Examples!$D$8*EXP(-Examples!$D$9*$A66)*(1-(Examples!$D$12*(1-EXP(-Examples!$D$13*$A66))/(1+EXP(MIN(700,MAX(-700,(Examples!$D$14*$A66-Examples!$D$15)/Examples!$D$16))))))+Examples!$D$17*$A66^2)</f>
        <v>-970329.85887395404</v>
      </c>
      <c r="E66" s="33">
        <f>(Examples!$D$6*Examples!$D$7*Examples!$D$8*EXP(-Examples!$D$9*$A66)*(1-(Examples!$D$12*(1-EXP(-Examples!$D$13*$A66))/(1+EXP(MIN(700,MAX(-700,(Examples!$D$14*$A66-Examples!$D$15)/Examples!$D$16))))))+Examples!$D$17*$A66^2)</f>
        <v>3441529.858873954</v>
      </c>
      <c r="F66" s="33">
        <f>Examples!$E$18-(Examples!$E$10+Examples!$E$11)*$A66-(Examples!$E$6*Examples!$E$7*Examples!$E$8*EXP(-Examples!$E$9*$A66)*(1-(Examples!$E$12*(1-EXP(-Examples!$E$13*$A66))/(1+EXP(MIN(700,MAX(-700,(Examples!$E$14*$A66-Examples!$E$15)/Examples!$E$16))))))+Examples!$E$17*$A66^2)</f>
        <v>1567692.6488867053</v>
      </c>
      <c r="G66" s="33">
        <f>(Examples!$E$6*Examples!$E$7*Examples!$E$8*EXP(-Examples!$E$9*$A66)*(1-(Examples!$E$12*(1-EXP(-Examples!$E$13*$A66))/(1+EXP(MIN(700,MAX(-700,(Examples!$E$14*$A66-Examples!$E$15)/Examples!$E$16))))))+Examples!$E$17*$A66^2)</f>
        <v>1377907.3511132947</v>
      </c>
      <c r="H66" s="33">
        <f>Examples!$F$18-(Examples!$F$10+Examples!$F$11)*$A66-(Examples!$F$6*Examples!$F$7*Examples!$F$8*EXP(-Examples!$F$9*$A66)*(1-(Examples!$F$12*(1-EXP(-Examples!$F$13*$A66))/(1+EXP(MIN(700,MAX(-700,(Examples!$F$14*$A66-Examples!$F$15)/Examples!$F$16))))))+Examples!$F$17*$A66^2)</f>
        <v>115515.03312329209</v>
      </c>
      <c r="I66" s="33">
        <f>(Examples!$F$6*Examples!$F$7*Examples!$F$8*EXP(-Examples!$F$9*$A66)*(1-(Examples!$F$12*(1-EXP(-Examples!$F$13*$A66))/(1+EXP(MIN(700,MAX(-700,(Examples!$F$14*$A66-Examples!$F$15)/Examples!$F$16))))))+Examples!$F$17*$A66^2)</f>
        <v>21684.96687670792</v>
      </c>
      <c r="J66" s="33">
        <f>Examples!$G$18-(Examples!$G$10+Examples!$G$11)*$A66-(Examples!$G$6*Examples!$G$7*Examples!$G$8*EXP(-Examples!$G$9*$A66)*(1-(Examples!$G$12*(1-EXP(-Examples!$G$13*$A66))/(1+EXP(MIN(700,MAX(-700,(Examples!$G$14*$A66-Examples!$G$15)/Examples!$G$16))))))+Examples!$G$17*$A66^2)</f>
        <v>189259.1042949406</v>
      </c>
      <c r="K66" s="33">
        <f>(Examples!$G$6*Examples!$G$7*Examples!$G$8*EXP(-Examples!$G$9*$A66)*(1-(Examples!$G$12*(1-EXP(-Examples!$G$13*$A66))/(1+EXP(MIN(700,MAX(-700,(Examples!$G$14*$A66-Examples!$G$15)/Examples!$G$16))))))+Examples!$G$17*$A66^2)</f>
        <v>1278740.8957050594</v>
      </c>
      <c r="L66" s="33">
        <f>Examples!$H$18-(Examples!$H$10+Examples!$H$11)*$A66-(Examples!$H$6*Examples!$H$7*Examples!$H$8*EXP(-Examples!$H$9*$A66)*(1-(Examples!$H$12*(1-EXP(-Examples!$H$13*$A66))/(1+EXP(MIN(700,MAX(-700,(Examples!$H$14*$A66-Examples!$H$15)/Examples!$H$16))))))+Examples!$H$17*$A66^2)</f>
        <v>215413.62673359504</v>
      </c>
      <c r="M66" s="33">
        <f>(Examples!$H$6*Examples!$H$7*Examples!$H$8*EXP(-Examples!$H$9*$A66)*(1-(Examples!$H$12*(1-EXP(-Examples!$H$13*$A66))/(1+EXP(MIN(700,MAX(-700,(Examples!$H$14*$A66-Examples!$H$15)/Examples!$H$16))))))+Examples!$H$17*$A66^2)</f>
        <v>1252586.373266405</v>
      </c>
    </row>
    <row r="67" spans="1:13" x14ac:dyDescent="0.25">
      <c r="A67" s="4">
        <f>(67-2)/100</f>
        <v>0.65</v>
      </c>
      <c r="B67" s="33">
        <f>Examples!$C$18-(Examples!$C$10+Examples!$C$11)*$A67-(Examples!$C$6*Examples!$C$7*Examples!$C$8*EXP(-Examples!$C$9*$A67)*(1-(Examples!$C$12*(1-EXP(-Examples!$C$13*$A67))/(1+EXP(MIN(700,MAX(-700,(Examples!$C$14*$A67-Examples!$C$15)/Examples!$C$16))))))+Examples!$C$17*$A67^2)</f>
        <v>142816.98777922272</v>
      </c>
      <c r="C67" s="33">
        <f>(Examples!$C$6*Examples!$C$7*Examples!$C$8*EXP(-Examples!$C$9*$A67)*(1-(Examples!$C$12*(1-EXP(-Examples!$C$13*$A67))/(1+EXP(MIN(700,MAX(-700,(Examples!$C$14*$A67-Examples!$C$15)/Examples!$C$16))))))+Examples!$C$17*$A67^2)</f>
        <v>434433.01222077728</v>
      </c>
      <c r="D67" s="33">
        <f>Examples!$D$18-(Examples!$D$10+Examples!$D$11)*$A67-(Examples!$D$6*Examples!$D$7*Examples!$D$8*EXP(-Examples!$D$9*$A67)*(1-(Examples!$D$12*(1-EXP(-Examples!$D$13*$A67))/(1+EXP(MIN(700,MAX(-700,(Examples!$D$14*$A67-Examples!$D$15)/Examples!$D$16))))))+Examples!$D$17*$A67^2)</f>
        <v>-942152.1619115551</v>
      </c>
      <c r="E67" s="33">
        <f>(Examples!$D$6*Examples!$D$7*Examples!$D$8*EXP(-Examples!$D$9*$A67)*(1-(Examples!$D$12*(1-EXP(-Examples!$D$13*$A67))/(1+EXP(MIN(700,MAX(-700,(Examples!$D$14*$A67-Examples!$D$15)/Examples!$D$16))))))+Examples!$D$17*$A67^2)</f>
        <v>3412902.1619115551</v>
      </c>
      <c r="F67" s="33">
        <f>Examples!$E$18-(Examples!$E$10+Examples!$E$11)*$A67-(Examples!$E$6*Examples!$E$7*Examples!$E$8*EXP(-Examples!$E$9*$A67)*(1-(Examples!$E$12*(1-EXP(-Examples!$E$13*$A67))/(1+EXP(MIN(700,MAX(-700,(Examples!$E$14*$A67-Examples!$E$15)/Examples!$E$16))))))+Examples!$E$17*$A67^2)</f>
        <v>1580701.0614076369</v>
      </c>
      <c r="G67" s="33">
        <f>(Examples!$E$6*Examples!$E$7*Examples!$E$8*EXP(-Examples!$E$9*$A67)*(1-(Examples!$E$12*(1-EXP(-Examples!$E$13*$A67))/(1+EXP(MIN(700,MAX(-700,(Examples!$E$14*$A67-Examples!$E$15)/Examples!$E$16))))))+Examples!$E$17*$A67^2)</f>
        <v>1364048.9385923631</v>
      </c>
      <c r="H67" s="33">
        <f>Examples!$F$18-(Examples!$F$10+Examples!$F$11)*$A67-(Examples!$F$6*Examples!$F$7*Examples!$F$8*EXP(-Examples!$F$9*$A67)*(1-(Examples!$F$12*(1-EXP(-Examples!$F$13*$A67))/(1+EXP(MIN(700,MAX(-700,(Examples!$F$14*$A67-Examples!$F$15)/Examples!$F$16))))))+Examples!$F$17*$A67^2)</f>
        <v>115108.55529176022</v>
      </c>
      <c r="I67" s="33">
        <f>(Examples!$F$6*Examples!$F$7*Examples!$F$8*EXP(-Examples!$F$9*$A67)*(1-(Examples!$F$12*(1-EXP(-Examples!$F$13*$A67))/(1+EXP(MIN(700,MAX(-700,(Examples!$F$14*$A67-Examples!$F$15)/Examples!$F$16))))))+Examples!$F$17*$A67^2)</f>
        <v>21891.444708239778</v>
      </c>
      <c r="J67" s="33">
        <f>Examples!$G$18-(Examples!$G$10+Examples!$G$11)*$A67-(Examples!$G$6*Examples!$G$7*Examples!$G$8*EXP(-Examples!$G$9*$A67)*(1-(Examples!$G$12*(1-EXP(-Examples!$G$13*$A67))/(1+EXP(MIN(700,MAX(-700,(Examples!$G$14*$A67-Examples!$G$15)/Examples!$G$16))))))+Examples!$G$17*$A67^2)</f>
        <v>197033.08894473244</v>
      </c>
      <c r="K67" s="33">
        <f>(Examples!$G$6*Examples!$G$7*Examples!$G$8*EXP(-Examples!$G$9*$A67)*(1-(Examples!$G$12*(1-EXP(-Examples!$G$13*$A67))/(1+EXP(MIN(700,MAX(-700,(Examples!$G$14*$A67-Examples!$G$15)/Examples!$G$16))))))+Examples!$G$17*$A67^2)</f>
        <v>1270466.9110552676</v>
      </c>
      <c r="L67" s="33">
        <f>Examples!$H$18-(Examples!$H$10+Examples!$H$11)*$A67-(Examples!$H$6*Examples!$H$7*Examples!$H$8*EXP(-Examples!$H$9*$A67)*(1-(Examples!$H$12*(1-EXP(-Examples!$H$13*$A67))/(1+EXP(MIN(700,MAX(-700,(Examples!$H$14*$A67-Examples!$H$15)/Examples!$H$16))))))+Examples!$H$17*$A67^2)</f>
        <v>223749.25114715286</v>
      </c>
      <c r="M67" s="33">
        <f>(Examples!$H$6*Examples!$H$7*Examples!$H$8*EXP(-Examples!$H$9*$A67)*(1-(Examples!$H$12*(1-EXP(-Examples!$H$13*$A67))/(1+EXP(MIN(700,MAX(-700,(Examples!$H$14*$A67-Examples!$H$15)/Examples!$H$16))))))+Examples!$H$17*$A67^2)</f>
        <v>1243750.7488528471</v>
      </c>
    </row>
    <row r="68" spans="1:13" x14ac:dyDescent="0.25">
      <c r="A68" s="4">
        <f>(68-2)/100</f>
        <v>0.66</v>
      </c>
      <c r="B68" s="33">
        <f>Examples!$C$18-(Examples!$C$10+Examples!$C$11)*$A68-(Examples!$C$6*Examples!$C$7*Examples!$C$8*EXP(-Examples!$C$9*$A68)*(1-(Examples!$C$12*(1-EXP(-Examples!$C$13*$A68))/(1+EXP(MIN(700,MAX(-700,(Examples!$C$14*$A68-Examples!$C$15)/Examples!$C$16))))))+Examples!$C$17*$A68^2)</f>
        <v>144358.95731021068</v>
      </c>
      <c r="C68" s="33">
        <f>(Examples!$C$6*Examples!$C$7*Examples!$C$8*EXP(-Examples!$C$9*$A68)*(1-(Examples!$C$12*(1-EXP(-Examples!$C$13*$A68))/(1+EXP(MIN(700,MAX(-700,(Examples!$C$14*$A68-Examples!$C$15)/Examples!$C$16))))))+Examples!$C$17*$A68^2)</f>
        <v>432541.04268978932</v>
      </c>
      <c r="D68" s="33">
        <f>Examples!$D$18-(Examples!$D$10+Examples!$D$11)*$A68-(Examples!$D$6*Examples!$D$7*Examples!$D$8*EXP(-Examples!$D$9*$A68)*(1-(Examples!$D$12*(1-EXP(-Examples!$D$13*$A68))/(1+EXP(MIN(700,MAX(-700,(Examples!$D$14*$A68-Examples!$D$15)/Examples!$D$16))))))+Examples!$D$17*$A68^2)</f>
        <v>-914252.50285309134</v>
      </c>
      <c r="E68" s="33">
        <f>(Examples!$D$6*Examples!$D$7*Examples!$D$8*EXP(-Examples!$D$9*$A68)*(1-(Examples!$D$12*(1-EXP(-Examples!$D$13*$A68))/(1+EXP(MIN(700,MAX(-700,(Examples!$D$14*$A68-Examples!$D$15)/Examples!$D$16))))))+Examples!$D$17*$A68^2)</f>
        <v>3384552.5028530913</v>
      </c>
      <c r="F68" s="33">
        <f>Examples!$E$18-(Examples!$E$10+Examples!$E$11)*$A68-(Examples!$E$6*Examples!$E$7*Examples!$E$8*EXP(-Examples!$E$9*$A68)*(1-(Examples!$E$12*(1-EXP(-Examples!$E$13*$A68))/(1+EXP(MIN(700,MAX(-700,(Examples!$E$14*$A68-Examples!$E$15)/Examples!$E$16))))))+Examples!$E$17*$A68^2)</f>
        <v>1593550.2833538149</v>
      </c>
      <c r="G68" s="33">
        <f>(Examples!$E$6*Examples!$E$7*Examples!$E$8*EXP(-Examples!$E$9*$A68)*(1-(Examples!$E$12*(1-EXP(-Examples!$E$13*$A68))/(1+EXP(MIN(700,MAX(-700,(Examples!$E$14*$A68-Examples!$E$15)/Examples!$E$16))))))+Examples!$E$17*$A68^2)</f>
        <v>1350349.7166461851</v>
      </c>
      <c r="H68" s="33">
        <f>Examples!$F$18-(Examples!$F$10+Examples!$F$11)*$A68-(Examples!$F$6*Examples!$F$7*Examples!$F$8*EXP(-Examples!$F$9*$A68)*(1-(Examples!$F$12*(1-EXP(-Examples!$F$13*$A68))/(1+EXP(MIN(700,MAX(-700,(Examples!$F$14*$A68-Examples!$F$15)/Examples!$F$16))))))+Examples!$F$17*$A68^2)</f>
        <v>114697.70302535835</v>
      </c>
      <c r="I68" s="33">
        <f>(Examples!$F$6*Examples!$F$7*Examples!$F$8*EXP(-Examples!$F$9*$A68)*(1-(Examples!$F$12*(1-EXP(-Examples!$F$13*$A68))/(1+EXP(MIN(700,MAX(-700,(Examples!$F$14*$A68-Examples!$F$15)/Examples!$F$16))))))+Examples!$F$17*$A68^2)</f>
        <v>22102.296974641653</v>
      </c>
      <c r="J68" s="33">
        <f>Examples!$G$18-(Examples!$G$10+Examples!$G$11)*$A68-(Examples!$G$6*Examples!$G$7*Examples!$G$8*EXP(-Examples!$G$9*$A68)*(1-(Examples!$G$12*(1-EXP(-Examples!$G$13*$A68))/(1+EXP(MIN(700,MAX(-700,(Examples!$G$14*$A68-Examples!$G$15)/Examples!$G$16))))))+Examples!$G$17*$A68^2)</f>
        <v>204728.72736882046</v>
      </c>
      <c r="K68" s="33">
        <f>(Examples!$G$6*Examples!$G$7*Examples!$G$8*EXP(-Examples!$G$9*$A68)*(1-(Examples!$G$12*(1-EXP(-Examples!$G$13*$A68))/(1+EXP(MIN(700,MAX(-700,(Examples!$G$14*$A68-Examples!$G$15)/Examples!$G$16))))))+Examples!$G$17*$A68^2)</f>
        <v>1262271.2726311795</v>
      </c>
      <c r="L68" s="33">
        <f>Examples!$H$18-(Examples!$H$10+Examples!$H$11)*$A68-(Examples!$H$6*Examples!$H$7*Examples!$H$8*EXP(-Examples!$H$9*$A68)*(1-(Examples!$H$12*(1-EXP(-Examples!$H$13*$A68))/(1+EXP(MIN(700,MAX(-700,(Examples!$H$14*$A68-Examples!$H$15)/Examples!$H$16))))))+Examples!$H$17*$A68^2)</f>
        <v>232011.44218186615</v>
      </c>
      <c r="M68" s="33">
        <f>(Examples!$H$6*Examples!$H$7*Examples!$H$8*EXP(-Examples!$H$9*$A68)*(1-(Examples!$H$12*(1-EXP(-Examples!$H$13*$A68))/(1+EXP(MIN(700,MAX(-700,(Examples!$H$14*$A68-Examples!$H$15)/Examples!$H$16))))))+Examples!$H$17*$A68^2)</f>
        <v>1234988.5578181338</v>
      </c>
    </row>
    <row r="69" spans="1:13" x14ac:dyDescent="0.25">
      <c r="A69" s="4">
        <f>(69-2)/100</f>
        <v>0.67</v>
      </c>
      <c r="B69" s="33">
        <f>Examples!$C$18-(Examples!$C$10+Examples!$C$11)*$A69-(Examples!$C$6*Examples!$C$7*Examples!$C$8*EXP(-Examples!$C$9*$A69)*(1-(Examples!$C$12*(1-EXP(-Examples!$C$13*$A69))/(1+EXP(MIN(700,MAX(-700,(Examples!$C$14*$A69-Examples!$C$15)/Examples!$C$16))))))+Examples!$C$17*$A69^2)</f>
        <v>145881.48902802367</v>
      </c>
      <c r="C69" s="33">
        <f>(Examples!$C$6*Examples!$C$7*Examples!$C$8*EXP(-Examples!$C$9*$A69)*(1-(Examples!$C$12*(1-EXP(-Examples!$C$13*$A69))/(1+EXP(MIN(700,MAX(-700,(Examples!$C$14*$A69-Examples!$C$15)/Examples!$C$16))))))+Examples!$C$17*$A69^2)</f>
        <v>430668.51097197633</v>
      </c>
      <c r="D69" s="33">
        <f>Examples!$D$18-(Examples!$D$10+Examples!$D$11)*$A69-(Examples!$D$6*Examples!$D$7*Examples!$D$8*EXP(-Examples!$D$9*$A69)*(1-(Examples!$D$12*(1-EXP(-Examples!$D$13*$A69))/(1+EXP(MIN(700,MAX(-700,(Examples!$D$14*$A69-Examples!$D$15)/Examples!$D$16))))))+Examples!$D$17*$A69^2)</f>
        <v>-886628.19091519574</v>
      </c>
      <c r="E69" s="33">
        <f>(Examples!$D$6*Examples!$D$7*Examples!$D$8*EXP(-Examples!$D$9*$A69)*(1-(Examples!$D$12*(1-EXP(-Examples!$D$13*$A69))/(1+EXP(MIN(700,MAX(-700,(Examples!$D$14*$A69-Examples!$D$15)/Examples!$D$16))))))+Examples!$D$17*$A69^2)</f>
        <v>3356478.1909151957</v>
      </c>
      <c r="F69" s="33">
        <f>Examples!$E$18-(Examples!$E$10+Examples!$E$11)*$A69-(Examples!$E$6*Examples!$E$7*Examples!$E$8*EXP(-Examples!$E$9*$A69)*(1-(Examples!$E$12*(1-EXP(-Examples!$E$13*$A69))/(1+EXP(MIN(700,MAX(-700,(Examples!$E$14*$A69-Examples!$E$15)/Examples!$E$16))))))+Examples!$E$17*$A69^2)</f>
        <v>1606242.1566271586</v>
      </c>
      <c r="G69" s="33">
        <f>(Examples!$E$6*Examples!$E$7*Examples!$E$8*EXP(-Examples!$E$9*$A69)*(1-(Examples!$E$12*(1-EXP(-Examples!$E$13*$A69))/(1+EXP(MIN(700,MAX(-700,(Examples!$E$14*$A69-Examples!$E$15)/Examples!$E$16))))))+Examples!$E$17*$A69^2)</f>
        <v>1336807.8433728414</v>
      </c>
      <c r="H69" s="33">
        <f>Examples!$F$18-(Examples!$F$10+Examples!$F$11)*$A69-(Examples!$F$6*Examples!$F$7*Examples!$F$8*EXP(-Examples!$F$9*$A69)*(1-(Examples!$F$12*(1-EXP(-Examples!$F$13*$A69))/(1+EXP(MIN(700,MAX(-700,(Examples!$F$14*$A69-Examples!$F$15)/Examples!$F$16))))))+Examples!$F$17*$A69^2)</f>
        <v>114282.47314244485</v>
      </c>
      <c r="I69" s="33">
        <f>(Examples!$F$6*Examples!$F$7*Examples!$F$8*EXP(-Examples!$F$9*$A69)*(1-(Examples!$F$12*(1-EXP(-Examples!$F$13*$A69))/(1+EXP(MIN(700,MAX(-700,(Examples!$F$14*$A69-Examples!$F$15)/Examples!$F$16))))))+Examples!$F$17*$A69^2)</f>
        <v>22317.526857555138</v>
      </c>
      <c r="J69" s="33">
        <f>Examples!$G$18-(Examples!$G$10+Examples!$G$11)*$A69-(Examples!$G$6*Examples!$G$7*Examples!$G$8*EXP(-Examples!$G$9*$A69)*(1-(Examples!$G$12*(1-EXP(-Examples!$G$13*$A69))/(1+EXP(MIN(700,MAX(-700,(Examples!$G$14*$A69-Examples!$G$15)/Examples!$G$16))))))+Examples!$G$17*$A69^2)</f>
        <v>212346.55985889211</v>
      </c>
      <c r="K69" s="33">
        <f>(Examples!$G$6*Examples!$G$7*Examples!$G$8*EXP(-Examples!$G$9*$A69)*(1-(Examples!$G$12*(1-EXP(-Examples!$G$13*$A69))/(1+EXP(MIN(700,MAX(-700,(Examples!$G$14*$A69-Examples!$G$15)/Examples!$G$16))))))+Examples!$G$17*$A69^2)</f>
        <v>1254153.4401411079</v>
      </c>
      <c r="L69" s="33">
        <f>Examples!$H$18-(Examples!$H$10+Examples!$H$11)*$A69-(Examples!$H$6*Examples!$H$7*Examples!$H$8*EXP(-Examples!$H$9*$A69)*(1-(Examples!$H$12*(1-EXP(-Examples!$H$13*$A69))/(1+EXP(MIN(700,MAX(-700,(Examples!$H$14*$A69-Examples!$H$15)/Examples!$H$16))))))+Examples!$H$17*$A69^2)</f>
        <v>240200.7296055695</v>
      </c>
      <c r="M69" s="33">
        <f>(Examples!$H$6*Examples!$H$7*Examples!$H$8*EXP(-Examples!$H$9*$A69)*(1-(Examples!$H$12*(1-EXP(-Examples!$H$13*$A69))/(1+EXP(MIN(700,MAX(-700,(Examples!$H$14*$A69-Examples!$H$15)/Examples!$H$16))))))+Examples!$H$17*$A69^2)</f>
        <v>1226299.2703944305</v>
      </c>
    </row>
    <row r="70" spans="1:13" x14ac:dyDescent="0.25">
      <c r="A70" s="4">
        <f>(70-2)/100</f>
        <v>0.68</v>
      </c>
      <c r="B70" s="33">
        <f>Examples!$C$18-(Examples!$C$10+Examples!$C$11)*$A70-(Examples!$C$6*Examples!$C$7*Examples!$C$8*EXP(-Examples!$C$9*$A70)*(1-(Examples!$C$12*(1-EXP(-Examples!$C$13*$A70))/(1+EXP(MIN(700,MAX(-700,(Examples!$C$14*$A70-Examples!$C$15)/Examples!$C$16))))))+Examples!$C$17*$A70^2)</f>
        <v>147384.55194253509</v>
      </c>
      <c r="C70" s="33">
        <f>(Examples!$C$6*Examples!$C$7*Examples!$C$8*EXP(-Examples!$C$9*$A70)*(1-(Examples!$C$12*(1-EXP(-Examples!$C$13*$A70))/(1+EXP(MIN(700,MAX(-700,(Examples!$C$14*$A70-Examples!$C$15)/Examples!$C$16))))))+Examples!$C$17*$A70^2)</f>
        <v>428815.44805746491</v>
      </c>
      <c r="D70" s="33">
        <f>Examples!$D$18-(Examples!$D$10+Examples!$D$11)*$A70-(Examples!$D$6*Examples!$D$7*Examples!$D$8*EXP(-Examples!$D$9*$A70)*(1-(Examples!$D$12*(1-EXP(-Examples!$D$13*$A70))/(1+EXP(MIN(700,MAX(-700,(Examples!$D$14*$A70-Examples!$D$15)/Examples!$D$16))))))+Examples!$D$17*$A70^2)</f>
        <v>-859276.5632955227</v>
      </c>
      <c r="E70" s="33">
        <f>(Examples!$D$6*Examples!$D$7*Examples!$D$8*EXP(-Examples!$D$9*$A70)*(1-(Examples!$D$12*(1-EXP(-Examples!$D$13*$A70))/(1+EXP(MIN(700,MAX(-700,(Examples!$D$14*$A70-Examples!$D$15)/Examples!$D$16))))))+Examples!$D$17*$A70^2)</f>
        <v>3328676.5632955227</v>
      </c>
      <c r="F70" s="33">
        <f>Examples!$E$18-(Examples!$E$10+Examples!$E$11)*$A70-(Examples!$E$6*Examples!$E$7*Examples!$E$8*EXP(-Examples!$E$9*$A70)*(1-(Examples!$E$12*(1-EXP(-Examples!$E$13*$A70))/(1+EXP(MIN(700,MAX(-700,(Examples!$E$14*$A70-Examples!$E$15)/Examples!$E$16))))))+Examples!$E$17*$A70^2)</f>
        <v>1618778.5014141423</v>
      </c>
      <c r="G70" s="33">
        <f>(Examples!$E$6*Examples!$E$7*Examples!$E$8*EXP(-Examples!$E$9*$A70)*(1-(Examples!$E$12*(1-EXP(-Examples!$E$13*$A70))/(1+EXP(MIN(700,MAX(-700,(Examples!$E$14*$A70-Examples!$E$15)/Examples!$E$16))))))+Examples!$E$17*$A70^2)</f>
        <v>1323421.4985858577</v>
      </c>
      <c r="H70" s="33">
        <f>Examples!$F$18-(Examples!$F$10+Examples!$F$11)*$A70-(Examples!$F$6*Examples!$F$7*Examples!$F$8*EXP(-Examples!$F$9*$A70)*(1-(Examples!$F$12*(1-EXP(-Examples!$F$13*$A70))/(1+EXP(MIN(700,MAX(-700,(Examples!$F$14*$A70-Examples!$F$15)/Examples!$F$16))))))+Examples!$F$17*$A70^2)</f>
        <v>113862.86235810768</v>
      </c>
      <c r="I70" s="33">
        <f>(Examples!$F$6*Examples!$F$7*Examples!$F$8*EXP(-Examples!$F$9*$A70)*(1-(Examples!$F$12*(1-EXP(-Examples!$F$13*$A70))/(1+EXP(MIN(700,MAX(-700,(Examples!$F$14*$A70-Examples!$F$15)/Examples!$F$16))))))+Examples!$F$17*$A70^2)</f>
        <v>22537.137641892317</v>
      </c>
      <c r="J70" s="33">
        <f>Examples!$G$18-(Examples!$G$10+Examples!$G$11)*$A70-(Examples!$G$6*Examples!$G$7*Examples!$G$8*EXP(-Examples!$G$9*$A70)*(1-(Examples!$G$12*(1-EXP(-Examples!$G$13*$A70))/(1+EXP(MIN(700,MAX(-700,(Examples!$G$14*$A70-Examples!$G$15)/Examples!$G$16))))))+Examples!$G$17*$A70^2)</f>
        <v>219887.12221033103</v>
      </c>
      <c r="K70" s="33">
        <f>(Examples!$G$6*Examples!$G$7*Examples!$G$8*EXP(-Examples!$G$9*$A70)*(1-(Examples!$G$12*(1-EXP(-Examples!$G$13*$A70))/(1+EXP(MIN(700,MAX(-700,(Examples!$G$14*$A70-Examples!$G$15)/Examples!$G$16))))))+Examples!$G$17*$A70^2)</f>
        <v>1246112.877789669</v>
      </c>
      <c r="L70" s="33">
        <f>Examples!$H$18-(Examples!$H$10+Examples!$H$11)*$A70-(Examples!$H$6*Examples!$H$7*Examples!$H$8*EXP(-Examples!$H$9*$A70)*(1-(Examples!$H$12*(1-EXP(-Examples!$H$13*$A70))/(1+EXP(MIN(700,MAX(-700,(Examples!$H$14*$A70-Examples!$H$15)/Examples!$H$16))))))+Examples!$H$17*$A70^2)</f>
        <v>248317.63688453799</v>
      </c>
      <c r="M70" s="33">
        <f>(Examples!$H$6*Examples!$H$7*Examples!$H$8*EXP(-Examples!$H$9*$A70)*(1-(Examples!$H$12*(1-EXP(-Examples!$H$13*$A70))/(1+EXP(MIN(700,MAX(-700,(Examples!$H$14*$A70-Examples!$H$15)/Examples!$H$16))))))+Examples!$H$17*$A70^2)</f>
        <v>1217682.363115462</v>
      </c>
    </row>
    <row r="71" spans="1:13" x14ac:dyDescent="0.25">
      <c r="A71" s="4">
        <f>(71-2)/100</f>
        <v>0.69</v>
      </c>
      <c r="B71" s="33">
        <f>Examples!$C$18-(Examples!$C$10+Examples!$C$11)*$A71-(Examples!$C$6*Examples!$C$7*Examples!$C$8*EXP(-Examples!$C$9*$A71)*(1-(Examples!$C$12*(1-EXP(-Examples!$C$13*$A71))/(1+EXP(MIN(700,MAX(-700,(Examples!$C$14*$A71-Examples!$C$15)/Examples!$C$16))))))+Examples!$C$17*$A71^2)</f>
        <v>148868.11161300627</v>
      </c>
      <c r="C71" s="33">
        <f>(Examples!$C$6*Examples!$C$7*Examples!$C$8*EXP(-Examples!$C$9*$A71)*(1-(Examples!$C$12*(1-EXP(-Examples!$C$13*$A71))/(1+EXP(MIN(700,MAX(-700,(Examples!$C$14*$A71-Examples!$C$15)/Examples!$C$16))))))+Examples!$C$17*$A71^2)</f>
        <v>426981.88838699373</v>
      </c>
      <c r="D71" s="33">
        <f>Examples!$D$18-(Examples!$D$10+Examples!$D$11)*$A71-(Examples!$D$6*Examples!$D$7*Examples!$D$8*EXP(-Examples!$D$9*$A71)*(1-(Examples!$D$12*(1-EXP(-Examples!$D$13*$A71))/(1+EXP(MIN(700,MAX(-700,(Examples!$D$14*$A71-Examples!$D$15)/Examples!$D$16))))))+Examples!$D$17*$A71^2)</f>
        <v>-832194.984884365</v>
      </c>
      <c r="E71" s="33">
        <f>(Examples!$D$6*Examples!$D$7*Examples!$D$8*EXP(-Examples!$D$9*$A71)*(1-(Examples!$D$12*(1-EXP(-Examples!$D$13*$A71))/(1+EXP(MIN(700,MAX(-700,(Examples!$D$14*$A71-Examples!$D$15)/Examples!$D$16))))))+Examples!$D$17*$A71^2)</f>
        <v>3301144.984884365</v>
      </c>
      <c r="F71" s="33">
        <f>Examples!$E$18-(Examples!$E$10+Examples!$E$11)*$A71-(Examples!$E$6*Examples!$E$7*Examples!$E$8*EXP(-Examples!$E$9*$A71)*(1-(Examples!$E$12*(1-EXP(-Examples!$E$13*$A71))/(1+EXP(MIN(700,MAX(-700,(Examples!$E$14*$A71-Examples!$E$15)/Examples!$E$16))))))+Examples!$E$17*$A71^2)</f>
        <v>1631161.1164439332</v>
      </c>
      <c r="G71" s="33">
        <f>(Examples!$E$6*Examples!$E$7*Examples!$E$8*EXP(-Examples!$E$9*$A71)*(1-(Examples!$E$12*(1-EXP(-Examples!$E$13*$A71))/(1+EXP(MIN(700,MAX(-700,(Examples!$E$14*$A71-Examples!$E$15)/Examples!$E$16))))))+Examples!$E$17*$A71^2)</f>
        <v>1310188.8835560668</v>
      </c>
      <c r="H71" s="33">
        <f>Examples!$F$18-(Examples!$F$10+Examples!$F$11)*$A71-(Examples!$F$6*Examples!$F$7*Examples!$F$8*EXP(-Examples!$F$9*$A71)*(1-(Examples!$F$12*(1-EXP(-Examples!$F$13*$A71))/(1+EXP(MIN(700,MAX(-700,(Examples!$F$14*$A71-Examples!$F$15)/Examples!$F$16))))))+Examples!$F$17*$A71^2)</f>
        <v>113438.86728681237</v>
      </c>
      <c r="I71" s="33">
        <f>(Examples!$F$6*Examples!$F$7*Examples!$F$8*EXP(-Examples!$F$9*$A71)*(1-(Examples!$F$12*(1-EXP(-Examples!$F$13*$A71))/(1+EXP(MIN(700,MAX(-700,(Examples!$F$14*$A71-Examples!$F$15)/Examples!$F$16))))))+Examples!$F$17*$A71^2)</f>
        <v>22761.132713187624</v>
      </c>
      <c r="J71" s="33">
        <f>Examples!$G$18-(Examples!$G$10+Examples!$G$11)*$A71-(Examples!$G$6*Examples!$G$7*Examples!$G$8*EXP(-Examples!$G$9*$A71)*(1-(Examples!$G$12*(1-EXP(-Examples!$G$13*$A71))/(1+EXP(MIN(700,MAX(-700,(Examples!$G$14*$A71-Examples!$G$15)/Examples!$G$16))))))+Examples!$G$17*$A71^2)</f>
        <v>227350.94577772473</v>
      </c>
      <c r="K71" s="33">
        <f>(Examples!$G$6*Examples!$G$7*Examples!$G$8*EXP(-Examples!$G$9*$A71)*(1-(Examples!$G$12*(1-EXP(-Examples!$G$13*$A71))/(1+EXP(MIN(700,MAX(-700,(Examples!$G$14*$A71-Examples!$G$15)/Examples!$G$16))))))+Examples!$G$17*$A71^2)</f>
        <v>1238149.0542222753</v>
      </c>
      <c r="L71" s="33">
        <f>Examples!$H$18-(Examples!$H$10+Examples!$H$11)*$A71-(Examples!$H$6*Examples!$H$7*Examples!$H$8*EXP(-Examples!$H$9*$A71)*(1-(Examples!$H$12*(1-EXP(-Examples!$H$13*$A71))/(1+EXP(MIN(700,MAX(-700,(Examples!$H$14*$A71-Examples!$H$15)/Examples!$H$16))))))+Examples!$H$17*$A71^2)</f>
        <v>256362.68117945897</v>
      </c>
      <c r="M71" s="33">
        <f>(Examples!$H$6*Examples!$H$7*Examples!$H$8*EXP(-Examples!$H$9*$A71)*(1-(Examples!$H$12*(1-EXP(-Examples!$H$13*$A71))/(1+EXP(MIN(700,MAX(-700,(Examples!$H$14*$A71-Examples!$H$15)/Examples!$H$16))))))+Examples!$H$17*$A71^2)</f>
        <v>1209137.318820541</v>
      </c>
    </row>
    <row r="72" spans="1:13" x14ac:dyDescent="0.25">
      <c r="A72" s="4">
        <f>(72-2)/100</f>
        <v>0.7</v>
      </c>
      <c r="B72" s="33">
        <f>Examples!$C$18-(Examples!$C$10+Examples!$C$11)*$A72-(Examples!$C$6*Examples!$C$7*Examples!$C$8*EXP(-Examples!$C$9*$A72)*(1-(Examples!$C$12*(1-EXP(-Examples!$C$13*$A72))/(1+EXP(MIN(700,MAX(-700,(Examples!$C$14*$A72-Examples!$C$15)/Examples!$C$16))))))+Examples!$C$17*$A72^2)</f>
        <v>150332.13012341206</v>
      </c>
      <c r="C72" s="33">
        <f>(Examples!$C$6*Examples!$C$7*Examples!$C$8*EXP(-Examples!$C$9*$A72)*(1-(Examples!$C$12*(1-EXP(-Examples!$C$13*$A72))/(1+EXP(MIN(700,MAX(-700,(Examples!$C$14*$A72-Examples!$C$15)/Examples!$C$16))))))+Examples!$C$17*$A72^2)</f>
        <v>425167.86987658794</v>
      </c>
      <c r="D72" s="33">
        <f>Examples!$D$18-(Examples!$D$10+Examples!$D$11)*$A72-(Examples!$D$6*Examples!$D$7*Examples!$D$8*EXP(-Examples!$D$9*$A72)*(1-(Examples!$D$12*(1-EXP(-Examples!$D$13*$A72))/(1+EXP(MIN(700,MAX(-700,(Examples!$D$14*$A72-Examples!$D$15)/Examples!$D$16))))))+Examples!$D$17*$A72^2)</f>
        <v>-805380.84797921265</v>
      </c>
      <c r="E72" s="33">
        <f>(Examples!$D$6*Examples!$D$7*Examples!$D$8*EXP(-Examples!$D$9*$A72)*(1-(Examples!$D$12*(1-EXP(-Examples!$D$13*$A72))/(1+EXP(MIN(700,MAX(-700,(Examples!$D$14*$A72-Examples!$D$15)/Examples!$D$16))))))+Examples!$D$17*$A72^2)</f>
        <v>3273880.8479792126</v>
      </c>
      <c r="F72" s="33">
        <f>Examples!$E$18-(Examples!$E$10+Examples!$E$11)*$A72-(Examples!$E$6*Examples!$E$7*Examples!$E$8*EXP(-Examples!$E$9*$A72)*(1-(Examples!$E$12*(1-EXP(-Examples!$E$13*$A72))/(1+EXP(MIN(700,MAX(-700,(Examples!$E$14*$A72-Examples!$E$15)/Examples!$E$16))))))+Examples!$E$17*$A72^2)</f>
        <v>1643391.7792434618</v>
      </c>
      <c r="G72" s="33">
        <f>(Examples!$E$6*Examples!$E$7*Examples!$E$8*EXP(-Examples!$E$9*$A72)*(1-(Examples!$E$12*(1-EXP(-Examples!$E$13*$A72))/(1+EXP(MIN(700,MAX(-700,(Examples!$E$14*$A72-Examples!$E$15)/Examples!$E$16))))))+Examples!$E$17*$A72^2)</f>
        <v>1297108.2207565382</v>
      </c>
      <c r="H72" s="33">
        <f>Examples!$F$18-(Examples!$F$10+Examples!$F$11)*$A72-(Examples!$F$6*Examples!$F$7*Examples!$F$8*EXP(-Examples!$F$9*$A72)*(1-(Examples!$F$12*(1-EXP(-Examples!$F$13*$A72))/(1+EXP(MIN(700,MAX(-700,(Examples!$F$14*$A72-Examples!$F$15)/Examples!$F$16))))))+Examples!$F$17*$A72^2)</f>
        <v>113010.48444554093</v>
      </c>
      <c r="I72" s="33">
        <f>(Examples!$F$6*Examples!$F$7*Examples!$F$8*EXP(-Examples!$F$9*$A72)*(1-(Examples!$F$12*(1-EXP(-Examples!$F$13*$A72))/(1+EXP(MIN(700,MAX(-700,(Examples!$F$14*$A72-Examples!$F$15)/Examples!$F$16))))))+Examples!$F$17*$A72^2)</f>
        <v>22989.515554459074</v>
      </c>
      <c r="J72" s="33">
        <f>Examples!$G$18-(Examples!$G$10+Examples!$G$11)*$A72-(Examples!$G$6*Examples!$G$7*Examples!$G$8*EXP(-Examples!$G$9*$A72)*(1-(Examples!$G$12*(1-EXP(-Examples!$G$13*$A72))/(1+EXP(MIN(700,MAX(-700,(Examples!$G$14*$A72-Examples!$G$15)/Examples!$G$16))))))+Examples!$G$17*$A72^2)</f>
        <v>234738.55753028928</v>
      </c>
      <c r="K72" s="33">
        <f>(Examples!$G$6*Examples!$G$7*Examples!$G$8*EXP(-Examples!$G$9*$A72)*(1-(Examples!$G$12*(1-EXP(-Examples!$G$13*$A72))/(1+EXP(MIN(700,MAX(-700,(Examples!$G$14*$A72-Examples!$G$15)/Examples!$G$16))))))+Examples!$G$17*$A72^2)</f>
        <v>1230261.4424697107</v>
      </c>
      <c r="L72" s="33">
        <f>Examples!$H$18-(Examples!$H$10+Examples!$H$11)*$A72-(Examples!$H$6*Examples!$H$7*Examples!$H$8*EXP(-Examples!$H$9*$A72)*(1-(Examples!$H$12*(1-EXP(-Examples!$H$13*$A72))/(1+EXP(MIN(700,MAX(-700,(Examples!$H$14*$A72-Examples!$H$15)/Examples!$H$16))))))+Examples!$H$17*$A72^2)</f>
        <v>264336.37333984044</v>
      </c>
      <c r="M72" s="33">
        <f>(Examples!$H$6*Examples!$H$7*Examples!$H$8*EXP(-Examples!$H$9*$A72)*(1-(Examples!$H$12*(1-EXP(-Examples!$H$13*$A72))/(1+EXP(MIN(700,MAX(-700,(Examples!$H$14*$A72-Examples!$H$15)/Examples!$H$16))))))+Examples!$H$17*$A72^2)</f>
        <v>1200663.6266601596</v>
      </c>
    </row>
    <row r="73" spans="1:13" x14ac:dyDescent="0.25">
      <c r="A73" s="4">
        <f>(73-2)/100</f>
        <v>0.71</v>
      </c>
      <c r="B73" s="33">
        <f>Examples!$C$18-(Examples!$C$10+Examples!$C$11)*$A73-(Examples!$C$6*Examples!$C$7*Examples!$C$8*EXP(-Examples!$C$9*$A73)*(1-(Examples!$C$12*(1-EXP(-Examples!$C$13*$A73))/(1+EXP(MIN(700,MAX(-700,(Examples!$C$14*$A73-Examples!$C$15)/Examples!$C$16))))))+Examples!$C$17*$A73^2)</f>
        <v>151776.56606087467</v>
      </c>
      <c r="C73" s="33">
        <f>(Examples!$C$6*Examples!$C$7*Examples!$C$8*EXP(-Examples!$C$9*$A73)*(1-(Examples!$C$12*(1-EXP(-Examples!$C$13*$A73))/(1+EXP(MIN(700,MAX(-700,(Examples!$C$14*$A73-Examples!$C$15)/Examples!$C$16))))))+Examples!$C$17*$A73^2)</f>
        <v>423373.43393912533</v>
      </c>
      <c r="D73" s="33">
        <f>Examples!$D$18-(Examples!$D$10+Examples!$D$11)*$A73-(Examples!$D$6*Examples!$D$7*Examples!$D$8*EXP(-Examples!$D$9*$A73)*(1-(Examples!$D$12*(1-EXP(-Examples!$D$13*$A73))/(1+EXP(MIN(700,MAX(-700,(Examples!$D$14*$A73-Examples!$D$15)/Examples!$D$16))))))+Examples!$D$17*$A73^2)</f>
        <v>-778831.57200223068</v>
      </c>
      <c r="E73" s="33">
        <f>(Examples!$D$6*Examples!$D$7*Examples!$D$8*EXP(-Examples!$D$9*$A73)*(1-(Examples!$D$12*(1-EXP(-Examples!$D$13*$A73))/(1+EXP(MIN(700,MAX(-700,(Examples!$D$14*$A73-Examples!$D$15)/Examples!$D$16))))))+Examples!$D$17*$A73^2)</f>
        <v>3246881.5720022307</v>
      </c>
      <c r="F73" s="33">
        <f>Examples!$E$18-(Examples!$E$10+Examples!$E$11)*$A73-(Examples!$E$6*Examples!$E$7*Examples!$E$8*EXP(-Examples!$E$9*$A73)*(1-(Examples!$E$12*(1-EXP(-Examples!$E$13*$A73))/(1+EXP(MIN(700,MAX(-700,(Examples!$E$14*$A73-Examples!$E$15)/Examples!$E$16))))))+Examples!$E$17*$A73^2)</f>
        <v>1655472.2463894577</v>
      </c>
      <c r="G73" s="33">
        <f>(Examples!$E$6*Examples!$E$7*Examples!$E$8*EXP(-Examples!$E$9*$A73)*(1-(Examples!$E$12*(1-EXP(-Examples!$E$13*$A73))/(1+EXP(MIN(700,MAX(-700,(Examples!$E$14*$A73-Examples!$E$15)/Examples!$E$16))))))+Examples!$E$17*$A73^2)</f>
        <v>1284177.7536105423</v>
      </c>
      <c r="H73" s="33">
        <f>Examples!$F$18-(Examples!$F$10+Examples!$F$11)*$A73-(Examples!$F$6*Examples!$F$7*Examples!$F$8*EXP(-Examples!$F$9*$A73)*(1-(Examples!$F$12*(1-EXP(-Examples!$F$13*$A73))/(1+EXP(MIN(700,MAX(-700,(Examples!$F$14*$A73-Examples!$F$15)/Examples!$F$16))))))+Examples!$F$17*$A73^2)</f>
        <v>112577.71025745333</v>
      </c>
      <c r="I73" s="33">
        <f>(Examples!$F$6*Examples!$F$7*Examples!$F$8*EXP(-Examples!$F$9*$A73)*(1-(Examples!$F$12*(1-EXP(-Examples!$F$13*$A73))/(1+EXP(MIN(700,MAX(-700,(Examples!$F$14*$A73-Examples!$F$15)/Examples!$F$16))))))+Examples!$F$17*$A73^2)</f>
        <v>23222.289742546669</v>
      </c>
      <c r="J73" s="33">
        <f>Examples!$G$18-(Examples!$G$10+Examples!$G$11)*$A73-(Examples!$G$6*Examples!$G$7*Examples!$G$8*EXP(-Examples!$G$9*$A73)*(1-(Examples!$G$12*(1-EXP(-Examples!$G$13*$A73))/(1+EXP(MIN(700,MAX(-700,(Examples!$G$14*$A73-Examples!$G$15)/Examples!$G$16))))))+Examples!$G$17*$A73^2)</f>
        <v>242050.48010721104</v>
      </c>
      <c r="K73" s="33">
        <f>(Examples!$G$6*Examples!$G$7*Examples!$G$8*EXP(-Examples!$G$9*$A73)*(1-(Examples!$G$12*(1-EXP(-Examples!$G$13*$A73))/(1+EXP(MIN(700,MAX(-700,(Examples!$G$14*$A73-Examples!$G$15)/Examples!$G$16))))))+Examples!$G$17*$A73^2)</f>
        <v>1222449.519892789</v>
      </c>
      <c r="L73" s="33">
        <f>Examples!$H$18-(Examples!$H$10+Examples!$H$11)*$A73-(Examples!$H$6*Examples!$H$7*Examples!$H$8*EXP(-Examples!$H$9*$A73)*(1-(Examples!$H$12*(1-EXP(-Examples!$H$13*$A73))/(1+EXP(MIN(700,MAX(-700,(Examples!$H$14*$A73-Examples!$H$15)/Examples!$H$16))))))+Examples!$H$17*$A73^2)</f>
        <v>272239.2178968254</v>
      </c>
      <c r="M73" s="33">
        <f>(Examples!$H$6*Examples!$H$7*Examples!$H$8*EXP(-Examples!$H$9*$A73)*(1-(Examples!$H$12*(1-EXP(-Examples!$H$13*$A73))/(1+EXP(MIN(700,MAX(-700,(Examples!$H$14*$A73-Examples!$H$15)/Examples!$H$16))))))+Examples!$H$17*$A73^2)</f>
        <v>1192260.7821031746</v>
      </c>
    </row>
    <row r="74" spans="1:13" x14ac:dyDescent="0.25">
      <c r="A74" s="4">
        <f>(74-2)/100</f>
        <v>0.72</v>
      </c>
      <c r="B74" s="33">
        <f>Examples!$C$18-(Examples!$C$10+Examples!$C$11)*$A74-(Examples!$C$6*Examples!$C$7*Examples!$C$8*EXP(-Examples!$C$9*$A74)*(1-(Examples!$C$12*(1-EXP(-Examples!$C$13*$A74))/(1+EXP(MIN(700,MAX(-700,(Examples!$C$14*$A74-Examples!$C$15)/Examples!$C$16))))))+Examples!$C$17*$A74^2)</f>
        <v>153201.37449750927</v>
      </c>
      <c r="C74" s="33">
        <f>(Examples!$C$6*Examples!$C$7*Examples!$C$8*EXP(-Examples!$C$9*$A74)*(1-(Examples!$C$12*(1-EXP(-Examples!$C$13*$A74))/(1+EXP(MIN(700,MAX(-700,(Examples!$C$14*$A74-Examples!$C$15)/Examples!$C$16))))))+Examples!$C$17*$A74^2)</f>
        <v>421598.62550249073</v>
      </c>
      <c r="D74" s="33">
        <f>Examples!$D$18-(Examples!$D$10+Examples!$D$11)*$A74-(Examples!$D$6*Examples!$D$7*Examples!$D$8*EXP(-Examples!$D$9*$A74)*(1-(Examples!$D$12*(1-EXP(-Examples!$D$13*$A74))/(1+EXP(MIN(700,MAX(-700,(Examples!$D$14*$A74-Examples!$D$15)/Examples!$D$16))))))+Examples!$D$17*$A74^2)</f>
        <v>-752544.60322060157</v>
      </c>
      <c r="E74" s="33">
        <f>(Examples!$D$6*Examples!$D$7*Examples!$D$8*EXP(-Examples!$D$9*$A74)*(1-(Examples!$D$12*(1-EXP(-Examples!$D$13*$A74))/(1+EXP(MIN(700,MAX(-700,(Examples!$D$14*$A74-Examples!$D$15)/Examples!$D$16))))))+Examples!$D$17*$A74^2)</f>
        <v>3220144.6032206016</v>
      </c>
      <c r="F74" s="33">
        <f>Examples!$E$18-(Examples!$E$10+Examples!$E$11)*$A74-(Examples!$E$6*Examples!$E$7*Examples!$E$8*EXP(-Examples!$E$9*$A74)*(1-(Examples!$E$12*(1-EXP(-Examples!$E$13*$A74))/(1+EXP(MIN(700,MAX(-700,(Examples!$E$14*$A74-Examples!$E$15)/Examples!$E$16))))))+Examples!$E$17*$A74^2)</f>
        <v>1667404.2537574875</v>
      </c>
      <c r="G74" s="33">
        <f>(Examples!$E$6*Examples!$E$7*Examples!$E$8*EXP(-Examples!$E$9*$A74)*(1-(Examples!$E$12*(1-EXP(-Examples!$E$13*$A74))/(1+EXP(MIN(700,MAX(-700,(Examples!$E$14*$A74-Examples!$E$15)/Examples!$E$16))))))+Examples!$E$17*$A74^2)</f>
        <v>1271395.7462425125</v>
      </c>
      <c r="H74" s="33">
        <f>Examples!$F$18-(Examples!$F$10+Examples!$F$11)*$A74-(Examples!$F$6*Examples!$F$7*Examples!$F$8*EXP(-Examples!$F$9*$A74)*(1-(Examples!$F$12*(1-EXP(-Examples!$F$13*$A74))/(1+EXP(MIN(700,MAX(-700,(Examples!$F$14*$A74-Examples!$F$15)/Examples!$F$16))))))+Examples!$F$17*$A74^2)</f>
        <v>112140.5410561047</v>
      </c>
      <c r="I74" s="33">
        <f>(Examples!$F$6*Examples!$F$7*Examples!$F$8*EXP(-Examples!$F$9*$A74)*(1-(Examples!$F$12*(1-EXP(-Examples!$F$13*$A74))/(1+EXP(MIN(700,MAX(-700,(Examples!$F$14*$A74-Examples!$F$15)/Examples!$F$16))))))+Examples!$F$17*$A74^2)</f>
        <v>23459.458943895304</v>
      </c>
      <c r="J74" s="33">
        <f>Examples!$G$18-(Examples!$G$10+Examples!$G$11)*$A74-(Examples!$G$6*Examples!$G$7*Examples!$G$8*EXP(-Examples!$G$9*$A74)*(1-(Examples!$G$12*(1-EXP(-Examples!$G$13*$A74))/(1+EXP(MIN(700,MAX(-700,(Examples!$G$14*$A74-Examples!$G$15)/Examples!$G$16))))))+Examples!$G$17*$A74^2)</f>
        <v>249287.23187291645</v>
      </c>
      <c r="K74" s="33">
        <f>(Examples!$G$6*Examples!$G$7*Examples!$G$8*EXP(-Examples!$G$9*$A74)*(1-(Examples!$G$12*(1-EXP(-Examples!$G$13*$A74))/(1+EXP(MIN(700,MAX(-700,(Examples!$G$14*$A74-Examples!$G$15)/Examples!$G$16))))))+Examples!$G$17*$A74^2)</f>
        <v>1214712.7681270835</v>
      </c>
      <c r="L74" s="33">
        <f>Examples!$H$18-(Examples!$H$10+Examples!$H$11)*$A74-(Examples!$H$6*Examples!$H$7*Examples!$H$8*EXP(-Examples!$H$9*$A74)*(1-(Examples!$H$12*(1-EXP(-Examples!$H$13*$A74))/(1+EXP(MIN(700,MAX(-700,(Examples!$H$14*$A74-Examples!$H$15)/Examples!$H$16))))))+Examples!$H$17*$A74^2)</f>
        <v>280071.71305440157</v>
      </c>
      <c r="M74" s="33">
        <f>(Examples!$H$6*Examples!$H$7*Examples!$H$8*EXP(-Examples!$H$9*$A74)*(1-(Examples!$H$12*(1-EXP(-Examples!$H$13*$A74))/(1+EXP(MIN(700,MAX(-700,(Examples!$H$14*$A74-Examples!$H$15)/Examples!$H$16))))))+Examples!$H$17*$A74^2)</f>
        <v>1183928.2869455984</v>
      </c>
    </row>
    <row r="75" spans="1:13" x14ac:dyDescent="0.25">
      <c r="A75" s="4">
        <f>(75-2)/100</f>
        <v>0.73</v>
      </c>
      <c r="B75" s="33">
        <f>Examples!$C$18-(Examples!$C$10+Examples!$C$11)*$A75-(Examples!$C$6*Examples!$C$7*Examples!$C$8*EXP(-Examples!$C$9*$A75)*(1-(Examples!$C$12*(1-EXP(-Examples!$C$13*$A75))/(1+EXP(MIN(700,MAX(-700,(Examples!$C$14*$A75-Examples!$C$15)/Examples!$C$16))))))+Examples!$C$17*$A75^2)</f>
        <v>154606.50697600015</v>
      </c>
      <c r="C75" s="33">
        <f>(Examples!$C$6*Examples!$C$7*Examples!$C$8*EXP(-Examples!$C$9*$A75)*(1-(Examples!$C$12*(1-EXP(-Examples!$C$13*$A75))/(1+EXP(MIN(700,MAX(-700,(Examples!$C$14*$A75-Examples!$C$15)/Examples!$C$16))))))+Examples!$C$17*$A75^2)</f>
        <v>419843.49302399985</v>
      </c>
      <c r="D75" s="33">
        <f>Examples!$D$18-(Examples!$D$10+Examples!$D$11)*$A75-(Examples!$D$6*Examples!$D$7*Examples!$D$8*EXP(-Examples!$D$9*$A75)*(1-(Examples!$D$12*(1-EXP(-Examples!$D$13*$A75))/(1+EXP(MIN(700,MAX(-700,(Examples!$D$14*$A75-Examples!$D$15)/Examples!$D$16))))))+Examples!$D$17*$A75^2)</f>
        <v>-726517.41446973383</v>
      </c>
      <c r="E75" s="33">
        <f>(Examples!$D$6*Examples!$D$7*Examples!$D$8*EXP(-Examples!$D$9*$A75)*(1-(Examples!$D$12*(1-EXP(-Examples!$D$13*$A75))/(1+EXP(MIN(700,MAX(-700,(Examples!$D$14*$A75-Examples!$D$15)/Examples!$D$16))))))+Examples!$D$17*$A75^2)</f>
        <v>3193667.4144697338</v>
      </c>
      <c r="F75" s="33">
        <f>Examples!$E$18-(Examples!$E$10+Examples!$E$11)*$A75-(Examples!$E$6*Examples!$E$7*Examples!$E$8*EXP(-Examples!$E$9*$A75)*(1-(Examples!$E$12*(1-EXP(-Examples!$E$13*$A75))/(1+EXP(MIN(700,MAX(-700,(Examples!$E$14*$A75-Examples!$E$15)/Examples!$E$16))))))+Examples!$E$17*$A75^2)</f>
        <v>1679189.5167680304</v>
      </c>
      <c r="G75" s="33">
        <f>(Examples!$E$6*Examples!$E$7*Examples!$E$8*EXP(-Examples!$E$9*$A75)*(1-(Examples!$E$12*(1-EXP(-Examples!$E$13*$A75))/(1+EXP(MIN(700,MAX(-700,(Examples!$E$14*$A75-Examples!$E$15)/Examples!$E$16))))))+Examples!$E$17*$A75^2)</f>
        <v>1258760.4832319696</v>
      </c>
      <c r="H75" s="33">
        <f>Examples!$F$18-(Examples!$F$10+Examples!$F$11)*$A75-(Examples!$F$6*Examples!$F$7*Examples!$F$8*EXP(-Examples!$F$9*$A75)*(1-(Examples!$F$12*(1-EXP(-Examples!$F$13*$A75))/(1+EXP(MIN(700,MAX(-700,(Examples!$F$14*$A75-Examples!$F$15)/Examples!$F$16))))))+Examples!$F$17*$A75^2)</f>
        <v>111698.97309025057</v>
      </c>
      <c r="I75" s="33">
        <f>(Examples!$F$6*Examples!$F$7*Examples!$F$8*EXP(-Examples!$F$9*$A75)*(1-(Examples!$F$12*(1-EXP(-Examples!$F$13*$A75))/(1+EXP(MIN(700,MAX(-700,(Examples!$F$14*$A75-Examples!$F$15)/Examples!$F$16))))))+Examples!$F$17*$A75^2)</f>
        <v>23701.026909749431</v>
      </c>
      <c r="J75" s="33">
        <f>Examples!$G$18-(Examples!$G$10+Examples!$G$11)*$A75-(Examples!$G$6*Examples!$G$7*Examples!$G$8*EXP(-Examples!$G$9*$A75)*(1-(Examples!$G$12*(1-EXP(-Examples!$G$13*$A75))/(1+EXP(MIN(700,MAX(-700,(Examples!$G$14*$A75-Examples!$G$15)/Examples!$G$16))))))+Examples!$G$17*$A75^2)</f>
        <v>256449.32697225851</v>
      </c>
      <c r="K75" s="33">
        <f>(Examples!$G$6*Examples!$G$7*Examples!$G$8*EXP(-Examples!$G$9*$A75)*(1-(Examples!$G$12*(1-EXP(-Examples!$G$13*$A75))/(1+EXP(MIN(700,MAX(-700,(Examples!$G$14*$A75-Examples!$G$15)/Examples!$G$16))))))+Examples!$G$17*$A75^2)</f>
        <v>1207050.6730277415</v>
      </c>
      <c r="L75" s="33">
        <f>Examples!$H$18-(Examples!$H$10+Examples!$H$11)*$A75-(Examples!$H$6*Examples!$H$7*Examples!$H$8*EXP(-Examples!$H$9*$A75)*(1-(Examples!$H$12*(1-EXP(-Examples!$H$13*$A75))/(1+EXP(MIN(700,MAX(-700,(Examples!$H$14*$A75-Examples!$H$15)/Examples!$H$16))))))+Examples!$H$17*$A75^2)</f>
        <v>287834.35067896312</v>
      </c>
      <c r="M75" s="33">
        <f>(Examples!$H$6*Examples!$H$7*Examples!$H$8*EXP(-Examples!$H$9*$A75)*(1-(Examples!$H$12*(1-EXP(-Examples!$H$13*$A75))/(1+EXP(MIN(700,MAX(-700,(Examples!$H$14*$A75-Examples!$H$15)/Examples!$H$16))))))+Examples!$H$17*$A75^2)</f>
        <v>1175665.6493210369</v>
      </c>
    </row>
    <row r="76" spans="1:13" x14ac:dyDescent="0.25">
      <c r="A76" s="4">
        <f>(76-2)/100</f>
        <v>0.74</v>
      </c>
      <c r="B76" s="33">
        <f>Examples!$C$18-(Examples!$C$10+Examples!$C$11)*$A76-(Examples!$C$6*Examples!$C$7*Examples!$C$8*EXP(-Examples!$C$9*$A76)*(1-(Examples!$C$12*(1-EXP(-Examples!$C$13*$A76))/(1+EXP(MIN(700,MAX(-700,(Examples!$C$14*$A76-Examples!$C$15)/Examples!$C$16))))))+Examples!$C$17*$A76^2)</f>
        <v>155991.91149924445</v>
      </c>
      <c r="C76" s="33">
        <f>(Examples!$C$6*Examples!$C$7*Examples!$C$8*EXP(-Examples!$C$9*$A76)*(1-(Examples!$C$12*(1-EXP(-Examples!$C$13*$A76))/(1+EXP(MIN(700,MAX(-700,(Examples!$C$14*$A76-Examples!$C$15)/Examples!$C$16))))))+Examples!$C$17*$A76^2)</f>
        <v>418108.08850075555</v>
      </c>
      <c r="D76" s="33">
        <f>Examples!$D$18-(Examples!$D$10+Examples!$D$11)*$A76-(Examples!$D$6*Examples!$D$7*Examples!$D$8*EXP(-Examples!$D$9*$A76)*(1-(Examples!$D$12*(1-EXP(-Examples!$D$13*$A76))/(1+EXP(MIN(700,MAX(-700,(Examples!$D$14*$A76-Examples!$D$15)/Examples!$D$16))))))+Examples!$D$17*$A76^2)</f>
        <v>-700747.50487926975</v>
      </c>
      <c r="E76" s="33">
        <f>(Examples!$D$6*Examples!$D$7*Examples!$D$8*EXP(-Examples!$D$9*$A76)*(1-(Examples!$D$12*(1-EXP(-Examples!$D$13*$A76))/(1+EXP(MIN(700,MAX(-700,(Examples!$D$14*$A76-Examples!$D$15)/Examples!$D$16))))))+Examples!$D$17*$A76^2)</f>
        <v>3167447.5048792697</v>
      </c>
      <c r="F76" s="33">
        <f>Examples!$E$18-(Examples!$E$10+Examples!$E$11)*$A76-(Examples!$E$6*Examples!$E$7*Examples!$E$8*EXP(-Examples!$E$9*$A76)*(1-(Examples!$E$12*(1-EXP(-Examples!$E$13*$A76))/(1+EXP(MIN(700,MAX(-700,(Examples!$E$14*$A76-Examples!$E$15)/Examples!$E$16))))))+Examples!$E$17*$A76^2)</f>
        <v>1690829.7306296297</v>
      </c>
      <c r="G76" s="33">
        <f>(Examples!$E$6*Examples!$E$7*Examples!$E$8*EXP(-Examples!$E$9*$A76)*(1-(Examples!$E$12*(1-EXP(-Examples!$E$13*$A76))/(1+EXP(MIN(700,MAX(-700,(Examples!$E$14*$A76-Examples!$E$15)/Examples!$E$16))))))+Examples!$E$17*$A76^2)</f>
        <v>1246270.2693703703</v>
      </c>
      <c r="H76" s="33">
        <f>Examples!$F$18-(Examples!$F$10+Examples!$F$11)*$A76-(Examples!$F$6*Examples!$F$7*Examples!$F$8*EXP(-Examples!$F$9*$A76)*(1-(Examples!$F$12*(1-EXP(-Examples!$F$13*$A76))/(1+EXP(MIN(700,MAX(-700,(Examples!$F$14*$A76-Examples!$F$15)/Examples!$F$16))))))+Examples!$F$17*$A76^2)</f>
        <v>111253.0025292736</v>
      </c>
      <c r="I76" s="33">
        <f>(Examples!$F$6*Examples!$F$7*Examples!$F$8*EXP(-Examples!$F$9*$A76)*(1-(Examples!$F$12*(1-EXP(-Examples!$F$13*$A76))/(1+EXP(MIN(700,MAX(-700,(Examples!$F$14*$A76-Examples!$F$15)/Examples!$F$16))))))+Examples!$F$17*$A76^2)</f>
        <v>23946.997470726397</v>
      </c>
      <c r="J76" s="33">
        <f>Examples!$G$18-(Examples!$G$10+Examples!$G$11)*$A76-(Examples!$G$6*Examples!$G$7*Examples!$G$8*EXP(-Examples!$G$9*$A76)*(1-(Examples!$G$12*(1-EXP(-Examples!$G$13*$A76))/(1+EXP(MIN(700,MAX(-700,(Examples!$G$14*$A76-Examples!$G$15)/Examples!$G$16))))))+Examples!$G$17*$A76^2)</f>
        <v>263537.2753856387</v>
      </c>
      <c r="K76" s="33">
        <f>(Examples!$G$6*Examples!$G$7*Examples!$G$8*EXP(-Examples!$G$9*$A76)*(1-(Examples!$G$12*(1-EXP(-Examples!$G$13*$A76))/(1+EXP(MIN(700,MAX(-700,(Examples!$G$14*$A76-Examples!$G$15)/Examples!$G$16))))))+Examples!$G$17*$A76^2)</f>
        <v>1199462.7246143613</v>
      </c>
      <c r="L76" s="33">
        <f>Examples!$H$18-(Examples!$H$10+Examples!$H$11)*$A76-(Examples!$H$6*Examples!$H$7*Examples!$H$8*EXP(-Examples!$H$9*$A76)*(1-(Examples!$H$12*(1-EXP(-Examples!$H$13*$A76))/(1+EXP(MIN(700,MAX(-700,(Examples!$H$14*$A76-Examples!$H$15)/Examples!$H$16))))))+Examples!$H$17*$A76^2)</f>
        <v>295527.6162872198</v>
      </c>
      <c r="M76" s="33">
        <f>(Examples!$H$6*Examples!$H$7*Examples!$H$8*EXP(-Examples!$H$9*$A76)*(1-(Examples!$H$12*(1-EXP(-Examples!$H$13*$A76))/(1+EXP(MIN(700,MAX(-700,(Examples!$H$14*$A76-Examples!$H$15)/Examples!$H$16))))))+Examples!$H$17*$A76^2)</f>
        <v>1167472.3837127802</v>
      </c>
    </row>
    <row r="77" spans="1:13" x14ac:dyDescent="0.25">
      <c r="A77" s="4">
        <f>(77-2)/100</f>
        <v>0.75</v>
      </c>
      <c r="B77" s="33">
        <f>Examples!$C$18-(Examples!$C$10+Examples!$C$11)*$A77-(Examples!$C$6*Examples!$C$7*Examples!$C$8*EXP(-Examples!$C$9*$A77)*(1-(Examples!$C$12*(1-EXP(-Examples!$C$13*$A77))/(1+EXP(MIN(700,MAX(-700,(Examples!$C$14*$A77-Examples!$C$15)/Examples!$C$16))))))+Examples!$C$17*$A77^2)</f>
        <v>157357.53252441442</v>
      </c>
      <c r="C77" s="33">
        <f>(Examples!$C$6*Examples!$C$7*Examples!$C$8*EXP(-Examples!$C$9*$A77)*(1-(Examples!$C$12*(1-EXP(-Examples!$C$13*$A77))/(1+EXP(MIN(700,MAX(-700,(Examples!$C$14*$A77-Examples!$C$15)/Examples!$C$16))))))+Examples!$C$17*$A77^2)</f>
        <v>416392.46747558558</v>
      </c>
      <c r="D77" s="33">
        <f>Examples!$D$18-(Examples!$D$10+Examples!$D$11)*$A77-(Examples!$D$6*Examples!$D$7*Examples!$D$8*EXP(-Examples!$D$9*$A77)*(1-(Examples!$D$12*(1-EXP(-Examples!$D$13*$A77))/(1+EXP(MIN(700,MAX(-700,(Examples!$D$14*$A77-Examples!$D$15)/Examples!$D$16))))))+Examples!$D$17*$A77^2)</f>
        <v>-675232.3996018921</v>
      </c>
      <c r="E77" s="33">
        <f>(Examples!$D$6*Examples!$D$7*Examples!$D$8*EXP(-Examples!$D$9*$A77)*(1-(Examples!$D$12*(1-EXP(-Examples!$D$13*$A77))/(1+EXP(MIN(700,MAX(-700,(Examples!$D$14*$A77-Examples!$D$15)/Examples!$D$16))))))+Examples!$D$17*$A77^2)</f>
        <v>3141482.3996018921</v>
      </c>
      <c r="F77" s="33">
        <f>Examples!$E$18-(Examples!$E$10+Examples!$E$11)*$A77-(Examples!$E$6*Examples!$E$7*Examples!$E$8*EXP(-Examples!$E$9*$A77)*(1-(Examples!$E$12*(1-EXP(-Examples!$E$13*$A77))/(1+EXP(MIN(700,MAX(-700,(Examples!$E$14*$A77-Examples!$E$15)/Examples!$E$16))))))+Examples!$E$17*$A77^2)</f>
        <v>1702326.5705791481</v>
      </c>
      <c r="G77" s="33">
        <f>(Examples!$E$6*Examples!$E$7*Examples!$E$8*EXP(-Examples!$E$9*$A77)*(1-(Examples!$E$12*(1-EXP(-Examples!$E$13*$A77))/(1+EXP(MIN(700,MAX(-700,(Examples!$E$14*$A77-Examples!$E$15)/Examples!$E$16))))))+Examples!$E$17*$A77^2)</f>
        <v>1233923.4294208519</v>
      </c>
      <c r="H77" s="33">
        <f>Examples!$F$18-(Examples!$F$10+Examples!$F$11)*$A77-(Examples!$F$6*Examples!$F$7*Examples!$F$8*EXP(-Examples!$F$9*$A77)*(1-(Examples!$F$12*(1-EXP(-Examples!$F$13*$A77))/(1+EXP(MIN(700,MAX(-700,(Examples!$F$14*$A77-Examples!$F$15)/Examples!$F$16))))))+Examples!$F$17*$A77^2)</f>
        <v>110802.62546926411</v>
      </c>
      <c r="I77" s="33">
        <f>(Examples!$F$6*Examples!$F$7*Examples!$F$8*EXP(-Examples!$F$9*$A77)*(1-(Examples!$F$12*(1-EXP(-Examples!$F$13*$A77))/(1+EXP(MIN(700,MAX(-700,(Examples!$F$14*$A77-Examples!$F$15)/Examples!$F$16))))))+Examples!$F$17*$A77^2)</f>
        <v>24197.374530735895</v>
      </c>
      <c r="J77" s="33">
        <f>Examples!$G$18-(Examples!$G$10+Examples!$G$11)*$A77-(Examples!$G$6*Examples!$G$7*Examples!$G$8*EXP(-Examples!$G$9*$A77)*(1-(Examples!$G$12*(1-EXP(-Examples!$G$13*$A77))/(1+EXP(MIN(700,MAX(-700,(Examples!$G$14*$A77-Examples!$G$15)/Examples!$G$16))))))+Examples!$G$17*$A77^2)</f>
        <v>270551.58298405353</v>
      </c>
      <c r="K77" s="33">
        <f>(Examples!$G$6*Examples!$G$7*Examples!$G$8*EXP(-Examples!$G$9*$A77)*(1-(Examples!$G$12*(1-EXP(-Examples!$G$13*$A77))/(1+EXP(MIN(700,MAX(-700,(Examples!$G$14*$A77-Examples!$G$15)/Examples!$G$16))))))+Examples!$G$17*$A77^2)</f>
        <v>1191948.4170159465</v>
      </c>
      <c r="L77" s="33">
        <f>Examples!$H$18-(Examples!$H$10+Examples!$H$11)*$A77-(Examples!$H$6*Examples!$H$7*Examples!$H$8*EXP(-Examples!$H$9*$A77)*(1-(Examples!$H$12*(1-EXP(-Examples!$H$13*$A77))/(1+EXP(MIN(700,MAX(-700,(Examples!$H$14*$A77-Examples!$H$15)/Examples!$H$16))))))+Examples!$H$17*$A77^2)</f>
        <v>303151.98903240776</v>
      </c>
      <c r="M77" s="33">
        <f>(Examples!$H$6*Examples!$H$7*Examples!$H$8*EXP(-Examples!$H$9*$A77)*(1-(Examples!$H$12*(1-EXP(-Examples!$H$13*$A77))/(1+EXP(MIN(700,MAX(-700,(Examples!$H$14*$A77-Examples!$H$15)/Examples!$H$16))))))+Examples!$H$17*$A77^2)</f>
        <v>1159348.0109675922</v>
      </c>
    </row>
    <row r="78" spans="1:13" x14ac:dyDescent="0.25">
      <c r="A78" s="4">
        <f>(78-2)/100</f>
        <v>0.76</v>
      </c>
      <c r="B78" s="33">
        <f>Examples!$C$18-(Examples!$C$10+Examples!$C$11)*$A78-(Examples!$C$6*Examples!$C$7*Examples!$C$8*EXP(-Examples!$C$9*$A78)*(1-(Examples!$C$12*(1-EXP(-Examples!$C$13*$A78))/(1+EXP(MIN(700,MAX(-700,(Examples!$C$14*$A78-Examples!$C$15)/Examples!$C$16))))))+Examples!$C$17*$A78^2)</f>
        <v>158703.3109618072</v>
      </c>
      <c r="C78" s="33">
        <f>(Examples!$C$6*Examples!$C$7*Examples!$C$8*EXP(-Examples!$C$9*$A78)*(1-(Examples!$C$12*(1-EXP(-Examples!$C$13*$A78))/(1+EXP(MIN(700,MAX(-700,(Examples!$C$14*$A78-Examples!$C$15)/Examples!$C$16))))))+Examples!$C$17*$A78^2)</f>
        <v>414696.6890381928</v>
      </c>
      <c r="D78" s="33">
        <f>Examples!$D$18-(Examples!$D$10+Examples!$D$11)*$A78-(Examples!$D$6*Examples!$D$7*Examples!$D$8*EXP(-Examples!$D$9*$A78)*(1-(Examples!$D$12*(1-EXP(-Examples!$D$13*$A78))/(1+EXP(MIN(700,MAX(-700,(Examples!$D$14*$A78-Examples!$D$15)/Examples!$D$16))))))+Examples!$D$17*$A78^2)</f>
        <v>-649969.64954487421</v>
      </c>
      <c r="E78" s="33">
        <f>(Examples!$D$6*Examples!$D$7*Examples!$D$8*EXP(-Examples!$D$9*$A78)*(1-(Examples!$D$12*(1-EXP(-Examples!$D$13*$A78))/(1+EXP(MIN(700,MAX(-700,(Examples!$D$14*$A78-Examples!$D$15)/Examples!$D$16))))))+Examples!$D$17*$A78^2)</f>
        <v>3115769.6495448742</v>
      </c>
      <c r="F78" s="33">
        <f>Examples!$E$18-(Examples!$E$10+Examples!$E$11)*$A78-(Examples!$E$6*Examples!$E$7*Examples!$E$8*EXP(-Examples!$E$9*$A78)*(1-(Examples!$E$12*(1-EXP(-Examples!$E$13*$A78))/(1+EXP(MIN(700,MAX(-700,(Examples!$E$14*$A78-Examples!$E$15)/Examples!$E$16))))))+Examples!$E$17*$A78^2)</f>
        <v>1713681.6921191728</v>
      </c>
      <c r="G78" s="33">
        <f>(Examples!$E$6*Examples!$E$7*Examples!$E$8*EXP(-Examples!$E$9*$A78)*(1-(Examples!$E$12*(1-EXP(-Examples!$E$13*$A78))/(1+EXP(MIN(700,MAX(-700,(Examples!$E$14*$A78-Examples!$E$15)/Examples!$E$16))))))+Examples!$E$17*$A78^2)</f>
        <v>1221718.3078808272</v>
      </c>
      <c r="H78" s="33">
        <f>Examples!$F$18-(Examples!$F$10+Examples!$F$11)*$A78-(Examples!$F$6*Examples!$F$7*Examples!$F$8*EXP(-Examples!$F$9*$A78)*(1-(Examples!$F$12*(1-EXP(-Examples!$F$13*$A78))/(1+EXP(MIN(700,MAX(-700,(Examples!$F$14*$A78-Examples!$F$15)/Examples!$F$16))))))+Examples!$F$17*$A78^2)</f>
        <v>110347.83793978674</v>
      </c>
      <c r="I78" s="33">
        <f>(Examples!$F$6*Examples!$F$7*Examples!$F$8*EXP(-Examples!$F$9*$A78)*(1-(Examples!$F$12*(1-EXP(-Examples!$F$13*$A78))/(1+EXP(MIN(700,MAX(-700,(Examples!$F$14*$A78-Examples!$F$15)/Examples!$F$16))))))+Examples!$F$17*$A78^2)</f>
        <v>24452.162060213261</v>
      </c>
      <c r="J78" s="33">
        <f>Examples!$G$18-(Examples!$G$10+Examples!$G$11)*$A78-(Examples!$G$6*Examples!$G$7*Examples!$G$8*EXP(-Examples!$G$9*$A78)*(1-(Examples!$G$12*(1-EXP(-Examples!$G$13*$A78))/(1+EXP(MIN(700,MAX(-700,(Examples!$G$14*$A78-Examples!$G$15)/Examples!$G$16))))))+Examples!$G$17*$A78^2)</f>
        <v>277492.75158407679</v>
      </c>
      <c r="K78" s="33">
        <f>(Examples!$G$6*Examples!$G$7*Examples!$G$8*EXP(-Examples!$G$9*$A78)*(1-(Examples!$G$12*(1-EXP(-Examples!$G$13*$A78))/(1+EXP(MIN(700,MAX(-700,(Examples!$G$14*$A78-Examples!$G$15)/Examples!$G$16))))))+Examples!$G$17*$A78^2)</f>
        <v>1184507.2484159232</v>
      </c>
      <c r="L78" s="33">
        <f>Examples!$H$18-(Examples!$H$10+Examples!$H$11)*$A78-(Examples!$H$6*Examples!$H$7*Examples!$H$8*EXP(-Examples!$H$9*$A78)*(1-(Examples!$H$12*(1-EXP(-Examples!$H$13*$A78))/(1+EXP(MIN(700,MAX(-700,(Examples!$H$14*$A78-Examples!$H$15)/Examples!$H$16))))))+Examples!$H$17*$A78^2)</f>
        <v>310707.94168879581</v>
      </c>
      <c r="M78" s="33">
        <f>(Examples!$H$6*Examples!$H$7*Examples!$H$8*EXP(-Examples!$H$9*$A78)*(1-(Examples!$H$12*(1-EXP(-Examples!$H$13*$A78))/(1+EXP(MIN(700,MAX(-700,(Examples!$H$14*$A78-Examples!$H$15)/Examples!$H$16))))))+Examples!$H$17*$A78^2)</f>
        <v>1151292.0583112042</v>
      </c>
    </row>
    <row r="79" spans="1:13" x14ac:dyDescent="0.25">
      <c r="A79" s="4">
        <f>(79-2)/100</f>
        <v>0.77</v>
      </c>
      <c r="B79" s="33">
        <f>Examples!$C$18-(Examples!$C$10+Examples!$C$11)*$A79-(Examples!$C$6*Examples!$C$7*Examples!$C$8*EXP(-Examples!$C$9*$A79)*(1-(Examples!$C$12*(1-EXP(-Examples!$C$13*$A79))/(1+EXP(MIN(700,MAX(-700,(Examples!$C$14*$A79-Examples!$C$15)/Examples!$C$16))))))+Examples!$C$17*$A79^2)</f>
        <v>160029.18417886732</v>
      </c>
      <c r="C79" s="33">
        <f>(Examples!$C$6*Examples!$C$7*Examples!$C$8*EXP(-Examples!$C$9*$A79)*(1-(Examples!$C$12*(1-EXP(-Examples!$C$13*$A79))/(1+EXP(MIN(700,MAX(-700,(Examples!$C$14*$A79-Examples!$C$15)/Examples!$C$16))))))+Examples!$C$17*$A79^2)</f>
        <v>413020.81582113268</v>
      </c>
      <c r="D79" s="33">
        <f>Examples!$D$18-(Examples!$D$10+Examples!$D$11)*$A79-(Examples!$D$6*Examples!$D$7*Examples!$D$8*EXP(-Examples!$D$9*$A79)*(1-(Examples!$D$12*(1-EXP(-Examples!$D$13*$A79))/(1+EXP(MIN(700,MAX(-700,(Examples!$D$14*$A79-Examples!$D$15)/Examples!$D$16))))))+Examples!$D$17*$A79^2)</f>
        <v>-624956.83110436192</v>
      </c>
      <c r="E79" s="33">
        <f>(Examples!$D$6*Examples!$D$7*Examples!$D$8*EXP(-Examples!$D$9*$A79)*(1-(Examples!$D$12*(1-EXP(-Examples!$D$13*$A79))/(1+EXP(MIN(700,MAX(-700,(Examples!$D$14*$A79-Examples!$D$15)/Examples!$D$16))))))+Examples!$D$17*$A79^2)</f>
        <v>3090306.8311043619</v>
      </c>
      <c r="F79" s="33">
        <f>Examples!$E$18-(Examples!$E$10+Examples!$E$11)*$A79-(Examples!$E$6*Examples!$E$7*Examples!$E$8*EXP(-Examples!$E$9*$A79)*(1-(Examples!$E$12*(1-EXP(-Examples!$E$13*$A79))/(1+EXP(MIN(700,MAX(-700,(Examples!$E$14*$A79-Examples!$E$15)/Examples!$E$16))))))+Examples!$E$17*$A79^2)</f>
        <v>1724896.7312525874</v>
      </c>
      <c r="G79" s="33">
        <f>(Examples!$E$6*Examples!$E$7*Examples!$E$8*EXP(-Examples!$E$9*$A79)*(1-(Examples!$E$12*(1-EXP(-Examples!$E$13*$A79))/(1+EXP(MIN(700,MAX(-700,(Examples!$E$14*$A79-Examples!$E$15)/Examples!$E$16))))))+Examples!$E$17*$A79^2)</f>
        <v>1209653.2687474126</v>
      </c>
      <c r="H79" s="33">
        <f>Examples!$F$18-(Examples!$F$10+Examples!$F$11)*$A79-(Examples!$F$6*Examples!$F$7*Examples!$F$8*EXP(-Examples!$F$9*$A79)*(1-(Examples!$F$12*(1-EXP(-Examples!$F$13*$A79))/(1+EXP(MIN(700,MAX(-700,(Examples!$F$14*$A79-Examples!$F$15)/Examples!$F$16))))))+Examples!$F$17*$A79^2)</f>
        <v>109888.6359113647</v>
      </c>
      <c r="I79" s="33">
        <f>(Examples!$F$6*Examples!$F$7*Examples!$F$8*EXP(-Examples!$F$9*$A79)*(1-(Examples!$F$12*(1-EXP(-Examples!$F$13*$A79))/(1+EXP(MIN(700,MAX(-700,(Examples!$F$14*$A79-Examples!$F$15)/Examples!$F$16))))))+Examples!$F$17*$A79^2)</f>
        <v>24711.364088635295</v>
      </c>
      <c r="J79" s="33">
        <f>Examples!$G$18-(Examples!$G$10+Examples!$G$11)*$A79-(Examples!$G$6*Examples!$G$7*Examples!$G$8*EXP(-Examples!$G$9*$A79)*(1-(Examples!$G$12*(1-EXP(-Examples!$G$13*$A79))/(1+EXP(MIN(700,MAX(-700,(Examples!$G$14*$A79-Examples!$G$15)/Examples!$G$16))))))+Examples!$G$17*$A79^2)</f>
        <v>284361.27900277171</v>
      </c>
      <c r="K79" s="33">
        <f>(Examples!$G$6*Examples!$G$7*Examples!$G$8*EXP(-Examples!$G$9*$A79)*(1-(Examples!$G$12*(1-EXP(-Examples!$G$13*$A79))/(1+EXP(MIN(700,MAX(-700,(Examples!$G$14*$A79-Examples!$G$15)/Examples!$G$16))))))+Examples!$G$17*$A79^2)</f>
        <v>1177138.7209972283</v>
      </c>
      <c r="L79" s="33">
        <f>Examples!$H$18-(Examples!$H$10+Examples!$H$11)*$A79-(Examples!$H$6*Examples!$H$7*Examples!$H$8*EXP(-Examples!$H$9*$A79)*(1-(Examples!$H$12*(1-EXP(-Examples!$H$13*$A79))/(1+EXP(MIN(700,MAX(-700,(Examples!$H$14*$A79-Examples!$H$15)/Examples!$H$16))))))+Examples!$H$17*$A79^2)</f>
        <v>318195.94063444785</v>
      </c>
      <c r="M79" s="33">
        <f>(Examples!$H$6*Examples!$H$7*Examples!$H$8*EXP(-Examples!$H$9*$A79)*(1-(Examples!$H$12*(1-EXP(-Examples!$H$13*$A79))/(1+EXP(MIN(700,MAX(-700,(Examples!$H$14*$A79-Examples!$H$15)/Examples!$H$16))))))+Examples!$H$17*$A79^2)</f>
        <v>1143304.0593655522</v>
      </c>
    </row>
    <row r="80" spans="1:13" x14ac:dyDescent="0.25">
      <c r="A80" s="4">
        <f>(80-2)/100</f>
        <v>0.78</v>
      </c>
      <c r="B80" s="33">
        <f>Examples!$C$18-(Examples!$C$10+Examples!$C$11)*$A80-(Examples!$C$6*Examples!$C$7*Examples!$C$8*EXP(-Examples!$C$9*$A80)*(1-(Examples!$C$12*(1-EXP(-Examples!$C$13*$A80))/(1+EXP(MIN(700,MAX(-700,(Examples!$C$14*$A80-Examples!$C$15)/Examples!$C$16))))))+Examples!$C$17*$A80^2)</f>
        <v>161335.08600978443</v>
      </c>
      <c r="C80" s="33">
        <f>(Examples!$C$6*Examples!$C$7*Examples!$C$8*EXP(-Examples!$C$9*$A80)*(1-(Examples!$C$12*(1-EXP(-Examples!$C$13*$A80))/(1+EXP(MIN(700,MAX(-700,(Examples!$C$14*$A80-Examples!$C$15)/Examples!$C$16))))))+Examples!$C$17*$A80^2)</f>
        <v>411364.91399021557</v>
      </c>
      <c r="D80" s="33">
        <f>Examples!$D$18-(Examples!$D$10+Examples!$D$11)*$A80-(Examples!$D$6*Examples!$D$7*Examples!$D$8*EXP(-Examples!$D$9*$A80)*(1-(Examples!$D$12*(1-EXP(-Examples!$D$13*$A80))/(1+EXP(MIN(700,MAX(-700,(Examples!$D$14*$A80-Examples!$D$15)/Examples!$D$16))))))+Examples!$D$17*$A80^2)</f>
        <v>-600191.54590234533</v>
      </c>
      <c r="E80" s="33">
        <f>(Examples!$D$6*Examples!$D$7*Examples!$D$8*EXP(-Examples!$D$9*$A80)*(1-(Examples!$D$12*(1-EXP(-Examples!$D$13*$A80))/(1+EXP(MIN(700,MAX(-700,(Examples!$D$14*$A80-Examples!$D$15)/Examples!$D$16))))))+Examples!$D$17*$A80^2)</f>
        <v>3065091.5459023453</v>
      </c>
      <c r="F80" s="33">
        <f>Examples!$E$18-(Examples!$E$10+Examples!$E$11)*$A80-(Examples!$E$6*Examples!$E$7*Examples!$E$8*EXP(-Examples!$E$9*$A80)*(1-(Examples!$E$12*(1-EXP(-Examples!$E$13*$A80))/(1+EXP(MIN(700,MAX(-700,(Examples!$E$14*$A80-Examples!$E$15)/Examples!$E$16))))))+Examples!$E$17*$A80^2)</f>
        <v>1735973.3047143654</v>
      </c>
      <c r="G80" s="33">
        <f>(Examples!$E$6*Examples!$E$7*Examples!$E$8*EXP(-Examples!$E$9*$A80)*(1-(Examples!$E$12*(1-EXP(-Examples!$E$13*$A80))/(1+EXP(MIN(700,MAX(-700,(Examples!$E$14*$A80-Examples!$E$15)/Examples!$E$16))))))+Examples!$E$17*$A80^2)</f>
        <v>1197726.6952856346</v>
      </c>
      <c r="H80" s="33">
        <f>Examples!$F$18-(Examples!$F$10+Examples!$F$11)*$A80-(Examples!$F$6*Examples!$F$7*Examples!$F$8*EXP(-Examples!$F$9*$A80)*(1-(Examples!$F$12*(1-EXP(-Examples!$F$13*$A80))/(1+EXP(MIN(700,MAX(-700,(Examples!$F$14*$A80-Examples!$F$15)/Examples!$F$16))))))+Examples!$F$17*$A80^2)</f>
        <v>109425.01530371179</v>
      </c>
      <c r="I80" s="33">
        <f>(Examples!$F$6*Examples!$F$7*Examples!$F$8*EXP(-Examples!$F$9*$A80)*(1-(Examples!$F$12*(1-EXP(-Examples!$F$13*$A80))/(1+EXP(MIN(700,MAX(-700,(Examples!$F$14*$A80-Examples!$F$15)/Examples!$F$16))))))+Examples!$F$17*$A80^2)</f>
        <v>24974.984696288215</v>
      </c>
      <c r="J80" s="33">
        <f>Examples!$G$18-(Examples!$G$10+Examples!$G$11)*$A80-(Examples!$G$6*Examples!$G$7*Examples!$G$8*EXP(-Examples!$G$9*$A80)*(1-(Examples!$G$12*(1-EXP(-Examples!$G$13*$A80))/(1+EXP(MIN(700,MAX(-700,(Examples!$G$14*$A80-Examples!$G$15)/Examples!$G$16))))))+Examples!$G$17*$A80^2)</f>
        <v>291157.6591125417</v>
      </c>
      <c r="K80" s="33">
        <f>(Examples!$G$6*Examples!$G$7*Examples!$G$8*EXP(-Examples!$G$9*$A80)*(1-(Examples!$G$12*(1-EXP(-Examples!$G$13*$A80))/(1+EXP(MIN(700,MAX(-700,(Examples!$G$14*$A80-Examples!$G$15)/Examples!$G$16))))))+Examples!$G$17*$A80^2)</f>
        <v>1169842.3408874583</v>
      </c>
      <c r="L80" s="33">
        <f>Examples!$H$18-(Examples!$H$10+Examples!$H$11)*$A80-(Examples!$H$6*Examples!$H$7*Examples!$H$8*EXP(-Examples!$H$9*$A80)*(1-(Examples!$H$12*(1-EXP(-Examples!$H$13*$A80))/(1+EXP(MIN(700,MAX(-700,(Examples!$H$14*$A80-Examples!$H$15)/Examples!$H$16))))))+Examples!$H$17*$A80^2)</f>
        <v>325616.44583222363</v>
      </c>
      <c r="M80" s="33">
        <f>(Examples!$H$6*Examples!$H$7*Examples!$H$8*EXP(-Examples!$H$9*$A80)*(1-(Examples!$H$12*(1-EXP(-Examples!$H$13*$A80))/(1+EXP(MIN(700,MAX(-700,(Examples!$H$14*$A80-Examples!$H$15)/Examples!$H$16))))))+Examples!$H$17*$A80^2)</f>
        <v>1135383.5541677764</v>
      </c>
    </row>
    <row r="81" spans="1:13" x14ac:dyDescent="0.25">
      <c r="A81" s="4">
        <f>(81-2)/100</f>
        <v>0.79</v>
      </c>
      <c r="B81" s="33">
        <f>Examples!$C$18-(Examples!$C$10+Examples!$C$11)*$A81-(Examples!$C$6*Examples!$C$7*Examples!$C$8*EXP(-Examples!$C$9*$A81)*(1-(Examples!$C$12*(1-EXP(-Examples!$C$13*$A81))/(1+EXP(MIN(700,MAX(-700,(Examples!$C$14*$A81-Examples!$C$15)/Examples!$C$16))))))+Examples!$C$17*$A81^2)</f>
        <v>162620.94677108299</v>
      </c>
      <c r="C81" s="33">
        <f>(Examples!$C$6*Examples!$C$7*Examples!$C$8*EXP(-Examples!$C$9*$A81)*(1-(Examples!$C$12*(1-EXP(-Examples!$C$13*$A81))/(1+EXP(MIN(700,MAX(-700,(Examples!$C$14*$A81-Examples!$C$15)/Examples!$C$16))))))+Examples!$C$17*$A81^2)</f>
        <v>409729.05322891701</v>
      </c>
      <c r="D81" s="33">
        <f>Examples!$D$18-(Examples!$D$10+Examples!$D$11)*$A81-(Examples!$D$6*Examples!$D$7*Examples!$D$8*EXP(-Examples!$D$9*$A81)*(1-(Examples!$D$12*(1-EXP(-Examples!$D$13*$A81))/(1+EXP(MIN(700,MAX(-700,(Examples!$D$14*$A81-Examples!$D$15)/Examples!$D$16))))))+Examples!$D$17*$A81^2)</f>
        <v>-575671.42052628752</v>
      </c>
      <c r="E81" s="33">
        <f>(Examples!$D$6*Examples!$D$7*Examples!$D$8*EXP(-Examples!$D$9*$A81)*(1-(Examples!$D$12*(1-EXP(-Examples!$D$13*$A81))/(1+EXP(MIN(700,MAX(-700,(Examples!$D$14*$A81-Examples!$D$15)/Examples!$D$16))))))+Examples!$D$17*$A81^2)</f>
        <v>3040121.4205262875</v>
      </c>
      <c r="F81" s="33">
        <f>Examples!$E$18-(Examples!$E$10+Examples!$E$11)*$A81-(Examples!$E$6*Examples!$E$7*Examples!$E$8*EXP(-Examples!$E$9*$A81)*(1-(Examples!$E$12*(1-EXP(-Examples!$E$13*$A81))/(1+EXP(MIN(700,MAX(-700,(Examples!$E$14*$A81-Examples!$E$15)/Examples!$E$16))))))+Examples!$E$17*$A81^2)</f>
        <v>1746913.0102005994</v>
      </c>
      <c r="G81" s="33">
        <f>(Examples!$E$6*Examples!$E$7*Examples!$E$8*EXP(-Examples!$E$9*$A81)*(1-(Examples!$E$12*(1-EXP(-Examples!$E$13*$A81))/(1+EXP(MIN(700,MAX(-700,(Examples!$E$14*$A81-Examples!$E$15)/Examples!$E$16))))))+Examples!$E$17*$A81^2)</f>
        <v>1185936.9897994006</v>
      </c>
      <c r="H81" s="33">
        <f>Examples!$F$18-(Examples!$F$10+Examples!$F$11)*$A81-(Examples!$F$6*Examples!$F$7*Examples!$F$8*EXP(-Examples!$F$9*$A81)*(1-(Examples!$F$12*(1-EXP(-Examples!$F$13*$A81))/(1+EXP(MIN(700,MAX(-700,(Examples!$F$14*$A81-Examples!$F$15)/Examples!$F$16))))))+Examples!$F$17*$A81^2)</f>
        <v>108956.97199474092</v>
      </c>
      <c r="I81" s="33">
        <f>(Examples!$F$6*Examples!$F$7*Examples!$F$8*EXP(-Examples!$F$9*$A81)*(1-(Examples!$F$12*(1-EXP(-Examples!$F$13*$A81))/(1+EXP(MIN(700,MAX(-700,(Examples!$F$14*$A81-Examples!$F$15)/Examples!$F$16))))))+Examples!$F$17*$A81^2)</f>
        <v>25243.028005259082</v>
      </c>
      <c r="J81" s="33">
        <f>Examples!$G$18-(Examples!$G$10+Examples!$G$11)*$A81-(Examples!$G$6*Examples!$G$7*Examples!$G$8*EXP(-Examples!$G$9*$A81)*(1-(Examples!$G$12*(1-EXP(-Examples!$G$13*$A81))/(1+EXP(MIN(700,MAX(-700,(Examples!$G$14*$A81-Examples!$G$15)/Examples!$G$16))))))+Examples!$G$17*$A81^2)</f>
        <v>297882.381895917</v>
      </c>
      <c r="K81" s="33">
        <f>(Examples!$G$6*Examples!$G$7*Examples!$G$8*EXP(-Examples!$G$9*$A81)*(1-(Examples!$G$12*(1-EXP(-Examples!$G$13*$A81))/(1+EXP(MIN(700,MAX(-700,(Examples!$G$14*$A81-Examples!$G$15)/Examples!$G$16))))))+Examples!$G$17*$A81^2)</f>
        <v>1162617.618104083</v>
      </c>
      <c r="L81" s="33">
        <f>Examples!$H$18-(Examples!$H$10+Examples!$H$11)*$A81-(Examples!$H$6*Examples!$H$7*Examples!$H$8*EXP(-Examples!$H$9*$A81)*(1-(Examples!$H$12*(1-EXP(-Examples!$H$13*$A81))/(1+EXP(MIN(700,MAX(-700,(Examples!$H$14*$A81-Examples!$H$15)/Examples!$H$16))))))+Examples!$H$17*$A81^2)</f>
        <v>332969.91080898978</v>
      </c>
      <c r="M81" s="33">
        <f>(Examples!$H$6*Examples!$H$7*Examples!$H$8*EXP(-Examples!$H$9*$A81)*(1-(Examples!$H$12*(1-EXP(-Examples!$H$13*$A81))/(1+EXP(MIN(700,MAX(-700,(Examples!$H$14*$A81-Examples!$H$15)/Examples!$H$16))))))+Examples!$H$17*$A81^2)</f>
        <v>1127530.0891910102</v>
      </c>
    </row>
    <row r="82" spans="1:13" x14ac:dyDescent="0.25">
      <c r="A82" s="4">
        <f>(82-2)/100</f>
        <v>0.8</v>
      </c>
      <c r="B82" s="33">
        <f>Examples!$C$18-(Examples!$C$10+Examples!$C$11)*$A82-(Examples!$C$6*Examples!$C$7*Examples!$C$8*EXP(-Examples!$C$9*$A82)*(1-(Examples!$C$12*(1-EXP(-Examples!$C$13*$A82))/(1+EXP(MIN(700,MAX(-700,(Examples!$C$14*$A82-Examples!$C$15)/Examples!$C$16))))))+Examples!$C$17*$A82^2)</f>
        <v>163886.69328364154</v>
      </c>
      <c r="C82" s="33">
        <f>(Examples!$C$6*Examples!$C$7*Examples!$C$8*EXP(-Examples!$C$9*$A82)*(1-(Examples!$C$12*(1-EXP(-Examples!$C$13*$A82))/(1+EXP(MIN(700,MAX(-700,(Examples!$C$14*$A82-Examples!$C$15)/Examples!$C$16))))))+Examples!$C$17*$A82^2)</f>
        <v>408113.30671635846</v>
      </c>
      <c r="D82" s="33">
        <f>Examples!$D$18-(Examples!$D$10+Examples!$D$11)*$A82-(Examples!$D$6*Examples!$D$7*Examples!$D$8*EXP(-Examples!$D$9*$A82)*(1-(Examples!$D$12*(1-EXP(-Examples!$D$13*$A82))/(1+EXP(MIN(700,MAX(-700,(Examples!$D$14*$A82-Examples!$D$15)/Examples!$D$16))))))+Examples!$D$17*$A82^2)</f>
        <v>-551394.10627139639</v>
      </c>
      <c r="E82" s="33">
        <f>(Examples!$D$6*Examples!$D$7*Examples!$D$8*EXP(-Examples!$D$9*$A82)*(1-(Examples!$D$12*(1-EXP(-Examples!$D$13*$A82))/(1+EXP(MIN(700,MAX(-700,(Examples!$D$14*$A82-Examples!$D$15)/Examples!$D$16))))))+Examples!$D$17*$A82^2)</f>
        <v>3015394.1062713964</v>
      </c>
      <c r="F82" s="33">
        <f>Examples!$E$18-(Examples!$E$10+Examples!$E$11)*$A82-(Examples!$E$6*Examples!$E$7*Examples!$E$8*EXP(-Examples!$E$9*$A82)*(1-(Examples!$E$12*(1-EXP(-Examples!$E$13*$A82))/(1+EXP(MIN(700,MAX(-700,(Examples!$E$14*$A82-Examples!$E$15)/Examples!$E$16))))))+Examples!$E$17*$A82^2)</f>
        <v>1757717.4265948115</v>
      </c>
      <c r="G82" s="33">
        <f>(Examples!$E$6*Examples!$E$7*Examples!$E$8*EXP(-Examples!$E$9*$A82)*(1-(Examples!$E$12*(1-EXP(-Examples!$E$13*$A82))/(1+EXP(MIN(700,MAX(-700,(Examples!$E$14*$A82-Examples!$E$15)/Examples!$E$16))))))+Examples!$E$17*$A82^2)</f>
        <v>1174282.5734051885</v>
      </c>
      <c r="H82" s="33">
        <f>Examples!$F$18-(Examples!$F$10+Examples!$F$11)*$A82-(Examples!$F$6*Examples!$F$7*Examples!$F$8*EXP(-Examples!$F$9*$A82)*(1-(Examples!$F$12*(1-EXP(-Examples!$F$13*$A82))/(1+EXP(MIN(700,MAX(-700,(Examples!$F$14*$A82-Examples!$F$15)/Examples!$F$16))))))+Examples!$F$17*$A82^2)</f>
        <v>108484.50183037619</v>
      </c>
      <c r="I82" s="33">
        <f>(Examples!$F$6*Examples!$F$7*Examples!$F$8*EXP(-Examples!$F$9*$A82)*(1-(Examples!$F$12*(1-EXP(-Examples!$F$13*$A82))/(1+EXP(MIN(700,MAX(-700,(Examples!$F$14*$A82-Examples!$F$15)/Examples!$F$16))))))+Examples!$F$17*$A82^2)</f>
        <v>25515.49816962381</v>
      </c>
      <c r="J82" s="33">
        <f>Examples!$G$18-(Examples!$G$10+Examples!$G$11)*$A82-(Examples!$G$6*Examples!$G$7*Examples!$G$8*EXP(-Examples!$G$9*$A82)*(1-(Examples!$G$12*(1-EXP(-Examples!$G$13*$A82))/(1+EXP(MIN(700,MAX(-700,(Examples!$G$14*$A82-Examples!$G$15)/Examples!$G$16))))))+Examples!$G$17*$A82^2)</f>
        <v>304535.93350028014</v>
      </c>
      <c r="K82" s="33">
        <f>(Examples!$G$6*Examples!$G$7*Examples!$G$8*EXP(-Examples!$G$9*$A82)*(1-(Examples!$G$12*(1-EXP(-Examples!$G$13*$A82))/(1+EXP(MIN(700,MAX(-700,(Examples!$G$14*$A82-Examples!$G$15)/Examples!$G$16))))))+Examples!$G$17*$A82^2)</f>
        <v>1155464.0664997199</v>
      </c>
      <c r="L82" s="33">
        <f>Examples!$H$18-(Examples!$H$10+Examples!$H$11)*$A82-(Examples!$H$6*Examples!$H$7*Examples!$H$8*EXP(-Examples!$H$9*$A82)*(1-(Examples!$H$12*(1-EXP(-Examples!$H$13*$A82))/(1+EXP(MIN(700,MAX(-700,(Examples!$H$14*$A82-Examples!$H$15)/Examples!$H$16))))))+Examples!$H$17*$A82^2)</f>
        <v>340256.78263302031</v>
      </c>
      <c r="M82" s="33">
        <f>(Examples!$H$6*Examples!$H$7*Examples!$H$8*EXP(-Examples!$H$9*$A82)*(1-(Examples!$H$12*(1-EXP(-Examples!$H$13*$A82))/(1+EXP(MIN(700,MAX(-700,(Examples!$H$14*$A82-Examples!$H$15)/Examples!$H$16))))))+Examples!$H$17*$A82^2)</f>
        <v>1119743.2173669797</v>
      </c>
    </row>
    <row r="83" spans="1:13" x14ac:dyDescent="0.25">
      <c r="A83" s="4">
        <f>(83-2)/100</f>
        <v>0.81</v>
      </c>
      <c r="B83" s="33">
        <f>Examples!$C$18-(Examples!$C$10+Examples!$C$11)*$A83-(Examples!$C$6*Examples!$C$7*Examples!$C$8*EXP(-Examples!$C$9*$A83)*(1-(Examples!$C$12*(1-EXP(-Examples!$C$13*$A83))/(1+EXP(MIN(700,MAX(-700,(Examples!$C$14*$A83-Examples!$C$15)/Examples!$C$16))))))+Examples!$C$17*$A83^2)</f>
        <v>165132.2489015896</v>
      </c>
      <c r="C83" s="33">
        <f>(Examples!$C$6*Examples!$C$7*Examples!$C$8*EXP(-Examples!$C$9*$A83)*(1-(Examples!$C$12*(1-EXP(-Examples!$C$13*$A83))/(1+EXP(MIN(700,MAX(-700,(Examples!$C$14*$A83-Examples!$C$15)/Examples!$C$16))))))+Examples!$C$17*$A83^2)</f>
        <v>406517.7510984104</v>
      </c>
      <c r="D83" s="33">
        <f>Examples!$D$18-(Examples!$D$10+Examples!$D$11)*$A83-(Examples!$D$6*Examples!$D$7*Examples!$D$8*EXP(-Examples!$D$9*$A83)*(1-(Examples!$D$12*(1-EXP(-Examples!$D$13*$A83))/(1+EXP(MIN(700,MAX(-700,(Examples!$D$14*$A83-Examples!$D$15)/Examples!$D$16))))))+Examples!$D$17*$A83^2)</f>
        <v>-527357.27888549864</v>
      </c>
      <c r="E83" s="33">
        <f>(Examples!$D$6*Examples!$D$7*Examples!$D$8*EXP(-Examples!$D$9*$A83)*(1-(Examples!$D$12*(1-EXP(-Examples!$D$13*$A83))/(1+EXP(MIN(700,MAX(-700,(Examples!$D$14*$A83-Examples!$D$15)/Examples!$D$16))))))+Examples!$D$17*$A83^2)</f>
        <v>2990907.2788854986</v>
      </c>
      <c r="F83" s="33">
        <f>Examples!$E$18-(Examples!$E$10+Examples!$E$11)*$A83-(Examples!$E$6*Examples!$E$7*Examples!$E$8*EXP(-Examples!$E$9*$A83)*(1-(Examples!$E$12*(1-EXP(-Examples!$E$13*$A83))/(1+EXP(MIN(700,MAX(-700,(Examples!$E$14*$A83-Examples!$E$15)/Examples!$E$16))))))+Examples!$E$17*$A83^2)</f>
        <v>1768388.114191568</v>
      </c>
      <c r="G83" s="33">
        <f>(Examples!$E$6*Examples!$E$7*Examples!$E$8*EXP(-Examples!$E$9*$A83)*(1-(Examples!$E$12*(1-EXP(-Examples!$E$13*$A83))/(1+EXP(MIN(700,MAX(-700,(Examples!$E$14*$A83-Examples!$E$15)/Examples!$E$16))))))+Examples!$E$17*$A83^2)</f>
        <v>1162761.885808432</v>
      </c>
      <c r="H83" s="33">
        <f>Examples!$F$18-(Examples!$F$10+Examples!$F$11)*$A83-(Examples!$F$6*Examples!$F$7*Examples!$F$8*EXP(-Examples!$F$9*$A83)*(1-(Examples!$F$12*(1-EXP(-Examples!$F$13*$A83))/(1+EXP(MIN(700,MAX(-700,(Examples!$F$14*$A83-Examples!$F$15)/Examples!$F$16))))))+Examples!$F$17*$A83^2)</f>
        <v>108007.60063519276</v>
      </c>
      <c r="I83" s="33">
        <f>(Examples!$F$6*Examples!$F$7*Examples!$F$8*EXP(-Examples!$F$9*$A83)*(1-(Examples!$F$12*(1-EXP(-Examples!$F$13*$A83))/(1+EXP(MIN(700,MAX(-700,(Examples!$F$14*$A83-Examples!$F$15)/Examples!$F$16))))))+Examples!$F$17*$A83^2)</f>
        <v>25792.399364807239</v>
      </c>
      <c r="J83" s="33">
        <f>Examples!$G$18-(Examples!$G$10+Examples!$G$11)*$A83-(Examples!$G$6*Examples!$G$7*Examples!$G$8*EXP(-Examples!$G$9*$A83)*(1-(Examples!$G$12*(1-EXP(-Examples!$G$13*$A83))/(1+EXP(MIN(700,MAX(-700,(Examples!$G$14*$A83-Examples!$G$15)/Examples!$G$16))))))+Examples!$G$17*$A83^2)</f>
        <v>311118.79629252851</v>
      </c>
      <c r="K83" s="33">
        <f>(Examples!$G$6*Examples!$G$7*Examples!$G$8*EXP(-Examples!$G$9*$A83)*(1-(Examples!$G$12*(1-EXP(-Examples!$G$13*$A83))/(1+EXP(MIN(700,MAX(-700,(Examples!$G$14*$A83-Examples!$G$15)/Examples!$G$16))))))+Examples!$G$17*$A83^2)</f>
        <v>1148381.2037074715</v>
      </c>
      <c r="L83" s="33">
        <f>Examples!$H$18-(Examples!$H$10+Examples!$H$11)*$A83-(Examples!$H$6*Examples!$H$7*Examples!$H$8*EXP(-Examples!$H$9*$A83)*(1-(Examples!$H$12*(1-EXP(-Examples!$H$13*$A83))/(1+EXP(MIN(700,MAX(-700,(Examples!$H$14*$A83-Examples!$H$15)/Examples!$H$16))))))+Examples!$H$17*$A83^2)</f>
        <v>347477.50188955548</v>
      </c>
      <c r="M83" s="33">
        <f>(Examples!$H$6*Examples!$H$7*Examples!$H$8*EXP(-Examples!$H$9*$A83)*(1-(Examples!$H$12*(1-EXP(-Examples!$H$13*$A83))/(1+EXP(MIN(700,MAX(-700,(Examples!$H$14*$A83-Examples!$H$15)/Examples!$H$16))))))+Examples!$H$17*$A83^2)</f>
        <v>1112022.4981104445</v>
      </c>
    </row>
    <row r="84" spans="1:13" x14ac:dyDescent="0.25">
      <c r="A84" s="4">
        <f>(84-2)/100</f>
        <v>0.82</v>
      </c>
      <c r="B84" s="33">
        <f>Examples!$C$18-(Examples!$C$10+Examples!$C$11)*$A84-(Examples!$C$6*Examples!$C$7*Examples!$C$8*EXP(-Examples!$C$9*$A84)*(1-(Examples!$C$12*(1-EXP(-Examples!$C$13*$A84))/(1+EXP(MIN(700,MAX(-700,(Examples!$C$14*$A84-Examples!$C$15)/Examples!$C$16))))))+Examples!$C$17*$A84^2)</f>
        <v>166357.53354855056</v>
      </c>
      <c r="C84" s="33">
        <f>(Examples!$C$6*Examples!$C$7*Examples!$C$8*EXP(-Examples!$C$9*$A84)*(1-(Examples!$C$12*(1-EXP(-Examples!$C$13*$A84))/(1+EXP(MIN(700,MAX(-700,(Examples!$C$14*$A84-Examples!$C$15)/Examples!$C$16))))))+Examples!$C$17*$A84^2)</f>
        <v>404942.46645144944</v>
      </c>
      <c r="D84" s="33">
        <f>Examples!$D$18-(Examples!$D$10+Examples!$D$11)*$A84-(Examples!$D$6*Examples!$D$7*Examples!$D$8*EXP(-Examples!$D$9*$A84)*(1-(Examples!$D$12*(1-EXP(-Examples!$D$13*$A84))/(1+EXP(MIN(700,MAX(-700,(Examples!$D$14*$A84-Examples!$D$15)/Examples!$D$16))))))+Examples!$D$17*$A84^2)</f>
        <v>-503558.63831647485</v>
      </c>
      <c r="E84" s="33">
        <f>(Examples!$D$6*Examples!$D$7*Examples!$D$8*EXP(-Examples!$D$9*$A84)*(1-(Examples!$D$12*(1-EXP(-Examples!$D$13*$A84))/(1+EXP(MIN(700,MAX(-700,(Examples!$D$14*$A84-Examples!$D$15)/Examples!$D$16))))))+Examples!$D$17*$A84^2)</f>
        <v>2966658.6383164749</v>
      </c>
      <c r="F84" s="33">
        <f>Examples!$E$18-(Examples!$E$10+Examples!$E$11)*$A84-(Examples!$E$6*Examples!$E$7*Examples!$E$8*EXP(-Examples!$E$9*$A84)*(1-(Examples!$E$12*(1-EXP(-Examples!$E$13*$A84))/(1+EXP(MIN(700,MAX(-700,(Examples!$E$14*$A84-Examples!$E$15)/Examples!$E$16))))))+Examples!$E$17*$A84^2)</f>
        <v>1778926.6149174427</v>
      </c>
      <c r="G84" s="33">
        <f>(Examples!$E$6*Examples!$E$7*Examples!$E$8*EXP(-Examples!$E$9*$A84)*(1-(Examples!$E$12*(1-EXP(-Examples!$E$13*$A84))/(1+EXP(MIN(700,MAX(-700,(Examples!$E$14*$A84-Examples!$E$15)/Examples!$E$16))))))+Examples!$E$17*$A84^2)</f>
        <v>1151373.3850825573</v>
      </c>
      <c r="H84" s="33">
        <f>Examples!$F$18-(Examples!$F$10+Examples!$F$11)*$A84-(Examples!$F$6*Examples!$F$7*Examples!$F$8*EXP(-Examples!$F$9*$A84)*(1-(Examples!$F$12*(1-EXP(-Examples!$F$13*$A84))/(1+EXP(MIN(700,MAX(-700,(Examples!$F$14*$A84-Examples!$F$15)/Examples!$F$16))))))+Examples!$F$17*$A84^2)</f>
        <v>107526.26422390644</v>
      </c>
      <c r="I84" s="33">
        <f>(Examples!$F$6*Examples!$F$7*Examples!$F$8*EXP(-Examples!$F$9*$A84)*(1-(Examples!$F$12*(1-EXP(-Examples!$F$13*$A84))/(1+EXP(MIN(700,MAX(-700,(Examples!$F$14*$A84-Examples!$F$15)/Examples!$F$16))))))+Examples!$F$17*$A84^2)</f>
        <v>26073.735776093556</v>
      </c>
      <c r="J84" s="33">
        <f>Examples!$G$18-(Examples!$G$10+Examples!$G$11)*$A84-(Examples!$G$6*Examples!$G$7*Examples!$G$8*EXP(-Examples!$G$9*$A84)*(1-(Examples!$G$12*(1-EXP(-Examples!$G$13*$A84))/(1+EXP(MIN(700,MAX(-700,(Examples!$G$14*$A84-Examples!$G$15)/Examples!$G$16))))))+Examples!$G$17*$A84^2)</f>
        <v>317631.44891367876</v>
      </c>
      <c r="K84" s="33">
        <f>(Examples!$G$6*Examples!$G$7*Examples!$G$8*EXP(-Examples!$G$9*$A84)*(1-(Examples!$G$12*(1-EXP(-Examples!$G$13*$A84))/(1+EXP(MIN(700,MAX(-700,(Examples!$G$14*$A84-Examples!$G$15)/Examples!$G$16))))))+Examples!$G$17*$A84^2)</f>
        <v>1141368.5510863212</v>
      </c>
      <c r="L84" s="33">
        <f>Examples!$H$18-(Examples!$H$10+Examples!$H$11)*$A84-(Examples!$H$6*Examples!$H$7*Examples!$H$8*EXP(-Examples!$H$9*$A84)*(1-(Examples!$H$12*(1-EXP(-Examples!$H$13*$A84))/(1+EXP(MIN(700,MAX(-700,(Examples!$H$14*$A84-Examples!$H$15)/Examples!$H$16))))))+Examples!$H$17*$A84^2)</f>
        <v>354632.50265449891</v>
      </c>
      <c r="M84" s="33">
        <f>(Examples!$H$6*Examples!$H$7*Examples!$H$8*EXP(-Examples!$H$9*$A84)*(1-(Examples!$H$12*(1-EXP(-Examples!$H$13*$A84))/(1+EXP(MIN(700,MAX(-700,(Examples!$H$14*$A84-Examples!$H$15)/Examples!$H$16))))))+Examples!$H$17*$A84^2)</f>
        <v>1104367.4973455011</v>
      </c>
    </row>
    <row r="85" spans="1:13" x14ac:dyDescent="0.25">
      <c r="A85" s="4">
        <f>(85-2)/100</f>
        <v>0.83</v>
      </c>
      <c r="B85" s="33">
        <f>Examples!$C$18-(Examples!$C$10+Examples!$C$11)*$A85-(Examples!$C$6*Examples!$C$7*Examples!$C$8*EXP(-Examples!$C$9*$A85)*(1-(Examples!$C$12*(1-EXP(-Examples!$C$13*$A85))/(1+EXP(MIN(700,MAX(-700,(Examples!$C$14*$A85-Examples!$C$15)/Examples!$C$16))))))+Examples!$C$17*$A85^2)</f>
        <v>167562.4637617119</v>
      </c>
      <c r="C85" s="33">
        <f>(Examples!$C$6*Examples!$C$7*Examples!$C$8*EXP(-Examples!$C$9*$A85)*(1-(Examples!$C$12*(1-EXP(-Examples!$C$13*$A85))/(1+EXP(MIN(700,MAX(-700,(Examples!$C$14*$A85-Examples!$C$15)/Examples!$C$16))))))+Examples!$C$17*$A85^2)</f>
        <v>403387.5362382881</v>
      </c>
      <c r="D85" s="33">
        <f>Examples!$D$18-(Examples!$D$10+Examples!$D$11)*$A85-(Examples!$D$6*Examples!$D$7*Examples!$D$8*EXP(-Examples!$D$9*$A85)*(1-(Examples!$D$12*(1-EXP(-Examples!$D$13*$A85))/(1+EXP(MIN(700,MAX(-700,(Examples!$D$14*$A85-Examples!$D$15)/Examples!$D$16))))))+Examples!$D$17*$A85^2)</f>
        <v>-479995.90846226132</v>
      </c>
      <c r="E85" s="33">
        <f>(Examples!$D$6*Examples!$D$7*Examples!$D$8*EXP(-Examples!$D$9*$A85)*(1-(Examples!$D$12*(1-EXP(-Examples!$D$13*$A85))/(1+EXP(MIN(700,MAX(-700,(Examples!$D$14*$A85-Examples!$D$15)/Examples!$D$16))))))+Examples!$D$17*$A85^2)</f>
        <v>2942645.9084622613</v>
      </c>
      <c r="F85" s="33">
        <f>Examples!$E$18-(Examples!$E$10+Examples!$E$11)*$A85-(Examples!$E$6*Examples!$E$7*Examples!$E$8*EXP(-Examples!$E$9*$A85)*(1-(Examples!$E$12*(1-EXP(-Examples!$E$13*$A85))/(1+EXP(MIN(700,MAX(-700,(Examples!$E$14*$A85-Examples!$E$15)/Examples!$E$16))))))+Examples!$E$17*$A85^2)</f>
        <v>1789334.452549346</v>
      </c>
      <c r="G85" s="33">
        <f>(Examples!$E$6*Examples!$E$7*Examples!$E$8*EXP(-Examples!$E$9*$A85)*(1-(Examples!$E$12*(1-EXP(-Examples!$E$13*$A85))/(1+EXP(MIN(700,MAX(-700,(Examples!$E$14*$A85-Examples!$E$15)/Examples!$E$16))))))+Examples!$E$17*$A85^2)</f>
        <v>1140115.547450654</v>
      </c>
      <c r="H85" s="33">
        <f>Examples!$F$18-(Examples!$F$10+Examples!$F$11)*$A85-(Examples!$F$6*Examples!$F$7*Examples!$F$8*EXP(-Examples!$F$9*$A85)*(1-(Examples!$F$12*(1-EXP(-Examples!$F$13*$A85))/(1+EXP(MIN(700,MAX(-700,(Examples!$F$14*$A85-Examples!$F$15)/Examples!$F$16))))))+Examples!$F$17*$A85^2)</f>
        <v>107040.48841373122</v>
      </c>
      <c r="I85" s="33">
        <f>(Examples!$F$6*Examples!$F$7*Examples!$F$8*EXP(-Examples!$F$9*$A85)*(1-(Examples!$F$12*(1-EXP(-Examples!$F$13*$A85))/(1+EXP(MIN(700,MAX(-700,(Examples!$F$14*$A85-Examples!$F$15)/Examples!$F$16))))))+Examples!$F$17*$A85^2)</f>
        <v>26359.511586268785</v>
      </c>
      <c r="J85" s="33">
        <f>Examples!$G$18-(Examples!$G$10+Examples!$G$11)*$A85-(Examples!$G$6*Examples!$G$7*Examples!$G$8*EXP(-Examples!$G$9*$A85)*(1-(Examples!$G$12*(1-EXP(-Examples!$G$13*$A85))/(1+EXP(MIN(700,MAX(-700,(Examples!$G$14*$A85-Examples!$G$15)/Examples!$G$16))))))+Examples!$G$17*$A85^2)</f>
        <v>324074.36633341154</v>
      </c>
      <c r="K85" s="33">
        <f>(Examples!$G$6*Examples!$G$7*Examples!$G$8*EXP(-Examples!$G$9*$A85)*(1-(Examples!$G$12*(1-EXP(-Examples!$G$13*$A85))/(1+EXP(MIN(700,MAX(-700,(Examples!$G$14*$A85-Examples!$G$15)/Examples!$G$16))))))+Examples!$G$17*$A85^2)</f>
        <v>1134425.6336665885</v>
      </c>
      <c r="L85" s="33">
        <f>Examples!$H$18-(Examples!$H$10+Examples!$H$11)*$A85-(Examples!$H$6*Examples!$H$7*Examples!$H$8*EXP(-Examples!$H$9*$A85)*(1-(Examples!$H$12*(1-EXP(-Examples!$H$13*$A85))/(1+EXP(MIN(700,MAX(-700,(Examples!$H$14*$A85-Examples!$H$15)/Examples!$H$16))))))+Examples!$H$17*$A85^2)</f>
        <v>361722.21246622968</v>
      </c>
      <c r="M85" s="33">
        <f>(Examples!$H$6*Examples!$H$7*Examples!$H$8*EXP(-Examples!$H$9*$A85)*(1-(Examples!$H$12*(1-EXP(-Examples!$H$13*$A85))/(1+EXP(MIN(700,MAX(-700,(Examples!$H$14*$A85-Examples!$H$15)/Examples!$H$16))))))+Examples!$H$17*$A85^2)</f>
        <v>1096777.7875337703</v>
      </c>
    </row>
    <row r="86" spans="1:13" x14ac:dyDescent="0.25">
      <c r="A86" s="4">
        <f>(86-2)/100</f>
        <v>0.84</v>
      </c>
      <c r="B86" s="33">
        <f>Examples!$C$18-(Examples!$C$10+Examples!$C$11)*$A86-(Examples!$C$6*Examples!$C$7*Examples!$C$8*EXP(-Examples!$C$9*$A86)*(1-(Examples!$C$12*(1-EXP(-Examples!$C$13*$A86))/(1+EXP(MIN(700,MAX(-700,(Examples!$C$14*$A86-Examples!$C$15)/Examples!$C$16))))))+Examples!$C$17*$A86^2)</f>
        <v>168746.95274421881</v>
      </c>
      <c r="C86" s="33">
        <f>(Examples!$C$6*Examples!$C$7*Examples!$C$8*EXP(-Examples!$C$9*$A86)*(1-(Examples!$C$12*(1-EXP(-Examples!$C$13*$A86))/(1+EXP(MIN(700,MAX(-700,(Examples!$C$14*$A86-Examples!$C$15)/Examples!$C$16))))))+Examples!$C$17*$A86^2)</f>
        <v>401853.04725578119</v>
      </c>
      <c r="D86" s="33">
        <f>Examples!$D$18-(Examples!$D$10+Examples!$D$11)*$A86-(Examples!$D$6*Examples!$D$7*Examples!$D$8*EXP(-Examples!$D$9*$A86)*(1-(Examples!$D$12*(1-EXP(-Examples!$D$13*$A86))/(1+EXP(MIN(700,MAX(-700,(Examples!$D$14*$A86-Examples!$D$15)/Examples!$D$16))))))+Examples!$D$17*$A86^2)</f>
        <v>-456666.83692334779</v>
      </c>
      <c r="E86" s="33">
        <f>(Examples!$D$6*Examples!$D$7*Examples!$D$8*EXP(-Examples!$D$9*$A86)*(1-(Examples!$D$12*(1-EXP(-Examples!$D$13*$A86))/(1+EXP(MIN(700,MAX(-700,(Examples!$D$14*$A86-Examples!$D$15)/Examples!$D$16))))))+Examples!$D$17*$A86^2)</f>
        <v>2918866.8369233478</v>
      </c>
      <c r="F86" s="33">
        <f>Examples!$E$18-(Examples!$E$10+Examples!$E$11)*$A86-(Examples!$E$6*Examples!$E$7*Examples!$E$8*EXP(-Examples!$E$9*$A86)*(1-(Examples!$E$12*(1-EXP(-Examples!$E$13*$A86))/(1+EXP(MIN(700,MAX(-700,(Examples!$E$14*$A86-Examples!$E$15)/Examples!$E$16))))))+Examples!$E$17*$A86^2)</f>
        <v>1799613.1329302606</v>
      </c>
      <c r="G86" s="33">
        <f>(Examples!$E$6*Examples!$E$7*Examples!$E$8*EXP(-Examples!$E$9*$A86)*(1-(Examples!$E$12*(1-EXP(-Examples!$E$13*$A86))/(1+EXP(MIN(700,MAX(-700,(Examples!$E$14*$A86-Examples!$E$15)/Examples!$E$16))))))+Examples!$E$17*$A86^2)</f>
        <v>1128986.8670697394</v>
      </c>
      <c r="H86" s="33">
        <f>Examples!$F$18-(Examples!$F$10+Examples!$F$11)*$A86-(Examples!$F$6*Examples!$F$7*Examples!$F$8*EXP(-Examples!$F$9*$A86)*(1-(Examples!$F$12*(1-EXP(-Examples!$F$13*$A86))/(1+EXP(MIN(700,MAX(-700,(Examples!$F$14*$A86-Examples!$F$15)/Examples!$F$16))))))+Examples!$F$17*$A86^2)</f>
        <v>106550.26903761939</v>
      </c>
      <c r="I86" s="33">
        <f>(Examples!$F$6*Examples!$F$7*Examples!$F$8*EXP(-Examples!$F$9*$A86)*(1-(Examples!$F$12*(1-EXP(-Examples!$F$13*$A86))/(1+EXP(MIN(700,MAX(-700,(Examples!$F$14*$A86-Examples!$F$15)/Examples!$F$16))))))+Examples!$F$17*$A86^2)</f>
        <v>26649.730962380607</v>
      </c>
      <c r="J86" s="33">
        <f>Examples!$G$18-(Examples!$G$10+Examples!$G$11)*$A86-(Examples!$G$6*Examples!$G$7*Examples!$G$8*EXP(-Examples!$G$9*$A86)*(1-(Examples!$G$12*(1-EXP(-Examples!$G$13*$A86))/(1+EXP(MIN(700,MAX(-700,(Examples!$G$14*$A86-Examples!$G$15)/Examples!$G$16))))))+Examples!$G$17*$A86^2)</f>
        <v>330448.01990455529</v>
      </c>
      <c r="K86" s="33">
        <f>(Examples!$G$6*Examples!$G$7*Examples!$G$8*EXP(-Examples!$G$9*$A86)*(1-(Examples!$G$12*(1-EXP(-Examples!$G$13*$A86))/(1+EXP(MIN(700,MAX(-700,(Examples!$G$14*$A86-Examples!$G$15)/Examples!$G$16))))))+Examples!$G$17*$A86^2)</f>
        <v>1127551.9800954447</v>
      </c>
      <c r="L86" s="33">
        <f>Examples!$H$18-(Examples!$H$10+Examples!$H$11)*$A86-(Examples!$H$6*Examples!$H$7*Examples!$H$8*EXP(-Examples!$H$9*$A86)*(1-(Examples!$H$12*(1-EXP(-Examples!$H$13*$A86))/(1+EXP(MIN(700,MAX(-700,(Examples!$H$14*$A86-Examples!$H$15)/Examples!$H$16))))))+Examples!$H$17*$A86^2)</f>
        <v>368747.05229550274</v>
      </c>
      <c r="M86" s="33">
        <f>(Examples!$H$6*Examples!$H$7*Examples!$H$8*EXP(-Examples!$H$9*$A86)*(1-(Examples!$H$12*(1-EXP(-Examples!$H$13*$A86))/(1+EXP(MIN(700,MAX(-700,(Examples!$H$14*$A86-Examples!$H$15)/Examples!$H$16))))))+Examples!$H$17*$A86^2)</f>
        <v>1089252.9477044973</v>
      </c>
    </row>
    <row r="87" spans="1:13" x14ac:dyDescent="0.25">
      <c r="A87" s="4">
        <f>(87-2)/100</f>
        <v>0.85</v>
      </c>
      <c r="B87" s="33">
        <f>Examples!$C$18-(Examples!$C$10+Examples!$C$11)*$A87-(Examples!$C$6*Examples!$C$7*Examples!$C$8*EXP(-Examples!$C$9*$A87)*(1-(Examples!$C$12*(1-EXP(-Examples!$C$13*$A87))/(1+EXP(MIN(700,MAX(-700,(Examples!$C$14*$A87-Examples!$C$15)/Examples!$C$16))))))+Examples!$C$17*$A87^2)</f>
        <v>169910.91042640037</v>
      </c>
      <c r="C87" s="33">
        <f>(Examples!$C$6*Examples!$C$7*Examples!$C$8*EXP(-Examples!$C$9*$A87)*(1-(Examples!$C$12*(1-EXP(-Examples!$C$13*$A87))/(1+EXP(MIN(700,MAX(-700,(Examples!$C$14*$A87-Examples!$C$15)/Examples!$C$16))))))+Examples!$C$17*$A87^2)</f>
        <v>400339.08957359963</v>
      </c>
      <c r="D87" s="33">
        <f>Examples!$D$18-(Examples!$D$10+Examples!$D$11)*$A87-(Examples!$D$6*Examples!$D$7*Examples!$D$8*EXP(-Examples!$D$9*$A87)*(1-(Examples!$D$12*(1-EXP(-Examples!$D$13*$A87))/(1+EXP(MIN(700,MAX(-700,(Examples!$D$14*$A87-Examples!$D$15)/Examples!$D$16))))))+Examples!$D$17*$A87^2)</f>
        <v>-433569.19475777727</v>
      </c>
      <c r="E87" s="33">
        <f>(Examples!$D$6*Examples!$D$7*Examples!$D$8*EXP(-Examples!$D$9*$A87)*(1-(Examples!$D$12*(1-EXP(-Examples!$D$13*$A87))/(1+EXP(MIN(700,MAX(-700,(Examples!$D$14*$A87-Examples!$D$15)/Examples!$D$16))))))+Examples!$D$17*$A87^2)</f>
        <v>2895319.1947577773</v>
      </c>
      <c r="F87" s="33">
        <f>Examples!$E$18-(Examples!$E$10+Examples!$E$11)*$A87-(Examples!$E$6*Examples!$E$7*Examples!$E$8*EXP(-Examples!$E$9*$A87)*(1-(Examples!$E$12*(1-EXP(-Examples!$E$13*$A87))/(1+EXP(MIN(700,MAX(-700,(Examples!$E$14*$A87-Examples!$E$15)/Examples!$E$16))))))+Examples!$E$17*$A87^2)</f>
        <v>1809764.1441824152</v>
      </c>
      <c r="G87" s="33">
        <f>(Examples!$E$6*Examples!$E$7*Examples!$E$8*EXP(-Examples!$E$9*$A87)*(1-(Examples!$E$12*(1-EXP(-Examples!$E$13*$A87))/(1+EXP(MIN(700,MAX(-700,(Examples!$E$14*$A87-Examples!$E$15)/Examples!$E$16))))))+Examples!$E$17*$A87^2)</f>
        <v>1117985.8558175848</v>
      </c>
      <c r="H87" s="33">
        <f>Examples!$F$18-(Examples!$F$10+Examples!$F$11)*$A87-(Examples!$F$6*Examples!$F$7*Examples!$F$8*EXP(-Examples!$F$9*$A87)*(1-(Examples!$F$12*(1-EXP(-Examples!$F$13*$A87))/(1+EXP(MIN(700,MAX(-700,(Examples!$F$14*$A87-Examples!$F$15)/Examples!$F$16))))))+Examples!$F$17*$A87^2)</f>
        <v>106055.60195839439</v>
      </c>
      <c r="I87" s="33">
        <f>(Examples!$F$6*Examples!$F$7*Examples!$F$8*EXP(-Examples!$F$9*$A87)*(1-(Examples!$F$12*(1-EXP(-Examples!$F$13*$A87))/(1+EXP(MIN(700,MAX(-700,(Examples!$F$14*$A87-Examples!$F$15)/Examples!$F$16))))))+Examples!$F$17*$A87^2)</f>
        <v>26944.398041605615</v>
      </c>
      <c r="J87" s="33">
        <f>Examples!$G$18-(Examples!$G$10+Examples!$G$11)*$A87-(Examples!$G$6*Examples!$G$7*Examples!$G$8*EXP(-Examples!$G$9*$A87)*(1-(Examples!$G$12*(1-EXP(-Examples!$G$13*$A87))/(1+EXP(MIN(700,MAX(-700,(Examples!$G$14*$A87-Examples!$G$15)/Examples!$G$16))))))+Examples!$G$17*$A87^2)</f>
        <v>336752.87741751131</v>
      </c>
      <c r="K87" s="33">
        <f>(Examples!$G$6*Examples!$G$7*Examples!$G$8*EXP(-Examples!$G$9*$A87)*(1-(Examples!$G$12*(1-EXP(-Examples!$G$13*$A87))/(1+EXP(MIN(700,MAX(-700,(Examples!$G$14*$A87-Examples!$G$15)/Examples!$G$16))))))+Examples!$G$17*$A87^2)</f>
        <v>1120747.1225824887</v>
      </c>
      <c r="L87" s="33">
        <f>Examples!$H$18-(Examples!$H$10+Examples!$H$11)*$A87-(Examples!$H$6*Examples!$H$7*Examples!$H$8*EXP(-Examples!$H$9*$A87)*(1-(Examples!$H$12*(1-EXP(-Examples!$H$13*$A87))/(1+EXP(MIN(700,MAX(-700,(Examples!$H$14*$A87-Examples!$H$15)/Examples!$H$16))))))+Examples!$H$17*$A87^2)</f>
        <v>375707.43651341624</v>
      </c>
      <c r="M87" s="33">
        <f>(Examples!$H$6*Examples!$H$7*Examples!$H$8*EXP(-Examples!$H$9*$A87)*(1-(Examples!$H$12*(1-EXP(-Examples!$H$13*$A87))/(1+EXP(MIN(700,MAX(-700,(Examples!$H$14*$A87-Examples!$H$15)/Examples!$H$16))))))+Examples!$H$17*$A87^2)</f>
        <v>1081792.5634865838</v>
      </c>
    </row>
    <row r="88" spans="1:13" x14ac:dyDescent="0.25">
      <c r="A88" s="4">
        <f>(88-2)/100</f>
        <v>0.86</v>
      </c>
      <c r="B88" s="33">
        <f>Examples!$C$18-(Examples!$C$10+Examples!$C$11)*$A88-(Examples!$C$6*Examples!$C$7*Examples!$C$8*EXP(-Examples!$C$9*$A88)*(1-(Examples!$C$12*(1-EXP(-Examples!$C$13*$A88))/(1+EXP(MIN(700,MAX(-700,(Examples!$C$14*$A88-Examples!$C$15)/Examples!$C$16))))))+Examples!$C$17*$A88^2)</f>
        <v>171054.24353635224</v>
      </c>
      <c r="C88" s="33">
        <f>(Examples!$C$6*Examples!$C$7*Examples!$C$8*EXP(-Examples!$C$9*$A88)*(1-(Examples!$C$12*(1-EXP(-Examples!$C$13*$A88))/(1+EXP(MIN(700,MAX(-700,(Examples!$C$14*$A88-Examples!$C$15)/Examples!$C$16))))))+Examples!$C$17*$A88^2)</f>
        <v>398845.75646364776</v>
      </c>
      <c r="D88" s="33">
        <f>Examples!$D$18-(Examples!$D$10+Examples!$D$11)*$A88-(Examples!$D$6*Examples!$D$7*Examples!$D$8*EXP(-Examples!$D$9*$A88)*(1-(Examples!$D$12*(1-EXP(-Examples!$D$13*$A88))/(1+EXP(MIN(700,MAX(-700,(Examples!$D$14*$A88-Examples!$D$15)/Examples!$D$16))))))+Examples!$D$17*$A88^2)</f>
        <v>-410700.77623860026</v>
      </c>
      <c r="E88" s="33">
        <f>(Examples!$D$6*Examples!$D$7*Examples!$D$8*EXP(-Examples!$D$9*$A88)*(1-(Examples!$D$12*(1-EXP(-Examples!$D$13*$A88))/(1+EXP(MIN(700,MAX(-700,(Examples!$D$14*$A88-Examples!$D$15)/Examples!$D$16))))))+Examples!$D$17*$A88^2)</f>
        <v>2872000.7762386003</v>
      </c>
      <c r="F88" s="33">
        <f>Examples!$E$18-(Examples!$E$10+Examples!$E$11)*$A88-(Examples!$E$6*Examples!$E$7*Examples!$E$8*EXP(-Examples!$E$9*$A88)*(1-(Examples!$E$12*(1-EXP(-Examples!$E$13*$A88))/(1+EXP(MIN(700,MAX(-700,(Examples!$E$14*$A88-Examples!$E$15)/Examples!$E$16))))))+Examples!$E$17*$A88^2)</f>
        <v>1819788.9569179188</v>
      </c>
      <c r="G88" s="33">
        <f>(Examples!$E$6*Examples!$E$7*Examples!$E$8*EXP(-Examples!$E$9*$A88)*(1-(Examples!$E$12*(1-EXP(-Examples!$E$13*$A88))/(1+EXP(MIN(700,MAX(-700,(Examples!$E$14*$A88-Examples!$E$15)/Examples!$E$16))))))+Examples!$E$17*$A88^2)</f>
        <v>1107111.0430820812</v>
      </c>
      <c r="H88" s="33">
        <f>Examples!$F$18-(Examples!$F$10+Examples!$F$11)*$A88-(Examples!$F$6*Examples!$F$7*Examples!$F$8*EXP(-Examples!$F$9*$A88)*(1-(Examples!$F$12*(1-EXP(-Examples!$F$13*$A88))/(1+EXP(MIN(700,MAX(-700,(Examples!$F$14*$A88-Examples!$F$15)/Examples!$F$16))))))+Examples!$F$17*$A88^2)</f>
        <v>105556.48308378141</v>
      </c>
      <c r="I88" s="33">
        <f>(Examples!$F$6*Examples!$F$7*Examples!$F$8*EXP(-Examples!$F$9*$A88)*(1-(Examples!$F$12*(1-EXP(-Examples!$F$13*$A88))/(1+EXP(MIN(700,MAX(-700,(Examples!$F$14*$A88-Examples!$F$15)/Examples!$F$16))))))+Examples!$F$17*$A88^2)</f>
        <v>27243.516916218599</v>
      </c>
      <c r="J88" s="33">
        <f>Examples!$G$18-(Examples!$G$10+Examples!$G$11)*$A88-(Examples!$G$6*Examples!$G$7*Examples!$G$8*EXP(-Examples!$G$9*$A88)*(1-(Examples!$G$12*(1-EXP(-Examples!$G$13*$A88))/(1+EXP(MIN(700,MAX(-700,(Examples!$G$14*$A88-Examples!$G$15)/Examples!$G$16))))))+Examples!$G$17*$A88^2)</f>
        <v>342989.4031546202</v>
      </c>
      <c r="K88" s="33">
        <f>(Examples!$G$6*Examples!$G$7*Examples!$G$8*EXP(-Examples!$G$9*$A88)*(1-(Examples!$G$12*(1-EXP(-Examples!$G$13*$A88))/(1+EXP(MIN(700,MAX(-700,(Examples!$G$14*$A88-Examples!$G$15)/Examples!$G$16))))))+Examples!$G$17*$A88^2)</f>
        <v>1114010.5968453798</v>
      </c>
      <c r="L88" s="33">
        <f>Examples!$H$18-(Examples!$H$10+Examples!$H$11)*$A88-(Examples!$H$6*Examples!$H$7*Examples!$H$8*EXP(-Examples!$H$9*$A88)*(1-(Examples!$H$12*(1-EXP(-Examples!$H$13*$A88))/(1+EXP(MIN(700,MAX(-700,(Examples!$H$14*$A88-Examples!$H$15)/Examples!$H$16))))))+Examples!$H$17*$A88^2)</f>
        <v>382603.77285742387</v>
      </c>
      <c r="M88" s="33">
        <f>(Examples!$H$6*Examples!$H$7*Examples!$H$8*EXP(-Examples!$H$9*$A88)*(1-(Examples!$H$12*(1-EXP(-Examples!$H$13*$A88))/(1+EXP(MIN(700,MAX(-700,(Examples!$H$14*$A88-Examples!$H$15)/Examples!$H$16))))))+Examples!$H$17*$A88^2)</f>
        <v>1074396.2271425761</v>
      </c>
    </row>
    <row r="89" spans="1:13" x14ac:dyDescent="0.25">
      <c r="A89" s="4">
        <f>(89-2)/100</f>
        <v>0.87</v>
      </c>
      <c r="B89" s="33">
        <f>Examples!$C$18-(Examples!$C$10+Examples!$C$11)*$A89-(Examples!$C$6*Examples!$C$7*Examples!$C$8*EXP(-Examples!$C$9*$A89)*(1-(Examples!$C$12*(1-EXP(-Examples!$C$13*$A89))/(1+EXP(MIN(700,MAX(-700,(Examples!$C$14*$A89-Examples!$C$15)/Examples!$C$16))))))+Examples!$C$17*$A89^2)</f>
        <v>172176.85568040621</v>
      </c>
      <c r="C89" s="33">
        <f>(Examples!$C$6*Examples!$C$7*Examples!$C$8*EXP(-Examples!$C$9*$A89)*(1-(Examples!$C$12*(1-EXP(-Examples!$C$13*$A89))/(1+EXP(MIN(700,MAX(-700,(Examples!$C$14*$A89-Examples!$C$15)/Examples!$C$16))))))+Examples!$C$17*$A89^2)</f>
        <v>397373.14431959379</v>
      </c>
      <c r="D89" s="33">
        <f>Examples!$D$18-(Examples!$D$10+Examples!$D$11)*$A89-(Examples!$D$6*Examples!$D$7*Examples!$D$8*EXP(-Examples!$D$9*$A89)*(1-(Examples!$D$12*(1-EXP(-Examples!$D$13*$A89))/(1+EXP(MIN(700,MAX(-700,(Examples!$D$14*$A89-Examples!$D$15)/Examples!$D$16))))))+Examples!$D$17*$A89^2)</f>
        <v>-388059.39861376211</v>
      </c>
      <c r="E89" s="33">
        <f>(Examples!$D$6*Examples!$D$7*Examples!$D$8*EXP(-Examples!$D$9*$A89)*(1-(Examples!$D$12*(1-EXP(-Examples!$D$13*$A89))/(1+EXP(MIN(700,MAX(-700,(Examples!$D$14*$A89-Examples!$D$15)/Examples!$D$16))))))+Examples!$D$17*$A89^2)</f>
        <v>2848909.3986137621</v>
      </c>
      <c r="F89" s="33">
        <f>Examples!$E$18-(Examples!$E$10+Examples!$E$11)*$A89-(Examples!$E$6*Examples!$E$7*Examples!$E$8*EXP(-Examples!$E$9*$A89)*(1-(Examples!$E$12*(1-EXP(-Examples!$E$13*$A89))/(1+EXP(MIN(700,MAX(-700,(Examples!$E$14*$A89-Examples!$E$15)/Examples!$E$16))))))+Examples!$E$17*$A89^2)</f>
        <v>1829689.0244468958</v>
      </c>
      <c r="G89" s="33">
        <f>(Examples!$E$6*Examples!$E$7*Examples!$E$8*EXP(-Examples!$E$9*$A89)*(1-(Examples!$E$12*(1-EXP(-Examples!$E$13*$A89))/(1+EXP(MIN(700,MAX(-700,(Examples!$E$14*$A89-Examples!$E$15)/Examples!$E$16))))))+Examples!$E$17*$A89^2)</f>
        <v>1096360.9755531042</v>
      </c>
      <c r="H89" s="33">
        <f>Examples!$F$18-(Examples!$F$10+Examples!$F$11)*$A89-(Examples!$F$6*Examples!$F$7*Examples!$F$8*EXP(-Examples!$F$9*$A89)*(1-(Examples!$F$12*(1-EXP(-Examples!$F$13*$A89))/(1+EXP(MIN(700,MAX(-700,(Examples!$F$14*$A89-Examples!$F$15)/Examples!$F$16))))))+Examples!$F$17*$A89^2)</f>
        <v>105052.90838233563</v>
      </c>
      <c r="I89" s="33">
        <f>(Examples!$F$6*Examples!$F$7*Examples!$F$8*EXP(-Examples!$F$9*$A89)*(1-(Examples!$F$12*(1-EXP(-Examples!$F$13*$A89))/(1+EXP(MIN(700,MAX(-700,(Examples!$F$14*$A89-Examples!$F$15)/Examples!$F$16))))))+Examples!$F$17*$A89^2)</f>
        <v>27547.091617664366</v>
      </c>
      <c r="J89" s="33">
        <f>Examples!$G$18-(Examples!$G$10+Examples!$G$11)*$A89-(Examples!$G$6*Examples!$G$7*Examples!$G$8*EXP(-Examples!$G$9*$A89)*(1-(Examples!$G$12*(1-EXP(-Examples!$G$13*$A89))/(1+EXP(MIN(700,MAX(-700,(Examples!$G$14*$A89-Examples!$G$15)/Examples!$G$16))))))+Examples!$G$17*$A89^2)</f>
        <v>349158.05794446426</v>
      </c>
      <c r="K89" s="33">
        <f>(Examples!$G$6*Examples!$G$7*Examples!$G$8*EXP(-Examples!$G$9*$A89)*(1-(Examples!$G$12*(1-EXP(-Examples!$G$13*$A89))/(1+EXP(MIN(700,MAX(-700,(Examples!$G$14*$A89-Examples!$G$15)/Examples!$G$16))))))+Examples!$G$17*$A89^2)</f>
        <v>1107341.9420555357</v>
      </c>
      <c r="L89" s="33">
        <f>Examples!$H$18-(Examples!$H$10+Examples!$H$11)*$A89-(Examples!$H$6*Examples!$H$7*Examples!$H$8*EXP(-Examples!$H$9*$A89)*(1-(Examples!$H$12*(1-EXP(-Examples!$H$13*$A89))/(1+EXP(MIN(700,MAX(-700,(Examples!$H$14*$A89-Examples!$H$15)/Examples!$H$16))))))+Examples!$H$17*$A89^2)</f>
        <v>389436.46239536791</v>
      </c>
      <c r="M89" s="33">
        <f>(Examples!$H$6*Examples!$H$7*Examples!$H$8*EXP(-Examples!$H$9*$A89)*(1-(Examples!$H$12*(1-EXP(-Examples!$H$13*$A89))/(1+EXP(MIN(700,MAX(-700,(Examples!$H$14*$A89-Examples!$H$15)/Examples!$H$16))))))+Examples!$H$17*$A89^2)</f>
        <v>1067063.5376046321</v>
      </c>
    </row>
    <row r="90" spans="1:13" x14ac:dyDescent="0.25">
      <c r="A90" s="4">
        <f>(90-2)/100</f>
        <v>0.88</v>
      </c>
      <c r="B90" s="33">
        <f>Examples!$C$18-(Examples!$C$10+Examples!$C$11)*$A90-(Examples!$C$6*Examples!$C$7*Examples!$C$8*EXP(-Examples!$C$9*$A90)*(1-(Examples!$C$12*(1-EXP(-Examples!$C$13*$A90))/(1+EXP(MIN(700,MAX(-700,(Examples!$C$14*$A90-Examples!$C$15)/Examples!$C$16))))))+Examples!$C$17*$A90^2)</f>
        <v>173278.64743403421</v>
      </c>
      <c r="C90" s="33">
        <f>(Examples!$C$6*Examples!$C$7*Examples!$C$8*EXP(-Examples!$C$9*$A90)*(1-(Examples!$C$12*(1-EXP(-Examples!$C$13*$A90))/(1+EXP(MIN(700,MAX(-700,(Examples!$C$14*$A90-Examples!$C$15)/Examples!$C$16))))))+Examples!$C$17*$A90^2)</f>
        <v>395921.35256596579</v>
      </c>
      <c r="D90" s="33">
        <f>Examples!$D$18-(Examples!$D$10+Examples!$D$11)*$A90-(Examples!$D$6*Examples!$D$7*Examples!$D$8*EXP(-Examples!$D$9*$A90)*(1-(Examples!$D$12*(1-EXP(-Examples!$D$13*$A90))/(1+EXP(MIN(700,MAX(-700,(Examples!$D$14*$A90-Examples!$D$15)/Examples!$D$16))))))+Examples!$D$17*$A90^2)</f>
        <v>-365642.90186838852</v>
      </c>
      <c r="E90" s="33">
        <f>(Examples!$D$6*Examples!$D$7*Examples!$D$8*EXP(-Examples!$D$9*$A90)*(1-(Examples!$D$12*(1-EXP(-Examples!$D$13*$A90))/(1+EXP(MIN(700,MAX(-700,(Examples!$D$14*$A90-Examples!$D$15)/Examples!$D$16))))))+Examples!$D$17*$A90^2)</f>
        <v>2826042.9018683885</v>
      </c>
      <c r="F90" s="33">
        <f>Examples!$E$18-(Examples!$E$10+Examples!$E$11)*$A90-(Examples!$E$6*Examples!$E$7*Examples!$E$8*EXP(-Examples!$E$9*$A90)*(1-(Examples!$E$12*(1-EXP(-Examples!$E$13*$A90))/(1+EXP(MIN(700,MAX(-700,(Examples!$E$14*$A90-Examples!$E$15)/Examples!$E$16))))))+Examples!$E$17*$A90^2)</f>
        <v>1839465.7829831422</v>
      </c>
      <c r="G90" s="33">
        <f>(Examples!$E$6*Examples!$E$7*Examples!$E$8*EXP(-Examples!$E$9*$A90)*(1-(Examples!$E$12*(1-EXP(-Examples!$E$13*$A90))/(1+EXP(MIN(700,MAX(-700,(Examples!$E$14*$A90-Examples!$E$15)/Examples!$E$16))))))+Examples!$E$17*$A90^2)</f>
        <v>1085734.2170168578</v>
      </c>
      <c r="H90" s="33">
        <f>Examples!$F$18-(Examples!$F$10+Examples!$F$11)*$A90-(Examples!$F$6*Examples!$F$7*Examples!$F$8*EXP(-Examples!$F$9*$A90)*(1-(Examples!$F$12*(1-EXP(-Examples!$F$13*$A90))/(1+EXP(MIN(700,MAX(-700,(Examples!$F$14*$A90-Examples!$F$15)/Examples!$F$16))))))+Examples!$F$17*$A90^2)</f>
        <v>104544.87390026142</v>
      </c>
      <c r="I90" s="33">
        <f>(Examples!$F$6*Examples!$F$7*Examples!$F$8*EXP(-Examples!$F$9*$A90)*(1-(Examples!$F$12*(1-EXP(-Examples!$F$13*$A90))/(1+EXP(MIN(700,MAX(-700,(Examples!$F$14*$A90-Examples!$F$15)/Examples!$F$16))))))+Examples!$F$17*$A90^2)</f>
        <v>27855.126099738576</v>
      </c>
      <c r="J90" s="33">
        <f>Examples!$G$18-(Examples!$G$10+Examples!$G$11)*$A90-(Examples!$G$6*Examples!$G$7*Examples!$G$8*EXP(-Examples!$G$9*$A90)*(1-(Examples!$G$12*(1-EXP(-Examples!$G$13*$A90))/(1+EXP(MIN(700,MAX(-700,(Examples!$G$14*$A90-Examples!$G$15)/Examples!$G$16))))))+Examples!$G$17*$A90^2)</f>
        <v>355259.29921611398</v>
      </c>
      <c r="K90" s="33">
        <f>(Examples!$G$6*Examples!$G$7*Examples!$G$8*EXP(-Examples!$G$9*$A90)*(1-(Examples!$G$12*(1-EXP(-Examples!$G$13*$A90))/(1+EXP(MIN(700,MAX(-700,(Examples!$G$14*$A90-Examples!$G$15)/Examples!$G$16))))))+Examples!$G$17*$A90^2)</f>
        <v>1100740.700783886</v>
      </c>
      <c r="L90" s="33">
        <f>Examples!$H$18-(Examples!$H$10+Examples!$H$11)*$A90-(Examples!$H$6*Examples!$H$7*Examples!$H$8*EXP(-Examples!$H$9*$A90)*(1-(Examples!$H$12*(1-EXP(-Examples!$H$13*$A90))/(1+EXP(MIN(700,MAX(-700,(Examples!$H$14*$A90-Examples!$H$15)/Examples!$H$16))))))+Examples!$H$17*$A90^2)</f>
        <v>396205.89948751777</v>
      </c>
      <c r="M90" s="33">
        <f>(Examples!$H$6*Examples!$H$7*Examples!$H$8*EXP(-Examples!$H$9*$A90)*(1-(Examples!$H$12*(1-EXP(-Examples!$H$13*$A90))/(1+EXP(MIN(700,MAX(-700,(Examples!$H$14*$A90-Examples!$H$15)/Examples!$H$16))))))+Examples!$H$17*$A90^2)</f>
        <v>1059794.1005124822</v>
      </c>
    </row>
    <row r="91" spans="1:13" x14ac:dyDescent="0.25">
      <c r="A91" s="4">
        <f>(91-2)/100</f>
        <v>0.89</v>
      </c>
      <c r="B91" s="33">
        <f>Examples!$C$18-(Examples!$C$10+Examples!$C$11)*$A91-(Examples!$C$6*Examples!$C$7*Examples!$C$8*EXP(-Examples!$C$9*$A91)*(1-(Examples!$C$12*(1-EXP(-Examples!$C$13*$A91))/(1+EXP(MIN(700,MAX(-700,(Examples!$C$14*$A91-Examples!$C$15)/Examples!$C$16))))))+Examples!$C$17*$A91^2)</f>
        <v>174359.51644373412</v>
      </c>
      <c r="C91" s="33">
        <f>(Examples!$C$6*Examples!$C$7*Examples!$C$8*EXP(-Examples!$C$9*$A91)*(1-(Examples!$C$12*(1-EXP(-Examples!$C$13*$A91))/(1+EXP(MIN(700,MAX(-700,(Examples!$C$14*$A91-Examples!$C$15)/Examples!$C$16))))))+Examples!$C$17*$A91^2)</f>
        <v>394490.48355626588</v>
      </c>
      <c r="D91" s="33">
        <f>Examples!$D$18-(Examples!$D$10+Examples!$D$11)*$A91-(Examples!$D$6*Examples!$D$7*Examples!$D$8*EXP(-Examples!$D$9*$A91)*(1-(Examples!$D$12*(1-EXP(-Examples!$D$13*$A91))/(1+EXP(MIN(700,MAX(-700,(Examples!$D$14*$A91-Examples!$D$15)/Examples!$D$16))))))+Examples!$D$17*$A91^2)</f>
        <v>-343449.14848945849</v>
      </c>
      <c r="E91" s="33">
        <f>(Examples!$D$6*Examples!$D$7*Examples!$D$8*EXP(-Examples!$D$9*$A91)*(1-(Examples!$D$12*(1-EXP(-Examples!$D$13*$A91))/(1+EXP(MIN(700,MAX(-700,(Examples!$D$14*$A91-Examples!$D$15)/Examples!$D$16))))))+Examples!$D$17*$A91^2)</f>
        <v>2803399.1484894585</v>
      </c>
      <c r="F91" s="33">
        <f>Examples!$E$18-(Examples!$E$10+Examples!$E$11)*$A91-(Examples!$E$6*Examples!$E$7*Examples!$E$8*EXP(-Examples!$E$9*$A91)*(1-(Examples!$E$12*(1-EXP(-Examples!$E$13*$A91))/(1+EXP(MIN(700,MAX(-700,(Examples!$E$14*$A91-Examples!$E$15)/Examples!$E$16))))))+Examples!$E$17*$A91^2)</f>
        <v>1849120.6518473423</v>
      </c>
      <c r="G91" s="33">
        <f>(Examples!$E$6*Examples!$E$7*Examples!$E$8*EXP(-Examples!$E$9*$A91)*(1-(Examples!$E$12*(1-EXP(-Examples!$E$13*$A91))/(1+EXP(MIN(700,MAX(-700,(Examples!$E$14*$A91-Examples!$E$15)/Examples!$E$16))))))+Examples!$E$17*$A91^2)</f>
        <v>1075229.3481526577</v>
      </c>
      <c r="H91" s="33">
        <f>Examples!$F$18-(Examples!$F$10+Examples!$F$11)*$A91-(Examples!$F$6*Examples!$F$7*Examples!$F$8*EXP(-Examples!$F$9*$A91)*(1-(Examples!$F$12*(1-EXP(-Examples!$F$13*$A91))/(1+EXP(MIN(700,MAX(-700,(Examples!$F$14*$A91-Examples!$F$15)/Examples!$F$16))))))+Examples!$F$17*$A91^2)</f>
        <v>104032.37577910902</v>
      </c>
      <c r="I91" s="33">
        <f>(Examples!$F$6*Examples!$F$7*Examples!$F$8*EXP(-Examples!$F$9*$A91)*(1-(Examples!$F$12*(1-EXP(-Examples!$F$13*$A91))/(1+EXP(MIN(700,MAX(-700,(Examples!$F$14*$A91-Examples!$F$15)/Examples!$F$16))))))+Examples!$F$17*$A91^2)</f>
        <v>28167.62422089099</v>
      </c>
      <c r="J91" s="33">
        <f>Examples!$G$18-(Examples!$G$10+Examples!$G$11)*$A91-(Examples!$G$6*Examples!$G$7*Examples!$G$8*EXP(-Examples!$G$9*$A91)*(1-(Examples!$G$12*(1-EXP(-Examples!$G$13*$A91))/(1+EXP(MIN(700,MAX(-700,(Examples!$G$14*$A91-Examples!$G$15)/Examples!$G$16))))))+Examples!$G$17*$A91^2)</f>
        <v>361293.58105330565</v>
      </c>
      <c r="K91" s="33">
        <f>(Examples!$G$6*Examples!$G$7*Examples!$G$8*EXP(-Examples!$G$9*$A91)*(1-(Examples!$G$12*(1-EXP(-Examples!$G$13*$A91))/(1+EXP(MIN(700,MAX(-700,(Examples!$G$14*$A91-Examples!$G$15)/Examples!$G$16))))))+Examples!$G$17*$A91^2)</f>
        <v>1094206.4189466943</v>
      </c>
      <c r="L91" s="33">
        <f>Examples!$H$18-(Examples!$H$10+Examples!$H$11)*$A91-(Examples!$H$6*Examples!$H$7*Examples!$H$8*EXP(-Examples!$H$9*$A91)*(1-(Examples!$H$12*(1-EXP(-Examples!$H$13*$A91))/(1+EXP(MIN(700,MAX(-700,(Examples!$H$14*$A91-Examples!$H$15)/Examples!$H$16))))))+Examples!$H$17*$A91^2)</f>
        <v>402912.47174658603</v>
      </c>
      <c r="M91" s="33">
        <f>(Examples!$H$6*Examples!$H$7*Examples!$H$8*EXP(-Examples!$H$9*$A91)*(1-(Examples!$H$12*(1-EXP(-Examples!$H$13*$A91))/(1+EXP(MIN(700,MAX(-700,(Examples!$H$14*$A91-Examples!$H$15)/Examples!$H$16))))))+Examples!$H$17*$A91^2)</f>
        <v>1052587.528253414</v>
      </c>
    </row>
    <row r="92" spans="1:13" x14ac:dyDescent="0.25">
      <c r="A92" s="4">
        <f>(92-2)/100</f>
        <v>0.9</v>
      </c>
      <c r="B92" s="33">
        <f>Examples!$C$18-(Examples!$C$10+Examples!$C$11)*$A92-(Examples!$C$6*Examples!$C$7*Examples!$C$8*EXP(-Examples!$C$9*$A92)*(1-(Examples!$C$12*(1-EXP(-Examples!$C$13*$A92))/(1+EXP(MIN(700,MAX(-700,(Examples!$C$14*$A92-Examples!$C$15)/Examples!$C$16))))))+Examples!$C$17*$A92^2)</f>
        <v>175419.3575404585</v>
      </c>
      <c r="C92" s="33">
        <f>(Examples!$C$6*Examples!$C$7*Examples!$C$8*EXP(-Examples!$C$9*$A92)*(1-(Examples!$C$12*(1-EXP(-Examples!$C$13*$A92))/(1+EXP(MIN(700,MAX(-700,(Examples!$C$14*$A92-Examples!$C$15)/Examples!$C$16))))))+Examples!$C$17*$A92^2)</f>
        <v>393080.6424595415</v>
      </c>
      <c r="D92" s="33">
        <f>Examples!$D$18-(Examples!$D$10+Examples!$D$11)*$A92-(Examples!$D$6*Examples!$D$7*Examples!$D$8*EXP(-Examples!$D$9*$A92)*(1-(Examples!$D$12*(1-EXP(-Examples!$D$13*$A92))/(1+EXP(MIN(700,MAX(-700,(Examples!$D$14*$A92-Examples!$D$15)/Examples!$D$16))))))+Examples!$D$17*$A92^2)</f>
        <v>-321476.02323281625</v>
      </c>
      <c r="E92" s="33">
        <f>(Examples!$D$6*Examples!$D$7*Examples!$D$8*EXP(-Examples!$D$9*$A92)*(1-(Examples!$D$12*(1-EXP(-Examples!$D$13*$A92))/(1+EXP(MIN(700,MAX(-700,(Examples!$D$14*$A92-Examples!$D$15)/Examples!$D$16))))))+Examples!$D$17*$A92^2)</f>
        <v>2780976.0232328163</v>
      </c>
      <c r="F92" s="33">
        <f>Examples!$E$18-(Examples!$E$10+Examples!$E$11)*$A92-(Examples!$E$6*Examples!$E$7*Examples!$E$8*EXP(-Examples!$E$9*$A92)*(1-(Examples!$E$12*(1-EXP(-Examples!$E$13*$A92))/(1+EXP(MIN(700,MAX(-700,(Examples!$E$14*$A92-Examples!$E$15)/Examples!$E$16))))))+Examples!$E$17*$A92^2)</f>
        <v>1858655.0336678645</v>
      </c>
      <c r="G92" s="33">
        <f>(Examples!$E$6*Examples!$E$7*Examples!$E$8*EXP(-Examples!$E$9*$A92)*(1-(Examples!$E$12*(1-EXP(-Examples!$E$13*$A92))/(1+EXP(MIN(700,MAX(-700,(Examples!$E$14*$A92-Examples!$E$15)/Examples!$E$16))))))+Examples!$E$17*$A92^2)</f>
        <v>1064844.9663321355</v>
      </c>
      <c r="H92" s="33">
        <f>Examples!$F$18-(Examples!$F$10+Examples!$F$11)*$A92-(Examples!$F$6*Examples!$F$7*Examples!$F$8*EXP(-Examples!$F$9*$A92)*(1-(Examples!$F$12*(1-EXP(-Examples!$F$13*$A92))/(1+EXP(MIN(700,MAX(-700,(Examples!$F$14*$A92-Examples!$F$15)/Examples!$F$16))))))+Examples!$F$17*$A92^2)</f>
        <v>103515.41027432833</v>
      </c>
      <c r="I92" s="33">
        <f>(Examples!$F$6*Examples!$F$7*Examples!$F$8*EXP(-Examples!$F$9*$A92)*(1-(Examples!$F$12*(1-EXP(-Examples!$F$13*$A92))/(1+EXP(MIN(700,MAX(-700,(Examples!$F$14*$A92-Examples!$F$15)/Examples!$F$16))))))+Examples!$F$17*$A92^2)</f>
        <v>28484.589725671671</v>
      </c>
      <c r="J92" s="33">
        <f>Examples!$G$18-(Examples!$G$10+Examples!$G$11)*$A92-(Examples!$G$6*Examples!$G$7*Examples!$G$8*EXP(-Examples!$G$9*$A92)*(1-(Examples!$G$12*(1-EXP(-Examples!$G$13*$A92))/(1+EXP(MIN(700,MAX(-700,(Examples!$G$14*$A92-Examples!$G$15)/Examples!$G$16))))))+Examples!$G$17*$A92^2)</f>
        <v>367261.35424856097</v>
      </c>
      <c r="K92" s="33">
        <f>(Examples!$G$6*Examples!$G$7*Examples!$G$8*EXP(-Examples!$G$9*$A92)*(1-(Examples!$G$12*(1-EXP(-Examples!$G$13*$A92))/(1+EXP(MIN(700,MAX(-700,(Examples!$G$14*$A92-Examples!$G$15)/Examples!$G$16))))))+Examples!$G$17*$A92^2)</f>
        <v>1087738.645751439</v>
      </c>
      <c r="L92" s="33">
        <f>Examples!$H$18-(Examples!$H$10+Examples!$H$11)*$A92-(Examples!$H$6*Examples!$H$7*Examples!$H$8*EXP(-Examples!$H$9*$A92)*(1-(Examples!$H$12*(1-EXP(-Examples!$H$13*$A92))/(1+EXP(MIN(700,MAX(-700,(Examples!$H$14*$A92-Examples!$H$15)/Examples!$H$16))))))+Examples!$H$17*$A92^2)</f>
        <v>409556.55999571062</v>
      </c>
      <c r="M92" s="33">
        <f>(Examples!$H$6*Examples!$H$7*Examples!$H$8*EXP(-Examples!$H$9*$A92)*(1-(Examples!$H$12*(1-EXP(-Examples!$H$13*$A92))/(1+EXP(MIN(700,MAX(-700,(Examples!$H$14*$A92-Examples!$H$15)/Examples!$H$16))))))+Examples!$H$17*$A92^2)</f>
        <v>1045443.4400042894</v>
      </c>
    </row>
    <row r="93" spans="1:13" x14ac:dyDescent="0.25">
      <c r="A93" s="4">
        <f>(93-2)/100</f>
        <v>0.91</v>
      </c>
      <c r="B93" s="33">
        <f>Examples!$C$18-(Examples!$C$10+Examples!$C$11)*$A93-(Examples!$C$6*Examples!$C$7*Examples!$C$8*EXP(-Examples!$C$9*$A93)*(1-(Examples!$C$12*(1-EXP(-Examples!$C$13*$A93))/(1+EXP(MIN(700,MAX(-700,(Examples!$C$14*$A93-Examples!$C$15)/Examples!$C$16))))))+Examples!$C$17*$A93^2)</f>
        <v>176458.06286514696</v>
      </c>
      <c r="C93" s="33">
        <f>(Examples!$C$6*Examples!$C$7*Examples!$C$8*EXP(-Examples!$C$9*$A93)*(1-(Examples!$C$12*(1-EXP(-Examples!$C$13*$A93))/(1+EXP(MIN(700,MAX(-700,(Examples!$C$14*$A93-Examples!$C$15)/Examples!$C$16))))))+Examples!$C$17*$A93^2)</f>
        <v>391691.93713485304</v>
      </c>
      <c r="D93" s="33">
        <f>Examples!$D$18-(Examples!$D$10+Examples!$D$11)*$A93-(Examples!$D$6*Examples!$D$7*Examples!$D$8*EXP(-Examples!$D$9*$A93)*(1-(Examples!$D$12*(1-EXP(-Examples!$D$13*$A93))/(1+EXP(MIN(700,MAX(-700,(Examples!$D$14*$A93-Examples!$D$15)/Examples!$D$16))))))+Examples!$D$17*$A93^2)</f>
        <v>-299721.43289251486</v>
      </c>
      <c r="E93" s="33">
        <f>(Examples!$D$6*Examples!$D$7*Examples!$D$8*EXP(-Examples!$D$9*$A93)*(1-(Examples!$D$12*(1-EXP(-Examples!$D$13*$A93))/(1+EXP(MIN(700,MAX(-700,(Examples!$D$14*$A93-Examples!$D$15)/Examples!$D$16))))))+Examples!$D$17*$A93^2)</f>
        <v>2758771.4328925149</v>
      </c>
      <c r="F93" s="33">
        <f>Examples!$E$18-(Examples!$E$10+Examples!$E$11)*$A93-(Examples!$E$6*Examples!$E$7*Examples!$E$8*EXP(-Examples!$E$9*$A93)*(1-(Examples!$E$12*(1-EXP(-Examples!$E$13*$A93))/(1+EXP(MIN(700,MAX(-700,(Examples!$E$14*$A93-Examples!$E$15)/Examples!$E$16))))))+Examples!$E$17*$A93^2)</f>
        <v>1868070.3145791756</v>
      </c>
      <c r="G93" s="33">
        <f>(Examples!$E$6*Examples!$E$7*Examples!$E$8*EXP(-Examples!$E$9*$A93)*(1-(Examples!$E$12*(1-EXP(-Examples!$E$13*$A93))/(1+EXP(MIN(700,MAX(-700,(Examples!$E$14*$A93-Examples!$E$15)/Examples!$E$16))))))+Examples!$E$17*$A93^2)</f>
        <v>1054579.6854208244</v>
      </c>
      <c r="H93" s="33">
        <f>Examples!$F$18-(Examples!$F$10+Examples!$F$11)*$A93-(Examples!$F$6*Examples!$F$7*Examples!$F$8*EXP(-Examples!$F$9*$A93)*(1-(Examples!$F$12*(1-EXP(-Examples!$F$13*$A93))/(1+EXP(MIN(700,MAX(-700,(Examples!$F$14*$A93-Examples!$F$15)/Examples!$F$16))))))+Examples!$F$17*$A93^2)</f>
        <v>102993.97377465101</v>
      </c>
      <c r="I93" s="33">
        <f>(Examples!$F$6*Examples!$F$7*Examples!$F$8*EXP(-Examples!$F$9*$A93)*(1-(Examples!$F$12*(1-EXP(-Examples!$F$13*$A93))/(1+EXP(MIN(700,MAX(-700,(Examples!$F$14*$A93-Examples!$F$15)/Examples!$F$16))))))+Examples!$F$17*$A93^2)</f>
        <v>28806.026225348996</v>
      </c>
      <c r="J93" s="33">
        <f>Examples!$G$18-(Examples!$G$10+Examples!$G$11)*$A93-(Examples!$G$6*Examples!$G$7*Examples!$G$8*EXP(-Examples!$G$9*$A93)*(1-(Examples!$G$12*(1-EXP(-Examples!$G$13*$A93))/(1+EXP(MIN(700,MAX(-700,(Examples!$G$14*$A93-Examples!$G$15)/Examples!$G$16))))))+Examples!$G$17*$A93^2)</f>
        <v>373163.06635723659</v>
      </c>
      <c r="K93" s="33">
        <f>(Examples!$G$6*Examples!$G$7*Examples!$G$8*EXP(-Examples!$G$9*$A93)*(1-(Examples!$G$12*(1-EXP(-Examples!$G$13*$A93))/(1+EXP(MIN(700,MAX(-700,(Examples!$G$14*$A93-Examples!$G$15)/Examples!$G$16))))))+Examples!$G$17*$A93^2)</f>
        <v>1081336.9336427634</v>
      </c>
      <c r="L93" s="33">
        <f>Examples!$H$18-(Examples!$H$10+Examples!$H$11)*$A93-(Examples!$H$6*Examples!$H$7*Examples!$H$8*EXP(-Examples!$H$9*$A93)*(1-(Examples!$H$12*(1-EXP(-Examples!$H$13*$A93))/(1+EXP(MIN(700,MAX(-700,(Examples!$H$14*$A93-Examples!$H$15)/Examples!$H$16))))))+Examples!$H$17*$A93^2)</f>
        <v>416138.53822438233</v>
      </c>
      <c r="M93" s="33">
        <f>(Examples!$H$6*Examples!$H$7*Examples!$H$8*EXP(-Examples!$H$9*$A93)*(1-(Examples!$H$12*(1-EXP(-Examples!$H$13*$A93))/(1+EXP(MIN(700,MAX(-700,(Examples!$H$14*$A93-Examples!$H$15)/Examples!$H$16))))))+Examples!$H$17*$A93^2)</f>
        <v>1038361.4617756177</v>
      </c>
    </row>
    <row r="94" spans="1:13" x14ac:dyDescent="0.25">
      <c r="A94" s="4">
        <f>(94-2)/100</f>
        <v>0.92</v>
      </c>
      <c r="B94" s="33">
        <f>Examples!$C$18-(Examples!$C$10+Examples!$C$11)*$A94-(Examples!$C$6*Examples!$C$7*Examples!$C$8*EXP(-Examples!$C$9*$A94)*(1-(Examples!$C$12*(1-EXP(-Examples!$C$13*$A94))/(1+EXP(MIN(700,MAX(-700,(Examples!$C$14*$A94-Examples!$C$15)/Examples!$C$16))))))+Examples!$C$17*$A94^2)</f>
        <v>177475.52200692572</v>
      </c>
      <c r="C94" s="33">
        <f>(Examples!$C$6*Examples!$C$7*Examples!$C$8*EXP(-Examples!$C$9*$A94)*(1-(Examples!$C$12*(1-EXP(-Examples!$C$13*$A94))/(1+EXP(MIN(700,MAX(-700,(Examples!$C$14*$A94-Examples!$C$15)/Examples!$C$16))))))+Examples!$C$17*$A94^2)</f>
        <v>390324.47799307428</v>
      </c>
      <c r="D94" s="33">
        <f>Examples!$D$18-(Examples!$D$10+Examples!$D$11)*$A94-(Examples!$D$6*Examples!$D$7*Examples!$D$8*EXP(-Examples!$D$9*$A94)*(1-(Examples!$D$12*(1-EXP(-Examples!$D$13*$A94))/(1+EXP(MIN(700,MAX(-700,(Examples!$D$14*$A94-Examples!$D$15)/Examples!$D$16))))))+Examples!$D$17*$A94^2)</f>
        <v>-278183.30607244559</v>
      </c>
      <c r="E94" s="33">
        <f>(Examples!$D$6*Examples!$D$7*Examples!$D$8*EXP(-Examples!$D$9*$A94)*(1-(Examples!$D$12*(1-EXP(-Examples!$D$13*$A94))/(1+EXP(MIN(700,MAX(-700,(Examples!$D$14*$A94-Examples!$D$15)/Examples!$D$16))))))+Examples!$D$17*$A94^2)</f>
        <v>2736783.3060724456</v>
      </c>
      <c r="F94" s="33">
        <f>Examples!$E$18-(Examples!$E$10+Examples!$E$11)*$A94-(Examples!$E$6*Examples!$E$7*Examples!$E$8*EXP(-Examples!$E$9*$A94)*(1-(Examples!$E$12*(1-EXP(-Examples!$E$13*$A94))/(1+EXP(MIN(700,MAX(-700,(Examples!$E$14*$A94-Examples!$E$15)/Examples!$E$16))))))+Examples!$E$17*$A94^2)</f>
        <v>1877367.8644178908</v>
      </c>
      <c r="G94" s="33">
        <f>(Examples!$E$6*Examples!$E$7*Examples!$E$8*EXP(-Examples!$E$9*$A94)*(1-(Examples!$E$12*(1-EXP(-Examples!$E$13*$A94))/(1+EXP(MIN(700,MAX(-700,(Examples!$E$14*$A94-Examples!$E$15)/Examples!$E$16))))))+Examples!$E$17*$A94^2)</f>
        <v>1044432.1355821092</v>
      </c>
      <c r="H94" s="33">
        <f>Examples!$F$18-(Examples!$F$10+Examples!$F$11)*$A94-(Examples!$F$6*Examples!$F$7*Examples!$F$8*EXP(-Examples!$F$9*$A94)*(1-(Examples!$F$12*(1-EXP(-Examples!$F$13*$A94))/(1+EXP(MIN(700,MAX(-700,(Examples!$F$14*$A94-Examples!$F$15)/Examples!$F$16))))))+Examples!$F$17*$A94^2)</f>
        <v>102468.06282226351</v>
      </c>
      <c r="I94" s="33">
        <f>(Examples!$F$6*Examples!$F$7*Examples!$F$8*EXP(-Examples!$F$9*$A94)*(1-(Examples!$F$12*(1-EXP(-Examples!$F$13*$A94))/(1+EXP(MIN(700,MAX(-700,(Examples!$F$14*$A94-Examples!$F$15)/Examples!$F$16))))))+Examples!$F$17*$A94^2)</f>
        <v>29131.937177736487</v>
      </c>
      <c r="J94" s="33">
        <f>Examples!$G$18-(Examples!$G$10+Examples!$G$11)*$A94-(Examples!$G$6*Examples!$G$7*Examples!$G$8*EXP(-Examples!$G$9*$A94)*(1-(Examples!$G$12*(1-EXP(-Examples!$G$13*$A94))/(1+EXP(MIN(700,MAX(-700,(Examples!$G$14*$A94-Examples!$G$15)/Examples!$G$16))))))+Examples!$G$17*$A94^2)</f>
        <v>378999.16175150778</v>
      </c>
      <c r="K94" s="33">
        <f>(Examples!$G$6*Examples!$G$7*Examples!$G$8*EXP(-Examples!$G$9*$A94)*(1-(Examples!$G$12*(1-EXP(-Examples!$G$13*$A94))/(1+EXP(MIN(700,MAX(-700,(Examples!$G$14*$A94-Examples!$G$15)/Examples!$G$16))))))+Examples!$G$17*$A94^2)</f>
        <v>1075000.8382484922</v>
      </c>
      <c r="L94" s="33">
        <f>Examples!$H$18-(Examples!$H$10+Examples!$H$11)*$A94-(Examples!$H$6*Examples!$H$7*Examples!$H$8*EXP(-Examples!$H$9*$A94)*(1-(Examples!$H$12*(1-EXP(-Examples!$H$13*$A94))/(1+EXP(MIN(700,MAX(-700,(Examples!$H$14*$A94-Examples!$H$15)/Examples!$H$16))))))+Examples!$H$17*$A94^2)</f>
        <v>422658.77354230022</v>
      </c>
      <c r="M94" s="33">
        <f>(Examples!$H$6*Examples!$H$7*Examples!$H$8*EXP(-Examples!$H$9*$A94)*(1-(Examples!$H$12*(1-EXP(-Examples!$H$13*$A94))/(1+EXP(MIN(700,MAX(-700,(Examples!$H$14*$A94-Examples!$H$15)/Examples!$H$16))))))+Examples!$H$17*$A94^2)</f>
        <v>1031341.2264576998</v>
      </c>
    </row>
    <row r="95" spans="1:13" x14ac:dyDescent="0.25">
      <c r="A95" s="4">
        <f>(95-2)/100</f>
        <v>0.93</v>
      </c>
      <c r="B95" s="33">
        <f>Examples!$C$18-(Examples!$C$10+Examples!$C$11)*$A95-(Examples!$C$6*Examples!$C$7*Examples!$C$8*EXP(-Examples!$C$9*$A95)*(1-(Examples!$C$12*(1-EXP(-Examples!$C$13*$A95))/(1+EXP(MIN(700,MAX(-700,(Examples!$C$14*$A95-Examples!$C$15)/Examples!$C$16))))))+Examples!$C$17*$A95^2)</f>
        <v>178471.62215453916</v>
      </c>
      <c r="C95" s="33">
        <f>(Examples!$C$6*Examples!$C$7*Examples!$C$8*EXP(-Examples!$C$9*$A95)*(1-(Examples!$C$12*(1-EXP(-Examples!$C$13*$A95))/(1+EXP(MIN(700,MAX(-700,(Examples!$C$14*$A95-Examples!$C$15)/Examples!$C$16))))))+Examples!$C$17*$A95^2)</f>
        <v>388978.37784546084</v>
      </c>
      <c r="D95" s="33">
        <f>Examples!$D$18-(Examples!$D$10+Examples!$D$11)*$A95-(Examples!$D$6*Examples!$D$7*Examples!$D$8*EXP(-Examples!$D$9*$A95)*(1-(Examples!$D$12*(1-EXP(-Examples!$D$13*$A95))/(1+EXP(MIN(700,MAX(-700,(Examples!$D$14*$A95-Examples!$D$15)/Examples!$D$16))))))+Examples!$D$17*$A95^2)</f>
        <v>-256859.59296024451</v>
      </c>
      <c r="E95" s="33">
        <f>(Examples!$D$6*Examples!$D$7*Examples!$D$8*EXP(-Examples!$D$9*$A95)*(1-(Examples!$D$12*(1-EXP(-Examples!$D$13*$A95))/(1+EXP(MIN(700,MAX(-700,(Examples!$D$14*$A95-Examples!$D$15)/Examples!$D$16))))))+Examples!$D$17*$A95^2)</f>
        <v>2715009.5929602445</v>
      </c>
      <c r="F95" s="33">
        <f>Examples!$E$18-(Examples!$E$10+Examples!$E$11)*$A95-(Examples!$E$6*Examples!$E$7*Examples!$E$8*EXP(-Examples!$E$9*$A95)*(1-(Examples!$E$12*(1-EXP(-Examples!$E$13*$A95))/(1+EXP(MIN(700,MAX(-700,(Examples!$E$14*$A95-Examples!$E$15)/Examples!$E$16))))))+Examples!$E$17*$A95^2)</f>
        <v>1886549.0369165</v>
      </c>
      <c r="G95" s="33">
        <f>(Examples!$E$6*Examples!$E$7*Examples!$E$8*EXP(-Examples!$E$9*$A95)*(1-(Examples!$E$12*(1-EXP(-Examples!$E$13*$A95))/(1+EXP(MIN(700,MAX(-700,(Examples!$E$14*$A95-Examples!$E$15)/Examples!$E$16))))))+Examples!$E$17*$A95^2)</f>
        <v>1034400.9630835002</v>
      </c>
      <c r="H95" s="33">
        <f>Examples!$F$18-(Examples!$F$10+Examples!$F$11)*$A95-(Examples!$F$6*Examples!$F$7*Examples!$F$8*EXP(-Examples!$F$9*$A95)*(1-(Examples!$F$12*(1-EXP(-Examples!$F$13*$A95))/(1+EXP(MIN(700,MAX(-700,(Examples!$F$14*$A95-Examples!$F$15)/Examples!$F$16))))))+Examples!$F$17*$A95^2)</f>
        <v>101937.6741337251</v>
      </c>
      <c r="I95" s="33">
        <f>(Examples!$F$6*Examples!$F$7*Examples!$F$8*EXP(-Examples!$F$9*$A95)*(1-(Examples!$F$12*(1-EXP(-Examples!$F$13*$A95))/(1+EXP(MIN(700,MAX(-700,(Examples!$F$14*$A95-Examples!$F$15)/Examples!$F$16))))))+Examples!$F$17*$A95^2)</f>
        <v>29462.325866274899</v>
      </c>
      <c r="J95" s="33">
        <f>Examples!$G$18-(Examples!$G$10+Examples!$G$11)*$A95-(Examples!$G$6*Examples!$G$7*Examples!$G$8*EXP(-Examples!$G$9*$A95)*(1-(Examples!$G$12*(1-EXP(-Examples!$G$13*$A95))/(1+EXP(MIN(700,MAX(-700,(Examples!$G$14*$A95-Examples!$G$15)/Examples!$G$16))))))+Examples!$G$17*$A95^2)</f>
        <v>384770.08167428197</v>
      </c>
      <c r="K95" s="33">
        <f>(Examples!$G$6*Examples!$G$7*Examples!$G$8*EXP(-Examples!$G$9*$A95)*(1-(Examples!$G$12*(1-EXP(-Examples!$G$13*$A95))/(1+EXP(MIN(700,MAX(-700,(Examples!$G$14*$A95-Examples!$G$15)/Examples!$G$16))))))+Examples!$G$17*$A95^2)</f>
        <v>1068729.918325718</v>
      </c>
      <c r="L95" s="33">
        <f>Examples!$H$18-(Examples!$H$10+Examples!$H$11)*$A95-(Examples!$H$6*Examples!$H$7*Examples!$H$8*EXP(-Examples!$H$9*$A95)*(1-(Examples!$H$12*(1-EXP(-Examples!$H$13*$A95))/(1+EXP(MIN(700,MAX(-700,(Examples!$H$14*$A95-Examples!$H$15)/Examples!$H$16))))))+Examples!$H$17*$A95^2)</f>
        <v>429117.62613114365</v>
      </c>
      <c r="M95" s="33">
        <f>(Examples!$H$6*Examples!$H$7*Examples!$H$8*EXP(-Examples!$H$9*$A95)*(1-(Examples!$H$12*(1-EXP(-Examples!$H$13*$A95))/(1+EXP(MIN(700,MAX(-700,(Examples!$H$14*$A95-Examples!$H$15)/Examples!$H$16))))))+Examples!$H$17*$A95^2)</f>
        <v>1024382.3738688563</v>
      </c>
    </row>
    <row r="96" spans="1:13" x14ac:dyDescent="0.25">
      <c r="A96" s="4">
        <f>(96-2)/100</f>
        <v>0.94</v>
      </c>
      <c r="B96" s="33">
        <f>Examples!$C$18-(Examples!$C$10+Examples!$C$11)*$A96-(Examples!$C$6*Examples!$C$7*Examples!$C$8*EXP(-Examples!$C$9*$A96)*(1-(Examples!$C$12*(1-EXP(-Examples!$C$13*$A96))/(1+EXP(MIN(700,MAX(-700,(Examples!$C$14*$A96-Examples!$C$15)/Examples!$C$16))))))+Examples!$C$17*$A96^2)</f>
        <v>179446.2482615707</v>
      </c>
      <c r="C96" s="33">
        <f>(Examples!$C$6*Examples!$C$7*Examples!$C$8*EXP(-Examples!$C$9*$A96)*(1-(Examples!$C$12*(1-EXP(-Examples!$C$13*$A96))/(1+EXP(MIN(700,MAX(-700,(Examples!$C$14*$A96-Examples!$C$15)/Examples!$C$16))))))+Examples!$C$17*$A96^2)</f>
        <v>387653.7517384293</v>
      </c>
      <c r="D96" s="33">
        <f>Examples!$D$18-(Examples!$D$10+Examples!$D$11)*$A96-(Examples!$D$6*Examples!$D$7*Examples!$D$8*EXP(-Examples!$D$9*$A96)*(1-(Examples!$D$12*(1-EXP(-Examples!$D$13*$A96))/(1+EXP(MIN(700,MAX(-700,(Examples!$D$14*$A96-Examples!$D$15)/Examples!$D$16))))))+Examples!$D$17*$A96^2)</f>
        <v>-235748.26510343701</v>
      </c>
      <c r="E96" s="33">
        <f>(Examples!$D$6*Examples!$D$7*Examples!$D$8*EXP(-Examples!$D$9*$A96)*(1-(Examples!$D$12*(1-EXP(-Examples!$D$13*$A96))/(1+EXP(MIN(700,MAX(-700,(Examples!$D$14*$A96-Examples!$D$15)/Examples!$D$16))))))+Examples!$D$17*$A96^2)</f>
        <v>2693448.265103437</v>
      </c>
      <c r="F96" s="33">
        <f>Examples!$E$18-(Examples!$E$10+Examples!$E$11)*$A96-(Examples!$E$6*Examples!$E$7*Examples!$E$8*EXP(-Examples!$E$9*$A96)*(1-(Examples!$E$12*(1-EXP(-Examples!$E$13*$A96))/(1+EXP(MIN(700,MAX(-700,(Examples!$E$14*$A96-Examples!$E$15)/Examples!$E$16))))))+Examples!$E$17*$A96^2)</f>
        <v>1895615.1698947847</v>
      </c>
      <c r="G96" s="33">
        <f>(Examples!$E$6*Examples!$E$7*Examples!$E$8*EXP(-Examples!$E$9*$A96)*(1-(Examples!$E$12*(1-EXP(-Examples!$E$13*$A96))/(1+EXP(MIN(700,MAX(-700,(Examples!$E$14*$A96-Examples!$E$15)/Examples!$E$16))))))+Examples!$E$17*$A96^2)</f>
        <v>1024484.8301052152</v>
      </c>
      <c r="H96" s="33">
        <f>Examples!$F$18-(Examples!$F$10+Examples!$F$11)*$A96-(Examples!$F$6*Examples!$F$7*Examples!$F$8*EXP(-Examples!$F$9*$A96)*(1-(Examples!$F$12*(1-EXP(-Examples!$F$13*$A96))/(1+EXP(MIN(700,MAX(-700,(Examples!$F$14*$A96-Examples!$F$15)/Examples!$F$16))))))+Examples!$F$17*$A96^2)</f>
        <v>101402.80462157466</v>
      </c>
      <c r="I96" s="33">
        <f>(Examples!$F$6*Examples!$F$7*Examples!$F$8*EXP(-Examples!$F$9*$A96)*(1-(Examples!$F$12*(1-EXP(-Examples!$F$13*$A96))/(1+EXP(MIN(700,MAX(-700,(Examples!$F$14*$A96-Examples!$F$15)/Examples!$F$16))))))+Examples!$F$17*$A96^2)</f>
        <v>29797.195378425346</v>
      </c>
      <c r="J96" s="33">
        <f>Examples!$G$18-(Examples!$G$10+Examples!$G$11)*$A96-(Examples!$G$6*Examples!$G$7*Examples!$G$8*EXP(-Examples!$G$9*$A96)*(1-(Examples!$G$12*(1-EXP(-Examples!$G$13*$A96))/(1+EXP(MIN(700,MAX(-700,(Examples!$G$14*$A96-Examples!$G$15)/Examples!$G$16))))))+Examples!$G$17*$A96^2)</f>
        <v>390476.26429303712</v>
      </c>
      <c r="K96" s="33">
        <f>(Examples!$G$6*Examples!$G$7*Examples!$G$8*EXP(-Examples!$G$9*$A96)*(1-(Examples!$G$12*(1-EXP(-Examples!$G$13*$A96))/(1+EXP(MIN(700,MAX(-700,(Examples!$G$14*$A96-Examples!$G$15)/Examples!$G$16))))))+Examples!$G$17*$A96^2)</f>
        <v>1062523.7357069629</v>
      </c>
      <c r="L96" s="33">
        <f>Examples!$H$18-(Examples!$H$10+Examples!$H$11)*$A96-(Examples!$H$6*Examples!$H$7*Examples!$H$8*EXP(-Examples!$H$9*$A96)*(1-(Examples!$H$12*(1-EXP(-Examples!$H$13*$A96))/(1+EXP(MIN(700,MAX(-700,(Examples!$H$14*$A96-Examples!$H$15)/Examples!$H$16))))))+Examples!$H$17*$A96^2)</f>
        <v>435515.44919424457</v>
      </c>
      <c r="M96" s="33">
        <f>(Examples!$H$6*Examples!$H$7*Examples!$H$8*EXP(-Examples!$H$9*$A96)*(1-(Examples!$H$12*(1-EXP(-Examples!$H$13*$A96))/(1+EXP(MIN(700,MAX(-700,(Examples!$H$14*$A96-Examples!$H$15)/Examples!$H$16))))))+Examples!$H$17*$A96^2)</f>
        <v>1017484.5508057554</v>
      </c>
    </row>
    <row r="97" spans="1:13" x14ac:dyDescent="0.25">
      <c r="A97" s="4">
        <f>(97-2)/100</f>
        <v>0.95</v>
      </c>
      <c r="B97" s="33">
        <f>Examples!$C$18-(Examples!$C$10+Examples!$C$11)*$A97-(Examples!$C$6*Examples!$C$7*Examples!$C$8*EXP(-Examples!$C$9*$A97)*(1-(Examples!$C$12*(1-EXP(-Examples!$C$13*$A97))/(1+EXP(MIN(700,MAX(-700,(Examples!$C$14*$A97-Examples!$C$15)/Examples!$C$16))))))+Examples!$C$17*$A97^2)</f>
        <v>180399.2832260073</v>
      </c>
      <c r="C97" s="33">
        <f>(Examples!$C$6*Examples!$C$7*Examples!$C$8*EXP(-Examples!$C$9*$A97)*(1-(Examples!$C$12*(1-EXP(-Examples!$C$13*$A97))/(1+EXP(MIN(700,MAX(-700,(Examples!$C$14*$A97-Examples!$C$15)/Examples!$C$16))))))+Examples!$C$17*$A97^2)</f>
        <v>386350.7167739927</v>
      </c>
      <c r="D97" s="33">
        <f>Examples!$D$18-(Examples!$D$10+Examples!$D$11)*$A97-(Examples!$D$6*Examples!$D$7*Examples!$D$8*EXP(-Examples!$D$9*$A97)*(1-(Examples!$D$12*(1-EXP(-Examples!$D$13*$A97))/(1+EXP(MIN(700,MAX(-700,(Examples!$D$14*$A97-Examples!$D$15)/Examples!$D$16))))))+Examples!$D$17*$A97^2)</f>
        <v>-214847.31518780068</v>
      </c>
      <c r="E97" s="33">
        <f>(Examples!$D$6*Examples!$D$7*Examples!$D$8*EXP(-Examples!$D$9*$A97)*(1-(Examples!$D$12*(1-EXP(-Examples!$D$13*$A97))/(1+EXP(MIN(700,MAX(-700,(Examples!$D$14*$A97-Examples!$D$15)/Examples!$D$16))))))+Examples!$D$17*$A97^2)</f>
        <v>2672097.3151878007</v>
      </c>
      <c r="F97" s="33">
        <f>Examples!$E$18-(Examples!$E$10+Examples!$E$11)*$A97-(Examples!$E$6*Examples!$E$7*Examples!$E$8*EXP(-Examples!$E$9*$A97)*(1-(Examples!$E$12*(1-EXP(-Examples!$E$13*$A97))/(1+EXP(MIN(700,MAX(-700,(Examples!$E$14*$A97-Examples!$E$15)/Examples!$E$16))))))+Examples!$E$17*$A97^2)</f>
        <v>1904567.5854489682</v>
      </c>
      <c r="G97" s="33">
        <f>(Examples!$E$6*Examples!$E$7*Examples!$E$8*EXP(-Examples!$E$9*$A97)*(1-(Examples!$E$12*(1-EXP(-Examples!$E$13*$A97))/(1+EXP(MIN(700,MAX(-700,(Examples!$E$14*$A97-Examples!$E$15)/Examples!$E$16))))))+Examples!$E$17*$A97^2)</f>
        <v>1014682.4145510319</v>
      </c>
      <c r="H97" s="33">
        <f>Examples!$F$18-(Examples!$F$10+Examples!$F$11)*$A97-(Examples!$F$6*Examples!$F$7*Examples!$F$8*EXP(-Examples!$F$9*$A97)*(1-(Examples!$F$12*(1-EXP(-Examples!$F$13*$A97))/(1+EXP(MIN(700,MAX(-700,(Examples!$F$14*$A97-Examples!$F$15)/Examples!$F$16))))))+Examples!$F$17*$A97^2)</f>
        <v>100863.45141656055</v>
      </c>
      <c r="I97" s="33">
        <f>(Examples!$F$6*Examples!$F$7*Examples!$F$8*EXP(-Examples!$F$9*$A97)*(1-(Examples!$F$12*(1-EXP(-Examples!$F$13*$A97))/(1+EXP(MIN(700,MAX(-700,(Examples!$F$14*$A97-Examples!$F$15)/Examples!$F$16))))))+Examples!$F$17*$A97^2)</f>
        <v>30136.548583439446</v>
      </c>
      <c r="J97" s="33">
        <f>Examples!$G$18-(Examples!$G$10+Examples!$G$11)*$A97-(Examples!$G$6*Examples!$G$7*Examples!$G$8*EXP(-Examples!$G$9*$A97)*(1-(Examples!$G$12*(1-EXP(-Examples!$G$13*$A97))/(1+EXP(MIN(700,MAX(-700,(Examples!$G$14*$A97-Examples!$G$15)/Examples!$G$16))))))+Examples!$G$17*$A97^2)</f>
        <v>396118.14475358813</v>
      </c>
      <c r="K97" s="33">
        <f>(Examples!$G$6*Examples!$G$7*Examples!$G$8*EXP(-Examples!$G$9*$A97)*(1-(Examples!$G$12*(1-EXP(-Examples!$G$13*$A97))/(1+EXP(MIN(700,MAX(-700,(Examples!$G$14*$A97-Examples!$G$15)/Examples!$G$16))))))+Examples!$G$17*$A97^2)</f>
        <v>1056381.8552464119</v>
      </c>
      <c r="L97" s="33">
        <f>Examples!$H$18-(Examples!$H$10+Examples!$H$11)*$A97-(Examples!$H$6*Examples!$H$7*Examples!$H$8*EXP(-Examples!$H$9*$A97)*(1-(Examples!$H$12*(1-EXP(-Examples!$H$13*$A97))/(1+EXP(MIN(700,MAX(-700,(Examples!$H$14*$A97-Examples!$H$15)/Examples!$H$16))))))+Examples!$H$17*$A97^2)</f>
        <v>441852.58890415356</v>
      </c>
      <c r="M97" s="33">
        <f>(Examples!$H$6*Examples!$H$7*Examples!$H$8*EXP(-Examples!$H$9*$A97)*(1-(Examples!$H$12*(1-EXP(-Examples!$H$13*$A97))/(1+EXP(MIN(700,MAX(-700,(Examples!$H$14*$A97-Examples!$H$15)/Examples!$H$16))))))+Examples!$H$17*$A97^2)</f>
        <v>1010647.4110958464</v>
      </c>
    </row>
    <row r="98" spans="1:13" x14ac:dyDescent="0.25">
      <c r="A98" s="4">
        <f>(98-2)/100</f>
        <v>0.96</v>
      </c>
      <c r="B98" s="33">
        <f>Examples!$C$18-(Examples!$C$10+Examples!$C$11)*$A98-(Examples!$C$6*Examples!$C$7*Examples!$C$8*EXP(-Examples!$C$9*$A98)*(1-(Examples!$C$12*(1-EXP(-Examples!$C$13*$A98))/(1+EXP(MIN(700,MAX(-700,(Examples!$C$14*$A98-Examples!$C$15)/Examples!$C$16))))))+Examples!$C$17*$A98^2)</f>
        <v>181330.60808468726</v>
      </c>
      <c r="C98" s="33">
        <f>(Examples!$C$6*Examples!$C$7*Examples!$C$8*EXP(-Examples!$C$9*$A98)*(1-(Examples!$C$12*(1-EXP(-Examples!$C$13*$A98))/(1+EXP(MIN(700,MAX(-700,(Examples!$C$14*$A98-Examples!$C$15)/Examples!$C$16))))))+Examples!$C$17*$A98^2)</f>
        <v>385069.39191531274</v>
      </c>
      <c r="D98" s="33">
        <f>Examples!$D$18-(Examples!$D$10+Examples!$D$11)*$A98-(Examples!$D$6*Examples!$D$7*Examples!$D$8*EXP(-Examples!$D$9*$A98)*(1-(Examples!$D$12*(1-EXP(-Examples!$D$13*$A98))/(1+EXP(MIN(700,MAX(-700,(Examples!$D$14*$A98-Examples!$D$15)/Examples!$D$16))))))+Examples!$D$17*$A98^2)</f>
        <v>-194154.75681792293</v>
      </c>
      <c r="E98" s="33">
        <f>(Examples!$D$6*Examples!$D$7*Examples!$D$8*EXP(-Examples!$D$9*$A98)*(1-(Examples!$D$12*(1-EXP(-Examples!$D$13*$A98))/(1+EXP(MIN(700,MAX(-700,(Examples!$D$14*$A98-Examples!$D$15)/Examples!$D$16))))))+Examples!$D$17*$A98^2)</f>
        <v>2650954.7568179229</v>
      </c>
      <c r="F98" s="33">
        <f>Examples!$E$18-(Examples!$E$10+Examples!$E$11)*$A98-(Examples!$E$6*Examples!$E$7*Examples!$E$8*EXP(-Examples!$E$9*$A98)*(1-(Examples!$E$12*(1-EXP(-Examples!$E$13*$A98))/(1+EXP(MIN(700,MAX(-700,(Examples!$E$14*$A98-Examples!$E$15)/Examples!$E$16))))))+Examples!$E$17*$A98^2)</f>
        <v>1913407.5901386093</v>
      </c>
      <c r="G98" s="33">
        <f>(Examples!$E$6*Examples!$E$7*Examples!$E$8*EXP(-Examples!$E$9*$A98)*(1-(Examples!$E$12*(1-EXP(-Examples!$E$13*$A98))/(1+EXP(MIN(700,MAX(-700,(Examples!$E$14*$A98-Examples!$E$15)/Examples!$E$16))))))+Examples!$E$17*$A98^2)</f>
        <v>1004992.4098613907</v>
      </c>
      <c r="H98" s="33">
        <f>Examples!$F$18-(Examples!$F$10+Examples!$F$11)*$A98-(Examples!$F$6*Examples!$F$7*Examples!$F$8*EXP(-Examples!$F$9*$A98)*(1-(Examples!$F$12*(1-EXP(-Examples!$F$13*$A98))/(1+EXP(MIN(700,MAX(-700,(Examples!$F$14*$A98-Examples!$F$15)/Examples!$F$16))))))+Examples!$F$17*$A98^2)</f>
        <v>100319.61189041733</v>
      </c>
      <c r="I98" s="33">
        <f>(Examples!$F$6*Examples!$F$7*Examples!$F$8*EXP(-Examples!$F$9*$A98)*(1-(Examples!$F$12*(1-EXP(-Examples!$F$13*$A98))/(1+EXP(MIN(700,MAX(-700,(Examples!$F$14*$A98-Examples!$F$15)/Examples!$F$16))))))+Examples!$F$17*$A98^2)</f>
        <v>30480.388109582665</v>
      </c>
      <c r="J98" s="33">
        <f>Examples!$G$18-(Examples!$G$10+Examples!$G$11)*$A98-(Examples!$G$6*Examples!$G$7*Examples!$G$8*EXP(-Examples!$G$9*$A98)*(1-(Examples!$G$12*(1-EXP(-Examples!$G$13*$A98))/(1+EXP(MIN(700,MAX(-700,(Examples!$G$14*$A98-Examples!$G$15)/Examples!$G$16))))))+Examples!$G$17*$A98^2)</f>
        <v>401696.15523376898</v>
      </c>
      <c r="K98" s="33">
        <f>(Examples!$G$6*Examples!$G$7*Examples!$G$8*EXP(-Examples!$G$9*$A98)*(1-(Examples!$G$12*(1-EXP(-Examples!$G$13*$A98))/(1+EXP(MIN(700,MAX(-700,(Examples!$G$14*$A98-Examples!$G$15)/Examples!$G$16))))))+Examples!$G$17*$A98^2)</f>
        <v>1050303.844766231</v>
      </c>
      <c r="L98" s="33">
        <f>Examples!$H$18-(Examples!$H$10+Examples!$H$11)*$A98-(Examples!$H$6*Examples!$H$7*Examples!$H$8*EXP(-Examples!$H$9*$A98)*(1-(Examples!$H$12*(1-EXP(-Examples!$H$13*$A98))/(1+EXP(MIN(700,MAX(-700,(Examples!$H$14*$A98-Examples!$H$15)/Examples!$H$16))))))+Examples!$H$17*$A98^2)</f>
        <v>448129.38434808352</v>
      </c>
      <c r="M98" s="33">
        <f>(Examples!$H$6*Examples!$H$7*Examples!$H$8*EXP(-Examples!$H$9*$A98)*(1-(Examples!$H$12*(1-EXP(-Examples!$H$13*$A98))/(1+EXP(MIN(700,MAX(-700,(Examples!$H$14*$A98-Examples!$H$15)/Examples!$H$16))))))+Examples!$H$17*$A98^2)</f>
        <v>1003870.6156519165</v>
      </c>
    </row>
    <row r="99" spans="1:13" x14ac:dyDescent="0.25">
      <c r="A99" s="4">
        <f>(99-2)/100</f>
        <v>0.97</v>
      </c>
      <c r="B99" s="33">
        <f>Examples!$C$18-(Examples!$C$10+Examples!$C$11)*$A99-(Examples!$C$6*Examples!$C$7*Examples!$C$8*EXP(-Examples!$C$9*$A99)*(1-(Examples!$C$12*(1-EXP(-Examples!$C$13*$A99))/(1+EXP(MIN(700,MAX(-700,(Examples!$C$14*$A99-Examples!$C$15)/Examples!$C$16))))))+Examples!$C$17*$A99^2)</f>
        <v>182240.10222316114</v>
      </c>
      <c r="C99" s="33">
        <f>(Examples!$C$6*Examples!$C$7*Examples!$C$8*EXP(-Examples!$C$9*$A99)*(1-(Examples!$C$12*(1-EXP(-Examples!$C$13*$A99))/(1+EXP(MIN(700,MAX(-700,(Examples!$C$14*$A99-Examples!$C$15)/Examples!$C$16))))))+Examples!$C$17*$A99^2)</f>
        <v>383809.89777683886</v>
      </c>
      <c r="D99" s="33">
        <f>Examples!$D$18-(Examples!$D$10+Examples!$D$11)*$A99-(Examples!$D$6*Examples!$D$7*Examples!$D$8*EXP(-Examples!$D$9*$A99)*(1-(Examples!$D$12*(1-EXP(-Examples!$D$13*$A99))/(1+EXP(MIN(700,MAX(-700,(Examples!$D$14*$A99-Examples!$D$15)/Examples!$D$16))))))+Examples!$D$17*$A99^2)</f>
        <v>-173668.62429991225</v>
      </c>
      <c r="E99" s="33">
        <f>(Examples!$D$6*Examples!$D$7*Examples!$D$8*EXP(-Examples!$D$9*$A99)*(1-(Examples!$D$12*(1-EXP(-Examples!$D$13*$A99))/(1+EXP(MIN(700,MAX(-700,(Examples!$D$14*$A99-Examples!$D$15)/Examples!$D$16))))))+Examples!$D$17*$A99^2)</f>
        <v>2630018.6242999122</v>
      </c>
      <c r="F99" s="33">
        <f>Examples!$E$18-(Examples!$E$10+Examples!$E$11)*$A99-(Examples!$E$6*Examples!$E$7*Examples!$E$8*EXP(-Examples!$E$9*$A99)*(1-(Examples!$E$12*(1-EXP(-Examples!$E$13*$A99))/(1+EXP(MIN(700,MAX(-700,(Examples!$E$14*$A99-Examples!$E$15)/Examples!$E$16))))))+Examples!$E$17*$A99^2)</f>
        <v>1922136.4751712796</v>
      </c>
      <c r="G99" s="33">
        <f>(Examples!$E$6*Examples!$E$7*Examples!$E$8*EXP(-Examples!$E$9*$A99)*(1-(Examples!$E$12*(1-EXP(-Examples!$E$13*$A99))/(1+EXP(MIN(700,MAX(-700,(Examples!$E$14*$A99-Examples!$E$15)/Examples!$E$16))))))+Examples!$E$17*$A99^2)</f>
        <v>995413.52482872037</v>
      </c>
      <c r="H99" s="33">
        <f>Examples!$F$18-(Examples!$F$10+Examples!$F$11)*$A99-(Examples!$F$6*Examples!$F$7*Examples!$F$8*EXP(-Examples!$F$9*$A99)*(1-(Examples!$F$12*(1-EXP(-Examples!$F$13*$A99))/(1+EXP(MIN(700,MAX(-700,(Examples!$F$14*$A99-Examples!$F$15)/Examples!$F$16))))))+Examples!$F$17*$A99^2)</f>
        <v>99771.283679102053</v>
      </c>
      <c r="I99" s="33">
        <f>(Examples!$F$6*Examples!$F$7*Examples!$F$8*EXP(-Examples!$F$9*$A99)*(1-(Examples!$F$12*(1-EXP(-Examples!$F$13*$A99))/(1+EXP(MIN(700,MAX(-700,(Examples!$F$14*$A99-Examples!$F$15)/Examples!$F$16))))))+Examples!$F$17*$A99^2)</f>
        <v>30828.71632089794</v>
      </c>
      <c r="J99" s="33">
        <f>Examples!$G$18-(Examples!$G$10+Examples!$G$11)*$A99-(Examples!$G$6*Examples!$G$7*Examples!$G$8*EXP(-Examples!$G$9*$A99)*(1-(Examples!$G$12*(1-EXP(-Examples!$G$13*$A99))/(1+EXP(MIN(700,MAX(-700,(Examples!$G$14*$A99-Examples!$G$15)/Examples!$G$16))))))+Examples!$G$17*$A99^2)</f>
        <v>407210.72499703569</v>
      </c>
      <c r="K99" s="33">
        <f>(Examples!$G$6*Examples!$G$7*Examples!$G$8*EXP(-Examples!$G$9*$A99)*(1-(Examples!$G$12*(1-EXP(-Examples!$G$13*$A99))/(1+EXP(MIN(700,MAX(-700,(Examples!$G$14*$A99-Examples!$G$15)/Examples!$G$16))))))+Examples!$G$17*$A99^2)</f>
        <v>1044289.2750029643</v>
      </c>
      <c r="L99" s="33">
        <f>Examples!$H$18-(Examples!$H$10+Examples!$H$11)*$A99-(Examples!$H$6*Examples!$H$7*Examples!$H$8*EXP(-Examples!$H$9*$A99)*(1-(Examples!$H$12*(1-EXP(-Examples!$H$13*$A99))/(1+EXP(MIN(700,MAX(-700,(Examples!$H$14*$A99-Examples!$H$15)/Examples!$H$16))))))+Examples!$H$17*$A99^2)</f>
        <v>454346.16747123341</v>
      </c>
      <c r="M99" s="33">
        <f>(Examples!$H$6*Examples!$H$7*Examples!$H$8*EXP(-Examples!$H$9*$A99)*(1-(Examples!$H$12*(1-EXP(-Examples!$H$13*$A99))/(1+EXP(MIN(700,MAX(-700,(Examples!$H$14*$A99-Examples!$H$15)/Examples!$H$16))))))+Examples!$H$17*$A99^2)</f>
        <v>997153.83252876659</v>
      </c>
    </row>
    <row r="100" spans="1:13" x14ac:dyDescent="0.25">
      <c r="A100" s="4">
        <f>(100-2)/100</f>
        <v>0.98</v>
      </c>
      <c r="B100" s="33">
        <f>Examples!$C$18-(Examples!$C$10+Examples!$C$11)*$A100-(Examples!$C$6*Examples!$C$7*Examples!$C$8*EXP(-Examples!$C$9*$A100)*(1-(Examples!$C$12*(1-EXP(-Examples!$C$13*$A100))/(1+EXP(MIN(700,MAX(-700,(Examples!$C$14*$A100-Examples!$C$15)/Examples!$C$16))))))+Examples!$C$17*$A100^2)</f>
        <v>183127.64360147156</v>
      </c>
      <c r="C100" s="33">
        <f>(Examples!$C$6*Examples!$C$7*Examples!$C$8*EXP(-Examples!$C$9*$A100)*(1-(Examples!$C$12*(1-EXP(-Examples!$C$13*$A100))/(1+EXP(MIN(700,MAX(-700,(Examples!$C$14*$A100-Examples!$C$15)/Examples!$C$16))))))+Examples!$C$17*$A100^2)</f>
        <v>382572.35639852844</v>
      </c>
      <c r="D100" s="33">
        <f>Examples!$D$18-(Examples!$D$10+Examples!$D$11)*$A100-(Examples!$D$6*Examples!$D$7*Examples!$D$8*EXP(-Examples!$D$9*$A100)*(1-(Examples!$D$12*(1-EXP(-Examples!$D$13*$A100))/(1+EXP(MIN(700,MAX(-700,(Examples!$D$14*$A100-Examples!$D$15)/Examples!$D$16))))))+Examples!$D$17*$A100^2)</f>
        <v>-153386.97242626548</v>
      </c>
      <c r="E100" s="33">
        <f>(Examples!$D$6*Examples!$D$7*Examples!$D$8*EXP(-Examples!$D$9*$A100)*(1-(Examples!$D$12*(1-EXP(-Examples!$D$13*$A100))/(1+EXP(MIN(700,MAX(-700,(Examples!$D$14*$A100-Examples!$D$15)/Examples!$D$16))))))+Examples!$D$17*$A100^2)</f>
        <v>2609286.9724262655</v>
      </c>
      <c r="F100" s="33">
        <f>Examples!$E$18-(Examples!$E$10+Examples!$E$11)*$A100-(Examples!$E$6*Examples!$E$7*Examples!$E$8*EXP(-Examples!$E$9*$A100)*(1-(Examples!$E$12*(1-EXP(-Examples!$E$13*$A100))/(1+EXP(MIN(700,MAX(-700,(Examples!$E$14*$A100-Examples!$E$15)/Examples!$E$16))))))+Examples!$E$17*$A100^2)</f>
        <v>1930755.5165850471</v>
      </c>
      <c r="G100" s="33">
        <f>(Examples!$E$6*Examples!$E$7*Examples!$E$8*EXP(-Examples!$E$9*$A100)*(1-(Examples!$E$12*(1-EXP(-Examples!$E$13*$A100))/(1+EXP(MIN(700,MAX(-700,(Examples!$E$14*$A100-Examples!$E$15)/Examples!$E$16))))))+Examples!$E$17*$A100^2)</f>
        <v>985944.48341495288</v>
      </c>
      <c r="H100" s="33">
        <f>Examples!$F$18-(Examples!$F$10+Examples!$F$11)*$A100-(Examples!$F$6*Examples!$F$7*Examples!$F$8*EXP(-Examples!$F$9*$A100)*(1-(Examples!$F$12*(1-EXP(-Examples!$F$13*$A100))/(1+EXP(MIN(700,MAX(-700,(Examples!$F$14*$A100-Examples!$F$15)/Examples!$F$16))))))+Examples!$F$17*$A100^2)</f>
        <v>99218.464706392639</v>
      </c>
      <c r="I100" s="33">
        <f>(Examples!$F$6*Examples!$F$7*Examples!$F$8*EXP(-Examples!$F$9*$A100)*(1-(Examples!$F$12*(1-EXP(-Examples!$F$13*$A100))/(1+EXP(MIN(700,MAX(-700,(Examples!$F$14*$A100-Examples!$F$15)/Examples!$F$16))))))+Examples!$F$17*$A100^2)</f>
        <v>31181.535293607358</v>
      </c>
      <c r="J100" s="33">
        <f>Examples!$G$18-(Examples!$G$10+Examples!$G$11)*$A100-(Examples!$G$6*Examples!$G$7*Examples!$G$8*EXP(-Examples!$G$9*$A100)*(1-(Examples!$G$12*(1-EXP(-Examples!$G$13*$A100))/(1+EXP(MIN(700,MAX(-700,(Examples!$G$14*$A100-Examples!$G$15)/Examples!$G$16))))))+Examples!$G$17*$A100^2)</f>
        <v>412662.28044597944</v>
      </c>
      <c r="K100" s="33">
        <f>(Examples!$G$6*Examples!$G$7*Examples!$G$8*EXP(-Examples!$G$9*$A100)*(1-(Examples!$G$12*(1-EXP(-Examples!$G$13*$A100))/(1+EXP(MIN(700,MAX(-700,(Examples!$G$14*$A100-Examples!$G$15)/Examples!$G$16))))))+Examples!$G$17*$A100^2)</f>
        <v>1038337.7195540206</v>
      </c>
      <c r="L100" s="33">
        <f>Examples!$H$18-(Examples!$H$10+Examples!$H$11)*$A100-(Examples!$H$6*Examples!$H$7*Examples!$H$8*EXP(-Examples!$H$9*$A100)*(1-(Examples!$H$12*(1-EXP(-Examples!$H$13*$A100))/(1+EXP(MIN(700,MAX(-700,(Examples!$H$14*$A100-Examples!$H$15)/Examples!$H$16))))))+Examples!$H$17*$A100^2)</f>
        <v>460503.26301797933</v>
      </c>
      <c r="M100" s="33">
        <f>(Examples!$H$6*Examples!$H$7*Examples!$H$8*EXP(-Examples!$H$9*$A100)*(1-(Examples!$H$12*(1-EXP(-Examples!$H$13*$A100))/(1+EXP(MIN(700,MAX(-700,(Examples!$H$14*$A100-Examples!$H$15)/Examples!$H$16))))))+Examples!$H$17*$A100^2)</f>
        <v>990496.73698202067</v>
      </c>
    </row>
    <row r="101" spans="1:13" x14ac:dyDescent="0.25">
      <c r="A101" s="4">
        <f>(101-2)/100</f>
        <v>0.99</v>
      </c>
      <c r="B101" s="33">
        <f>Examples!$C$18-(Examples!$C$10+Examples!$C$11)*$A101-(Examples!$C$6*Examples!$C$7*Examples!$C$8*EXP(-Examples!$C$9*$A101)*(1-(Examples!$C$12*(1-EXP(-Examples!$C$13*$A101))/(1+EXP(MIN(700,MAX(-700,(Examples!$C$14*$A101-Examples!$C$15)/Examples!$C$16))))))+Examples!$C$17*$A101^2)</f>
        <v>183993.10899634013</v>
      </c>
      <c r="C101" s="33">
        <f>(Examples!$C$6*Examples!$C$7*Examples!$C$8*EXP(-Examples!$C$9*$A101)*(1-(Examples!$C$12*(1-EXP(-Examples!$C$13*$A101))/(1+EXP(MIN(700,MAX(-700,(Examples!$C$14*$A101-Examples!$C$15)/Examples!$C$16))))))+Examples!$C$17*$A101^2)</f>
        <v>381356.89100365987</v>
      </c>
      <c r="D101" s="33">
        <f>Examples!$D$18-(Examples!$D$10+Examples!$D$11)*$A101-(Examples!$D$6*Examples!$D$7*Examples!$D$8*EXP(-Examples!$D$9*$A101)*(1-(Examples!$D$12*(1-EXP(-Examples!$D$13*$A101))/(1+EXP(MIN(700,MAX(-700,(Examples!$D$14*$A101-Examples!$D$15)/Examples!$D$16))))))+Examples!$D$17*$A101^2)</f>
        <v>-133307.87626283709</v>
      </c>
      <c r="E101" s="33">
        <f>(Examples!$D$6*Examples!$D$7*Examples!$D$8*EXP(-Examples!$D$9*$A101)*(1-(Examples!$D$12*(1-EXP(-Examples!$D$13*$A101))/(1+EXP(MIN(700,MAX(-700,(Examples!$D$14*$A101-Examples!$D$15)/Examples!$D$16))))))+Examples!$D$17*$A101^2)</f>
        <v>2588757.8762628371</v>
      </c>
      <c r="F101" s="33">
        <f>Examples!$E$18-(Examples!$E$10+Examples!$E$11)*$A101-(Examples!$E$6*Examples!$E$7*Examples!$E$8*EXP(-Examples!$E$9*$A101)*(1-(Examples!$E$12*(1-EXP(-Examples!$E$13*$A101))/(1+EXP(MIN(700,MAX(-700,(Examples!$E$14*$A101-Examples!$E$15)/Examples!$E$16))))))+Examples!$E$17*$A101^2)</f>
        <v>1939265.9754287885</v>
      </c>
      <c r="G101" s="33">
        <f>(Examples!$E$6*Examples!$E$7*Examples!$E$8*EXP(-Examples!$E$9*$A101)*(1-(Examples!$E$12*(1-EXP(-Examples!$E$13*$A101))/(1+EXP(MIN(700,MAX(-700,(Examples!$E$14*$A101-Examples!$E$15)/Examples!$E$16))))))+Examples!$E$17*$A101^2)</f>
        <v>976584.02457121143</v>
      </c>
      <c r="H101" s="33">
        <f>Examples!$F$18-(Examples!$F$10+Examples!$F$11)*$A101-(Examples!$F$6*Examples!$F$7*Examples!$F$8*EXP(-Examples!$F$9*$A101)*(1-(Examples!$F$12*(1-EXP(-Examples!$F$13*$A101))/(1+EXP(MIN(700,MAX(-700,(Examples!$F$14*$A101-Examples!$F$15)/Examples!$F$16))))))+Examples!$F$17*$A101^2)</f>
        <v>98661.15320773932</v>
      </c>
      <c r="I101" s="33">
        <f>(Examples!$F$6*Examples!$F$7*Examples!$F$8*EXP(-Examples!$F$9*$A101)*(1-(Examples!$F$12*(1-EXP(-Examples!$F$13*$A101))/(1+EXP(MIN(700,MAX(-700,(Examples!$F$14*$A101-Examples!$F$15)/Examples!$F$16))))))+Examples!$F$17*$A101^2)</f>
        <v>31538.84679226068</v>
      </c>
      <c r="J101" s="33">
        <f>Examples!$G$18-(Examples!$G$10+Examples!$G$11)*$A101-(Examples!$G$6*Examples!$G$7*Examples!$G$8*EXP(-Examples!$G$9*$A101)*(1-(Examples!$G$12*(1-EXP(-Examples!$G$13*$A101))/(1+EXP(MIN(700,MAX(-700,(Examples!$G$14*$A101-Examples!$G$15)/Examples!$G$16))))))+Examples!$G$17*$A101^2)</f>
        <v>418051.24517574976</v>
      </c>
      <c r="K101" s="33">
        <f>(Examples!$G$6*Examples!$G$7*Examples!$G$8*EXP(-Examples!$G$9*$A101)*(1-(Examples!$G$12*(1-EXP(-Examples!$G$13*$A101))/(1+EXP(MIN(700,MAX(-700,(Examples!$G$14*$A101-Examples!$G$15)/Examples!$G$16))))))+Examples!$G$17*$A101^2)</f>
        <v>1032448.7548242502</v>
      </c>
      <c r="L101" s="33">
        <f>Examples!$H$18-(Examples!$H$10+Examples!$H$11)*$A101-(Examples!$H$6*Examples!$H$7*Examples!$H$8*EXP(-Examples!$H$9*$A101)*(1-(Examples!$H$12*(1-EXP(-Examples!$H$13*$A101))/(1+EXP(MIN(700,MAX(-700,(Examples!$H$14*$A101-Examples!$H$15)/Examples!$H$16))))))+Examples!$H$17*$A101^2)</f>
        <v>466600.98847093736</v>
      </c>
      <c r="M101" s="33">
        <f>(Examples!$H$6*Examples!$H$7*Examples!$H$8*EXP(-Examples!$H$9*$A101)*(1-(Examples!$H$12*(1-EXP(-Examples!$H$13*$A101))/(1+EXP(MIN(700,MAX(-700,(Examples!$H$14*$A101-Examples!$H$15)/Examples!$H$16))))))+Examples!$H$17*$A101^2)</f>
        <v>983899.01152906264</v>
      </c>
    </row>
    <row r="102" spans="1:13" x14ac:dyDescent="0.25">
      <c r="A102" s="4">
        <f>(102-2)/100</f>
        <v>1</v>
      </c>
      <c r="B102" s="33">
        <f>Examples!$C$18-(Examples!$C$10+Examples!$C$11)*$A102-(Examples!$C$6*Examples!$C$7*Examples!$C$8*EXP(-Examples!$C$9*$A102)*(1-(Examples!$C$12*(1-EXP(-Examples!$C$13*$A102))/(1+EXP(MIN(700,MAX(-700,(Examples!$C$14*$A102-Examples!$C$15)/Examples!$C$16))))))+Examples!$C$17*$A102^2)</f>
        <v>184836.37426021683</v>
      </c>
      <c r="C102" s="33">
        <f>(Examples!$C$6*Examples!$C$7*Examples!$C$8*EXP(-Examples!$C$9*$A102)*(1-(Examples!$C$12*(1-EXP(-Examples!$C$13*$A102))/(1+EXP(MIN(700,MAX(-700,(Examples!$C$14*$A102-Examples!$C$15)/Examples!$C$16))))))+Examples!$C$17*$A102^2)</f>
        <v>380163.62573978317</v>
      </c>
      <c r="D102" s="33">
        <f>Examples!$D$18-(Examples!$D$10+Examples!$D$11)*$A102-(Examples!$D$6*Examples!$D$7*Examples!$D$8*EXP(-Examples!$D$9*$A102)*(1-(Examples!$D$12*(1-EXP(-Examples!$D$13*$A102))/(1+EXP(MIN(700,MAX(-700,(Examples!$D$14*$A102-Examples!$D$15)/Examples!$D$16))))))+Examples!$D$17*$A102^2)</f>
        <v>-113429.4309379044</v>
      </c>
      <c r="E102" s="33">
        <f>(Examples!$D$6*Examples!$D$7*Examples!$D$8*EXP(-Examples!$D$9*$A102)*(1-(Examples!$D$12*(1-EXP(-Examples!$D$13*$A102))/(1+EXP(MIN(700,MAX(-700,(Examples!$D$14*$A102-Examples!$D$15)/Examples!$D$16))))))+Examples!$D$17*$A102^2)</f>
        <v>2568429.4309379044</v>
      </c>
      <c r="F102" s="33">
        <f>Examples!$E$18-(Examples!$E$10+Examples!$E$11)*$A102-(Examples!$E$6*Examples!$E$7*Examples!$E$8*EXP(-Examples!$E$9*$A102)*(1-(Examples!$E$12*(1-EXP(-Examples!$E$13*$A102))/(1+EXP(MIN(700,MAX(-700,(Examples!$E$14*$A102-Examples!$E$15)/Examples!$E$16))))))+Examples!$E$17*$A102^2)</f>
        <v>1947669.0979403602</v>
      </c>
      <c r="G102" s="33">
        <f>(Examples!$E$6*Examples!$E$7*Examples!$E$8*EXP(-Examples!$E$9*$A102)*(1-(Examples!$E$12*(1-EXP(-Examples!$E$13*$A102))/(1+EXP(MIN(700,MAX(-700,(Examples!$E$14*$A102-Examples!$E$15)/Examples!$E$16))))))+Examples!$E$17*$A102^2)</f>
        <v>967330.90205963969</v>
      </c>
      <c r="H102" s="33">
        <f>Examples!$F$18-(Examples!$F$10+Examples!$F$11)*$A102-(Examples!$F$6*Examples!$F$7*Examples!$F$8*EXP(-Examples!$F$9*$A102)*(1-(Examples!$F$12*(1-EXP(-Examples!$F$13*$A102))/(1+EXP(MIN(700,MAX(-700,(Examples!$F$14*$A102-Examples!$F$15)/Examples!$F$16))))))+Examples!$F$17*$A102^2)</f>
        <v>98099.347754249582</v>
      </c>
      <c r="I102" s="33">
        <f>(Examples!$F$6*Examples!$F$7*Examples!$F$8*EXP(-Examples!$F$9*$A102)*(1-(Examples!$F$12*(1-EXP(-Examples!$F$13*$A102))/(1+EXP(MIN(700,MAX(-700,(Examples!$F$14*$A102-Examples!$F$15)/Examples!$F$16))))))+Examples!$F$17*$A102^2)</f>
        <v>31900.652245750418</v>
      </c>
      <c r="J102" s="33">
        <f>Examples!$G$18-(Examples!$G$10+Examples!$G$11)*$A102-(Examples!$G$6*Examples!$G$7*Examples!$G$8*EXP(-Examples!$G$9*$A102)*(1-(Examples!$G$12*(1-EXP(-Examples!$G$13*$A102))/(1+EXP(MIN(700,MAX(-700,(Examples!$G$14*$A102-Examples!$G$15)/Examples!$G$16))))))+Examples!$G$17*$A102^2)</f>
        <v>423378.0400273808</v>
      </c>
      <c r="K102" s="33">
        <f>(Examples!$G$6*Examples!$G$7*Examples!$G$8*EXP(-Examples!$G$9*$A102)*(1-(Examples!$G$12*(1-EXP(-Examples!$G$13*$A102))/(1+EXP(MIN(700,MAX(-700,(Examples!$G$14*$A102-Examples!$G$15)/Examples!$G$16))))))+Examples!$G$17*$A102^2)</f>
        <v>1026621.9599726192</v>
      </c>
      <c r="L102" s="33">
        <f>Examples!$H$18-(Examples!$H$10+Examples!$H$11)*$A102-(Examples!$H$6*Examples!$H$7*Examples!$H$8*EXP(-Examples!$H$9*$A102)*(1-(Examples!$H$12*(1-EXP(-Examples!$H$13*$A102))/(1+EXP(MIN(700,MAX(-700,(Examples!$H$14*$A102-Examples!$H$15)/Examples!$H$16))))))+Examples!$H$17*$A102^2)</f>
        <v>472639.65398789768</v>
      </c>
      <c r="M102" s="33">
        <f>(Examples!$H$6*Examples!$H$7*Examples!$H$8*EXP(-Examples!$H$9*$A102)*(1-(Examples!$H$12*(1-EXP(-Examples!$H$13*$A102))/(1+EXP(MIN(700,MAX(-700,(Examples!$H$14*$A102-Examples!$H$15)/Examples!$H$16))))))+Examples!$H$17*$A102^2)</f>
        <v>977360.34601210232</v>
      </c>
    </row>
    <row r="103" spans="1:13" x14ac:dyDescent="0.25">
      <c r="A103">
        <f>(103-2)/100</f>
        <v>1.01</v>
      </c>
      <c r="B103" s="33">
        <f>Examples!$C$18-(Examples!$C$10+Examples!$C$11)*$A103-(Examples!$C$6*Examples!$C$7*Examples!$C$8*EXP(-Examples!$C$9*$A103)*(1-(Examples!$C$12*(1-EXP(-Examples!$C$13*$A103))/(1+EXP(MIN(700,MAX(-700,(Examples!$C$14*$A103-Examples!$C$15)/Examples!$C$16))))))+Examples!$C$17*$A103^2)</f>
        <v>185657.31459761772</v>
      </c>
      <c r="C103" s="33">
        <f>(Examples!$C$6*Examples!$C$7*Examples!$C$8*EXP(-Examples!$C$9*$A103)*(1-(Examples!$C$12*(1-EXP(-Examples!$C$13*$A103))/(1+EXP(MIN(700,MAX(-700,(Examples!$C$14*$A103-Examples!$C$15)/Examples!$C$16))))))+Examples!$C$17*$A103^2)</f>
        <v>378992.68540238228</v>
      </c>
      <c r="D103" s="33">
        <f>Examples!$D$18-(Examples!$D$10+Examples!$D$11)*$A103-(Examples!$D$6*Examples!$D$7*Examples!$D$8*EXP(-Examples!$D$9*$A103)*(1-(Examples!$D$12*(1-EXP(-Examples!$D$13*$A103))/(1+EXP(MIN(700,MAX(-700,(Examples!$D$14*$A103-Examples!$D$15)/Examples!$D$16))))))+Examples!$D$17*$A103^2)</f>
        <v>-93749.751433296129</v>
      </c>
      <c r="E103" s="33">
        <f>(Examples!$D$6*Examples!$D$7*Examples!$D$8*EXP(-Examples!$D$9*$A103)*(1-(Examples!$D$12*(1-EXP(-Examples!$D$13*$A103))/(1+EXP(MIN(700,MAX(-700,(Examples!$D$14*$A103-Examples!$D$15)/Examples!$D$16))))))+Examples!$D$17*$A103^2)</f>
        <v>2548299.7514332961</v>
      </c>
      <c r="F103" s="33">
        <f>Examples!$E$18-(Examples!$E$10+Examples!$E$11)*$A103-(Examples!$E$6*Examples!$E$7*Examples!$E$8*EXP(-Examples!$E$9*$A103)*(1-(Examples!$E$12*(1-EXP(-Examples!$E$13*$A103))/(1+EXP(MIN(700,MAX(-700,(Examples!$E$14*$A103-Examples!$E$15)/Examples!$E$16))))))+Examples!$E$17*$A103^2)</f>
        <v>1955966.1157226514</v>
      </c>
      <c r="G103" s="33">
        <f>(Examples!$E$6*Examples!$E$7*Examples!$E$8*EXP(-Examples!$E$9*$A103)*(1-(Examples!$E$12*(1-EXP(-Examples!$E$13*$A103))/(1+EXP(MIN(700,MAX(-700,(Examples!$E$14*$A103-Examples!$E$15)/Examples!$E$16))))))+Examples!$E$17*$A103^2)</f>
        <v>958183.88427734864</v>
      </c>
      <c r="H103" s="33">
        <f>Examples!$F$18-(Examples!$F$10+Examples!$F$11)*$A103-(Examples!$F$6*Examples!$F$7*Examples!$F$8*EXP(-Examples!$F$9*$A103)*(1-(Examples!$F$12*(1-EXP(-Examples!$F$13*$A103))/(1+EXP(MIN(700,MAX(-700,(Examples!$F$14*$A103-Examples!$F$15)/Examples!$F$16))))))+Examples!$F$17*$A103^2)</f>
        <v>97533.047276676196</v>
      </c>
      <c r="I103" s="33">
        <f>(Examples!$F$6*Examples!$F$7*Examples!$F$8*EXP(-Examples!$F$9*$A103)*(1-(Examples!$F$12*(1-EXP(-Examples!$F$13*$A103))/(1+EXP(MIN(700,MAX(-700,(Examples!$F$14*$A103-Examples!$F$15)/Examples!$F$16))))))+Examples!$F$17*$A103^2)</f>
        <v>32266.952723323804</v>
      </c>
      <c r="J103" s="33">
        <f>Examples!$G$18-(Examples!$G$10+Examples!$G$11)*$A103-(Examples!$G$6*Examples!$G$7*Examples!$G$8*EXP(-Examples!$G$9*$A103)*(1-(Examples!$G$12*(1-EXP(-Examples!$G$13*$A103))/(1+EXP(MIN(700,MAX(-700,(Examples!$G$14*$A103-Examples!$G$15)/Examples!$G$16))))))+Examples!$G$17*$A103^2)</f>
        <v>428643.0831410141</v>
      </c>
      <c r="K103" s="33">
        <f>(Examples!$G$6*Examples!$G$7*Examples!$G$8*EXP(-Examples!$G$9*$A103)*(1-(Examples!$G$12*(1-EXP(-Examples!$G$13*$A103))/(1+EXP(MIN(700,MAX(-700,(Examples!$G$14*$A103-Examples!$G$15)/Examples!$G$16))))))+Examples!$G$17*$A103^2)</f>
        <v>1020856.9168589859</v>
      </c>
      <c r="L103" s="33">
        <f>Examples!$H$18-(Examples!$H$10+Examples!$H$11)*$A103-(Examples!$H$6*Examples!$H$7*Examples!$H$8*EXP(-Examples!$H$9*$A103)*(1-(Examples!$H$12*(1-EXP(-Examples!$H$13*$A103))/(1+EXP(MIN(700,MAX(-700,(Examples!$H$14*$A103-Examples!$H$15)/Examples!$H$16))))))+Examples!$H$17*$A103^2)</f>
        <v>478619.56233663345</v>
      </c>
      <c r="M103" s="33">
        <f>(Examples!$H$6*Examples!$H$7*Examples!$H$8*EXP(-Examples!$H$9*$A103)*(1-(Examples!$H$12*(1-EXP(-Examples!$H$13*$A103))/(1+EXP(MIN(700,MAX(-700,(Examples!$H$14*$A103-Examples!$H$15)/Examples!$H$16))))))+Examples!$H$17*$A103^2)</f>
        <v>970880.43766336655</v>
      </c>
    </row>
    <row r="104" spans="1:13" x14ac:dyDescent="0.25">
      <c r="A104">
        <f>(104-2)/100</f>
        <v>1.02</v>
      </c>
      <c r="B104" s="33">
        <f>Examples!$C$18-(Examples!$C$10+Examples!$C$11)*$A104-(Examples!$C$6*Examples!$C$7*Examples!$C$8*EXP(-Examples!$C$9*$A104)*(1-(Examples!$C$12*(1-EXP(-Examples!$C$13*$A104))/(1+EXP(MIN(700,MAX(-700,(Examples!$C$14*$A104-Examples!$C$15)/Examples!$C$16))))))+Examples!$C$17*$A104^2)</f>
        <v>186455.80485913565</v>
      </c>
      <c r="C104" s="33">
        <f>(Examples!$C$6*Examples!$C$7*Examples!$C$8*EXP(-Examples!$C$9*$A104)*(1-(Examples!$C$12*(1-EXP(-Examples!$C$13*$A104))/(1+EXP(MIN(700,MAX(-700,(Examples!$C$14*$A104-Examples!$C$15)/Examples!$C$16))))))+Examples!$C$17*$A104^2)</f>
        <v>377844.19514086435</v>
      </c>
      <c r="D104" s="33">
        <f>Examples!$D$18-(Examples!$D$10+Examples!$D$11)*$A104-(Examples!$D$6*Examples!$D$7*Examples!$D$8*EXP(-Examples!$D$9*$A104)*(1-(Examples!$D$12*(1-EXP(-Examples!$D$13*$A104))/(1+EXP(MIN(700,MAX(-700,(Examples!$D$14*$A104-Examples!$D$15)/Examples!$D$16))))))+Examples!$D$17*$A104^2)</f>
        <v>-74266.972377561498</v>
      </c>
      <c r="E104" s="33">
        <f>(Examples!$D$6*Examples!$D$7*Examples!$D$8*EXP(-Examples!$D$9*$A104)*(1-(Examples!$D$12*(1-EXP(-Examples!$D$13*$A104))/(1+EXP(MIN(700,MAX(-700,(Examples!$D$14*$A104-Examples!$D$15)/Examples!$D$16))))))+Examples!$D$17*$A104^2)</f>
        <v>2528366.9723775615</v>
      </c>
      <c r="F104" s="33">
        <f>Examples!$E$18-(Examples!$E$10+Examples!$E$11)*$A104-(Examples!$E$6*Examples!$E$7*Examples!$E$8*EXP(-Examples!$E$9*$A104)*(1-(Examples!$E$12*(1-EXP(-Examples!$E$13*$A104))/(1+EXP(MIN(700,MAX(-700,(Examples!$E$14*$A104-Examples!$E$15)/Examples!$E$16))))))+Examples!$E$17*$A104^2)</f>
        <v>1964158.245917547</v>
      </c>
      <c r="G104" s="33">
        <f>(Examples!$E$6*Examples!$E$7*Examples!$E$8*EXP(-Examples!$E$9*$A104)*(1-(Examples!$E$12*(1-EXP(-Examples!$E$13*$A104))/(1+EXP(MIN(700,MAX(-700,(Examples!$E$14*$A104-Examples!$E$15)/Examples!$E$16))))))+Examples!$E$17*$A104^2)</f>
        <v>949141.75408245286</v>
      </c>
      <c r="H104" s="33">
        <f>Examples!$F$18-(Examples!$F$10+Examples!$F$11)*$A104-(Examples!$F$6*Examples!$F$7*Examples!$F$8*EXP(-Examples!$F$9*$A104)*(1-(Examples!$F$12*(1-EXP(-Examples!$F$13*$A104))/(1+EXP(MIN(700,MAX(-700,(Examples!$F$14*$A104-Examples!$F$15)/Examples!$F$16))))))+Examples!$F$17*$A104^2)</f>
        <v>96962.251089267607</v>
      </c>
      <c r="I104" s="33">
        <f>(Examples!$F$6*Examples!$F$7*Examples!$F$8*EXP(-Examples!$F$9*$A104)*(1-(Examples!$F$12*(1-EXP(-Examples!$F$13*$A104))/(1+EXP(MIN(700,MAX(-700,(Examples!$F$14*$A104-Examples!$F$15)/Examples!$F$16))))))+Examples!$F$17*$A104^2)</f>
        <v>32637.748910732389</v>
      </c>
      <c r="J104" s="33">
        <f>Examples!$G$18-(Examples!$G$10+Examples!$G$11)*$A104-(Examples!$G$6*Examples!$G$7*Examples!$G$8*EXP(-Examples!$G$9*$A104)*(1-(Examples!$G$12*(1-EXP(-Examples!$G$13*$A104))/(1+EXP(MIN(700,MAX(-700,(Examples!$G$14*$A104-Examples!$G$15)/Examples!$G$16))))))+Examples!$G$17*$A104^2)</f>
        <v>433846.79000901838</v>
      </c>
      <c r="K104" s="33">
        <f>(Examples!$G$6*Examples!$G$7*Examples!$G$8*EXP(-Examples!$G$9*$A104)*(1-(Examples!$G$12*(1-EXP(-Examples!$G$13*$A104))/(1+EXP(MIN(700,MAX(-700,(Examples!$G$14*$A104-Examples!$G$15)/Examples!$G$16))))))+Examples!$G$17*$A104^2)</f>
        <v>1015153.2099909816</v>
      </c>
      <c r="L104" s="33">
        <f>Examples!$H$18-(Examples!$H$10+Examples!$H$11)*$A104-(Examples!$H$6*Examples!$H$7*Examples!$H$8*EXP(-Examples!$H$9*$A104)*(1-(Examples!$H$12*(1-EXP(-Examples!$H$13*$A104))/(1+EXP(MIN(700,MAX(-700,(Examples!$H$14*$A104-Examples!$H$15)/Examples!$H$16))))))+Examples!$H$17*$A104^2)</f>
        <v>484541.00882759434</v>
      </c>
      <c r="M104" s="33">
        <f>(Examples!$H$6*Examples!$H$7*Examples!$H$8*EXP(-Examples!$H$9*$A104)*(1-(Examples!$H$12*(1-EXP(-Examples!$H$13*$A104))/(1+EXP(MIN(700,MAX(-700,(Examples!$H$14*$A104-Examples!$H$15)/Examples!$H$16))))))+Examples!$H$17*$A104^2)</f>
        <v>964458.99117240566</v>
      </c>
    </row>
    <row r="105" spans="1:13" x14ac:dyDescent="0.25">
      <c r="A105">
        <f>(105-2)/100</f>
        <v>1.03</v>
      </c>
      <c r="B105" s="33">
        <f>Examples!$C$18-(Examples!$C$10+Examples!$C$11)*$A105-(Examples!$C$6*Examples!$C$7*Examples!$C$8*EXP(-Examples!$C$9*$A105)*(1-(Examples!$C$12*(1-EXP(-Examples!$C$13*$A105))/(1+EXP(MIN(700,MAX(-700,(Examples!$C$14*$A105-Examples!$C$15)/Examples!$C$16))))))+Examples!$C$17*$A105^2)</f>
        <v>187231.7198534651</v>
      </c>
      <c r="C105" s="33">
        <f>(Examples!$C$6*Examples!$C$7*Examples!$C$8*EXP(-Examples!$C$9*$A105)*(1-(Examples!$C$12*(1-EXP(-Examples!$C$13*$A105))/(1+EXP(MIN(700,MAX(-700,(Examples!$C$14*$A105-Examples!$C$15)/Examples!$C$16))))))+Examples!$C$17*$A105^2)</f>
        <v>376718.2801465349</v>
      </c>
      <c r="D105" s="33">
        <f>Examples!$D$18-(Examples!$D$10+Examples!$D$11)*$A105-(Examples!$D$6*Examples!$D$7*Examples!$D$8*EXP(-Examples!$D$9*$A105)*(1-(Examples!$D$12*(1-EXP(-Examples!$D$13*$A105))/(1+EXP(MIN(700,MAX(-700,(Examples!$D$14*$A105-Examples!$D$15)/Examples!$D$16))))))+Examples!$D$17*$A105^2)</f>
        <v>-54979.247841155622</v>
      </c>
      <c r="E105" s="33">
        <f>(Examples!$D$6*Examples!$D$7*Examples!$D$8*EXP(-Examples!$D$9*$A105)*(1-(Examples!$D$12*(1-EXP(-Examples!$D$13*$A105))/(1+EXP(MIN(700,MAX(-700,(Examples!$D$14*$A105-Examples!$D$15)/Examples!$D$16))))))+Examples!$D$17*$A105^2)</f>
        <v>2508629.2478411556</v>
      </c>
      <c r="F105" s="33">
        <f>Examples!$E$18-(Examples!$E$10+Examples!$E$11)*$A105-(Examples!$E$6*Examples!$E$7*Examples!$E$8*EXP(-Examples!$E$9*$A105)*(1-(Examples!$E$12*(1-EXP(-Examples!$E$13*$A105))/(1+EXP(MIN(700,MAX(-700,(Examples!$E$14*$A105-Examples!$E$15)/Examples!$E$16))))))+Examples!$E$17*$A105^2)</f>
        <v>1972246.6913778228</v>
      </c>
      <c r="G105" s="33">
        <f>(Examples!$E$6*Examples!$E$7*Examples!$E$8*EXP(-Examples!$E$9*$A105)*(1-(Examples!$E$12*(1-EXP(-Examples!$E$13*$A105))/(1+EXP(MIN(700,MAX(-700,(Examples!$E$14*$A105-Examples!$E$15)/Examples!$E$16))))))+Examples!$E$17*$A105^2)</f>
        <v>940203.30862217734</v>
      </c>
      <c r="H105" s="33">
        <f>Examples!$F$18-(Examples!$F$10+Examples!$F$11)*$A105-(Examples!$F$6*Examples!$F$7*Examples!$F$8*EXP(-Examples!$F$9*$A105)*(1-(Examples!$F$12*(1-EXP(-Examples!$F$13*$A105))/(1+EXP(MIN(700,MAX(-700,(Examples!$F$14*$A105-Examples!$F$15)/Examples!$F$16))))))+Examples!$F$17*$A105^2)</f>
        <v>96386.958913330134</v>
      </c>
      <c r="I105" s="33">
        <f>(Examples!$F$6*Examples!$F$7*Examples!$F$8*EXP(-Examples!$F$9*$A105)*(1-(Examples!$F$12*(1-EXP(-Examples!$F$13*$A105))/(1+EXP(MIN(700,MAX(-700,(Examples!$F$14*$A105-Examples!$F$15)/Examples!$F$16))))))+Examples!$F$17*$A105^2)</f>
        <v>33013.041086669866</v>
      </c>
      <c r="J105" s="33">
        <f>Examples!$G$18-(Examples!$G$10+Examples!$G$11)*$A105-(Examples!$G$6*Examples!$G$7*Examples!$G$8*EXP(-Examples!$G$9*$A105)*(1-(Examples!$G$12*(1-EXP(-Examples!$G$13*$A105))/(1+EXP(MIN(700,MAX(-700,(Examples!$G$14*$A105-Examples!$G$15)/Examples!$G$16))))))+Examples!$G$17*$A105^2)</f>
        <v>438989.57352899248</v>
      </c>
      <c r="K105" s="33">
        <f>(Examples!$G$6*Examples!$G$7*Examples!$G$8*EXP(-Examples!$G$9*$A105)*(1-(Examples!$G$12*(1-EXP(-Examples!$G$13*$A105))/(1+EXP(MIN(700,MAX(-700,(Examples!$G$14*$A105-Examples!$G$15)/Examples!$G$16))))))+Examples!$G$17*$A105^2)</f>
        <v>1009510.4264710075</v>
      </c>
      <c r="L105" s="33">
        <f>Examples!$H$18-(Examples!$H$10+Examples!$H$11)*$A105-(Examples!$H$6*Examples!$H$7*Examples!$H$8*EXP(-Examples!$H$9*$A105)*(1-(Examples!$H$12*(1-EXP(-Examples!$H$13*$A105))/(1+EXP(MIN(700,MAX(-700,(Examples!$H$14*$A105-Examples!$H$15)/Examples!$H$16))))))+Examples!$H$17*$A105^2)</f>
        <v>490404.2812444981</v>
      </c>
      <c r="M105" s="33">
        <f>(Examples!$H$6*Examples!$H$7*Examples!$H$8*EXP(-Examples!$H$9*$A105)*(1-(Examples!$H$12*(1-EXP(-Examples!$H$13*$A105))/(1+EXP(MIN(700,MAX(-700,(Examples!$H$14*$A105-Examples!$H$15)/Examples!$H$16))))))+Examples!$H$17*$A105^2)</f>
        <v>958095.7187555019</v>
      </c>
    </row>
    <row r="106" spans="1:13" x14ac:dyDescent="0.25">
      <c r="A106">
        <f>(106-2)/100</f>
        <v>1.04</v>
      </c>
      <c r="B106" s="33">
        <f>Examples!$C$18-(Examples!$C$10+Examples!$C$11)*$A106-(Examples!$C$6*Examples!$C$7*Examples!$C$8*EXP(-Examples!$C$9*$A106)*(1-(Examples!$C$12*(1-EXP(-Examples!$C$13*$A106))/(1+EXP(MIN(700,MAX(-700,(Examples!$C$14*$A106-Examples!$C$15)/Examples!$C$16))))))+Examples!$C$17*$A106^2)</f>
        <v>187984.934677732</v>
      </c>
      <c r="C106" s="33">
        <f>(Examples!$C$6*Examples!$C$7*Examples!$C$8*EXP(-Examples!$C$9*$A106)*(1-(Examples!$C$12*(1-EXP(-Examples!$C$13*$A106))/(1+EXP(MIN(700,MAX(-700,(Examples!$C$14*$A106-Examples!$C$15)/Examples!$C$16))))))+Examples!$C$17*$A106^2)</f>
        <v>375615.065322268</v>
      </c>
      <c r="D106" s="33">
        <f>Examples!$D$18-(Examples!$D$10+Examples!$D$11)*$A106-(Examples!$D$6*Examples!$D$7*Examples!$D$8*EXP(-Examples!$D$9*$A106)*(1-(Examples!$D$12*(1-EXP(-Examples!$D$13*$A106))/(1+EXP(MIN(700,MAX(-700,(Examples!$D$14*$A106-Examples!$D$15)/Examples!$D$16))))))+Examples!$D$17*$A106^2)</f>
        <v>-35884.751133620739</v>
      </c>
      <c r="E106" s="33">
        <f>(Examples!$D$6*Examples!$D$7*Examples!$D$8*EXP(-Examples!$D$9*$A106)*(1-(Examples!$D$12*(1-EXP(-Examples!$D$13*$A106))/(1+EXP(MIN(700,MAX(-700,(Examples!$D$14*$A106-Examples!$D$15)/Examples!$D$16))))))+Examples!$D$17*$A106^2)</f>
        <v>2489084.7511336207</v>
      </c>
      <c r="F106" s="33">
        <f>Examples!$E$18-(Examples!$E$10+Examples!$E$11)*$A106-(Examples!$E$6*Examples!$E$7*Examples!$E$8*EXP(-Examples!$E$9*$A106)*(1-(Examples!$E$12*(1-EXP(-Examples!$E$13*$A106))/(1+EXP(MIN(700,MAX(-700,(Examples!$E$14*$A106-Examples!$E$15)/Examples!$E$16))))))+Examples!$E$17*$A106^2)</f>
        <v>1980232.6408369956</v>
      </c>
      <c r="G106" s="33">
        <f>(Examples!$E$6*Examples!$E$7*Examples!$E$8*EXP(-Examples!$E$9*$A106)*(1-(Examples!$E$12*(1-EXP(-Examples!$E$13*$A106))/(1+EXP(MIN(700,MAX(-700,(Examples!$E$14*$A106-Examples!$E$15)/Examples!$E$16))))))+Examples!$E$17*$A106^2)</f>
        <v>931367.35916300444</v>
      </c>
      <c r="H106" s="33">
        <f>Examples!$F$18-(Examples!$F$10+Examples!$F$11)*$A106-(Examples!$F$6*Examples!$F$7*Examples!$F$8*EXP(-Examples!$F$9*$A106)*(1-(Examples!$F$12*(1-EXP(-Examples!$F$13*$A106))/(1+EXP(MIN(700,MAX(-700,(Examples!$F$14*$A106-Examples!$F$15)/Examples!$F$16))))))+Examples!$F$17*$A106^2)</f>
        <v>95807.170900342229</v>
      </c>
      <c r="I106" s="33">
        <f>(Examples!$F$6*Examples!$F$7*Examples!$F$8*EXP(-Examples!$F$9*$A106)*(1-(Examples!$F$12*(1-EXP(-Examples!$F$13*$A106))/(1+EXP(MIN(700,MAX(-700,(Examples!$F$14*$A106-Examples!$F$15)/Examples!$F$16))))))+Examples!$F$17*$A106^2)</f>
        <v>33392.829099657763</v>
      </c>
      <c r="J106" s="33">
        <f>Examples!$G$18-(Examples!$G$10+Examples!$G$11)*$A106-(Examples!$G$6*Examples!$G$7*Examples!$G$8*EXP(-Examples!$G$9*$A106)*(1-(Examples!$G$12*(1-EXP(-Examples!$G$13*$A106))/(1+EXP(MIN(700,MAX(-700,(Examples!$G$14*$A106-Examples!$G$15)/Examples!$G$16))))))+Examples!$G$17*$A106^2)</f>
        <v>444071.84405665123</v>
      </c>
      <c r="K106" s="33">
        <f>(Examples!$G$6*Examples!$G$7*Examples!$G$8*EXP(-Examples!$G$9*$A106)*(1-(Examples!$G$12*(1-EXP(-Examples!$G$13*$A106))/(1+EXP(MIN(700,MAX(-700,(Examples!$G$14*$A106-Examples!$G$15)/Examples!$G$16))))))+Examples!$G$17*$A106^2)</f>
        <v>1003928.1559433488</v>
      </c>
      <c r="L106" s="33">
        <f>Examples!$H$18-(Examples!$H$10+Examples!$H$11)*$A106-(Examples!$H$6*Examples!$H$7*Examples!$H$8*EXP(-Examples!$H$9*$A106)*(1-(Examples!$H$12*(1-EXP(-Examples!$H$13*$A106))/(1+EXP(MIN(700,MAX(-700,(Examples!$H$14*$A106-Examples!$H$15)/Examples!$H$16))))))+Examples!$H$17*$A106^2)</f>
        <v>496209.65977283241</v>
      </c>
      <c r="M106" s="33">
        <f>(Examples!$H$6*Examples!$H$7*Examples!$H$8*EXP(-Examples!$H$9*$A106)*(1-(Examples!$H$12*(1-EXP(-Examples!$H$13*$A106))/(1+EXP(MIN(700,MAX(-700,(Examples!$H$14*$A106-Examples!$H$15)/Examples!$H$16))))))+Examples!$H$17*$A106^2)</f>
        <v>951790.34022716759</v>
      </c>
    </row>
    <row r="107" spans="1:13" x14ac:dyDescent="0.25">
      <c r="A107">
        <f>(107-2)/100</f>
        <v>1.05</v>
      </c>
      <c r="B107" s="33">
        <f>Examples!$C$18-(Examples!$C$10+Examples!$C$11)*$A107-(Examples!$C$6*Examples!$C$7*Examples!$C$8*EXP(-Examples!$C$9*$A107)*(1-(Examples!$C$12*(1-EXP(-Examples!$C$13*$A107))/(1+EXP(MIN(700,MAX(-700,(Examples!$C$14*$A107-Examples!$C$15)/Examples!$C$16))))))+Examples!$C$17*$A107^2)</f>
        <v>188715.32506636175</v>
      </c>
      <c r="C107" s="33">
        <f>(Examples!$C$6*Examples!$C$7*Examples!$C$8*EXP(-Examples!$C$9*$A107)*(1-(Examples!$C$12*(1-EXP(-Examples!$C$13*$A107))/(1+EXP(MIN(700,MAX(-700,(Examples!$C$14*$A107-Examples!$C$15)/Examples!$C$16))))))+Examples!$C$17*$A107^2)</f>
        <v>374534.67493363825</v>
      </c>
      <c r="D107" s="33">
        <f>Examples!$D$18-(Examples!$D$10+Examples!$D$11)*$A107-(Examples!$D$6*Examples!$D$7*Examples!$D$8*EXP(-Examples!$D$9*$A107)*(1-(Examples!$D$12*(1-EXP(-Examples!$D$13*$A107))/(1+EXP(MIN(700,MAX(-700,(Examples!$D$14*$A107-Examples!$D$15)/Examples!$D$16))))))+Examples!$D$17*$A107^2)</f>
        <v>-16981.674602728337</v>
      </c>
      <c r="E107" s="33">
        <f>(Examples!$D$6*Examples!$D$7*Examples!$D$8*EXP(-Examples!$D$9*$A107)*(1-(Examples!$D$12*(1-EXP(-Examples!$D$13*$A107))/(1+EXP(MIN(700,MAX(-700,(Examples!$D$14*$A107-Examples!$D$15)/Examples!$D$16))))))+Examples!$D$17*$A107^2)</f>
        <v>2469731.6746027283</v>
      </c>
      <c r="F107" s="33">
        <f>Examples!$E$18-(Examples!$E$10+Examples!$E$11)*$A107-(Examples!$E$6*Examples!$E$7*Examples!$E$8*EXP(-Examples!$E$9*$A107)*(1-(Examples!$E$12*(1-EXP(-Examples!$E$13*$A107))/(1+EXP(MIN(700,MAX(-700,(Examples!$E$14*$A107-Examples!$E$15)/Examples!$E$16))))))+Examples!$E$17*$A107^2)</f>
        <v>1988117.2690771625</v>
      </c>
      <c r="G107" s="33">
        <f>(Examples!$E$6*Examples!$E$7*Examples!$E$8*EXP(-Examples!$E$9*$A107)*(1-(Examples!$E$12*(1-EXP(-Examples!$E$13*$A107))/(1+EXP(MIN(700,MAX(-700,(Examples!$E$14*$A107-Examples!$E$15)/Examples!$E$16))))))+Examples!$E$17*$A107^2)</f>
        <v>922632.73092283751</v>
      </c>
      <c r="H107" s="33">
        <f>Examples!$F$18-(Examples!$F$10+Examples!$F$11)*$A107-(Examples!$F$6*Examples!$F$7*Examples!$F$8*EXP(-Examples!$F$9*$A107)*(1-(Examples!$F$12*(1-EXP(-Examples!$F$13*$A107))/(1+EXP(MIN(700,MAX(-700,(Examples!$F$14*$A107-Examples!$F$15)/Examples!$F$16))))))+Examples!$F$17*$A107^2)</f>
        <v>95222.887654452978</v>
      </c>
      <c r="I107" s="33">
        <f>(Examples!$F$6*Examples!$F$7*Examples!$F$8*EXP(-Examples!$F$9*$A107)*(1-(Examples!$F$12*(1-EXP(-Examples!$F$13*$A107))/(1+EXP(MIN(700,MAX(-700,(Examples!$F$14*$A107-Examples!$F$15)/Examples!$F$16))))))+Examples!$F$17*$A107^2)</f>
        <v>33777.112345547022</v>
      </c>
      <c r="J107" s="33">
        <f>Examples!$G$18-(Examples!$G$10+Examples!$G$11)*$A107-(Examples!$G$6*Examples!$G$7*Examples!$G$8*EXP(-Examples!$G$9*$A107)*(1-(Examples!$G$12*(1-EXP(-Examples!$G$13*$A107))/(1+EXP(MIN(700,MAX(-700,(Examples!$G$14*$A107-Examples!$G$15)/Examples!$G$16))))))+Examples!$G$17*$A107^2)</f>
        <v>449094.00945858401</v>
      </c>
      <c r="K107" s="33">
        <f>(Examples!$G$6*Examples!$G$7*Examples!$G$8*EXP(-Examples!$G$9*$A107)*(1-(Examples!$G$12*(1-EXP(-Examples!$G$13*$A107))/(1+EXP(MIN(700,MAX(-700,(Examples!$G$14*$A107-Examples!$G$15)/Examples!$G$16))))))+Examples!$G$17*$A107^2)</f>
        <v>998405.99054141599</v>
      </c>
      <c r="L107" s="33">
        <f>Examples!$H$18-(Examples!$H$10+Examples!$H$11)*$A107-(Examples!$H$6*Examples!$H$7*Examples!$H$8*EXP(-Examples!$H$9*$A107)*(1-(Examples!$H$12*(1-EXP(-Examples!$H$13*$A107))/(1+EXP(MIN(700,MAX(-700,(Examples!$H$14*$A107-Examples!$H$15)/Examples!$H$16))))))+Examples!$H$17*$A107^2)</f>
        <v>501957.41692629084</v>
      </c>
      <c r="M107" s="33">
        <f>(Examples!$H$6*Examples!$H$7*Examples!$H$8*EXP(-Examples!$H$9*$A107)*(1-(Examples!$H$12*(1-EXP(-Examples!$H$13*$A107))/(1+EXP(MIN(700,MAX(-700,(Examples!$H$14*$A107-Examples!$H$15)/Examples!$H$16))))))+Examples!$H$17*$A107^2)</f>
        <v>945542.58307370916</v>
      </c>
    </row>
    <row r="108" spans="1:13" x14ac:dyDescent="0.25">
      <c r="A108">
        <f>(108-2)/100</f>
        <v>1.06</v>
      </c>
      <c r="B108" s="33">
        <f>Examples!$C$18-(Examples!$C$10+Examples!$C$11)*$A108-(Examples!$C$6*Examples!$C$7*Examples!$C$8*EXP(-Examples!$C$9*$A108)*(1-(Examples!$C$12*(1-EXP(-Examples!$C$13*$A108))/(1+EXP(MIN(700,MAX(-700,(Examples!$C$14*$A108-Examples!$C$15)/Examples!$C$16))))))+Examples!$C$17*$A108^2)</f>
        <v>189422.76775865525</v>
      </c>
      <c r="C108" s="33">
        <f>(Examples!$C$6*Examples!$C$7*Examples!$C$8*EXP(-Examples!$C$9*$A108)*(1-(Examples!$C$12*(1-EXP(-Examples!$C$13*$A108))/(1+EXP(MIN(700,MAX(-700,(Examples!$C$14*$A108-Examples!$C$15)/Examples!$C$16))))))+Examples!$C$17*$A108^2)</f>
        <v>373477.23224134475</v>
      </c>
      <c r="D108" s="33">
        <f>Examples!$D$18-(Examples!$D$10+Examples!$D$11)*$A108-(Examples!$D$6*Examples!$D$7*Examples!$D$8*EXP(-Examples!$D$9*$A108)*(1-(Examples!$D$12*(1-EXP(-Examples!$D$13*$A108))/(1+EXP(MIN(700,MAX(-700,(Examples!$D$14*$A108-Examples!$D$15)/Examples!$D$16))))))+Examples!$D$17*$A108^2)</f>
        <v>1731.7705644262023</v>
      </c>
      <c r="E108" s="33">
        <f>(Examples!$D$6*Examples!$D$7*Examples!$D$8*EXP(-Examples!$D$9*$A108)*(1-(Examples!$D$12*(1-EXP(-Examples!$D$13*$A108))/(1+EXP(MIN(700,MAX(-700,(Examples!$D$14*$A108-Examples!$D$15)/Examples!$D$16))))))+Examples!$D$17*$A108^2)</f>
        <v>2450568.2294355738</v>
      </c>
      <c r="F108" s="33">
        <f>Examples!$E$18-(Examples!$E$10+Examples!$E$11)*$A108-(Examples!$E$6*Examples!$E$7*Examples!$E$8*EXP(-Examples!$E$9*$A108)*(1-(Examples!$E$12*(1-EXP(-Examples!$E$13*$A108))/(1+EXP(MIN(700,MAX(-700,(Examples!$E$14*$A108-Examples!$E$15)/Examples!$E$16))))))+Examples!$E$17*$A108^2)</f>
        <v>1995901.7370948368</v>
      </c>
      <c r="G108" s="33">
        <f>(Examples!$E$6*Examples!$E$7*Examples!$E$8*EXP(-Examples!$E$9*$A108)*(1-(Examples!$E$12*(1-EXP(-Examples!$E$13*$A108))/(1+EXP(MIN(700,MAX(-700,(Examples!$E$14*$A108-Examples!$E$15)/Examples!$E$16))))))+Examples!$E$17*$A108^2)</f>
        <v>913998.26290516311</v>
      </c>
      <c r="H108" s="33">
        <f>Examples!$F$18-(Examples!$F$10+Examples!$F$11)*$A108-(Examples!$F$6*Examples!$F$7*Examples!$F$8*EXP(-Examples!$F$9*$A108)*(1-(Examples!$F$12*(1-EXP(-Examples!$F$13*$A108))/(1+EXP(MIN(700,MAX(-700,(Examples!$F$14*$A108-Examples!$F$15)/Examples!$F$16))))))+Examples!$F$17*$A108^2)</f>
        <v>94634.110254189276</v>
      </c>
      <c r="I108" s="33">
        <f>(Examples!$F$6*Examples!$F$7*Examples!$F$8*EXP(-Examples!$F$9*$A108)*(1-(Examples!$F$12*(1-EXP(-Examples!$F$13*$A108))/(1+EXP(MIN(700,MAX(-700,(Examples!$F$14*$A108-Examples!$F$15)/Examples!$F$16))))))+Examples!$F$17*$A108^2)</f>
        <v>34165.889745810724</v>
      </c>
      <c r="J108" s="33">
        <f>Examples!$G$18-(Examples!$G$10+Examples!$G$11)*$A108-(Examples!$G$6*Examples!$G$7*Examples!$G$8*EXP(-Examples!$G$9*$A108)*(1-(Examples!$G$12*(1-EXP(-Examples!$G$13*$A108))/(1+EXP(MIN(700,MAX(-700,(Examples!$G$14*$A108-Examples!$G$15)/Examples!$G$16))))))+Examples!$G$17*$A108^2)</f>
        <v>454056.47516488191</v>
      </c>
      <c r="K108" s="33">
        <f>(Examples!$G$6*Examples!$G$7*Examples!$G$8*EXP(-Examples!$G$9*$A108)*(1-(Examples!$G$12*(1-EXP(-Examples!$G$13*$A108))/(1+EXP(MIN(700,MAX(-700,(Examples!$G$14*$A108-Examples!$G$15)/Examples!$G$16))))))+Examples!$G$17*$A108^2)</f>
        <v>992943.52483511809</v>
      </c>
      <c r="L108" s="33">
        <f>Examples!$H$18-(Examples!$H$10+Examples!$H$11)*$A108-(Examples!$H$6*Examples!$H$7*Examples!$H$8*EXP(-Examples!$H$9*$A108)*(1-(Examples!$H$12*(1-EXP(-Examples!$H$13*$A108))/(1+EXP(MIN(700,MAX(-700,(Examples!$H$14*$A108-Examples!$H$15)/Examples!$H$16))))))+Examples!$H$17*$A108^2)</f>
        <v>507647.81747116707</v>
      </c>
      <c r="M108" s="33">
        <f>(Examples!$H$6*Examples!$H$7*Examples!$H$8*EXP(-Examples!$H$9*$A108)*(1-(Examples!$H$12*(1-EXP(-Examples!$H$13*$A108))/(1+EXP(MIN(700,MAX(-700,(Examples!$H$14*$A108-Examples!$H$15)/Examples!$H$16))))))+Examples!$H$17*$A108^2)</f>
        <v>939352.18252883293</v>
      </c>
    </row>
    <row r="109" spans="1:13" x14ac:dyDescent="0.25">
      <c r="A109">
        <f>(109-2)/100</f>
        <v>1.07</v>
      </c>
      <c r="B109" s="33">
        <f>Examples!$C$18-(Examples!$C$10+Examples!$C$11)*$A109-(Examples!$C$6*Examples!$C$7*Examples!$C$8*EXP(-Examples!$C$9*$A109)*(1-(Examples!$C$12*(1-EXP(-Examples!$C$13*$A109))/(1+EXP(MIN(700,MAX(-700,(Examples!$C$14*$A109-Examples!$C$15)/Examples!$C$16))))))+Examples!$C$17*$A109^2)</f>
        <v>190107.14088517131</v>
      </c>
      <c r="C109" s="33">
        <f>(Examples!$C$6*Examples!$C$7*Examples!$C$8*EXP(-Examples!$C$9*$A109)*(1-(Examples!$C$12*(1-EXP(-Examples!$C$13*$A109))/(1+EXP(MIN(700,MAX(-700,(Examples!$C$14*$A109-Examples!$C$15)/Examples!$C$16))))))+Examples!$C$17*$A109^2)</f>
        <v>372442.85911482869</v>
      </c>
      <c r="D109" s="33">
        <f>Examples!$D$18-(Examples!$D$10+Examples!$D$11)*$A109-(Examples!$D$6*Examples!$D$7*Examples!$D$8*EXP(-Examples!$D$9*$A109)*(1-(Examples!$D$12*(1-EXP(-Examples!$D$13*$A109))/(1+EXP(MIN(700,MAX(-700,(Examples!$D$14*$A109-Examples!$D$15)/Examples!$D$16))))))+Examples!$D$17*$A109^2)</f>
        <v>20257.354538412765</v>
      </c>
      <c r="E109" s="33">
        <f>(Examples!$D$6*Examples!$D$7*Examples!$D$8*EXP(-Examples!$D$9*$A109)*(1-(Examples!$D$12*(1-EXP(-Examples!$D$13*$A109))/(1+EXP(MIN(700,MAX(-700,(Examples!$D$14*$A109-Examples!$D$15)/Examples!$D$16))))))+Examples!$D$17*$A109^2)</f>
        <v>2431592.6454615872</v>
      </c>
      <c r="F109" s="33">
        <f>Examples!$E$18-(Examples!$E$10+Examples!$E$11)*$A109-(Examples!$E$6*Examples!$E$7*Examples!$E$8*EXP(-Examples!$E$9*$A109)*(1-(Examples!$E$12*(1-EXP(-Examples!$E$13*$A109))/(1+EXP(MIN(700,MAX(-700,(Examples!$E$14*$A109-Examples!$E$15)/Examples!$E$16))))))+Examples!$E$17*$A109^2)</f>
        <v>2003587.1922648223</v>
      </c>
      <c r="G109" s="33">
        <f>(Examples!$E$6*Examples!$E$7*Examples!$E$8*EXP(-Examples!$E$9*$A109)*(1-(Examples!$E$12*(1-EXP(-Examples!$E$13*$A109))/(1+EXP(MIN(700,MAX(-700,(Examples!$E$14*$A109-Examples!$E$15)/Examples!$E$16))))))+Examples!$E$17*$A109^2)</f>
        <v>905462.8077351778</v>
      </c>
      <c r="H109" s="33">
        <f>Examples!$F$18-(Examples!$F$10+Examples!$F$11)*$A109-(Examples!$F$6*Examples!$F$7*Examples!$F$8*EXP(-Examples!$F$9*$A109)*(1-(Examples!$F$12*(1-EXP(-Examples!$F$13*$A109))/(1+EXP(MIN(700,MAX(-700,(Examples!$F$14*$A109-Examples!$F$15)/Examples!$F$16))))))+Examples!$F$17*$A109^2)</f>
        <v>94040.840273191076</v>
      </c>
      <c r="I109" s="33">
        <f>(Examples!$F$6*Examples!$F$7*Examples!$F$8*EXP(-Examples!$F$9*$A109)*(1-(Examples!$F$12*(1-EXP(-Examples!$F$13*$A109))/(1+EXP(MIN(700,MAX(-700,(Examples!$F$14*$A109-Examples!$F$15)/Examples!$F$16))))))+Examples!$F$17*$A109^2)</f>
        <v>34559.159726808924</v>
      </c>
      <c r="J109" s="33">
        <f>Examples!$G$18-(Examples!$G$10+Examples!$G$11)*$A109-(Examples!$G$6*Examples!$G$7*Examples!$G$8*EXP(-Examples!$G$9*$A109)*(1-(Examples!$G$12*(1-EXP(-Examples!$G$13*$A109))/(1+EXP(MIN(700,MAX(-700,(Examples!$G$14*$A109-Examples!$G$15)/Examples!$G$16))))))+Examples!$G$17*$A109^2)</f>
        <v>458959.64422162401</v>
      </c>
      <c r="K109" s="33">
        <f>(Examples!$G$6*Examples!$G$7*Examples!$G$8*EXP(-Examples!$G$9*$A109)*(1-(Examples!$G$12*(1-EXP(-Examples!$G$13*$A109))/(1+EXP(MIN(700,MAX(-700,(Examples!$G$14*$A109-Examples!$G$15)/Examples!$G$16))))))+Examples!$G$17*$A109^2)</f>
        <v>987540.35577837599</v>
      </c>
      <c r="L109" s="33">
        <f>Examples!$H$18-(Examples!$H$10+Examples!$H$11)*$A109-(Examples!$H$6*Examples!$H$7*Examples!$H$8*EXP(-Examples!$H$9*$A109)*(1-(Examples!$H$12*(1-EXP(-Examples!$H$13*$A109))/(1+EXP(MIN(700,MAX(-700,(Examples!$H$14*$A109-Examples!$H$15)/Examples!$H$16))))))+Examples!$H$17*$A109^2)</f>
        <v>513281.11834873981</v>
      </c>
      <c r="M109" s="33">
        <f>(Examples!$H$6*Examples!$H$7*Examples!$H$8*EXP(-Examples!$H$9*$A109)*(1-(Examples!$H$12*(1-EXP(-Examples!$H$13*$A109))/(1+EXP(MIN(700,MAX(-700,(Examples!$H$14*$A109-Examples!$H$15)/Examples!$H$16))))))+Examples!$H$17*$A109^2)</f>
        <v>933218.88165126019</v>
      </c>
    </row>
    <row r="110" spans="1:13" x14ac:dyDescent="0.25">
      <c r="A110">
        <f>(110-2)/100</f>
        <v>1.08</v>
      </c>
      <c r="B110" s="33">
        <f>Examples!$C$18-(Examples!$C$10+Examples!$C$11)*$A110-(Examples!$C$6*Examples!$C$7*Examples!$C$8*EXP(-Examples!$C$9*$A110)*(1-(Examples!$C$12*(1-EXP(-Examples!$C$13*$A110))/(1+EXP(MIN(700,MAX(-700,(Examples!$C$14*$A110-Examples!$C$15)/Examples!$C$16))))))+Examples!$C$17*$A110^2)</f>
        <v>190768.32437293825</v>
      </c>
      <c r="C110" s="33">
        <f>(Examples!$C$6*Examples!$C$7*Examples!$C$8*EXP(-Examples!$C$9*$A110)*(1-(Examples!$C$12*(1-EXP(-Examples!$C$13*$A110))/(1+EXP(MIN(700,MAX(-700,(Examples!$C$14*$A110-Examples!$C$15)/Examples!$C$16))))))+Examples!$C$17*$A110^2)</f>
        <v>371431.67562706175</v>
      </c>
      <c r="D110" s="33">
        <f>Examples!$D$18-(Examples!$D$10+Examples!$D$11)*$A110-(Examples!$D$6*Examples!$D$7*Examples!$D$8*EXP(-Examples!$D$9*$A110)*(1-(Examples!$D$12*(1-EXP(-Examples!$D$13*$A110))/(1+EXP(MIN(700,MAX(-700,(Examples!$D$14*$A110-Examples!$D$15)/Examples!$D$16))))))+Examples!$D$17*$A110^2)</f>
        <v>38596.829042555764</v>
      </c>
      <c r="E110" s="33">
        <f>(Examples!$D$6*Examples!$D$7*Examples!$D$8*EXP(-Examples!$D$9*$A110)*(1-(Examples!$D$12*(1-EXP(-Examples!$D$13*$A110))/(1+EXP(MIN(700,MAX(-700,(Examples!$D$14*$A110-Examples!$D$15)/Examples!$D$16))))))+Examples!$D$17*$A110^2)</f>
        <v>2412803.1709574442</v>
      </c>
      <c r="F110" s="33">
        <f>Examples!$E$18-(Examples!$E$10+Examples!$E$11)*$A110-(Examples!$E$6*Examples!$E$7*Examples!$E$8*EXP(-Examples!$E$9*$A110)*(1-(Examples!$E$12*(1-EXP(-Examples!$E$13*$A110))/(1+EXP(MIN(700,MAX(-700,(Examples!$E$14*$A110-Examples!$E$15)/Examples!$E$16))))))+Examples!$E$17*$A110^2)</f>
        <v>2011174.7685021341</v>
      </c>
      <c r="G110" s="33">
        <f>(Examples!$E$6*Examples!$E$7*Examples!$E$8*EXP(-Examples!$E$9*$A110)*(1-(Examples!$E$12*(1-EXP(-Examples!$E$13*$A110))/(1+EXP(MIN(700,MAX(-700,(Examples!$E$14*$A110-Examples!$E$15)/Examples!$E$16))))))+Examples!$E$17*$A110^2)</f>
        <v>897025.23149786587</v>
      </c>
      <c r="H110" s="33">
        <f>Examples!$F$18-(Examples!$F$10+Examples!$F$11)*$A110-(Examples!$F$6*Examples!$F$7*Examples!$F$8*EXP(-Examples!$F$9*$A110)*(1-(Examples!$F$12*(1-EXP(-Examples!$F$13*$A110))/(1+EXP(MIN(700,MAX(-700,(Examples!$F$14*$A110-Examples!$F$15)/Examples!$F$16))))))+Examples!$F$17*$A110^2)</f>
        <v>93443.079799788495</v>
      </c>
      <c r="I110" s="33">
        <f>(Examples!$F$6*Examples!$F$7*Examples!$F$8*EXP(-Examples!$F$9*$A110)*(1-(Examples!$F$12*(1-EXP(-Examples!$F$13*$A110))/(1+EXP(MIN(700,MAX(-700,(Examples!$F$14*$A110-Examples!$F$15)/Examples!$F$16))))))+Examples!$F$17*$A110^2)</f>
        <v>34956.920200211505</v>
      </c>
      <c r="J110" s="33">
        <f>Examples!$G$18-(Examples!$G$10+Examples!$G$11)*$A110-(Examples!$G$6*Examples!$G$7*Examples!$G$8*EXP(-Examples!$G$9*$A110)*(1-(Examples!$G$12*(1-EXP(-Examples!$G$13*$A110))/(1+EXP(MIN(700,MAX(-700,(Examples!$G$14*$A110-Examples!$G$15)/Examples!$G$16))))))+Examples!$G$17*$A110^2)</f>
        <v>463803.91734321462</v>
      </c>
      <c r="K110" s="33">
        <f>(Examples!$G$6*Examples!$G$7*Examples!$G$8*EXP(-Examples!$G$9*$A110)*(1-(Examples!$G$12*(1-EXP(-Examples!$G$13*$A110))/(1+EXP(MIN(700,MAX(-700,(Examples!$G$14*$A110-Examples!$G$15)/Examples!$G$16))))))+Examples!$G$17*$A110^2)</f>
        <v>982196.08265678538</v>
      </c>
      <c r="L110" s="33">
        <f>Examples!$H$18-(Examples!$H$10+Examples!$H$11)*$A110-(Examples!$H$6*Examples!$H$7*Examples!$H$8*EXP(-Examples!$H$9*$A110)*(1-(Examples!$H$12*(1-EXP(-Examples!$H$13*$A110))/(1+EXP(MIN(700,MAX(-700,(Examples!$H$14*$A110-Examples!$H$15)/Examples!$H$16))))))+Examples!$H$17*$A110^2)</f>
        <v>518857.56859567959</v>
      </c>
      <c r="M110" s="33">
        <f>(Examples!$H$6*Examples!$H$7*Examples!$H$8*EXP(-Examples!$H$9*$A110)*(1-(Examples!$H$12*(1-EXP(-Examples!$H$13*$A110))/(1+EXP(MIN(700,MAX(-700,(Examples!$H$14*$A110-Examples!$H$15)/Examples!$H$16))))))+Examples!$H$17*$A110^2)</f>
        <v>927142.43140432041</v>
      </c>
    </row>
    <row r="111" spans="1:13" x14ac:dyDescent="0.25">
      <c r="A111">
        <f>(111-2)/100</f>
        <v>1.0900000000000001</v>
      </c>
      <c r="B111" s="33">
        <f>Examples!$C$18-(Examples!$C$10+Examples!$C$11)*$A111-(Examples!$C$6*Examples!$C$7*Examples!$C$8*EXP(-Examples!$C$9*$A111)*(1-(Examples!$C$12*(1-EXP(-Examples!$C$13*$A111))/(1+EXP(MIN(700,MAX(-700,(Examples!$C$14*$A111-Examples!$C$15)/Examples!$C$16))))))+Examples!$C$17*$A111^2)</f>
        <v>191406.20036942948</v>
      </c>
      <c r="C111" s="33">
        <f>(Examples!$C$6*Examples!$C$7*Examples!$C$8*EXP(-Examples!$C$9*$A111)*(1-(Examples!$C$12*(1-EXP(-Examples!$C$13*$A111))/(1+EXP(MIN(700,MAX(-700,(Examples!$C$14*$A111-Examples!$C$15)/Examples!$C$16))))))+Examples!$C$17*$A111^2)</f>
        <v>370443.79963057052</v>
      </c>
      <c r="D111" s="33">
        <f>Examples!$D$18-(Examples!$D$10+Examples!$D$11)*$A111-(Examples!$D$6*Examples!$D$7*Examples!$D$8*EXP(-Examples!$D$9*$A111)*(1-(Examples!$D$12*(1-EXP(-Examples!$D$13*$A111))/(1+EXP(MIN(700,MAX(-700,(Examples!$D$14*$A111-Examples!$D$15)/Examples!$D$16))))))+Examples!$D$17*$A111^2)</f>
        <v>56751.927546148188</v>
      </c>
      <c r="E111" s="33">
        <f>(Examples!$D$6*Examples!$D$7*Examples!$D$8*EXP(-Examples!$D$9*$A111)*(1-(Examples!$D$12*(1-EXP(-Examples!$D$13*$A111))/(1+EXP(MIN(700,MAX(-700,(Examples!$D$14*$A111-Examples!$D$15)/Examples!$D$16))))))+Examples!$D$17*$A111^2)</f>
        <v>2394198.0724538518</v>
      </c>
      <c r="F111" s="33">
        <f>Examples!$E$18-(Examples!$E$10+Examples!$E$11)*$A111-(Examples!$E$6*Examples!$E$7*Examples!$E$8*EXP(-Examples!$E$9*$A111)*(1-(Examples!$E$12*(1-EXP(-Examples!$E$13*$A111))/(1+EXP(MIN(700,MAX(-700,(Examples!$E$14*$A111-Examples!$E$15)/Examples!$E$16))))))+Examples!$E$17*$A111^2)</f>
        <v>2018665.5864220029</v>
      </c>
      <c r="G111" s="33">
        <f>(Examples!$E$6*Examples!$E$7*Examples!$E$8*EXP(-Examples!$E$9*$A111)*(1-(Examples!$E$12*(1-EXP(-Examples!$E$13*$A111))/(1+EXP(MIN(700,MAX(-700,(Examples!$E$14*$A111-Examples!$E$15)/Examples!$E$16))))))+Examples!$E$17*$A111^2)</f>
        <v>888684.41357799701</v>
      </c>
      <c r="H111" s="33">
        <f>Examples!$F$18-(Examples!$F$10+Examples!$F$11)*$A111-(Examples!$F$6*Examples!$F$7*Examples!$F$8*EXP(-Examples!$F$9*$A111)*(1-(Examples!$F$12*(1-EXP(-Examples!$F$13*$A111))/(1+EXP(MIN(700,MAX(-700,(Examples!$F$14*$A111-Examples!$F$15)/Examples!$F$16))))))+Examples!$F$17*$A111^2)</f>
        <v>92840.831455232692</v>
      </c>
      <c r="I111" s="33">
        <f>(Examples!$F$6*Examples!$F$7*Examples!$F$8*EXP(-Examples!$F$9*$A111)*(1-(Examples!$F$12*(1-EXP(-Examples!$F$13*$A111))/(1+EXP(MIN(700,MAX(-700,(Examples!$F$14*$A111-Examples!$F$15)/Examples!$F$16))))))+Examples!$F$17*$A111^2)</f>
        <v>35359.168544767315</v>
      </c>
      <c r="J111" s="33">
        <f>Examples!$G$18-(Examples!$G$10+Examples!$G$11)*$A111-(Examples!$G$6*Examples!$G$7*Examples!$G$8*EXP(-Examples!$G$9*$A111)*(1-(Examples!$G$12*(1-EXP(-Examples!$G$13*$A111))/(1+EXP(MIN(700,MAX(-700,(Examples!$G$14*$A111-Examples!$G$15)/Examples!$G$16))))))+Examples!$G$17*$A111^2)</f>
        <v>468589.69296456629</v>
      </c>
      <c r="K111" s="33">
        <f>(Examples!$G$6*Examples!$G$7*Examples!$G$8*EXP(-Examples!$G$9*$A111)*(1-(Examples!$G$12*(1-EXP(-Examples!$G$13*$A111))/(1+EXP(MIN(700,MAX(-700,(Examples!$G$14*$A111-Examples!$G$15)/Examples!$G$16))))))+Examples!$G$17*$A111^2)</f>
        <v>976910.30703543371</v>
      </c>
      <c r="L111" s="33">
        <f>Examples!$H$18-(Examples!$H$10+Examples!$H$11)*$A111-(Examples!$H$6*Examples!$H$7*Examples!$H$8*EXP(-Examples!$H$9*$A111)*(1-(Examples!$H$12*(1-EXP(-Examples!$H$13*$A111))/(1+EXP(MIN(700,MAX(-700,(Examples!$H$14*$A111-Examples!$H$15)/Examples!$H$16))))))+Examples!$H$17*$A111^2)</f>
        <v>524377.4092625276</v>
      </c>
      <c r="M111" s="33">
        <f>(Examples!$H$6*Examples!$H$7*Examples!$H$8*EXP(-Examples!$H$9*$A111)*(1-(Examples!$H$12*(1-EXP(-Examples!$H$13*$A111))/(1+EXP(MIN(700,MAX(-700,(Examples!$H$14*$A111-Examples!$H$15)/Examples!$H$16))))))+Examples!$H$17*$A111^2)</f>
        <v>921122.5907374724</v>
      </c>
    </row>
    <row r="112" spans="1:13" x14ac:dyDescent="0.25">
      <c r="A112">
        <f>(112-2)/100</f>
        <v>1.1000000000000001</v>
      </c>
      <c r="B112" s="33">
        <f>Examples!$C$18-(Examples!$C$10+Examples!$C$11)*$A112-(Examples!$C$6*Examples!$C$7*Examples!$C$8*EXP(-Examples!$C$9*$A112)*(1-(Examples!$C$12*(1-EXP(-Examples!$C$13*$A112))/(1+EXP(MIN(700,MAX(-700,(Examples!$C$14*$A112-Examples!$C$15)/Examples!$C$16))))))+Examples!$C$17*$A112^2)</f>
        <v>192020.65368514945</v>
      </c>
      <c r="C112" s="33">
        <f>(Examples!$C$6*Examples!$C$7*Examples!$C$8*EXP(-Examples!$C$9*$A112)*(1-(Examples!$C$12*(1-EXP(-Examples!$C$13*$A112))/(1+EXP(MIN(700,MAX(-700,(Examples!$C$14*$A112-Examples!$C$15)/Examples!$C$16))))))+Examples!$C$17*$A112^2)</f>
        <v>369479.34631485055</v>
      </c>
      <c r="D112" s="33">
        <f>Examples!$D$18-(Examples!$D$10+Examples!$D$11)*$A112-(Examples!$D$6*Examples!$D$7*Examples!$D$8*EXP(-Examples!$D$9*$A112)*(1-(Examples!$D$12*(1-EXP(-Examples!$D$13*$A112))/(1+EXP(MIN(700,MAX(-700,(Examples!$D$14*$A112-Examples!$D$15)/Examples!$D$16))))))+Examples!$D$17*$A112^2)</f>
        <v>74724.365455814172</v>
      </c>
      <c r="E112" s="33">
        <f>(Examples!$D$6*Examples!$D$7*Examples!$D$8*EXP(-Examples!$D$9*$A112)*(1-(Examples!$D$12*(1-EXP(-Examples!$D$13*$A112))/(1+EXP(MIN(700,MAX(-700,(Examples!$D$14*$A112-Examples!$D$15)/Examples!$D$16))))))+Examples!$D$17*$A112^2)</f>
        <v>2375775.6345441858</v>
      </c>
      <c r="F112" s="33">
        <f>Examples!$E$18-(Examples!$E$10+Examples!$E$11)*$A112-(Examples!$E$6*Examples!$E$7*Examples!$E$8*EXP(-Examples!$E$9*$A112)*(1-(Examples!$E$12*(1-EXP(-Examples!$E$13*$A112))/(1+EXP(MIN(700,MAX(-700,(Examples!$E$14*$A112-Examples!$E$15)/Examples!$E$16))))))+Examples!$E$17*$A112^2)</f>
        <v>2026060.7534979717</v>
      </c>
      <c r="G112" s="33">
        <f>(Examples!$E$6*Examples!$E$7*Examples!$E$8*EXP(-Examples!$E$9*$A112)*(1-(Examples!$E$12*(1-EXP(-Examples!$E$13*$A112))/(1+EXP(MIN(700,MAX(-700,(Examples!$E$14*$A112-Examples!$E$15)/Examples!$E$16))))))+Examples!$E$17*$A112^2)</f>
        <v>880439.24650202843</v>
      </c>
      <c r="H112" s="33">
        <f>Examples!$F$18-(Examples!$F$10+Examples!$F$11)*$A112-(Examples!$F$6*Examples!$F$7*Examples!$F$8*EXP(-Examples!$F$9*$A112)*(1-(Examples!$F$12*(1-EXP(-Examples!$F$13*$A112))/(1+EXP(MIN(700,MAX(-700,(Examples!$F$14*$A112-Examples!$F$15)/Examples!$F$16))))))+Examples!$F$17*$A112^2)</f>
        <v>92234.098410390623</v>
      </c>
      <c r="I112" s="33">
        <f>(Examples!$F$6*Examples!$F$7*Examples!$F$8*EXP(-Examples!$F$9*$A112)*(1-(Examples!$F$12*(1-EXP(-Examples!$F$13*$A112))/(1+EXP(MIN(700,MAX(-700,(Examples!$F$14*$A112-Examples!$F$15)/Examples!$F$16))))))+Examples!$F$17*$A112^2)</f>
        <v>35765.901589609377</v>
      </c>
      <c r="J112" s="33">
        <f>Examples!$G$18-(Examples!$G$10+Examples!$G$11)*$A112-(Examples!$G$6*Examples!$G$7*Examples!$G$8*EXP(-Examples!$G$9*$A112)*(1-(Examples!$G$12*(1-EXP(-Examples!$G$13*$A112))/(1+EXP(MIN(700,MAX(-700,(Examples!$G$14*$A112-Examples!$G$15)/Examples!$G$16))))))+Examples!$G$17*$A112^2)</f>
        <v>473317.36729311501</v>
      </c>
      <c r="K112" s="33">
        <f>(Examples!$G$6*Examples!$G$7*Examples!$G$8*EXP(-Examples!$G$9*$A112)*(1-(Examples!$G$12*(1-EXP(-Examples!$G$13*$A112))/(1+EXP(MIN(700,MAX(-700,(Examples!$G$14*$A112-Examples!$G$15)/Examples!$G$16))))))+Examples!$G$17*$A112^2)</f>
        <v>971682.63270688499</v>
      </c>
      <c r="L112" s="33">
        <f>Examples!$H$18-(Examples!$H$10+Examples!$H$11)*$A112-(Examples!$H$6*Examples!$H$7*Examples!$H$8*EXP(-Examples!$H$9*$A112)*(1-(Examples!$H$12*(1-EXP(-Examples!$H$13*$A112))/(1+EXP(MIN(700,MAX(-700,(Examples!$H$14*$A112-Examples!$H$15)/Examples!$H$16))))))+Examples!$H$17*$A112^2)</f>
        <v>529840.87333028519</v>
      </c>
      <c r="M112" s="33">
        <f>(Examples!$H$6*Examples!$H$7*Examples!$H$8*EXP(-Examples!$H$9*$A112)*(1-(Examples!$H$12*(1-EXP(-Examples!$H$13*$A112))/(1+EXP(MIN(700,MAX(-700,(Examples!$H$14*$A112-Examples!$H$15)/Examples!$H$16))))))+Examples!$H$17*$A112^2)</f>
        <v>915159.12666971481</v>
      </c>
    </row>
    <row r="113" spans="1:13" x14ac:dyDescent="0.25">
      <c r="A113">
        <f>(113-2)/100</f>
        <v>1.1100000000000001</v>
      </c>
      <c r="B113" s="33">
        <f>Examples!$C$18-(Examples!$C$10+Examples!$C$11)*$A113-(Examples!$C$6*Examples!$C$7*Examples!$C$8*EXP(-Examples!$C$9*$A113)*(1-(Examples!$C$12*(1-EXP(-Examples!$C$13*$A113))/(1+EXP(MIN(700,MAX(-700,(Examples!$C$14*$A113-Examples!$C$15)/Examples!$C$16))))))+Examples!$C$17*$A113^2)</f>
        <v>192611.57225457107</v>
      </c>
      <c r="C113" s="33">
        <f>(Examples!$C$6*Examples!$C$7*Examples!$C$8*EXP(-Examples!$C$9*$A113)*(1-(Examples!$C$12*(1-EXP(-Examples!$C$13*$A113))/(1+EXP(MIN(700,MAX(-700,(Examples!$C$14*$A113-Examples!$C$15)/Examples!$C$16))))))+Examples!$C$17*$A113^2)</f>
        <v>368538.42774542893</v>
      </c>
      <c r="D113" s="33">
        <f>Examples!$D$18-(Examples!$D$10+Examples!$D$11)*$A113-(Examples!$D$6*Examples!$D$7*Examples!$D$8*EXP(-Examples!$D$9*$A113)*(1-(Examples!$D$12*(1-EXP(-Examples!$D$13*$A113))/(1+EXP(MIN(700,MAX(-700,(Examples!$D$14*$A113-Examples!$D$15)/Examples!$D$16))))))+Examples!$D$17*$A113^2)</f>
        <v>92515.840305041522</v>
      </c>
      <c r="E113" s="33">
        <f>(Examples!$D$6*Examples!$D$7*Examples!$D$8*EXP(-Examples!$D$9*$A113)*(1-(Examples!$D$12*(1-EXP(-Examples!$D$13*$A113))/(1+EXP(MIN(700,MAX(-700,(Examples!$D$14*$A113-Examples!$D$15)/Examples!$D$16))))))+Examples!$D$17*$A113^2)</f>
        <v>2357534.1596949585</v>
      </c>
      <c r="F113" s="33">
        <f>Examples!$E$18-(Examples!$E$10+Examples!$E$11)*$A113-(Examples!$E$6*Examples!$E$7*Examples!$E$8*EXP(-Examples!$E$9*$A113)*(1-(Examples!$E$12*(1-EXP(-Examples!$E$13*$A113))/(1+EXP(MIN(700,MAX(-700,(Examples!$E$14*$A113-Examples!$E$15)/Examples!$E$16))))))+Examples!$E$17*$A113^2)</f>
        <v>2033361.3642181186</v>
      </c>
      <c r="G113" s="33">
        <f>(Examples!$E$6*Examples!$E$7*Examples!$E$8*EXP(-Examples!$E$9*$A113)*(1-(Examples!$E$12*(1-EXP(-Examples!$E$13*$A113))/(1+EXP(MIN(700,MAX(-700,(Examples!$E$14*$A113-Examples!$E$15)/Examples!$E$16))))))+Examples!$E$17*$A113^2)</f>
        <v>872288.63578188128</v>
      </c>
      <c r="H113" s="33">
        <f>Examples!$F$18-(Examples!$F$10+Examples!$F$11)*$A113-(Examples!$F$6*Examples!$F$7*Examples!$F$8*EXP(-Examples!$F$9*$A113)*(1-(Examples!$F$12*(1-EXP(-Examples!$F$13*$A113))/(1+EXP(MIN(700,MAX(-700,(Examples!$F$14*$A113-Examples!$F$15)/Examples!$F$16))))))+Examples!$F$17*$A113^2)</f>
        <v>91622.884400715222</v>
      </c>
      <c r="I113" s="33">
        <f>(Examples!$F$6*Examples!$F$7*Examples!$F$8*EXP(-Examples!$F$9*$A113)*(1-(Examples!$F$12*(1-EXP(-Examples!$F$13*$A113))/(1+EXP(MIN(700,MAX(-700,(Examples!$F$14*$A113-Examples!$F$15)/Examples!$F$16))))))+Examples!$F$17*$A113^2)</f>
        <v>36177.115599284778</v>
      </c>
      <c r="J113" s="33">
        <f>Examples!$G$18-(Examples!$G$10+Examples!$G$11)*$A113-(Examples!$G$6*Examples!$G$7*Examples!$G$8*EXP(-Examples!$G$9*$A113)*(1-(Examples!$G$12*(1-EXP(-Examples!$G$13*$A113))/(1+EXP(MIN(700,MAX(-700,(Examples!$G$14*$A113-Examples!$G$15)/Examples!$G$16))))))+Examples!$G$17*$A113^2)</f>
        <v>477987.33436066436</v>
      </c>
      <c r="K113" s="33">
        <f>(Examples!$G$6*Examples!$G$7*Examples!$G$8*EXP(-Examples!$G$9*$A113)*(1-(Examples!$G$12*(1-EXP(-Examples!$G$13*$A113))/(1+EXP(MIN(700,MAX(-700,(Examples!$G$14*$A113-Examples!$G$15)/Examples!$G$16))))))+Examples!$G$17*$A113^2)</f>
        <v>966512.66563933564</v>
      </c>
      <c r="L113" s="33">
        <f>Examples!$H$18-(Examples!$H$10+Examples!$H$11)*$A113-(Examples!$H$6*Examples!$H$7*Examples!$H$8*EXP(-Examples!$H$9*$A113)*(1-(Examples!$H$12*(1-EXP(-Examples!$H$13*$A113))/(1+EXP(MIN(700,MAX(-700,(Examples!$H$14*$A113-Examples!$H$15)/Examples!$H$16))))))+Examples!$H$17*$A113^2)</f>
        <v>535248.18562517746</v>
      </c>
      <c r="M113" s="33">
        <f>(Examples!$H$6*Examples!$H$7*Examples!$H$8*EXP(-Examples!$H$9*$A113)*(1-(Examples!$H$12*(1-EXP(-Examples!$H$13*$A113))/(1+EXP(MIN(700,MAX(-700,(Examples!$H$14*$A113-Examples!$H$15)/Examples!$H$16))))))+Examples!$H$17*$A113^2)</f>
        <v>909251.81437482254</v>
      </c>
    </row>
    <row r="114" spans="1:13" x14ac:dyDescent="0.25">
      <c r="A114">
        <f>(114-2)/100</f>
        <v>1.1200000000000001</v>
      </c>
      <c r="B114" s="33">
        <f>Examples!$C$18-(Examples!$C$10+Examples!$C$11)*$A114-(Examples!$C$6*Examples!$C$7*Examples!$C$8*EXP(-Examples!$C$9*$A114)*(1-(Examples!$C$12*(1-EXP(-Examples!$C$13*$A114))/(1+EXP(MIN(700,MAX(-700,(Examples!$C$14*$A114-Examples!$C$15)/Examples!$C$16))))))+Examples!$C$17*$A114^2)</f>
        <v>193178.84761506628</v>
      </c>
      <c r="C114" s="33">
        <f>(Examples!$C$6*Examples!$C$7*Examples!$C$8*EXP(-Examples!$C$9*$A114)*(1-(Examples!$C$12*(1-EXP(-Examples!$C$13*$A114))/(1+EXP(MIN(700,MAX(-700,(Examples!$C$14*$A114-Examples!$C$15)/Examples!$C$16))))))+Examples!$C$17*$A114^2)</f>
        <v>367621.15238493372</v>
      </c>
      <c r="D114" s="33">
        <f>Examples!$D$18-(Examples!$D$10+Examples!$D$11)*$A114-(Examples!$D$6*Examples!$D$7*Examples!$D$8*EXP(-Examples!$D$9*$A114)*(1-(Examples!$D$12*(1-EXP(-Examples!$D$13*$A114))/(1+EXP(MIN(700,MAX(-700,(Examples!$D$14*$A114-Examples!$D$15)/Examples!$D$16))))))+Examples!$D$17*$A114^2)</f>
        <v>110128.03194190888</v>
      </c>
      <c r="E114" s="33">
        <f>(Examples!$D$6*Examples!$D$7*Examples!$D$8*EXP(-Examples!$D$9*$A114)*(1-(Examples!$D$12*(1-EXP(-Examples!$D$13*$A114))/(1+EXP(MIN(700,MAX(-700,(Examples!$D$14*$A114-Examples!$D$15)/Examples!$D$16))))))+Examples!$D$17*$A114^2)</f>
        <v>2339471.9680580911</v>
      </c>
      <c r="F114" s="33">
        <f>Examples!$E$18-(Examples!$E$10+Examples!$E$11)*$A114-(Examples!$E$6*Examples!$E$7*Examples!$E$8*EXP(-Examples!$E$9*$A114)*(1-(Examples!$E$12*(1-EXP(-Examples!$E$13*$A114))/(1+EXP(MIN(700,MAX(-700,(Examples!$E$14*$A114-Examples!$E$15)/Examples!$E$16))))))+Examples!$E$17*$A114^2)</f>
        <v>2040568.5002394246</v>
      </c>
      <c r="G114" s="33">
        <f>(Examples!$E$6*Examples!$E$7*Examples!$E$8*EXP(-Examples!$E$9*$A114)*(1-(Examples!$E$12*(1-EXP(-Examples!$E$13*$A114))/(1+EXP(MIN(700,MAX(-700,(Examples!$E$14*$A114-Examples!$E$15)/Examples!$E$16))))))+Examples!$E$17*$A114^2)</f>
        <v>864231.49976057536</v>
      </c>
      <c r="H114" s="33">
        <f>Examples!$F$18-(Examples!$F$10+Examples!$F$11)*$A114-(Examples!$F$6*Examples!$F$7*Examples!$F$8*EXP(-Examples!$F$9*$A114)*(1-(Examples!$F$12*(1-EXP(-Examples!$F$13*$A114))/(1+EXP(MIN(700,MAX(-700,(Examples!$F$14*$A114-Examples!$F$15)/Examples!$F$16))))))+Examples!$F$17*$A114^2)</f>
        <v>91007.193739305018</v>
      </c>
      <c r="I114" s="33">
        <f>(Examples!$F$6*Examples!$F$7*Examples!$F$8*EXP(-Examples!$F$9*$A114)*(1-(Examples!$F$12*(1-EXP(-Examples!$F$13*$A114))/(1+EXP(MIN(700,MAX(-700,(Examples!$F$14*$A114-Examples!$F$15)/Examples!$F$16))))))+Examples!$F$17*$A114^2)</f>
        <v>36592.806260694982</v>
      </c>
      <c r="J114" s="33">
        <f>Examples!$G$18-(Examples!$G$10+Examples!$G$11)*$A114-(Examples!$G$6*Examples!$G$7*Examples!$G$8*EXP(-Examples!$G$9*$A114)*(1-(Examples!$G$12*(1-EXP(-Examples!$G$13*$A114))/(1+EXP(MIN(700,MAX(-700,(Examples!$G$14*$A114-Examples!$G$15)/Examples!$G$16))))))+Examples!$G$17*$A114^2)</f>
        <v>482599.98607504508</v>
      </c>
      <c r="K114" s="33">
        <f>(Examples!$G$6*Examples!$G$7*Examples!$G$8*EXP(-Examples!$G$9*$A114)*(1-(Examples!$G$12*(1-EXP(-Examples!$G$13*$A114))/(1+EXP(MIN(700,MAX(-700,(Examples!$G$14*$A114-Examples!$G$15)/Examples!$G$16))))))+Examples!$G$17*$A114^2)</f>
        <v>961400.01392495492</v>
      </c>
      <c r="L114" s="33">
        <f>Examples!$H$18-(Examples!$H$10+Examples!$H$11)*$A114-(Examples!$H$6*Examples!$H$7*Examples!$H$8*EXP(-Examples!$H$9*$A114)*(1-(Examples!$H$12*(1-EXP(-Examples!$H$13*$A114))/(1+EXP(MIN(700,MAX(-700,(Examples!$H$14*$A114-Examples!$H$15)/Examples!$H$16))))))+Examples!$H$17*$A114^2)</f>
        <v>540599.56273165054</v>
      </c>
      <c r="M114" s="33">
        <f>(Examples!$H$6*Examples!$H$7*Examples!$H$8*EXP(-Examples!$H$9*$A114)*(1-(Examples!$H$12*(1-EXP(-Examples!$H$13*$A114))/(1+EXP(MIN(700,MAX(-700,(Examples!$H$14*$A114-Examples!$H$15)/Examples!$H$16))))))+Examples!$H$17*$A114^2)</f>
        <v>903400.43726834946</v>
      </c>
    </row>
    <row r="115" spans="1:13" x14ac:dyDescent="0.25">
      <c r="A115">
        <f>(115-2)/100</f>
        <v>1.1299999999999999</v>
      </c>
      <c r="B115" s="33">
        <f>Examples!$C$18-(Examples!$C$10+Examples!$C$11)*$A115-(Examples!$C$6*Examples!$C$7*Examples!$C$8*EXP(-Examples!$C$9*$A115)*(1-(Examples!$C$12*(1-EXP(-Examples!$C$13*$A115))/(1+EXP(MIN(700,MAX(-700,(Examples!$C$14*$A115-Examples!$C$15)/Examples!$C$16))))))+Examples!$C$17*$A115^2)</f>
        <v>193722.37540334824</v>
      </c>
      <c r="C115" s="33">
        <f>(Examples!$C$6*Examples!$C$7*Examples!$C$8*EXP(-Examples!$C$9*$A115)*(1-(Examples!$C$12*(1-EXP(-Examples!$C$13*$A115))/(1+EXP(MIN(700,MAX(-700,(Examples!$C$14*$A115-Examples!$C$15)/Examples!$C$16))))))+Examples!$C$17*$A115^2)</f>
        <v>366727.62459665176</v>
      </c>
      <c r="D115" s="33">
        <f>Examples!$D$18-(Examples!$D$10+Examples!$D$11)*$A115-(Examples!$D$6*Examples!$D$7*Examples!$D$8*EXP(-Examples!$D$9*$A115)*(1-(Examples!$D$12*(1-EXP(-Examples!$D$13*$A115))/(1+EXP(MIN(700,MAX(-700,(Examples!$D$14*$A115-Examples!$D$15)/Examples!$D$16))))))+Examples!$D$17*$A115^2)</f>
        <v>127562.60271502752</v>
      </c>
      <c r="E115" s="33">
        <f>(Examples!$D$6*Examples!$D$7*Examples!$D$8*EXP(-Examples!$D$9*$A115)*(1-(Examples!$D$12*(1-EXP(-Examples!$D$13*$A115))/(1+EXP(MIN(700,MAX(-700,(Examples!$D$14*$A115-Examples!$D$15)/Examples!$D$16))))))+Examples!$D$17*$A115^2)</f>
        <v>2321587.3972849725</v>
      </c>
      <c r="F115" s="33">
        <f>Examples!$E$18-(Examples!$E$10+Examples!$E$11)*$A115-(Examples!$E$6*Examples!$E$7*Examples!$E$8*EXP(-Examples!$E$9*$A115)*(1-(Examples!$E$12*(1-EXP(-Examples!$E$13*$A115))/(1+EXP(MIN(700,MAX(-700,(Examples!$E$14*$A115-Examples!$E$15)/Examples!$E$16))))))+Examples!$E$17*$A115^2)</f>
        <v>2047683.2305403049</v>
      </c>
      <c r="G115" s="33">
        <f>(Examples!$E$6*Examples!$E$7*Examples!$E$8*EXP(-Examples!$E$9*$A115)*(1-(Examples!$E$12*(1-EXP(-Examples!$E$13*$A115))/(1+EXP(MIN(700,MAX(-700,(Examples!$E$14*$A115-Examples!$E$15)/Examples!$E$16))))))+Examples!$E$17*$A115^2)</f>
        <v>856266.76945969521</v>
      </c>
      <c r="H115" s="33">
        <f>Examples!$F$18-(Examples!$F$10+Examples!$F$11)*$A115-(Examples!$F$6*Examples!$F$7*Examples!$F$8*EXP(-Examples!$F$9*$A115)*(1-(Examples!$F$12*(1-EXP(-Examples!$F$13*$A115))/(1+EXP(MIN(700,MAX(-700,(Examples!$F$14*$A115-Examples!$F$15)/Examples!$F$16))))))+Examples!$F$17*$A115^2)</f>
        <v>90387.031327873119</v>
      </c>
      <c r="I115" s="33">
        <f>(Examples!$F$6*Examples!$F$7*Examples!$F$8*EXP(-Examples!$F$9*$A115)*(1-(Examples!$F$12*(1-EXP(-Examples!$F$13*$A115))/(1+EXP(MIN(700,MAX(-700,(Examples!$F$14*$A115-Examples!$F$15)/Examples!$F$16))))))+Examples!$F$17*$A115^2)</f>
        <v>37012.968672126888</v>
      </c>
      <c r="J115" s="33">
        <f>Examples!$G$18-(Examples!$G$10+Examples!$G$11)*$A115-(Examples!$G$6*Examples!$G$7*Examples!$G$8*EXP(-Examples!$G$9*$A115)*(1-(Examples!$G$12*(1-EXP(-Examples!$G$13*$A115))/(1+EXP(MIN(700,MAX(-700,(Examples!$G$14*$A115-Examples!$G$15)/Examples!$G$16))))))+Examples!$G$17*$A115^2)</f>
        <v>487155.71227157977</v>
      </c>
      <c r="K115" s="33">
        <f>(Examples!$G$6*Examples!$G$7*Examples!$G$8*EXP(-Examples!$G$9*$A115)*(1-(Examples!$G$12*(1-EXP(-Examples!$G$13*$A115))/(1+EXP(MIN(700,MAX(-700,(Examples!$G$14*$A115-Examples!$G$15)/Examples!$G$16))))))+Examples!$G$17*$A115^2)</f>
        <v>956344.28772842023</v>
      </c>
      <c r="L115" s="33">
        <f>Examples!$H$18-(Examples!$H$10+Examples!$H$11)*$A115-(Examples!$H$6*Examples!$H$7*Examples!$H$8*EXP(-Examples!$H$9*$A115)*(1-(Examples!$H$12*(1-EXP(-Examples!$H$13*$A115))/(1+EXP(MIN(700,MAX(-700,(Examples!$H$14*$A115-Examples!$H$15)/Examples!$H$16))))))+Examples!$H$17*$A115^2)</f>
        <v>545895.21290367004</v>
      </c>
      <c r="M115" s="33">
        <f>(Examples!$H$6*Examples!$H$7*Examples!$H$8*EXP(-Examples!$H$9*$A115)*(1-(Examples!$H$12*(1-EXP(-Examples!$H$13*$A115))/(1+EXP(MIN(700,MAX(-700,(Examples!$H$14*$A115-Examples!$H$15)/Examples!$H$16))))))+Examples!$H$17*$A115^2)</f>
        <v>897604.78709632996</v>
      </c>
    </row>
    <row r="116" spans="1:13" x14ac:dyDescent="0.25">
      <c r="A116">
        <f>(116-2)/100</f>
        <v>1.1399999999999999</v>
      </c>
      <c r="B116" s="33">
        <f>Examples!$C$18-(Examples!$C$10+Examples!$C$11)*$A116-(Examples!$C$6*Examples!$C$7*Examples!$C$8*EXP(-Examples!$C$9*$A116)*(1-(Examples!$C$12*(1-EXP(-Examples!$C$13*$A116))/(1+EXP(MIN(700,MAX(-700,(Examples!$C$14*$A116-Examples!$C$15)/Examples!$C$16))))))+Examples!$C$17*$A116^2)</f>
        <v>194242.05586883094</v>
      </c>
      <c r="C116" s="33">
        <f>(Examples!$C$6*Examples!$C$7*Examples!$C$8*EXP(-Examples!$C$9*$A116)*(1-(Examples!$C$12*(1-EXP(-Examples!$C$13*$A116))/(1+EXP(MIN(700,MAX(-700,(Examples!$C$14*$A116-Examples!$C$15)/Examples!$C$16))))))+Examples!$C$17*$A116^2)</f>
        <v>365857.94413116906</v>
      </c>
      <c r="D116" s="33">
        <f>Examples!$D$18-(Examples!$D$10+Examples!$D$11)*$A116-(Examples!$D$6*Examples!$D$7*Examples!$D$8*EXP(-Examples!$D$9*$A116)*(1-(Examples!$D$12*(1-EXP(-Examples!$D$13*$A116))/(1+EXP(MIN(700,MAX(-700,(Examples!$D$14*$A116-Examples!$D$15)/Examples!$D$16))))))+Examples!$D$17*$A116^2)</f>
        <v>144821.19765771925</v>
      </c>
      <c r="E116" s="33">
        <f>(Examples!$D$6*Examples!$D$7*Examples!$D$8*EXP(-Examples!$D$9*$A116)*(1-(Examples!$D$12*(1-EXP(-Examples!$D$13*$A116))/(1+EXP(MIN(700,MAX(-700,(Examples!$D$14*$A116-Examples!$D$15)/Examples!$D$16))))))+Examples!$D$17*$A116^2)</f>
        <v>2303878.8023422807</v>
      </c>
      <c r="F116" s="33">
        <f>Examples!$E$18-(Examples!$E$10+Examples!$E$11)*$A116-(Examples!$E$6*Examples!$E$7*Examples!$E$8*EXP(-Examples!$E$9*$A116)*(1-(Examples!$E$12*(1-EXP(-Examples!$E$13*$A116))/(1+EXP(MIN(700,MAX(-700,(Examples!$E$14*$A116-Examples!$E$15)/Examples!$E$16))))))+Examples!$E$17*$A116^2)</f>
        <v>2054706.6115713317</v>
      </c>
      <c r="G116" s="33">
        <f>(Examples!$E$6*Examples!$E$7*Examples!$E$8*EXP(-Examples!$E$9*$A116)*(1-(Examples!$E$12*(1-EXP(-Examples!$E$13*$A116))/(1+EXP(MIN(700,MAX(-700,(Examples!$E$14*$A116-Examples!$E$15)/Examples!$E$16))))))+Examples!$E$17*$A116^2)</f>
        <v>848393.38842866826</v>
      </c>
      <c r="H116" s="33">
        <f>Examples!$F$18-(Examples!$F$10+Examples!$F$11)*$A116-(Examples!$F$6*Examples!$F$7*Examples!$F$8*EXP(-Examples!$F$9*$A116)*(1-(Examples!$F$12*(1-EXP(-Examples!$F$13*$A116))/(1+EXP(MIN(700,MAX(-700,(Examples!$F$14*$A116-Examples!$F$15)/Examples!$F$16))))))+Examples!$F$17*$A116^2)</f>
        <v>89762.402665452391</v>
      </c>
      <c r="I116" s="33">
        <f>(Examples!$F$6*Examples!$F$7*Examples!$F$8*EXP(-Examples!$F$9*$A116)*(1-(Examples!$F$12*(1-EXP(-Examples!$F$13*$A116))/(1+EXP(MIN(700,MAX(-700,(Examples!$F$14*$A116-Examples!$F$15)/Examples!$F$16))))))+Examples!$F$17*$A116^2)</f>
        <v>37437.597334547609</v>
      </c>
      <c r="J116" s="33">
        <f>Examples!$G$18-(Examples!$G$10+Examples!$G$11)*$A116-(Examples!$G$6*Examples!$G$7*Examples!$G$8*EXP(-Examples!$G$9*$A116)*(1-(Examples!$G$12*(1-EXP(-Examples!$G$13*$A116))/(1+EXP(MIN(700,MAX(-700,(Examples!$G$14*$A116-Examples!$G$15)/Examples!$G$16))))))+Examples!$G$17*$A116^2)</f>
        <v>491654.90076434833</v>
      </c>
      <c r="K116" s="33">
        <f>(Examples!$G$6*Examples!$G$7*Examples!$G$8*EXP(-Examples!$G$9*$A116)*(1-(Examples!$G$12*(1-EXP(-Examples!$G$13*$A116))/(1+EXP(MIN(700,MAX(-700,(Examples!$G$14*$A116-Examples!$G$15)/Examples!$G$16))))))+Examples!$G$17*$A116^2)</f>
        <v>951345.09923565167</v>
      </c>
      <c r="L116" s="33">
        <f>Examples!$H$18-(Examples!$H$10+Examples!$H$11)*$A116-(Examples!$H$6*Examples!$H$7*Examples!$H$8*EXP(-Examples!$H$9*$A116)*(1-(Examples!$H$12*(1-EXP(-Examples!$H$13*$A116))/(1+EXP(MIN(700,MAX(-700,(Examples!$H$14*$A116-Examples!$H$15)/Examples!$H$16))))))+Examples!$H$17*$A116^2)</f>
        <v>551135.33597440657</v>
      </c>
      <c r="M116" s="33">
        <f>(Examples!$H$6*Examples!$H$7*Examples!$H$8*EXP(-Examples!$H$9*$A116)*(1-(Examples!$H$12*(1-EXP(-Examples!$H$13*$A116))/(1+EXP(MIN(700,MAX(-700,(Examples!$H$14*$A116-Examples!$H$15)/Examples!$H$16))))))+Examples!$H$17*$A116^2)</f>
        <v>891864.66402559343</v>
      </c>
    </row>
    <row r="117" spans="1:13" x14ac:dyDescent="0.25">
      <c r="A117">
        <f>(117-2)/100</f>
        <v>1.1499999999999999</v>
      </c>
      <c r="B117" s="33">
        <f>Examples!$C$18-(Examples!$C$10+Examples!$C$11)*$A117-(Examples!$C$6*Examples!$C$7*Examples!$C$8*EXP(-Examples!$C$9*$A117)*(1-(Examples!$C$12*(1-EXP(-Examples!$C$13*$A117))/(1+EXP(MIN(700,MAX(-700,(Examples!$C$14*$A117-Examples!$C$15)/Examples!$C$16))))))+Examples!$C$17*$A117^2)</f>
        <v>194737.79440317501</v>
      </c>
      <c r="C117" s="33">
        <f>(Examples!$C$6*Examples!$C$7*Examples!$C$8*EXP(-Examples!$C$9*$A117)*(1-(Examples!$C$12*(1-EXP(-Examples!$C$13*$A117))/(1+EXP(MIN(700,MAX(-700,(Examples!$C$14*$A117-Examples!$C$15)/Examples!$C$16))))))+Examples!$C$17*$A117^2)</f>
        <v>365012.20559682499</v>
      </c>
      <c r="D117" s="33">
        <f>Examples!$D$18-(Examples!$D$10+Examples!$D$11)*$A117-(Examples!$D$6*Examples!$D$7*Examples!$D$8*EXP(-Examples!$D$9*$A117)*(1-(Examples!$D$12*(1-EXP(-Examples!$D$13*$A117))/(1+EXP(MIN(700,MAX(-700,(Examples!$D$14*$A117-Examples!$D$15)/Examples!$D$16))))))+Examples!$D$17*$A117^2)</f>
        <v>161905.4446704532</v>
      </c>
      <c r="E117" s="33">
        <f>(Examples!$D$6*Examples!$D$7*Examples!$D$8*EXP(-Examples!$D$9*$A117)*(1-(Examples!$D$12*(1-EXP(-Examples!$D$13*$A117))/(1+EXP(MIN(700,MAX(-700,(Examples!$D$14*$A117-Examples!$D$15)/Examples!$D$16))))))+Examples!$D$17*$A117^2)</f>
        <v>2286344.5553295468</v>
      </c>
      <c r="F117" s="33">
        <f>Examples!$E$18-(Examples!$E$10+Examples!$E$11)*$A117-(Examples!$E$6*Examples!$E$7*Examples!$E$8*EXP(-Examples!$E$9*$A117)*(1-(Examples!$E$12*(1-EXP(-Examples!$E$13*$A117))/(1+EXP(MIN(700,MAX(-700,(Examples!$E$14*$A117-Examples!$E$15)/Examples!$E$16))))))+Examples!$E$17*$A117^2)</f>
        <v>2061639.6874041646</v>
      </c>
      <c r="G117" s="33">
        <f>(Examples!$E$6*Examples!$E$7*Examples!$E$8*EXP(-Examples!$E$9*$A117)*(1-(Examples!$E$12*(1-EXP(-Examples!$E$13*$A117))/(1+EXP(MIN(700,MAX(-700,(Examples!$E$14*$A117-Examples!$E$15)/Examples!$E$16))))))+Examples!$E$17*$A117^2)</f>
        <v>840610.3125958353</v>
      </c>
      <c r="H117" s="33">
        <f>Examples!$F$18-(Examples!$F$10+Examples!$F$11)*$A117-(Examples!$F$6*Examples!$F$7*Examples!$F$8*EXP(-Examples!$F$9*$A117)*(1-(Examples!$F$12*(1-EXP(-Examples!$F$13*$A117))/(1+EXP(MIN(700,MAX(-700,(Examples!$F$14*$A117-Examples!$F$15)/Examples!$F$16))))))+Examples!$F$17*$A117^2)</f>
        <v>89133.313854674285</v>
      </c>
      <c r="I117" s="33">
        <f>(Examples!$F$6*Examples!$F$7*Examples!$F$8*EXP(-Examples!$F$9*$A117)*(1-(Examples!$F$12*(1-EXP(-Examples!$F$13*$A117))/(1+EXP(MIN(700,MAX(-700,(Examples!$F$14*$A117-Examples!$F$15)/Examples!$F$16))))))+Examples!$F$17*$A117^2)</f>
        <v>37866.686145325708</v>
      </c>
      <c r="J117" s="33">
        <f>Examples!$G$18-(Examples!$G$10+Examples!$G$11)*$A117-(Examples!$G$6*Examples!$G$7*Examples!$G$8*EXP(-Examples!$G$9*$A117)*(1-(Examples!$G$12*(1-EXP(-Examples!$G$13*$A117))/(1+EXP(MIN(700,MAX(-700,(Examples!$G$14*$A117-Examples!$G$15)/Examples!$G$16))))))+Examples!$G$17*$A117^2)</f>
        <v>496097.93739723542</v>
      </c>
      <c r="K117" s="33">
        <f>(Examples!$G$6*Examples!$G$7*Examples!$G$8*EXP(-Examples!$G$9*$A117)*(1-(Examples!$G$12*(1-EXP(-Examples!$G$13*$A117))/(1+EXP(MIN(700,MAX(-700,(Examples!$G$14*$A117-Examples!$G$15)/Examples!$G$16))))))+Examples!$G$17*$A117^2)</f>
        <v>946402.06260276458</v>
      </c>
      <c r="L117" s="33">
        <f>Examples!$H$18-(Examples!$H$10+Examples!$H$11)*$A117-(Examples!$H$6*Examples!$H$7*Examples!$H$8*EXP(-Examples!$H$9*$A117)*(1-(Examples!$H$12*(1-EXP(-Examples!$H$13*$A117))/(1+EXP(MIN(700,MAX(-700,(Examples!$H$14*$A117-Examples!$H$15)/Examples!$H$16))))))+Examples!$H$17*$A117^2)</f>
        <v>556320.12326438609</v>
      </c>
      <c r="M117" s="33">
        <f>(Examples!$H$6*Examples!$H$7*Examples!$H$8*EXP(-Examples!$H$9*$A117)*(1-(Examples!$H$12*(1-EXP(-Examples!$H$13*$A117))/(1+EXP(MIN(700,MAX(-700,(Examples!$H$14*$A117-Examples!$H$15)/Examples!$H$16))))))+Examples!$H$17*$A117^2)</f>
        <v>886179.87673561391</v>
      </c>
    </row>
    <row r="118" spans="1:13" x14ac:dyDescent="0.25">
      <c r="A118">
        <f>(118-2)/100</f>
        <v>1.1599999999999999</v>
      </c>
      <c r="B118" s="33">
        <f>Examples!$C$18-(Examples!$C$10+Examples!$C$11)*$A118-(Examples!$C$6*Examples!$C$7*Examples!$C$8*EXP(-Examples!$C$9*$A118)*(1-(Examples!$C$12*(1-EXP(-Examples!$C$13*$A118))/(1+EXP(MIN(700,MAX(-700,(Examples!$C$14*$A118-Examples!$C$15)/Examples!$C$16))))))+Examples!$C$17*$A118^2)</f>
        <v>195209.50208516087</v>
      </c>
      <c r="C118" s="33">
        <f>(Examples!$C$6*Examples!$C$7*Examples!$C$8*EXP(-Examples!$C$9*$A118)*(1-(Examples!$C$12*(1-EXP(-Examples!$C$13*$A118))/(1+EXP(MIN(700,MAX(-700,(Examples!$C$14*$A118-Examples!$C$15)/Examples!$C$16))))))+Examples!$C$17*$A118^2)</f>
        <v>364190.49791483913</v>
      </c>
      <c r="D118" s="33">
        <f>Examples!$D$18-(Examples!$D$10+Examples!$D$11)*$A118-(Examples!$D$6*Examples!$D$7*Examples!$D$8*EXP(-Examples!$D$9*$A118)*(1-(Examples!$D$12*(1-EXP(-Examples!$D$13*$A118))/(1+EXP(MIN(700,MAX(-700,(Examples!$D$14*$A118-Examples!$D$15)/Examples!$D$16))))))+Examples!$D$17*$A118^2)</f>
        <v>178816.95470156986</v>
      </c>
      <c r="E118" s="33">
        <f>(Examples!$D$6*Examples!$D$7*Examples!$D$8*EXP(-Examples!$D$9*$A118)*(1-(Examples!$D$12*(1-EXP(-Examples!$D$13*$A118))/(1+EXP(MIN(700,MAX(-700,(Examples!$D$14*$A118-Examples!$D$15)/Examples!$D$16))))))+Examples!$D$17*$A118^2)</f>
        <v>2268983.0452984301</v>
      </c>
      <c r="F118" s="33">
        <f>Examples!$E$18-(Examples!$E$10+Examples!$E$11)*$A118-(Examples!$E$6*Examples!$E$7*Examples!$E$8*EXP(-Examples!$E$9*$A118)*(1-(Examples!$E$12*(1-EXP(-Examples!$E$13*$A118))/(1+EXP(MIN(700,MAX(-700,(Examples!$E$14*$A118-Examples!$E$15)/Examples!$E$16))))))+Examples!$E$17*$A118^2)</f>
        <v>2068483.4898787146</v>
      </c>
      <c r="G118" s="33">
        <f>(Examples!$E$6*Examples!$E$7*Examples!$E$8*EXP(-Examples!$E$9*$A118)*(1-(Examples!$E$12*(1-EXP(-Examples!$E$13*$A118))/(1+EXP(MIN(700,MAX(-700,(Examples!$E$14*$A118-Examples!$E$15)/Examples!$E$16))))))+Examples!$E$17*$A118^2)</f>
        <v>832916.51012128533</v>
      </c>
      <c r="H118" s="33">
        <f>Examples!$F$18-(Examples!$F$10+Examples!$F$11)*$A118-(Examples!$F$6*Examples!$F$7*Examples!$F$8*EXP(-Examples!$F$9*$A118)*(1-(Examples!$F$12*(1-EXP(-Examples!$F$13*$A118))/(1+EXP(MIN(700,MAX(-700,(Examples!$F$14*$A118-Examples!$F$15)/Examples!$F$16))))))+Examples!$F$17*$A118^2)</f>
        <v>88499.771605470523</v>
      </c>
      <c r="I118" s="33">
        <f>(Examples!$F$6*Examples!$F$7*Examples!$F$8*EXP(-Examples!$F$9*$A118)*(1-(Examples!$F$12*(1-EXP(-Examples!$F$13*$A118))/(1+EXP(MIN(700,MAX(-700,(Examples!$F$14*$A118-Examples!$F$15)/Examples!$F$16))))))+Examples!$F$17*$A118^2)</f>
        <v>38300.228394529477</v>
      </c>
      <c r="J118" s="33">
        <f>Examples!$G$18-(Examples!$G$10+Examples!$G$11)*$A118-(Examples!$G$6*Examples!$G$7*Examples!$G$8*EXP(-Examples!$G$9*$A118)*(1-(Examples!$G$12*(1-EXP(-Examples!$G$13*$A118))/(1+EXP(MIN(700,MAX(-700,(Examples!$G$14*$A118-Examples!$G$15)/Examples!$G$16))))))+Examples!$G$17*$A118^2)</f>
        <v>500485.2060947537</v>
      </c>
      <c r="K118" s="33">
        <f>(Examples!$G$6*Examples!$G$7*Examples!$G$8*EXP(-Examples!$G$9*$A118)*(1-(Examples!$G$12*(1-EXP(-Examples!$G$13*$A118))/(1+EXP(MIN(700,MAX(-700,(Examples!$G$14*$A118-Examples!$G$15)/Examples!$G$16))))))+Examples!$G$17*$A118^2)</f>
        <v>941514.7939052463</v>
      </c>
      <c r="L118" s="33">
        <f>Examples!$H$18-(Examples!$H$10+Examples!$H$11)*$A118-(Examples!$H$6*Examples!$H$7*Examples!$H$8*EXP(-Examples!$H$9*$A118)*(1-(Examples!$H$12*(1-EXP(-Examples!$H$13*$A118))/(1+EXP(MIN(700,MAX(-700,(Examples!$H$14*$A118-Examples!$H$15)/Examples!$H$16))))))+Examples!$H$17*$A118^2)</f>
        <v>561449.75748821197</v>
      </c>
      <c r="M118" s="33">
        <f>(Examples!$H$6*Examples!$H$7*Examples!$H$8*EXP(-Examples!$H$9*$A118)*(1-(Examples!$H$12*(1-EXP(-Examples!$H$13*$A118))/(1+EXP(MIN(700,MAX(-700,(Examples!$H$14*$A118-Examples!$H$15)/Examples!$H$16))))))+Examples!$H$17*$A118^2)</f>
        <v>880550.24251178803</v>
      </c>
    </row>
    <row r="119" spans="1:13" x14ac:dyDescent="0.25">
      <c r="A119">
        <f>(119-2)/100</f>
        <v>1.17</v>
      </c>
      <c r="B119" s="33">
        <f>Examples!$C$18-(Examples!$C$10+Examples!$C$11)*$A119-(Examples!$C$6*Examples!$C$7*Examples!$C$8*EXP(-Examples!$C$9*$A119)*(1-(Examples!$C$12*(1-EXP(-Examples!$C$13*$A119))/(1+EXP(MIN(700,MAX(-700,(Examples!$C$14*$A119-Examples!$C$15)/Examples!$C$16))))))+Examples!$C$17*$A119^2)</f>
        <v>195657.09623988398</v>
      </c>
      <c r="C119" s="33">
        <f>(Examples!$C$6*Examples!$C$7*Examples!$C$8*EXP(-Examples!$C$9*$A119)*(1-(Examples!$C$12*(1-EXP(-Examples!$C$13*$A119))/(1+EXP(MIN(700,MAX(-700,(Examples!$C$14*$A119-Examples!$C$15)/Examples!$C$16))))))+Examples!$C$17*$A119^2)</f>
        <v>363392.90376011602</v>
      </c>
      <c r="D119" s="33">
        <f>Examples!$D$18-(Examples!$D$10+Examples!$D$11)*$A119-(Examples!$D$6*Examples!$D$7*Examples!$D$8*EXP(-Examples!$D$9*$A119)*(1-(Examples!$D$12*(1-EXP(-Examples!$D$13*$A119))/(1+EXP(MIN(700,MAX(-700,(Examples!$D$14*$A119-Examples!$D$15)/Examples!$D$16))))))+Examples!$D$17*$A119^2)</f>
        <v>195557.32192629809</v>
      </c>
      <c r="E119" s="33">
        <f>(Examples!$D$6*Examples!$D$7*Examples!$D$8*EXP(-Examples!$D$9*$A119)*(1-(Examples!$D$12*(1-EXP(-Examples!$D$13*$A119))/(1+EXP(MIN(700,MAX(-700,(Examples!$D$14*$A119-Examples!$D$15)/Examples!$D$16))))))+Examples!$D$17*$A119^2)</f>
        <v>2251792.6780737019</v>
      </c>
      <c r="F119" s="33">
        <f>Examples!$E$18-(Examples!$E$10+Examples!$E$11)*$A119-(Examples!$E$6*Examples!$E$7*Examples!$E$8*EXP(-Examples!$E$9*$A119)*(1-(Examples!$E$12*(1-EXP(-Examples!$E$13*$A119))/(1+EXP(MIN(700,MAX(-700,(Examples!$E$14*$A119-Examples!$E$15)/Examples!$E$16))))))+Examples!$E$17*$A119^2)</f>
        <v>2075239.0387485577</v>
      </c>
      <c r="G119" s="33">
        <f>(Examples!$E$6*Examples!$E$7*Examples!$E$8*EXP(-Examples!$E$9*$A119)*(1-(Examples!$E$12*(1-EXP(-Examples!$E$13*$A119))/(1+EXP(MIN(700,MAX(-700,(Examples!$E$14*$A119-Examples!$E$15)/Examples!$E$16))))))+Examples!$E$17*$A119^2)</f>
        <v>825310.96125144244</v>
      </c>
      <c r="H119" s="33">
        <f>Examples!$F$18-(Examples!$F$10+Examples!$F$11)*$A119-(Examples!$F$6*Examples!$F$7*Examples!$F$8*EXP(-Examples!$F$9*$A119)*(1-(Examples!$F$12*(1-EXP(-Examples!$F$13*$A119))/(1+EXP(MIN(700,MAX(-700,(Examples!$F$14*$A119-Examples!$F$15)/Examples!$F$16))))))+Examples!$F$17*$A119^2)</f>
        <v>87861.783236062096</v>
      </c>
      <c r="I119" s="33">
        <f>(Examples!$F$6*Examples!$F$7*Examples!$F$8*EXP(-Examples!$F$9*$A119)*(1-(Examples!$F$12*(1-EXP(-Examples!$F$13*$A119))/(1+EXP(MIN(700,MAX(-700,(Examples!$F$14*$A119-Examples!$F$15)/Examples!$F$16))))))+Examples!$F$17*$A119^2)</f>
        <v>38738.216763937904</v>
      </c>
      <c r="J119" s="33">
        <f>Examples!$G$18-(Examples!$G$10+Examples!$G$11)*$A119-(Examples!$G$6*Examples!$G$7*Examples!$G$8*EXP(-Examples!$G$9*$A119)*(1-(Examples!$G$12*(1-EXP(-Examples!$G$13*$A119))/(1+EXP(MIN(700,MAX(-700,(Examples!$G$14*$A119-Examples!$G$15)/Examples!$G$16))))))+Examples!$G$17*$A119^2)</f>
        <v>504817.08891263313</v>
      </c>
      <c r="K119" s="33">
        <f>(Examples!$G$6*Examples!$G$7*Examples!$G$8*EXP(-Examples!$G$9*$A119)*(1-(Examples!$G$12*(1-EXP(-Examples!$G$13*$A119))/(1+EXP(MIN(700,MAX(-700,(Examples!$G$14*$A119-Examples!$G$15)/Examples!$G$16))))))+Examples!$G$17*$A119^2)</f>
        <v>936682.91108736687</v>
      </c>
      <c r="L119" s="33">
        <f>Examples!$H$18-(Examples!$H$10+Examples!$H$11)*$A119-(Examples!$H$6*Examples!$H$7*Examples!$H$8*EXP(-Examples!$H$9*$A119)*(1-(Examples!$H$12*(1-EXP(-Examples!$H$13*$A119))/(1+EXP(MIN(700,MAX(-700,(Examples!$H$14*$A119-Examples!$H$15)/Examples!$H$16))))))+Examples!$H$17*$A119^2)</f>
        <v>566524.41265995929</v>
      </c>
      <c r="M119" s="33">
        <f>(Examples!$H$6*Examples!$H$7*Examples!$H$8*EXP(-Examples!$H$9*$A119)*(1-(Examples!$H$12*(1-EXP(-Examples!$H$13*$A119))/(1+EXP(MIN(700,MAX(-700,(Examples!$H$14*$A119-Examples!$H$15)/Examples!$H$16))))))+Examples!$H$17*$A119^2)</f>
        <v>874975.58734004071</v>
      </c>
    </row>
    <row r="120" spans="1:13" x14ac:dyDescent="0.25">
      <c r="A120">
        <f>(120-2)/100</f>
        <v>1.18</v>
      </c>
      <c r="B120" s="33">
        <f>Examples!$C$18-(Examples!$C$10+Examples!$C$11)*$A120-(Examples!$C$6*Examples!$C$7*Examples!$C$8*EXP(-Examples!$C$9*$A120)*(1-(Examples!$C$12*(1-EXP(-Examples!$C$13*$A120))/(1+EXP(MIN(700,MAX(-700,(Examples!$C$14*$A120-Examples!$C$15)/Examples!$C$16))))))+Examples!$C$17*$A120^2)</f>
        <v>196080.50101112353</v>
      </c>
      <c r="C120" s="33">
        <f>(Examples!$C$6*Examples!$C$7*Examples!$C$8*EXP(-Examples!$C$9*$A120)*(1-(Examples!$C$12*(1-EXP(-Examples!$C$13*$A120))/(1+EXP(MIN(700,MAX(-700,(Examples!$C$14*$A120-Examples!$C$15)/Examples!$C$16))))))+Examples!$C$17*$A120^2)</f>
        <v>362619.49898887647</v>
      </c>
      <c r="D120" s="33">
        <f>Examples!$D$18-(Examples!$D$10+Examples!$D$11)*$A120-(Examples!$D$6*Examples!$D$7*Examples!$D$8*EXP(-Examples!$D$9*$A120)*(1-(Examples!$D$12*(1-EXP(-Examples!$D$13*$A120))/(1+EXP(MIN(700,MAX(-700,(Examples!$D$14*$A120-Examples!$D$15)/Examples!$D$16))))))+Examples!$D$17*$A120^2)</f>
        <v>212128.12392410403</v>
      </c>
      <c r="E120" s="33">
        <f>(Examples!$D$6*Examples!$D$7*Examples!$D$8*EXP(-Examples!$D$9*$A120)*(1-(Examples!$D$12*(1-EXP(-Examples!$D$13*$A120))/(1+EXP(MIN(700,MAX(-700,(Examples!$D$14*$A120-Examples!$D$15)/Examples!$D$16))))))+Examples!$D$17*$A120^2)</f>
        <v>2234771.876075896</v>
      </c>
      <c r="F120" s="33">
        <f>Examples!$E$18-(Examples!$E$10+Examples!$E$11)*$A120-(Examples!$E$6*Examples!$E$7*Examples!$E$8*EXP(-Examples!$E$9*$A120)*(1-(Examples!$E$12*(1-EXP(-Examples!$E$13*$A120))/(1+EXP(MIN(700,MAX(-700,(Examples!$E$14*$A120-Examples!$E$15)/Examples!$E$16))))))+Examples!$E$17*$A120^2)</f>
        <v>2081907.3418246238</v>
      </c>
      <c r="G120" s="33">
        <f>(Examples!$E$6*Examples!$E$7*Examples!$E$8*EXP(-Examples!$E$9*$A120)*(1-(Examples!$E$12*(1-EXP(-Examples!$E$13*$A120))/(1+EXP(MIN(700,MAX(-700,(Examples!$E$14*$A120-Examples!$E$15)/Examples!$E$16))))))+Examples!$E$17*$A120^2)</f>
        <v>817792.65817537613</v>
      </c>
      <c r="H120" s="33">
        <f>Examples!$F$18-(Examples!$F$10+Examples!$F$11)*$A120-(Examples!$F$6*Examples!$F$7*Examples!$F$8*EXP(-Examples!$F$9*$A120)*(1-(Examples!$F$12*(1-EXP(-Examples!$F$13*$A120))/(1+EXP(MIN(700,MAX(-700,(Examples!$F$14*$A120-Examples!$F$15)/Examples!$F$16))))))+Examples!$F$17*$A120^2)</f>
        <v>87219.356671117304</v>
      </c>
      <c r="I120" s="33">
        <f>(Examples!$F$6*Examples!$F$7*Examples!$F$8*EXP(-Examples!$F$9*$A120)*(1-(Examples!$F$12*(1-EXP(-Examples!$F$13*$A120))/(1+EXP(MIN(700,MAX(-700,(Examples!$F$14*$A120-Examples!$F$15)/Examples!$F$16))))))+Examples!$F$17*$A120^2)</f>
        <v>39180.643328882703</v>
      </c>
      <c r="J120" s="33">
        <f>Examples!$G$18-(Examples!$G$10+Examples!$G$11)*$A120-(Examples!$G$6*Examples!$G$7*Examples!$G$8*EXP(-Examples!$G$9*$A120)*(1-(Examples!$G$12*(1-EXP(-Examples!$G$13*$A120))/(1+EXP(MIN(700,MAX(-700,(Examples!$G$14*$A120-Examples!$G$15)/Examples!$G$16))))))+Examples!$G$17*$A120^2)</f>
        <v>509093.96608815843</v>
      </c>
      <c r="K120" s="33">
        <f>(Examples!$G$6*Examples!$G$7*Examples!$G$8*EXP(-Examples!$G$9*$A120)*(1-(Examples!$G$12*(1-EXP(-Examples!$G$13*$A120))/(1+EXP(MIN(700,MAX(-700,(Examples!$G$14*$A120-Examples!$G$15)/Examples!$G$16))))))+Examples!$G$17*$A120^2)</f>
        <v>931906.03391184157</v>
      </c>
      <c r="L120" s="33">
        <f>Examples!$H$18-(Examples!$H$10+Examples!$H$11)*$A120-(Examples!$H$6*Examples!$H$7*Examples!$H$8*EXP(-Examples!$H$9*$A120)*(1-(Examples!$H$12*(1-EXP(-Examples!$H$13*$A120))/(1+EXP(MIN(700,MAX(-700,(Examples!$H$14*$A120-Examples!$H$15)/Examples!$H$16))))))+Examples!$H$17*$A120^2)</f>
        <v>571544.25399736175</v>
      </c>
      <c r="M120" s="33">
        <f>(Examples!$H$6*Examples!$H$7*Examples!$H$8*EXP(-Examples!$H$9*$A120)*(1-(Examples!$H$12*(1-EXP(-Examples!$H$13*$A120))/(1+EXP(MIN(700,MAX(-700,(Examples!$H$14*$A120-Examples!$H$15)/Examples!$H$16))))))+Examples!$H$17*$A120^2)</f>
        <v>869455.74600263825</v>
      </c>
    </row>
    <row r="121" spans="1:13" x14ac:dyDescent="0.25">
      <c r="A121">
        <f>(121-2)/100</f>
        <v>1.19</v>
      </c>
      <c r="B121" s="33">
        <f>Examples!$C$18-(Examples!$C$10+Examples!$C$11)*$A121-(Examples!$C$6*Examples!$C$7*Examples!$C$8*EXP(-Examples!$C$9*$A121)*(1-(Examples!$C$12*(1-EXP(-Examples!$C$13*$A121))/(1+EXP(MIN(700,MAX(-700,(Examples!$C$14*$A121-Examples!$C$15)/Examples!$C$16))))))+Examples!$C$17*$A121^2)</f>
        <v>196479.64794558095</v>
      </c>
      <c r="C121" s="33">
        <f>(Examples!$C$6*Examples!$C$7*Examples!$C$8*EXP(-Examples!$C$9*$A121)*(1-(Examples!$C$12*(1-EXP(-Examples!$C$13*$A121))/(1+EXP(MIN(700,MAX(-700,(Examples!$C$14*$A121-Examples!$C$15)/Examples!$C$16))))))+Examples!$C$17*$A121^2)</f>
        <v>361870.35205441905</v>
      </c>
      <c r="D121" s="33">
        <f>Examples!$D$18-(Examples!$D$10+Examples!$D$11)*$A121-(Examples!$D$6*Examples!$D$7*Examples!$D$8*EXP(-Examples!$D$9*$A121)*(1-(Examples!$D$12*(1-EXP(-Examples!$D$13*$A121))/(1+EXP(MIN(700,MAX(-700,(Examples!$D$14*$A121-Examples!$D$15)/Examples!$D$16))))))+Examples!$D$17*$A121^2)</f>
        <v>228530.92185438098</v>
      </c>
      <c r="E121" s="33">
        <f>(Examples!$D$6*Examples!$D$7*Examples!$D$8*EXP(-Examples!$D$9*$A121)*(1-(Examples!$D$12*(1-EXP(-Examples!$D$13*$A121))/(1+EXP(MIN(700,MAX(-700,(Examples!$D$14*$A121-Examples!$D$15)/Examples!$D$16))))))+Examples!$D$17*$A121^2)</f>
        <v>2217919.078145619</v>
      </c>
      <c r="F121" s="33">
        <f>Examples!$E$18-(Examples!$E$10+Examples!$E$11)*$A121-(Examples!$E$6*Examples!$E$7*Examples!$E$8*EXP(-Examples!$E$9*$A121)*(1-(Examples!$E$12*(1-EXP(-Examples!$E$13*$A121))/(1+EXP(MIN(700,MAX(-700,(Examples!$E$14*$A121-Examples!$E$15)/Examples!$E$16))))))+Examples!$E$17*$A121^2)</f>
        <v>2088489.3951171809</v>
      </c>
      <c r="G121" s="33">
        <f>(Examples!$E$6*Examples!$E$7*Examples!$E$8*EXP(-Examples!$E$9*$A121)*(1-(Examples!$E$12*(1-EXP(-Examples!$E$13*$A121))/(1+EXP(MIN(700,MAX(-700,(Examples!$E$14*$A121-Examples!$E$15)/Examples!$E$16))))))+Examples!$E$17*$A121^2)</f>
        <v>810360.604882819</v>
      </c>
      <c r="H121" s="33">
        <f>Examples!$F$18-(Examples!$F$10+Examples!$F$11)*$A121-(Examples!$F$6*Examples!$F$7*Examples!$F$8*EXP(-Examples!$F$9*$A121)*(1-(Examples!$F$12*(1-EXP(-Examples!$F$13*$A121))/(1+EXP(MIN(700,MAX(-700,(Examples!$F$14*$A121-Examples!$F$15)/Examples!$F$16))))))+Examples!$F$17*$A121^2)</f>
        <v>86572.500436979186</v>
      </c>
      <c r="I121" s="33">
        <f>(Examples!$F$6*Examples!$F$7*Examples!$F$8*EXP(-Examples!$F$9*$A121)*(1-(Examples!$F$12*(1-EXP(-Examples!$F$13*$A121))/(1+EXP(MIN(700,MAX(-700,(Examples!$F$14*$A121-Examples!$F$15)/Examples!$F$16))))))+Examples!$F$17*$A121^2)</f>
        <v>39627.499563020814</v>
      </c>
      <c r="J121" s="33">
        <f>Examples!$G$18-(Examples!$G$10+Examples!$G$11)*$A121-(Examples!$G$6*Examples!$G$7*Examples!$G$8*EXP(-Examples!$G$9*$A121)*(1-(Examples!$G$12*(1-EXP(-Examples!$G$13*$A121))/(1+EXP(MIN(700,MAX(-700,(Examples!$G$14*$A121-Examples!$G$15)/Examples!$G$16))))))+Examples!$G$17*$A121^2)</f>
        <v>513316.21609024738</v>
      </c>
      <c r="K121" s="33">
        <f>(Examples!$G$6*Examples!$G$7*Examples!$G$8*EXP(-Examples!$G$9*$A121)*(1-(Examples!$G$12*(1-EXP(-Examples!$G$13*$A121))/(1+EXP(MIN(700,MAX(-700,(Examples!$G$14*$A121-Examples!$G$15)/Examples!$G$16))))))+Examples!$G$17*$A121^2)</f>
        <v>927183.78390975262</v>
      </c>
      <c r="L121" s="33">
        <f>Examples!$H$18-(Examples!$H$10+Examples!$H$11)*$A121-(Examples!$H$6*Examples!$H$7*Examples!$H$8*EXP(-Examples!$H$9*$A121)*(1-(Examples!$H$12*(1-EXP(-Examples!$H$13*$A121))/(1+EXP(MIN(700,MAX(-700,(Examples!$H$14*$A121-Examples!$H$15)/Examples!$H$16))))))+Examples!$H$17*$A121^2)</f>
        <v>576509.4378249204</v>
      </c>
      <c r="M121" s="33">
        <f>(Examples!$H$6*Examples!$H$7*Examples!$H$8*EXP(-Examples!$H$9*$A121)*(1-(Examples!$H$12*(1-EXP(-Examples!$H$13*$A121))/(1+EXP(MIN(700,MAX(-700,(Examples!$H$14*$A121-Examples!$H$15)/Examples!$H$16))))))+Examples!$H$17*$A121^2)</f>
        <v>863990.5621750796</v>
      </c>
    </row>
    <row r="122" spans="1:13" x14ac:dyDescent="0.25">
      <c r="A122">
        <f>(122-2)/100</f>
        <v>1.2</v>
      </c>
      <c r="B122" s="33">
        <f>Examples!$C$18-(Examples!$C$10+Examples!$C$11)*$A122-(Examples!$C$6*Examples!$C$7*Examples!$C$8*EXP(-Examples!$C$9*$A122)*(1-(Examples!$C$12*(1-EXP(-Examples!$C$13*$A122))/(1+EXP(MIN(700,MAX(-700,(Examples!$C$14*$A122-Examples!$C$15)/Examples!$C$16))))))+Examples!$C$17*$A122^2)</f>
        <v>196854.47658753366</v>
      </c>
      <c r="C122" s="33">
        <f>(Examples!$C$6*Examples!$C$7*Examples!$C$8*EXP(-Examples!$C$9*$A122)*(1-(Examples!$C$12*(1-EXP(-Examples!$C$13*$A122))/(1+EXP(MIN(700,MAX(-700,(Examples!$C$14*$A122-Examples!$C$15)/Examples!$C$16))))))+Examples!$C$17*$A122^2)</f>
        <v>361145.52341246634</v>
      </c>
      <c r="D122" s="33">
        <f>Examples!$D$18-(Examples!$D$10+Examples!$D$11)*$A122-(Examples!$D$6*Examples!$D$7*Examples!$D$8*EXP(-Examples!$D$9*$A122)*(1-(Examples!$D$12*(1-EXP(-Examples!$D$13*$A122))/(1+EXP(MIN(700,MAX(-700,(Examples!$D$14*$A122-Examples!$D$15)/Examples!$D$16))))))+Examples!$D$17*$A122^2)</f>
        <v>244767.26063050795</v>
      </c>
      <c r="E122" s="33">
        <f>(Examples!$D$6*Examples!$D$7*Examples!$D$8*EXP(-Examples!$D$9*$A122)*(1-(Examples!$D$12*(1-EXP(-Examples!$D$13*$A122))/(1+EXP(MIN(700,MAX(-700,(Examples!$D$14*$A122-Examples!$D$15)/Examples!$D$16))))))+Examples!$D$17*$A122^2)</f>
        <v>2201232.739369492</v>
      </c>
      <c r="F122" s="33">
        <f>Examples!$E$18-(Examples!$E$10+Examples!$E$11)*$A122-(Examples!$E$6*Examples!$E$7*Examples!$E$8*EXP(-Examples!$E$9*$A122)*(1-(Examples!$E$12*(1-EXP(-Examples!$E$13*$A122))/(1+EXP(MIN(700,MAX(-700,(Examples!$E$14*$A122-Examples!$E$15)/Examples!$E$16))))))+Examples!$E$17*$A122^2)</f>
        <v>2094986.1829761285</v>
      </c>
      <c r="G122" s="33">
        <f>(Examples!$E$6*Examples!$E$7*Examples!$E$8*EXP(-Examples!$E$9*$A122)*(1-(Examples!$E$12*(1-EXP(-Examples!$E$13*$A122))/(1+EXP(MIN(700,MAX(-700,(Examples!$E$14*$A122-Examples!$E$15)/Examples!$E$16))))))+Examples!$E$17*$A122^2)</f>
        <v>803013.81702387135</v>
      </c>
      <c r="H122" s="33">
        <f>Examples!$F$18-(Examples!$F$10+Examples!$F$11)*$A122-(Examples!$F$6*Examples!$F$7*Examples!$F$8*EXP(-Examples!$F$9*$A122)*(1-(Examples!$F$12*(1-EXP(-Examples!$F$13*$A122))/(1+EXP(MIN(700,MAX(-700,(Examples!$F$14*$A122-Examples!$F$15)/Examples!$F$16))))))+Examples!$F$17*$A122^2)</f>
        <v>85921.223653885361</v>
      </c>
      <c r="I122" s="33">
        <f>(Examples!$F$6*Examples!$F$7*Examples!$F$8*EXP(-Examples!$F$9*$A122)*(1-(Examples!$F$12*(1-EXP(-Examples!$F$13*$A122))/(1+EXP(MIN(700,MAX(-700,(Examples!$F$14*$A122-Examples!$F$15)/Examples!$F$16))))))+Examples!$F$17*$A122^2)</f>
        <v>40078.776346114631</v>
      </c>
      <c r="J122" s="33">
        <f>Examples!$G$18-(Examples!$G$10+Examples!$G$11)*$A122-(Examples!$G$6*Examples!$G$7*Examples!$G$8*EXP(-Examples!$G$9*$A122)*(1-(Examples!$G$12*(1-EXP(-Examples!$G$13*$A122))/(1+EXP(MIN(700,MAX(-700,(Examples!$G$14*$A122-Examples!$G$15)/Examples!$G$16))))))+Examples!$G$17*$A122^2)</f>
        <v>517484.2156692571</v>
      </c>
      <c r="K122" s="33">
        <f>(Examples!$G$6*Examples!$G$7*Examples!$G$8*EXP(-Examples!$G$9*$A122)*(1-(Examples!$G$12*(1-EXP(-Examples!$G$13*$A122))/(1+EXP(MIN(700,MAX(-700,(Examples!$G$14*$A122-Examples!$G$15)/Examples!$G$16))))))+Examples!$G$17*$A122^2)</f>
        <v>922515.7843307429</v>
      </c>
      <c r="L122" s="33">
        <f>Examples!$H$18-(Examples!$H$10+Examples!$H$11)*$A122-(Examples!$H$6*Examples!$H$7*Examples!$H$8*EXP(-Examples!$H$9*$A122)*(1-(Examples!$H$12*(1-EXP(-Examples!$H$13*$A122))/(1+EXP(MIN(700,MAX(-700,(Examples!$H$14*$A122-Examples!$H$15)/Examples!$H$16))))))+Examples!$H$17*$A122^2)</f>
        <v>581420.11147607549</v>
      </c>
      <c r="M122" s="33">
        <f>(Examples!$H$6*Examples!$H$7*Examples!$H$8*EXP(-Examples!$H$9*$A122)*(1-(Examples!$H$12*(1-EXP(-Examples!$H$13*$A122))/(1+EXP(MIN(700,MAX(-700,(Examples!$H$14*$A122-Examples!$H$15)/Examples!$H$16))))))+Examples!$H$17*$A122^2)</f>
        <v>858579.88852392451</v>
      </c>
    </row>
    <row r="123" spans="1:13" x14ac:dyDescent="0.25">
      <c r="A123">
        <f>(123-2)/100</f>
        <v>1.21</v>
      </c>
      <c r="B123" s="33">
        <f>Examples!$C$18-(Examples!$C$10+Examples!$C$11)*$A123-(Examples!$C$6*Examples!$C$7*Examples!$C$8*EXP(-Examples!$C$9*$A123)*(1-(Examples!$C$12*(1-EXP(-Examples!$C$13*$A123))/(1+EXP(MIN(700,MAX(-700,(Examples!$C$14*$A123-Examples!$C$15)/Examples!$C$16))))))+Examples!$C$17*$A123^2)</f>
        <v>197204.93508228363</v>
      </c>
      <c r="C123" s="33">
        <f>(Examples!$C$6*Examples!$C$7*Examples!$C$8*EXP(-Examples!$C$9*$A123)*(1-(Examples!$C$12*(1-EXP(-Examples!$C$13*$A123))/(1+EXP(MIN(700,MAX(-700,(Examples!$C$14*$A123-Examples!$C$15)/Examples!$C$16))))))+Examples!$C$17*$A123^2)</f>
        <v>360445.06491771637</v>
      </c>
      <c r="D123" s="33">
        <f>Examples!$D$18-(Examples!$D$10+Examples!$D$11)*$A123-(Examples!$D$6*Examples!$D$7*Examples!$D$8*EXP(-Examples!$D$9*$A123)*(1-(Examples!$D$12*(1-EXP(-Examples!$D$13*$A123))/(1+EXP(MIN(700,MAX(-700,(Examples!$D$14*$A123-Examples!$D$15)/Examples!$D$16))))))+Examples!$D$17*$A123^2)</f>
        <v>260838.6690922929</v>
      </c>
      <c r="E123" s="33">
        <f>(Examples!$D$6*Examples!$D$7*Examples!$D$8*EXP(-Examples!$D$9*$A123)*(1-(Examples!$D$12*(1-EXP(-Examples!$D$13*$A123))/(1+EXP(MIN(700,MAX(-700,(Examples!$D$14*$A123-Examples!$D$15)/Examples!$D$16))))))+Examples!$D$17*$A123^2)</f>
        <v>2184711.3309077071</v>
      </c>
      <c r="F123" s="33">
        <f>Examples!$E$18-(Examples!$E$10+Examples!$E$11)*$A123-(Examples!$E$6*Examples!$E$7*Examples!$E$8*EXP(-Examples!$E$9*$A123)*(1-(Examples!$E$12*(1-EXP(-Examples!$E$13*$A123))/(1+EXP(MIN(700,MAX(-700,(Examples!$E$14*$A123-Examples!$E$15)/Examples!$E$16))))))+Examples!$E$17*$A123^2)</f>
        <v>2101398.6782296291</v>
      </c>
      <c r="G123" s="33">
        <f>(Examples!$E$6*Examples!$E$7*Examples!$E$8*EXP(-Examples!$E$9*$A123)*(1-(Examples!$E$12*(1-EXP(-Examples!$E$13*$A123))/(1+EXP(MIN(700,MAX(-700,(Examples!$E$14*$A123-Examples!$E$15)/Examples!$E$16))))))+Examples!$E$17*$A123^2)</f>
        <v>795751.32177037105</v>
      </c>
      <c r="H123" s="33">
        <f>Examples!$F$18-(Examples!$F$10+Examples!$F$11)*$A123-(Examples!$F$6*Examples!$F$7*Examples!$F$8*EXP(-Examples!$F$9*$A123)*(1-(Examples!$F$12*(1-EXP(-Examples!$F$13*$A123))/(1+EXP(MIN(700,MAX(-700,(Examples!$F$14*$A123-Examples!$F$15)/Examples!$F$16))))))+Examples!$F$17*$A123^2)</f>
        <v>85265.536025125592</v>
      </c>
      <c r="I123" s="33">
        <f>(Examples!$F$6*Examples!$F$7*Examples!$F$8*EXP(-Examples!$F$9*$A123)*(1-(Examples!$F$12*(1-EXP(-Examples!$F$13*$A123))/(1+EXP(MIN(700,MAX(-700,(Examples!$F$14*$A123-Examples!$F$15)/Examples!$F$16))))))+Examples!$F$17*$A123^2)</f>
        <v>40534.463974874401</v>
      </c>
      <c r="J123" s="33">
        <f>Examples!$G$18-(Examples!$G$10+Examples!$G$11)*$A123-(Examples!$G$6*Examples!$G$7*Examples!$G$8*EXP(-Examples!$G$9*$A123)*(1-(Examples!$G$12*(1-EXP(-Examples!$G$13*$A123))/(1+EXP(MIN(700,MAX(-700,(Examples!$G$14*$A123-Examples!$G$15)/Examples!$G$16))))))+Examples!$G$17*$A123^2)</f>
        <v>521598.33990649972</v>
      </c>
      <c r="K123" s="33">
        <f>(Examples!$G$6*Examples!$G$7*Examples!$G$8*EXP(-Examples!$G$9*$A123)*(1-(Examples!$G$12*(1-EXP(-Examples!$G$13*$A123))/(1+EXP(MIN(700,MAX(-700,(Examples!$G$14*$A123-Examples!$G$15)/Examples!$G$16))))))+Examples!$G$17*$A123^2)</f>
        <v>917901.66009350028</v>
      </c>
      <c r="L123" s="33">
        <f>Examples!$H$18-(Examples!$H$10+Examples!$H$11)*$A123-(Examples!$H$6*Examples!$H$7*Examples!$H$8*EXP(-Examples!$H$9*$A123)*(1-(Examples!$H$12*(1-EXP(-Examples!$H$13*$A123))/(1+EXP(MIN(700,MAX(-700,(Examples!$H$14*$A123-Examples!$H$15)/Examples!$H$16))))))+Examples!$H$17*$A123^2)</f>
        <v>586276.41319459199</v>
      </c>
      <c r="M123" s="33">
        <f>(Examples!$H$6*Examples!$H$7*Examples!$H$8*EXP(-Examples!$H$9*$A123)*(1-(Examples!$H$12*(1-EXP(-Examples!$H$13*$A123))/(1+EXP(MIN(700,MAX(-700,(Examples!$H$14*$A123-Examples!$H$15)/Examples!$H$16))))))+Examples!$H$17*$A123^2)</f>
        <v>853223.58680540801</v>
      </c>
    </row>
    <row r="124" spans="1:13" x14ac:dyDescent="0.25">
      <c r="A124">
        <f>(124-2)/100</f>
        <v>1.22</v>
      </c>
      <c r="B124" s="33">
        <f>Examples!$C$18-(Examples!$C$10+Examples!$C$11)*$A124-(Examples!$C$6*Examples!$C$7*Examples!$C$8*EXP(-Examples!$C$9*$A124)*(1-(Examples!$C$12*(1-EXP(-Examples!$C$13*$A124))/(1+EXP(MIN(700,MAX(-700,(Examples!$C$14*$A124-Examples!$C$15)/Examples!$C$16))))))+Examples!$C$17*$A124^2)</f>
        <v>197530.98078662663</v>
      </c>
      <c r="C124" s="33">
        <f>(Examples!$C$6*Examples!$C$7*Examples!$C$8*EXP(-Examples!$C$9*$A124)*(1-(Examples!$C$12*(1-EXP(-Examples!$C$13*$A124))/(1+EXP(MIN(700,MAX(-700,(Examples!$C$14*$A124-Examples!$C$15)/Examples!$C$16))))))+Examples!$C$17*$A124^2)</f>
        <v>359769.01921337337</v>
      </c>
      <c r="D124" s="33">
        <f>Examples!$D$18-(Examples!$D$10+Examples!$D$11)*$A124-(Examples!$D$6*Examples!$D$7*Examples!$D$8*EXP(-Examples!$D$9*$A124)*(1-(Examples!$D$12*(1-EXP(-Examples!$D$13*$A124))/(1+EXP(MIN(700,MAX(-700,(Examples!$D$14*$A124-Examples!$D$15)/Examples!$D$16))))))+Examples!$D$17*$A124^2)</f>
        <v>276746.66017682385</v>
      </c>
      <c r="E124" s="33">
        <f>(Examples!$D$6*Examples!$D$7*Examples!$D$8*EXP(-Examples!$D$9*$A124)*(1-(Examples!$D$12*(1-EXP(-Examples!$D$13*$A124))/(1+EXP(MIN(700,MAX(-700,(Examples!$D$14*$A124-Examples!$D$15)/Examples!$D$16))))))+Examples!$D$17*$A124^2)</f>
        <v>2168353.3398231762</v>
      </c>
      <c r="F124" s="33">
        <f>Examples!$E$18-(Examples!$E$10+Examples!$E$11)*$A124-(Examples!$E$6*Examples!$E$7*Examples!$E$8*EXP(-Examples!$E$9*$A124)*(1-(Examples!$E$12*(1-EXP(-Examples!$E$13*$A124))/(1+EXP(MIN(700,MAX(-700,(Examples!$E$14*$A124-Examples!$E$15)/Examples!$E$16))))))+Examples!$E$17*$A124^2)</f>
        <v>2107727.8423210923</v>
      </c>
      <c r="G124" s="33">
        <f>(Examples!$E$6*Examples!$E$7*Examples!$E$8*EXP(-Examples!$E$9*$A124)*(1-(Examples!$E$12*(1-EXP(-Examples!$E$13*$A124))/(1+EXP(MIN(700,MAX(-700,(Examples!$E$14*$A124-Examples!$E$15)/Examples!$E$16))))))+Examples!$E$17*$A124^2)</f>
        <v>788572.1576789075</v>
      </c>
      <c r="H124" s="33">
        <f>Examples!$F$18-(Examples!$F$10+Examples!$F$11)*$A124-(Examples!$F$6*Examples!$F$7*Examples!$F$8*EXP(-Examples!$F$9*$A124)*(1-(Examples!$F$12*(1-EXP(-Examples!$F$13*$A124))/(1+EXP(MIN(700,MAX(-700,(Examples!$F$14*$A124-Examples!$F$15)/Examples!$F$16))))))+Examples!$F$17*$A124^2)</f>
        <v>84605.447823108276</v>
      </c>
      <c r="I124" s="33">
        <f>(Examples!$F$6*Examples!$F$7*Examples!$F$8*EXP(-Examples!$F$9*$A124)*(1-(Examples!$F$12*(1-EXP(-Examples!$F$13*$A124))/(1+EXP(MIN(700,MAX(-700,(Examples!$F$14*$A124-Examples!$F$15)/Examples!$F$16))))))+Examples!$F$17*$A124^2)</f>
        <v>40994.552176891724</v>
      </c>
      <c r="J124" s="33">
        <f>Examples!$G$18-(Examples!$G$10+Examples!$G$11)*$A124-(Examples!$G$6*Examples!$G$7*Examples!$G$8*EXP(-Examples!$G$9*$A124)*(1-(Examples!$G$12*(1-EXP(-Examples!$G$13*$A124))/(1+EXP(MIN(700,MAX(-700,(Examples!$G$14*$A124-Examples!$G$15)/Examples!$G$16))))))+Examples!$G$17*$A124^2)</f>
        <v>525658.962263464</v>
      </c>
      <c r="K124" s="33">
        <f>(Examples!$G$6*Examples!$G$7*Examples!$G$8*EXP(-Examples!$G$9*$A124)*(1-(Examples!$G$12*(1-EXP(-Examples!$G$13*$A124))/(1+EXP(MIN(700,MAX(-700,(Examples!$G$14*$A124-Examples!$G$15)/Examples!$G$16))))))+Examples!$G$17*$A124^2)</f>
        <v>913341.037736536</v>
      </c>
      <c r="L124" s="33">
        <f>Examples!$H$18-(Examples!$H$10+Examples!$H$11)*$A124-(Examples!$H$6*Examples!$H$7*Examples!$H$8*EXP(-Examples!$H$9*$A124)*(1-(Examples!$H$12*(1-EXP(-Examples!$H$13*$A124))/(1+EXP(MIN(700,MAX(-700,(Examples!$H$14*$A124-Examples!$H$15)/Examples!$H$16))))))+Examples!$H$17*$A124^2)</f>
        <v>591078.47203533468</v>
      </c>
      <c r="M124" s="33">
        <f>(Examples!$H$6*Examples!$H$7*Examples!$H$8*EXP(-Examples!$H$9*$A124)*(1-(Examples!$H$12*(1-EXP(-Examples!$H$13*$A124))/(1+EXP(MIN(700,MAX(-700,(Examples!$H$14*$A124-Examples!$H$15)/Examples!$H$16))))))+Examples!$H$17*$A124^2)</f>
        <v>847921.52796466532</v>
      </c>
    </row>
    <row r="125" spans="1:13" x14ac:dyDescent="0.25">
      <c r="A125">
        <f>(125-2)/100</f>
        <v>1.23</v>
      </c>
      <c r="B125" s="33">
        <f>Examples!$C$18-(Examples!$C$10+Examples!$C$11)*$A125-(Examples!$C$6*Examples!$C$7*Examples!$C$8*EXP(-Examples!$C$9*$A125)*(1-(Examples!$C$12*(1-EXP(-Examples!$C$13*$A125))/(1+EXP(MIN(700,MAX(-700,(Examples!$C$14*$A125-Examples!$C$15)/Examples!$C$16))))))+Examples!$C$17*$A125^2)</f>
        <v>197832.58088439837</v>
      </c>
      <c r="C125" s="33">
        <f>(Examples!$C$6*Examples!$C$7*Examples!$C$8*EXP(-Examples!$C$9*$A125)*(1-(Examples!$C$12*(1-EXP(-Examples!$C$13*$A125))/(1+EXP(MIN(700,MAX(-700,(Examples!$C$14*$A125-Examples!$C$15)/Examples!$C$16))))))+Examples!$C$17*$A125^2)</f>
        <v>359117.41911560163</v>
      </c>
      <c r="D125" s="33">
        <f>Examples!$D$18-(Examples!$D$10+Examples!$D$11)*$A125-(Examples!$D$6*Examples!$D$7*Examples!$D$8*EXP(-Examples!$D$9*$A125)*(1-(Examples!$D$12*(1-EXP(-Examples!$D$13*$A125))/(1+EXP(MIN(700,MAX(-700,(Examples!$D$14*$A125-Examples!$D$15)/Examples!$D$16))))))+Examples!$D$17*$A125^2)</f>
        <v>292492.73108775029</v>
      </c>
      <c r="E125" s="33">
        <f>(Examples!$D$6*Examples!$D$7*Examples!$D$8*EXP(-Examples!$D$9*$A125)*(1-(Examples!$D$12*(1-EXP(-Examples!$D$13*$A125))/(1+EXP(MIN(700,MAX(-700,(Examples!$D$14*$A125-Examples!$D$15)/Examples!$D$16))))))+Examples!$D$17*$A125^2)</f>
        <v>2152157.2689122497</v>
      </c>
      <c r="F125" s="33">
        <f>Examples!$E$18-(Examples!$E$10+Examples!$E$11)*$A125-(Examples!$E$6*Examples!$E$7*Examples!$E$8*EXP(-Examples!$E$9*$A125)*(1-(Examples!$E$12*(1-EXP(-Examples!$E$13*$A125))/(1+EXP(MIN(700,MAX(-700,(Examples!$E$14*$A125-Examples!$E$15)/Examples!$E$16))))))+Examples!$E$17*$A125^2)</f>
        <v>2113974.6254445352</v>
      </c>
      <c r="G125" s="33">
        <f>(Examples!$E$6*Examples!$E$7*Examples!$E$8*EXP(-Examples!$E$9*$A125)*(1-(Examples!$E$12*(1-EXP(-Examples!$E$13*$A125))/(1+EXP(MIN(700,MAX(-700,(Examples!$E$14*$A125-Examples!$E$15)/Examples!$E$16))))))+Examples!$E$17*$A125^2)</f>
        <v>781475.37455546495</v>
      </c>
      <c r="H125" s="33">
        <f>Examples!$F$18-(Examples!$F$10+Examples!$F$11)*$A125-(Examples!$F$6*Examples!$F$7*Examples!$F$8*EXP(-Examples!$F$9*$A125)*(1-(Examples!$F$12*(1-EXP(-Examples!$F$13*$A125))/(1+EXP(MIN(700,MAX(-700,(Examples!$F$14*$A125-Examples!$F$15)/Examples!$F$16))))))+Examples!$F$17*$A125^2)</f>
        <v>83940.969872333284</v>
      </c>
      <c r="I125" s="33">
        <f>(Examples!$F$6*Examples!$F$7*Examples!$F$8*EXP(-Examples!$F$9*$A125)*(1-(Examples!$F$12*(1-EXP(-Examples!$F$13*$A125))/(1+EXP(MIN(700,MAX(-700,(Examples!$F$14*$A125-Examples!$F$15)/Examples!$F$16))))))+Examples!$F$17*$A125^2)</f>
        <v>41459.030127666723</v>
      </c>
      <c r="J125" s="33">
        <f>Examples!$G$18-(Examples!$G$10+Examples!$G$11)*$A125-(Examples!$G$6*Examples!$G$7*Examples!$G$8*EXP(-Examples!$G$9*$A125)*(1-(Examples!$G$12*(1-EXP(-Examples!$G$13*$A125))/(1+EXP(MIN(700,MAX(-700,(Examples!$G$14*$A125-Examples!$G$15)/Examples!$G$16))))))+Examples!$G$17*$A125^2)</f>
        <v>529666.4546307174</v>
      </c>
      <c r="K125" s="33">
        <f>(Examples!$G$6*Examples!$G$7*Examples!$G$8*EXP(-Examples!$G$9*$A125)*(1-(Examples!$G$12*(1-EXP(-Examples!$G$13*$A125))/(1+EXP(MIN(700,MAX(-700,(Examples!$G$14*$A125-Examples!$G$15)/Examples!$G$16))))))+Examples!$G$17*$A125^2)</f>
        <v>908833.5453692826</v>
      </c>
      <c r="L125" s="33">
        <f>Examples!$H$18-(Examples!$H$10+Examples!$H$11)*$A125-(Examples!$H$6*Examples!$H$7*Examples!$H$8*EXP(-Examples!$H$9*$A125)*(1-(Examples!$H$12*(1-EXP(-Examples!$H$13*$A125))/(1+EXP(MIN(700,MAX(-700,(Examples!$H$14*$A125-Examples!$H$15)/Examples!$H$16))))))+Examples!$H$17*$A125^2)</f>
        <v>595826.40776460432</v>
      </c>
      <c r="M125" s="33">
        <f>(Examples!$H$6*Examples!$H$7*Examples!$H$8*EXP(-Examples!$H$9*$A125)*(1-(Examples!$H$12*(1-EXP(-Examples!$H$13*$A125))/(1+EXP(MIN(700,MAX(-700,(Examples!$H$14*$A125-Examples!$H$15)/Examples!$H$16))))))+Examples!$H$17*$A125^2)</f>
        <v>842673.59223539568</v>
      </c>
    </row>
    <row r="126" spans="1:13" x14ac:dyDescent="0.25">
      <c r="A126">
        <f>(126-2)/100</f>
        <v>1.24</v>
      </c>
      <c r="B126" s="33">
        <f>Examples!$C$18-(Examples!$C$10+Examples!$C$11)*$A126-(Examples!$C$6*Examples!$C$7*Examples!$C$8*EXP(-Examples!$C$9*$A126)*(1-(Examples!$C$12*(1-EXP(-Examples!$C$13*$A126))/(1+EXP(MIN(700,MAX(-700,(Examples!$C$14*$A126-Examples!$C$15)/Examples!$C$16))))))+Examples!$C$17*$A126^2)</f>
        <v>198109.71300499735</v>
      </c>
      <c r="C126" s="33">
        <f>(Examples!$C$6*Examples!$C$7*Examples!$C$8*EXP(-Examples!$C$9*$A126)*(1-(Examples!$C$12*(1-EXP(-Examples!$C$13*$A126))/(1+EXP(MIN(700,MAX(-700,(Examples!$C$14*$A126-Examples!$C$15)/Examples!$C$16))))))+Examples!$C$17*$A126^2)</f>
        <v>358490.28699500265</v>
      </c>
      <c r="D126" s="33">
        <f>Examples!$D$18-(Examples!$D$10+Examples!$D$11)*$A126-(Examples!$D$6*Examples!$D$7*Examples!$D$8*EXP(-Examples!$D$9*$A126)*(1-(Examples!$D$12*(1-EXP(-Examples!$D$13*$A126))/(1+EXP(MIN(700,MAX(-700,(Examples!$D$14*$A126-Examples!$D$15)/Examples!$D$16))))))+Examples!$D$17*$A126^2)</f>
        <v>308078.36346301017</v>
      </c>
      <c r="E126" s="33">
        <f>(Examples!$D$6*Examples!$D$7*Examples!$D$8*EXP(-Examples!$D$9*$A126)*(1-(Examples!$D$12*(1-EXP(-Examples!$D$13*$A126))/(1+EXP(MIN(700,MAX(-700,(Examples!$D$14*$A126-Examples!$D$15)/Examples!$D$16))))))+Examples!$D$17*$A126^2)</f>
        <v>2136121.6365369898</v>
      </c>
      <c r="F126" s="33">
        <f>Examples!$E$18-(Examples!$E$10+Examples!$E$11)*$A126-(Examples!$E$6*Examples!$E$7*Examples!$E$8*EXP(-Examples!$E$9*$A126)*(1-(Examples!$E$12*(1-EXP(-Examples!$E$13*$A126))/(1+EXP(MIN(700,MAX(-700,(Examples!$E$14*$A126-Examples!$E$15)/Examples!$E$16))))))+Examples!$E$17*$A126^2)</f>
        <v>2120139.9666783283</v>
      </c>
      <c r="G126" s="33">
        <f>(Examples!$E$6*Examples!$E$7*Examples!$E$8*EXP(-Examples!$E$9*$A126)*(1-(Examples!$E$12*(1-EXP(-Examples!$E$13*$A126))/(1+EXP(MIN(700,MAX(-700,(Examples!$E$14*$A126-Examples!$E$15)/Examples!$E$16))))))+Examples!$E$17*$A126^2)</f>
        <v>774460.03332167165</v>
      </c>
      <c r="H126" s="33">
        <f>Examples!$F$18-(Examples!$F$10+Examples!$F$11)*$A126-(Examples!$F$6*Examples!$F$7*Examples!$F$8*EXP(-Examples!$F$9*$A126)*(1-(Examples!$F$12*(1-EXP(-Examples!$F$13*$A126))/(1+EXP(MIN(700,MAX(-700,(Examples!$F$14*$A126-Examples!$F$15)/Examples!$F$16))))))+Examples!$F$17*$A126^2)</f>
        <v>83272.113529296039</v>
      </c>
      <c r="I126" s="33">
        <f>(Examples!$F$6*Examples!$F$7*Examples!$F$8*EXP(-Examples!$F$9*$A126)*(1-(Examples!$F$12*(1-EXP(-Examples!$F$13*$A126))/(1+EXP(MIN(700,MAX(-700,(Examples!$F$14*$A126-Examples!$F$15)/Examples!$F$16))))))+Examples!$F$17*$A126^2)</f>
        <v>41927.886470703954</v>
      </c>
      <c r="J126" s="33">
        <f>Examples!$G$18-(Examples!$G$10+Examples!$G$11)*$A126-(Examples!$G$6*Examples!$G$7*Examples!$G$8*EXP(-Examples!$G$9*$A126)*(1-(Examples!$G$12*(1-EXP(-Examples!$G$13*$A126))/(1+EXP(MIN(700,MAX(-700,(Examples!$G$14*$A126-Examples!$G$15)/Examples!$G$16))))))+Examples!$G$17*$A126^2)</f>
        <v>533621.18737648358</v>
      </c>
      <c r="K126" s="33">
        <f>(Examples!$G$6*Examples!$G$7*Examples!$G$8*EXP(-Examples!$G$9*$A126)*(1-(Examples!$G$12*(1-EXP(-Examples!$G$13*$A126))/(1+EXP(MIN(700,MAX(-700,(Examples!$G$14*$A126-Examples!$G$15)/Examples!$G$16))))))+Examples!$G$17*$A126^2)</f>
        <v>904378.81262351642</v>
      </c>
      <c r="L126" s="33">
        <f>Examples!$H$18-(Examples!$H$10+Examples!$H$11)*$A126-(Examples!$H$6*Examples!$H$7*Examples!$H$8*EXP(-Examples!$H$9*$A126)*(1-(Examples!$H$12*(1-EXP(-Examples!$H$13*$A126))/(1+EXP(MIN(700,MAX(-700,(Examples!$H$14*$A126-Examples!$H$15)/Examples!$H$16))))))+Examples!$H$17*$A126^2)</f>
        <v>600520.33076024114</v>
      </c>
      <c r="M126" s="33">
        <f>(Examples!$H$6*Examples!$H$7*Examples!$H$8*EXP(-Examples!$H$9*$A126)*(1-(Examples!$H$12*(1-EXP(-Examples!$H$13*$A126))/(1+EXP(MIN(700,MAX(-700,(Examples!$H$14*$A126-Examples!$H$15)/Examples!$H$16))))))+Examples!$H$17*$A126^2)</f>
        <v>837479.66923975886</v>
      </c>
    </row>
    <row r="127" spans="1:13" x14ac:dyDescent="0.25">
      <c r="A127">
        <f>(127-2)/100</f>
        <v>1.25</v>
      </c>
      <c r="B127" s="33">
        <f>Examples!$C$18-(Examples!$C$10+Examples!$C$11)*$A127-(Examples!$C$6*Examples!$C$7*Examples!$C$8*EXP(-Examples!$C$9*$A127)*(1-(Examples!$C$12*(1-EXP(-Examples!$C$13*$A127))/(1+EXP(MIN(700,MAX(-700,(Examples!$C$14*$A127-Examples!$C$15)/Examples!$C$16))))))+Examples!$C$17*$A127^2)</f>
        <v>198362.36584261927</v>
      </c>
      <c r="C127" s="33">
        <f>(Examples!$C$6*Examples!$C$7*Examples!$C$8*EXP(-Examples!$C$9*$A127)*(1-(Examples!$C$12*(1-EXP(-Examples!$C$13*$A127))/(1+EXP(MIN(700,MAX(-700,(Examples!$C$14*$A127-Examples!$C$15)/Examples!$C$16))))))+Examples!$C$17*$A127^2)</f>
        <v>357887.63415738073</v>
      </c>
      <c r="D127" s="33">
        <f>Examples!$D$18-(Examples!$D$10+Examples!$D$11)*$A127-(Examples!$D$6*Examples!$D$7*Examples!$D$8*EXP(-Examples!$D$9*$A127)*(1-(Examples!$D$12*(1-EXP(-Examples!$D$13*$A127))/(1+EXP(MIN(700,MAX(-700,(Examples!$D$14*$A127-Examples!$D$15)/Examples!$D$16))))))+Examples!$D$17*$A127^2)</f>
        <v>323505.02354102815</v>
      </c>
      <c r="E127" s="33">
        <f>(Examples!$D$6*Examples!$D$7*Examples!$D$8*EXP(-Examples!$D$9*$A127)*(1-(Examples!$D$12*(1-EXP(-Examples!$D$13*$A127))/(1+EXP(MIN(700,MAX(-700,(Examples!$D$14*$A127-Examples!$D$15)/Examples!$D$16))))))+Examples!$D$17*$A127^2)</f>
        <v>2120244.9764589719</v>
      </c>
      <c r="F127" s="33">
        <f>Examples!$E$18-(Examples!$E$10+Examples!$E$11)*$A127-(Examples!$E$6*Examples!$E$7*Examples!$E$8*EXP(-Examples!$E$9*$A127)*(1-(Examples!$E$12*(1-EXP(-Examples!$E$13*$A127))/(1+EXP(MIN(700,MAX(-700,(Examples!$E$14*$A127-Examples!$E$15)/Examples!$E$16))))))+Examples!$E$17*$A127^2)</f>
        <v>2126224.794117366</v>
      </c>
      <c r="G127" s="33">
        <f>(Examples!$E$6*Examples!$E$7*Examples!$E$8*EXP(-Examples!$E$9*$A127)*(1-(Examples!$E$12*(1-EXP(-Examples!$E$13*$A127))/(1+EXP(MIN(700,MAX(-700,(Examples!$E$14*$A127-Examples!$E$15)/Examples!$E$16))))))+Examples!$E$17*$A127^2)</f>
        <v>767525.20588263415</v>
      </c>
      <c r="H127" s="33">
        <f>Examples!$F$18-(Examples!$F$10+Examples!$F$11)*$A127-(Examples!$F$6*Examples!$F$7*Examples!$F$8*EXP(-Examples!$F$9*$A127)*(1-(Examples!$F$12*(1-EXP(-Examples!$F$13*$A127))/(1+EXP(MIN(700,MAX(-700,(Examples!$F$14*$A127-Examples!$F$15)/Examples!$F$16))))))+Examples!$F$17*$A127^2)</f>
        <v>82598.890659376557</v>
      </c>
      <c r="I127" s="33">
        <f>(Examples!$F$6*Examples!$F$7*Examples!$F$8*EXP(-Examples!$F$9*$A127)*(1-(Examples!$F$12*(1-EXP(-Examples!$F$13*$A127))/(1+EXP(MIN(700,MAX(-700,(Examples!$F$14*$A127-Examples!$F$15)/Examples!$F$16))))))+Examples!$F$17*$A127^2)</f>
        <v>42401.109340623443</v>
      </c>
      <c r="J127" s="33">
        <f>Examples!$G$18-(Examples!$G$10+Examples!$G$11)*$A127-(Examples!$G$6*Examples!$G$7*Examples!$G$8*EXP(-Examples!$G$9*$A127)*(1-(Examples!$G$12*(1-EXP(-Examples!$G$13*$A127))/(1+EXP(MIN(700,MAX(-700,(Examples!$G$14*$A127-Examples!$G$15)/Examples!$G$16))))))+Examples!$G$17*$A127^2)</f>
        <v>537523.52939487551</v>
      </c>
      <c r="K127" s="33">
        <f>(Examples!$G$6*Examples!$G$7*Examples!$G$8*EXP(-Examples!$G$9*$A127)*(1-(Examples!$G$12*(1-EXP(-Examples!$G$13*$A127))/(1+EXP(MIN(700,MAX(-700,(Examples!$G$14*$A127-Examples!$G$15)/Examples!$G$16))))))+Examples!$G$17*$A127^2)</f>
        <v>899976.47060512449</v>
      </c>
      <c r="L127" s="33">
        <f>Examples!$H$18-(Examples!$H$10+Examples!$H$11)*$A127-(Examples!$H$6*Examples!$H$7*Examples!$H$8*EXP(-Examples!$H$9*$A127)*(1-(Examples!$H$12*(1-EXP(-Examples!$H$13*$A127))/(1+EXP(MIN(700,MAX(-700,(Examples!$H$14*$A127-Examples!$H$15)/Examples!$H$16))))))+Examples!$H$17*$A127^2)</f>
        <v>605160.34191169927</v>
      </c>
      <c r="M127" s="33">
        <f>(Examples!$H$6*Examples!$H$7*Examples!$H$8*EXP(-Examples!$H$9*$A127)*(1-(Examples!$H$12*(1-EXP(-Examples!$H$13*$A127))/(1+EXP(MIN(700,MAX(-700,(Examples!$H$14*$A127-Examples!$H$15)/Examples!$H$16))))))+Examples!$H$17*$A127^2)</f>
        <v>832339.65808830073</v>
      </c>
    </row>
    <row r="128" spans="1:13" x14ac:dyDescent="0.25">
      <c r="A128">
        <f>(128-2)/100</f>
        <v>1.26</v>
      </c>
      <c r="B128" s="33">
        <f>Examples!$C$18-(Examples!$C$10+Examples!$C$11)*$A128-(Examples!$C$6*Examples!$C$7*Examples!$C$8*EXP(-Examples!$C$9*$A128)*(1-(Examples!$C$12*(1-EXP(-Examples!$C$13*$A128))/(1+EXP(MIN(700,MAX(-700,(Examples!$C$14*$A128-Examples!$C$15)/Examples!$C$16))))))+Examples!$C$17*$A128^2)</f>
        <v>198590.53977378359</v>
      </c>
      <c r="C128" s="33">
        <f>(Examples!$C$6*Examples!$C$7*Examples!$C$8*EXP(-Examples!$C$9*$A128)*(1-(Examples!$C$12*(1-EXP(-Examples!$C$13*$A128))/(1+EXP(MIN(700,MAX(-700,(Examples!$C$14*$A128-Examples!$C$15)/Examples!$C$16))))))+Examples!$C$17*$A128^2)</f>
        <v>357309.46022621641</v>
      </c>
      <c r="D128" s="33">
        <f>Examples!$D$18-(Examples!$D$10+Examples!$D$11)*$A128-(Examples!$D$6*Examples!$D$7*Examples!$D$8*EXP(-Examples!$D$9*$A128)*(1-(Examples!$D$12*(1-EXP(-Examples!$D$13*$A128))/(1+EXP(MIN(700,MAX(-700,(Examples!$D$14*$A128-Examples!$D$15)/Examples!$D$16))))))+Examples!$D$17*$A128^2)</f>
        <v>338774.16232539574</v>
      </c>
      <c r="E128" s="33">
        <f>(Examples!$D$6*Examples!$D$7*Examples!$D$8*EXP(-Examples!$D$9*$A128)*(1-(Examples!$D$12*(1-EXP(-Examples!$D$13*$A128))/(1+EXP(MIN(700,MAX(-700,(Examples!$D$14*$A128-Examples!$D$15)/Examples!$D$16))))))+Examples!$D$17*$A128^2)</f>
        <v>2104525.8376746043</v>
      </c>
      <c r="F128" s="33">
        <f>Examples!$E$18-(Examples!$E$10+Examples!$E$11)*$A128-(Examples!$E$6*Examples!$E$7*Examples!$E$8*EXP(-Examples!$E$9*$A128)*(1-(Examples!$E$12*(1-EXP(-Examples!$E$13*$A128))/(1+EXP(MIN(700,MAX(-700,(Examples!$E$14*$A128-Examples!$E$15)/Examples!$E$16))))))+Examples!$E$17*$A128^2)</f>
        <v>2132230.0250036535</v>
      </c>
      <c r="G128" s="33">
        <f>(Examples!$E$6*Examples!$E$7*Examples!$E$8*EXP(-Examples!$E$9*$A128)*(1-(Examples!$E$12*(1-EXP(-Examples!$E$13*$A128))/(1+EXP(MIN(700,MAX(-700,(Examples!$E$14*$A128-Examples!$E$15)/Examples!$E$16))))))+Examples!$E$17*$A128^2)</f>
        <v>760669.9749963464</v>
      </c>
      <c r="H128" s="33">
        <f>Examples!$F$18-(Examples!$F$10+Examples!$F$11)*$A128-(Examples!$F$6*Examples!$F$7*Examples!$F$8*EXP(-Examples!$F$9*$A128)*(1-(Examples!$F$12*(1-EXP(-Examples!$F$13*$A128))/(1+EXP(MIN(700,MAX(-700,(Examples!$F$14*$A128-Examples!$F$15)/Examples!$F$16))))))+Examples!$F$17*$A128^2)</f>
        <v>81921.313610794881</v>
      </c>
      <c r="I128" s="33">
        <f>(Examples!$F$6*Examples!$F$7*Examples!$F$8*EXP(-Examples!$F$9*$A128)*(1-(Examples!$F$12*(1-EXP(-Examples!$F$13*$A128))/(1+EXP(MIN(700,MAX(-700,(Examples!$F$14*$A128-Examples!$F$15)/Examples!$F$16))))))+Examples!$F$17*$A128^2)</f>
        <v>42878.686389205119</v>
      </c>
      <c r="J128" s="33">
        <f>Examples!$G$18-(Examples!$G$10+Examples!$G$11)*$A128-(Examples!$G$6*Examples!$G$7*Examples!$G$8*EXP(-Examples!$G$9*$A128)*(1-(Examples!$G$12*(1-EXP(-Examples!$G$13*$A128))/(1+EXP(MIN(700,MAX(-700,(Examples!$G$14*$A128-Examples!$G$15)/Examples!$G$16))))))+Examples!$G$17*$A128^2)</f>
        <v>541373.84815377067</v>
      </c>
      <c r="K128" s="33">
        <f>(Examples!$G$6*Examples!$G$7*Examples!$G$8*EXP(-Examples!$G$9*$A128)*(1-(Examples!$G$12*(1-EXP(-Examples!$G$13*$A128))/(1+EXP(MIN(700,MAX(-700,(Examples!$G$14*$A128-Examples!$G$15)/Examples!$G$16))))))+Examples!$G$17*$A128^2)</f>
        <v>895626.15184622933</v>
      </c>
      <c r="L128" s="33">
        <f>Examples!$H$18-(Examples!$H$10+Examples!$H$11)*$A128-(Examples!$H$6*Examples!$H$7*Examples!$H$8*EXP(-Examples!$H$9*$A128)*(1-(Examples!$H$12*(1-EXP(-Examples!$H$13*$A128))/(1+EXP(MIN(700,MAX(-700,(Examples!$H$14*$A128-Examples!$H$15)/Examples!$H$16))))))+Examples!$H$17*$A128^2)</f>
        <v>609746.53252033319</v>
      </c>
      <c r="M128" s="33">
        <f>(Examples!$H$6*Examples!$H$7*Examples!$H$8*EXP(-Examples!$H$9*$A128)*(1-(Examples!$H$12*(1-EXP(-Examples!$H$13*$A128))/(1+EXP(MIN(700,MAX(-700,(Examples!$H$14*$A128-Examples!$H$15)/Examples!$H$16))))))+Examples!$H$17*$A128^2)</f>
        <v>827253.46747966681</v>
      </c>
    </row>
    <row r="129" spans="1:13" x14ac:dyDescent="0.25">
      <c r="A129">
        <f>(129-2)/100</f>
        <v>1.27</v>
      </c>
      <c r="B129" s="33">
        <f>Examples!$C$18-(Examples!$C$10+Examples!$C$11)*$A129-(Examples!$C$6*Examples!$C$7*Examples!$C$8*EXP(-Examples!$C$9*$A129)*(1-(Examples!$C$12*(1-EXP(-Examples!$C$13*$A129))/(1+EXP(MIN(700,MAX(-700,(Examples!$C$14*$A129-Examples!$C$15)/Examples!$C$16))))))+Examples!$C$17*$A129^2)</f>
        <v>198794.24747057608</v>
      </c>
      <c r="C129" s="33">
        <f>(Examples!$C$6*Examples!$C$7*Examples!$C$8*EXP(-Examples!$C$9*$A129)*(1-(Examples!$C$12*(1-EXP(-Examples!$C$13*$A129))/(1+EXP(MIN(700,MAX(-700,(Examples!$C$14*$A129-Examples!$C$15)/Examples!$C$16))))))+Examples!$C$17*$A129^2)</f>
        <v>356755.75252942392</v>
      </c>
      <c r="D129" s="33">
        <f>Examples!$D$18-(Examples!$D$10+Examples!$D$11)*$A129-(Examples!$D$6*Examples!$D$7*Examples!$D$8*EXP(-Examples!$D$9*$A129)*(1-(Examples!$D$12*(1-EXP(-Examples!$D$13*$A129))/(1+EXP(MIN(700,MAX(-700,(Examples!$D$14*$A129-Examples!$D$15)/Examples!$D$16))))))+Examples!$D$17*$A129^2)</f>
        <v>353887.21574807237</v>
      </c>
      <c r="E129" s="33">
        <f>(Examples!$D$6*Examples!$D$7*Examples!$D$8*EXP(-Examples!$D$9*$A129)*(1-(Examples!$D$12*(1-EXP(-Examples!$D$13*$A129))/(1+EXP(MIN(700,MAX(-700,(Examples!$D$14*$A129-Examples!$D$15)/Examples!$D$16))))))+Examples!$D$17*$A129^2)</f>
        <v>2088962.7842519276</v>
      </c>
      <c r="F129" s="33">
        <f>Examples!$E$18-(Examples!$E$10+Examples!$E$11)*$A129-(Examples!$E$6*Examples!$E$7*Examples!$E$8*EXP(-Examples!$E$9*$A129)*(1-(Examples!$E$12*(1-EXP(-Examples!$E$13*$A129))/(1+EXP(MIN(700,MAX(-700,(Examples!$E$14*$A129-Examples!$E$15)/Examples!$E$16))))))+Examples!$E$17*$A129^2)</f>
        <v>2138156.5658553564</v>
      </c>
      <c r="G129" s="33">
        <f>(Examples!$E$6*Examples!$E$7*Examples!$E$8*EXP(-Examples!$E$9*$A129)*(1-(Examples!$E$12*(1-EXP(-Examples!$E$13*$A129))/(1+EXP(MIN(700,MAX(-700,(Examples!$E$14*$A129-Examples!$E$15)/Examples!$E$16))))))+Examples!$E$17*$A129^2)</f>
        <v>753893.43414464348</v>
      </c>
      <c r="H129" s="33">
        <f>Examples!$F$18-(Examples!$F$10+Examples!$F$11)*$A129-(Examples!$F$6*Examples!$F$7*Examples!$F$8*EXP(-Examples!$F$9*$A129)*(1-(Examples!$F$12*(1-EXP(-Examples!$F$13*$A129))/(1+EXP(MIN(700,MAX(-700,(Examples!$F$14*$A129-Examples!$F$15)/Examples!$F$16))))))+Examples!$F$17*$A129^2)</f>
        <v>81239.395185744332</v>
      </c>
      <c r="I129" s="33">
        <f>(Examples!$F$6*Examples!$F$7*Examples!$F$8*EXP(-Examples!$F$9*$A129)*(1-(Examples!$F$12*(1-EXP(-Examples!$F$13*$A129))/(1+EXP(MIN(700,MAX(-700,(Examples!$F$14*$A129-Examples!$F$15)/Examples!$F$16))))))+Examples!$F$17*$A129^2)</f>
        <v>43360.604814255676</v>
      </c>
      <c r="J129" s="33">
        <f>Examples!$G$18-(Examples!$G$10+Examples!$G$11)*$A129-(Examples!$G$6*Examples!$G$7*Examples!$G$8*EXP(-Examples!$G$9*$A129)*(1-(Examples!$G$12*(1-EXP(-Examples!$G$13*$A129))/(1+EXP(MIN(700,MAX(-700,(Examples!$G$14*$A129-Examples!$G$15)/Examples!$G$16))))))+Examples!$G$17*$A129^2)</f>
        <v>545172.50974231423</v>
      </c>
      <c r="K129" s="33">
        <f>(Examples!$G$6*Examples!$G$7*Examples!$G$8*EXP(-Examples!$G$9*$A129)*(1-(Examples!$G$12*(1-EXP(-Examples!$G$13*$A129))/(1+EXP(MIN(700,MAX(-700,(Examples!$G$14*$A129-Examples!$G$15)/Examples!$G$16))))))+Examples!$G$17*$A129^2)</f>
        <v>891327.49025768577</v>
      </c>
      <c r="L129" s="33">
        <f>Examples!$H$18-(Examples!$H$10+Examples!$H$11)*$A129-(Examples!$H$6*Examples!$H$7*Examples!$H$8*EXP(-Examples!$H$9*$A129)*(1-(Examples!$H$12*(1-EXP(-Examples!$H$13*$A129))/(1+EXP(MIN(700,MAX(-700,(Examples!$H$14*$A129-Examples!$H$15)/Examples!$H$16))))))+Examples!$H$17*$A129^2)</f>
        <v>614278.98420013126</v>
      </c>
      <c r="M129" s="33">
        <f>(Examples!$H$6*Examples!$H$7*Examples!$H$8*EXP(-Examples!$H$9*$A129)*(1-(Examples!$H$12*(1-EXP(-Examples!$H$13*$A129))/(1+EXP(MIN(700,MAX(-700,(Examples!$H$14*$A129-Examples!$H$15)/Examples!$H$16))))))+Examples!$H$17*$A129^2)</f>
        <v>822221.01579986874</v>
      </c>
    </row>
    <row r="130" spans="1:13" x14ac:dyDescent="0.25">
      <c r="A130">
        <f>(130-2)/100</f>
        <v>1.28</v>
      </c>
      <c r="B130" s="33">
        <f>Examples!$C$18-(Examples!$C$10+Examples!$C$11)*$A130-(Examples!$C$6*Examples!$C$7*Examples!$C$8*EXP(-Examples!$C$9*$A130)*(1-(Examples!$C$12*(1-EXP(-Examples!$C$13*$A130))/(1+EXP(MIN(700,MAX(-700,(Examples!$C$14*$A130-Examples!$C$15)/Examples!$C$16))))))+Examples!$C$17*$A130^2)</f>
        <v>198973.51450688945</v>
      </c>
      <c r="C130" s="33">
        <f>(Examples!$C$6*Examples!$C$7*Examples!$C$8*EXP(-Examples!$C$9*$A130)*(1-(Examples!$C$12*(1-EXP(-Examples!$C$13*$A130))/(1+EXP(MIN(700,MAX(-700,(Examples!$C$14*$A130-Examples!$C$15)/Examples!$C$16))))))+Examples!$C$17*$A130^2)</f>
        <v>356226.48549311055</v>
      </c>
      <c r="D130" s="33">
        <f>Examples!$D$18-(Examples!$D$10+Examples!$D$11)*$A130-(Examples!$D$6*Examples!$D$7*Examples!$D$8*EXP(-Examples!$D$9*$A130)*(1-(Examples!$D$12*(1-EXP(-Examples!$D$13*$A130))/(1+EXP(MIN(700,MAX(-700,(Examples!$D$14*$A130-Examples!$D$15)/Examples!$D$16))))))+Examples!$D$17*$A130^2)</f>
        <v>368845.60483109904</v>
      </c>
      <c r="E130" s="33">
        <f>(Examples!$D$6*Examples!$D$7*Examples!$D$8*EXP(-Examples!$D$9*$A130)*(1-(Examples!$D$12*(1-EXP(-Examples!$D$13*$A130))/(1+EXP(MIN(700,MAX(-700,(Examples!$D$14*$A130-Examples!$D$15)/Examples!$D$16))))))+Examples!$D$17*$A130^2)</f>
        <v>2073554.395168901</v>
      </c>
      <c r="F130" s="33">
        <f>Examples!$E$18-(Examples!$E$10+Examples!$E$11)*$A130-(Examples!$E$6*Examples!$E$7*Examples!$E$8*EXP(-Examples!$E$9*$A130)*(1-(Examples!$E$12*(1-EXP(-Examples!$E$13*$A130))/(1+EXP(MIN(700,MAX(-700,(Examples!$E$14*$A130-Examples!$E$15)/Examples!$E$16))))))+Examples!$E$17*$A130^2)</f>
        <v>2144005.3125943104</v>
      </c>
      <c r="G130" s="33">
        <f>(Examples!$E$6*Examples!$E$7*Examples!$E$8*EXP(-Examples!$E$9*$A130)*(1-(Examples!$E$12*(1-EXP(-Examples!$E$13*$A130))/(1+EXP(MIN(700,MAX(-700,(Examples!$E$14*$A130-Examples!$E$15)/Examples!$E$16))))))+Examples!$E$17*$A130^2)</f>
        <v>747194.68740568985</v>
      </c>
      <c r="H130" s="33">
        <f>Examples!$F$18-(Examples!$F$10+Examples!$F$11)*$A130-(Examples!$F$6*Examples!$F$7*Examples!$F$8*EXP(-Examples!$F$9*$A130)*(1-(Examples!$F$12*(1-EXP(-Examples!$F$13*$A130))/(1+EXP(MIN(700,MAX(-700,(Examples!$F$14*$A130-Examples!$F$15)/Examples!$F$16))))))+Examples!$F$17*$A130^2)</f>
        <v>80553.148608840769</v>
      </c>
      <c r="I130" s="33">
        <f>(Examples!$F$6*Examples!$F$7*Examples!$F$8*EXP(-Examples!$F$9*$A130)*(1-(Examples!$F$12*(1-EXP(-Examples!$F$13*$A130))/(1+EXP(MIN(700,MAX(-700,(Examples!$F$14*$A130-Examples!$F$15)/Examples!$F$16))))))+Examples!$F$17*$A130^2)</f>
        <v>43846.851391159231</v>
      </c>
      <c r="J130" s="33">
        <f>Examples!$G$18-(Examples!$G$10+Examples!$G$11)*$A130-(Examples!$G$6*Examples!$G$7*Examples!$G$8*EXP(-Examples!$G$9*$A130)*(1-(Examples!$G$12*(1-EXP(-Examples!$G$13*$A130))/(1+EXP(MIN(700,MAX(-700,(Examples!$G$14*$A130-Examples!$G$15)/Examples!$G$16))))))+Examples!$G$17*$A130^2)</f>
        <v>548919.87891802983</v>
      </c>
      <c r="K130" s="33">
        <f>(Examples!$G$6*Examples!$G$7*Examples!$G$8*EXP(-Examples!$G$9*$A130)*(1-(Examples!$G$12*(1-EXP(-Examples!$G$13*$A130))/(1+EXP(MIN(700,MAX(-700,(Examples!$G$14*$A130-Examples!$G$15)/Examples!$G$16))))))+Examples!$G$17*$A130^2)</f>
        <v>887080.12108197017</v>
      </c>
      <c r="L130" s="33">
        <f>Examples!$H$18-(Examples!$H$10+Examples!$H$11)*$A130-(Examples!$H$6*Examples!$H$7*Examples!$H$8*EXP(-Examples!$H$9*$A130)*(1-(Examples!$H$12*(1-EXP(-Examples!$H$13*$A130))/(1+EXP(MIN(700,MAX(-700,(Examples!$H$14*$A130-Examples!$H$15)/Examples!$H$16))))))+Examples!$H$17*$A130^2)</f>
        <v>618757.76877917279</v>
      </c>
      <c r="M130" s="33">
        <f>(Examples!$H$6*Examples!$H$7*Examples!$H$8*EXP(-Examples!$H$9*$A130)*(1-(Examples!$H$12*(1-EXP(-Examples!$H$13*$A130))/(1+EXP(MIN(700,MAX(-700,(Examples!$H$14*$A130-Examples!$H$15)/Examples!$H$16))))))+Examples!$H$17*$A130^2)</f>
        <v>817242.23122082721</v>
      </c>
    </row>
    <row r="131" spans="1:13" x14ac:dyDescent="0.25">
      <c r="A131">
        <f>(131-2)/100</f>
        <v>1.29</v>
      </c>
      <c r="B131" s="33">
        <f>Examples!$C$18-(Examples!$C$10+Examples!$C$11)*$A131-(Examples!$C$6*Examples!$C$7*Examples!$C$8*EXP(-Examples!$C$9*$A131)*(1-(Examples!$C$12*(1-EXP(-Examples!$C$13*$A131))/(1+EXP(MIN(700,MAX(-700,(Examples!$C$14*$A131-Examples!$C$15)/Examples!$C$16))))))+Examples!$C$17*$A131^2)</f>
        <v>199128.37995480077</v>
      </c>
      <c r="C131" s="33">
        <f>(Examples!$C$6*Examples!$C$7*Examples!$C$8*EXP(-Examples!$C$9*$A131)*(1-(Examples!$C$12*(1-EXP(-Examples!$C$13*$A131))/(1+EXP(MIN(700,MAX(-700,(Examples!$C$14*$A131-Examples!$C$15)/Examples!$C$16))))))+Examples!$C$17*$A131^2)</f>
        <v>355721.62004519923</v>
      </c>
      <c r="D131" s="33">
        <f>Examples!$D$18-(Examples!$D$10+Examples!$D$11)*$A131-(Examples!$D$6*Examples!$D$7*Examples!$D$8*EXP(-Examples!$D$9*$A131)*(1-(Examples!$D$12*(1-EXP(-Examples!$D$13*$A131))/(1+EXP(MIN(700,MAX(-700,(Examples!$D$14*$A131-Examples!$D$15)/Examples!$D$16))))))+Examples!$D$17*$A131^2)</f>
        <v>383650.73584686685</v>
      </c>
      <c r="E131" s="33">
        <f>(Examples!$D$6*Examples!$D$7*Examples!$D$8*EXP(-Examples!$D$9*$A131)*(1-(Examples!$D$12*(1-EXP(-Examples!$D$13*$A131))/(1+EXP(MIN(700,MAX(-700,(Examples!$D$14*$A131-Examples!$D$15)/Examples!$D$16))))))+Examples!$D$17*$A131^2)</f>
        <v>2058299.2641531331</v>
      </c>
      <c r="F131" s="33">
        <f>Examples!$E$18-(Examples!$E$10+Examples!$E$11)*$A131-(Examples!$E$6*Examples!$E$7*Examples!$E$8*EXP(-Examples!$E$9*$A131)*(1-(Examples!$E$12*(1-EXP(-Examples!$E$13*$A131))/(1+EXP(MIN(700,MAX(-700,(Examples!$E$14*$A131-Examples!$E$15)/Examples!$E$16))))))+Examples!$E$17*$A131^2)</f>
        <v>2149777.1506720176</v>
      </c>
      <c r="G131" s="33">
        <f>(Examples!$E$6*Examples!$E$7*Examples!$E$8*EXP(-Examples!$E$9*$A131)*(1-(Examples!$E$12*(1-EXP(-Examples!$E$13*$A131))/(1+EXP(MIN(700,MAX(-700,(Examples!$E$14*$A131-Examples!$E$15)/Examples!$E$16))))))+Examples!$E$17*$A131^2)</f>
        <v>740572.84932798229</v>
      </c>
      <c r="H131" s="33">
        <f>Examples!$F$18-(Examples!$F$10+Examples!$F$11)*$A131-(Examples!$F$6*Examples!$F$7*Examples!$F$8*EXP(-Examples!$F$9*$A131)*(1-(Examples!$F$12*(1-EXP(-Examples!$F$13*$A131))/(1+EXP(MIN(700,MAX(-700,(Examples!$F$14*$A131-Examples!$F$15)/Examples!$F$16))))))+Examples!$F$17*$A131^2)</f>
        <v>79862.587493054496</v>
      </c>
      <c r="I131" s="33">
        <f>(Examples!$F$6*Examples!$F$7*Examples!$F$8*EXP(-Examples!$F$9*$A131)*(1-(Examples!$F$12*(1-EXP(-Examples!$F$13*$A131))/(1+EXP(MIN(700,MAX(-700,(Examples!$F$14*$A131-Examples!$F$15)/Examples!$F$16))))))+Examples!$F$17*$A131^2)</f>
        <v>44337.412506945504</v>
      </c>
      <c r="J131" s="33">
        <f>Examples!$G$18-(Examples!$G$10+Examples!$G$11)*$A131-(Examples!$G$6*Examples!$G$7*Examples!$G$8*EXP(-Examples!$G$9*$A131)*(1-(Examples!$G$12*(1-EXP(-Examples!$G$13*$A131))/(1+EXP(MIN(700,MAX(-700,(Examples!$G$14*$A131-Examples!$G$15)/Examples!$G$16))))))+Examples!$G$17*$A131^2)</f>
        <v>552616.31915352773</v>
      </c>
      <c r="K131" s="33">
        <f>(Examples!$G$6*Examples!$G$7*Examples!$G$8*EXP(-Examples!$G$9*$A131)*(1-(Examples!$G$12*(1-EXP(-Examples!$G$13*$A131))/(1+EXP(MIN(700,MAX(-700,(Examples!$G$14*$A131-Examples!$G$15)/Examples!$G$16))))))+Examples!$G$17*$A131^2)</f>
        <v>882883.68084647227</v>
      </c>
      <c r="L131" s="33">
        <f>Examples!$H$18-(Examples!$H$10+Examples!$H$11)*$A131-(Examples!$H$6*Examples!$H$7*Examples!$H$8*EXP(-Examples!$H$9*$A131)*(1-(Examples!$H$12*(1-EXP(-Examples!$H$13*$A131))/(1+EXP(MIN(700,MAX(-700,(Examples!$H$14*$A131-Examples!$H$15)/Examples!$H$16))))))+Examples!$H$17*$A131^2)</f>
        <v>623182.94820208731</v>
      </c>
      <c r="M131" s="33">
        <f>(Examples!$H$6*Examples!$H$7*Examples!$H$8*EXP(-Examples!$H$9*$A131)*(1-(Examples!$H$12*(1-EXP(-Examples!$H$13*$A131))/(1+EXP(MIN(700,MAX(-700,(Examples!$H$14*$A131-Examples!$H$15)/Examples!$H$16))))))+Examples!$H$17*$A131^2)</f>
        <v>812317.05179791269</v>
      </c>
    </row>
    <row r="132" spans="1:13" x14ac:dyDescent="0.25">
      <c r="A132">
        <f>(132-2)/100</f>
        <v>1.3</v>
      </c>
      <c r="B132" s="33">
        <f>Examples!$C$18-(Examples!$C$10+Examples!$C$11)*$A132-(Examples!$C$6*Examples!$C$7*Examples!$C$8*EXP(-Examples!$C$9*$A132)*(1-(Examples!$C$12*(1-EXP(-Examples!$C$13*$A132))/(1+EXP(MIN(700,MAX(-700,(Examples!$C$14*$A132-Examples!$C$15)/Examples!$C$16))))))+Examples!$C$17*$A132^2)</f>
        <v>199258.89696810039</v>
      </c>
      <c r="C132" s="33">
        <f>(Examples!$C$6*Examples!$C$7*Examples!$C$8*EXP(-Examples!$C$9*$A132)*(1-(Examples!$C$12*(1-EXP(-Examples!$C$13*$A132))/(1+EXP(MIN(700,MAX(-700,(Examples!$C$14*$A132-Examples!$C$15)/Examples!$C$16))))))+Examples!$C$17*$A132^2)</f>
        <v>355241.10303189961</v>
      </c>
      <c r="D132" s="33">
        <f>Examples!$D$18-(Examples!$D$10+Examples!$D$11)*$A132-(Examples!$D$6*Examples!$D$7*Examples!$D$8*EXP(-Examples!$D$9*$A132)*(1-(Examples!$D$12*(1-EXP(-Examples!$D$13*$A132))/(1+EXP(MIN(700,MAX(-700,(Examples!$D$14*$A132-Examples!$D$15)/Examples!$D$16))))))+Examples!$D$17*$A132^2)</f>
        <v>398304.00047695637</v>
      </c>
      <c r="E132" s="33">
        <f>(Examples!$D$6*Examples!$D$7*Examples!$D$8*EXP(-Examples!$D$9*$A132)*(1-(Examples!$D$12*(1-EXP(-Examples!$D$13*$A132))/(1+EXP(MIN(700,MAX(-700,(Examples!$D$14*$A132-Examples!$D$15)/Examples!$D$16))))))+Examples!$D$17*$A132^2)</f>
        <v>2043195.9995230436</v>
      </c>
      <c r="F132" s="33">
        <f>Examples!$E$18-(Examples!$E$10+Examples!$E$11)*$A132-(Examples!$E$6*Examples!$E$7*Examples!$E$8*EXP(-Examples!$E$9*$A132)*(1-(Examples!$E$12*(1-EXP(-Examples!$E$13*$A132))/(1+EXP(MIN(700,MAX(-700,(Examples!$E$14*$A132-Examples!$E$15)/Examples!$E$16))))))+Examples!$E$17*$A132^2)</f>
        <v>2155472.9551941562</v>
      </c>
      <c r="G132" s="33">
        <f>(Examples!$E$6*Examples!$E$7*Examples!$E$8*EXP(-Examples!$E$9*$A132)*(1-(Examples!$E$12*(1-EXP(-Examples!$E$13*$A132))/(1+EXP(MIN(700,MAX(-700,(Examples!$E$14*$A132-Examples!$E$15)/Examples!$E$16))))))+Examples!$E$17*$A132^2)</f>
        <v>734027.04480584385</v>
      </c>
      <c r="H132" s="33">
        <f>Examples!$F$18-(Examples!$F$10+Examples!$F$11)*$A132-(Examples!$F$6*Examples!$F$7*Examples!$F$8*EXP(-Examples!$F$9*$A132)*(1-(Examples!$F$12*(1-EXP(-Examples!$F$13*$A132))/(1+EXP(MIN(700,MAX(-700,(Examples!$F$14*$A132-Examples!$F$15)/Examples!$F$16))))))+Examples!$F$17*$A132^2)</f>
        <v>79167.725803316513</v>
      </c>
      <c r="I132" s="33">
        <f>(Examples!$F$6*Examples!$F$7*Examples!$F$8*EXP(-Examples!$F$9*$A132)*(1-(Examples!$F$12*(1-EXP(-Examples!$F$13*$A132))/(1+EXP(MIN(700,MAX(-700,(Examples!$F$14*$A132-Examples!$F$15)/Examples!$F$16))))))+Examples!$F$17*$A132^2)</f>
        <v>44832.274196683487</v>
      </c>
      <c r="J132" s="33">
        <f>Examples!$G$18-(Examples!$G$10+Examples!$G$11)*$A132-(Examples!$G$6*Examples!$G$7*Examples!$G$8*EXP(-Examples!$G$9*$A132)*(1-(Examples!$G$12*(1-EXP(-Examples!$G$13*$A132))/(1+EXP(MIN(700,MAX(-700,(Examples!$G$14*$A132-Examples!$G$15)/Examples!$G$16))))))+Examples!$G$17*$A132^2)</f>
        <v>556262.19268279034</v>
      </c>
      <c r="K132" s="33">
        <f>(Examples!$G$6*Examples!$G$7*Examples!$G$8*EXP(-Examples!$G$9*$A132)*(1-(Examples!$G$12*(1-EXP(-Examples!$G$13*$A132))/(1+EXP(MIN(700,MAX(-700,(Examples!$G$14*$A132-Examples!$G$15)/Examples!$G$16))))))+Examples!$G$17*$A132^2)</f>
        <v>878737.80731720966</v>
      </c>
      <c r="L132" s="33">
        <f>Examples!$H$18-(Examples!$H$10+Examples!$H$11)*$A132-(Examples!$H$6*Examples!$H$7*Examples!$H$8*EXP(-Examples!$H$9*$A132)*(1-(Examples!$H$12*(1-EXP(-Examples!$H$13*$A132))/(1+EXP(MIN(700,MAX(-700,(Examples!$H$14*$A132-Examples!$H$15)/Examples!$H$16))))))+Examples!$H$17*$A132^2)</f>
        <v>627554.57443382614</v>
      </c>
      <c r="M132" s="33">
        <f>(Examples!$H$6*Examples!$H$7*Examples!$H$8*EXP(-Examples!$H$9*$A132)*(1-(Examples!$H$12*(1-EXP(-Examples!$H$13*$A132))/(1+EXP(MIN(700,MAX(-700,(Examples!$H$14*$A132-Examples!$H$15)/Examples!$H$16))))))+Examples!$H$17*$A132^2)</f>
        <v>807445.42556617386</v>
      </c>
    </row>
    <row r="133" spans="1:13" x14ac:dyDescent="0.25">
      <c r="A133">
        <f>(133-2)/100</f>
        <v>1.31</v>
      </c>
      <c r="B133" s="33">
        <f>Examples!$C$18-(Examples!$C$10+Examples!$C$11)*$A133-(Examples!$C$6*Examples!$C$7*Examples!$C$8*EXP(-Examples!$C$9*$A133)*(1-(Examples!$C$12*(1-EXP(-Examples!$C$13*$A133))/(1+EXP(MIN(700,MAX(-700,(Examples!$C$14*$A133-Examples!$C$15)/Examples!$C$16))))))+Examples!$C$17*$A133^2)</f>
        <v>199365.1333498687</v>
      </c>
      <c r="C133" s="33">
        <f>(Examples!$C$6*Examples!$C$7*Examples!$C$8*EXP(-Examples!$C$9*$A133)*(1-(Examples!$C$12*(1-EXP(-Examples!$C$13*$A133))/(1+EXP(MIN(700,MAX(-700,(Examples!$C$14*$A133-Examples!$C$15)/Examples!$C$16))))))+Examples!$C$17*$A133^2)</f>
        <v>354784.8666501313</v>
      </c>
      <c r="D133" s="33">
        <f>Examples!$D$18-(Examples!$D$10+Examples!$D$11)*$A133-(Examples!$D$6*Examples!$D$7*Examples!$D$8*EXP(-Examples!$D$9*$A133)*(1-(Examples!$D$12*(1-EXP(-Examples!$D$13*$A133))/(1+EXP(MIN(700,MAX(-700,(Examples!$D$14*$A133-Examples!$D$15)/Examples!$D$16))))))+Examples!$D$17*$A133^2)</f>
        <v>412806.77596954885</v>
      </c>
      <c r="E133" s="33">
        <f>(Examples!$D$6*Examples!$D$7*Examples!$D$8*EXP(-Examples!$D$9*$A133)*(1-(Examples!$D$12*(1-EXP(-Examples!$D$13*$A133))/(1+EXP(MIN(700,MAX(-700,(Examples!$D$14*$A133-Examples!$D$15)/Examples!$D$16))))))+Examples!$D$17*$A133^2)</f>
        <v>2028243.2240304512</v>
      </c>
      <c r="F133" s="33">
        <f>Examples!$E$18-(Examples!$E$10+Examples!$E$11)*$A133-(Examples!$E$6*Examples!$E$7*Examples!$E$8*EXP(-Examples!$E$9*$A133)*(1-(Examples!$E$12*(1-EXP(-Examples!$E$13*$A133))/(1+EXP(MIN(700,MAX(-700,(Examples!$E$14*$A133-Examples!$E$15)/Examples!$E$16))))))+Examples!$E$17*$A133^2)</f>
        <v>2161093.5910435989</v>
      </c>
      <c r="G133" s="33">
        <f>(Examples!$E$6*Examples!$E$7*Examples!$E$8*EXP(-Examples!$E$9*$A133)*(1-(Examples!$E$12*(1-EXP(-Examples!$E$13*$A133))/(1+EXP(MIN(700,MAX(-700,(Examples!$E$14*$A133-Examples!$E$15)/Examples!$E$16))))))+Examples!$E$17*$A133^2)</f>
        <v>727556.40895640128</v>
      </c>
      <c r="H133" s="33">
        <f>Examples!$F$18-(Examples!$F$10+Examples!$F$11)*$A133-(Examples!$F$6*Examples!$F$7*Examples!$F$8*EXP(-Examples!$F$9*$A133)*(1-(Examples!$F$12*(1-EXP(-Examples!$F$13*$A133))/(1+EXP(MIN(700,MAX(-700,(Examples!$F$14*$A133-Examples!$F$15)/Examples!$F$16))))))+Examples!$F$17*$A133^2)</f>
        <v>78468.577818015605</v>
      </c>
      <c r="I133" s="33">
        <f>(Examples!$F$6*Examples!$F$7*Examples!$F$8*EXP(-Examples!$F$9*$A133)*(1-(Examples!$F$12*(1-EXP(-Examples!$F$13*$A133))/(1+EXP(MIN(700,MAX(-700,(Examples!$F$14*$A133-Examples!$F$15)/Examples!$F$16))))))+Examples!$F$17*$A133^2)</f>
        <v>45331.422181984395</v>
      </c>
      <c r="J133" s="33">
        <f>Examples!$G$18-(Examples!$G$10+Examples!$G$11)*$A133-(Examples!$G$6*Examples!$G$7*Examples!$G$8*EXP(-Examples!$G$9*$A133)*(1-(Examples!$G$12*(1-EXP(-Examples!$G$13*$A133))/(1+EXP(MIN(700,MAX(-700,(Examples!$G$14*$A133-Examples!$G$15)/Examples!$G$16))))))+Examples!$G$17*$A133^2)</f>
        <v>559857.86054701731</v>
      </c>
      <c r="K133" s="33">
        <f>(Examples!$G$6*Examples!$G$7*Examples!$G$8*EXP(-Examples!$G$9*$A133)*(1-(Examples!$G$12*(1-EXP(-Examples!$G$13*$A133))/(1+EXP(MIN(700,MAX(-700,(Examples!$G$14*$A133-Examples!$G$15)/Examples!$G$16))))))+Examples!$G$17*$A133^2)</f>
        <v>874642.13945298269</v>
      </c>
      <c r="L133" s="33">
        <f>Examples!$H$18-(Examples!$H$10+Examples!$H$11)*$A133-(Examples!$H$6*Examples!$H$7*Examples!$H$8*EXP(-Examples!$H$9*$A133)*(1-(Examples!$H$12*(1-EXP(-Examples!$H$13*$A133))/(1+EXP(MIN(700,MAX(-700,(Examples!$H$14*$A133-Examples!$H$15)/Examples!$H$16))))))+Examples!$H$17*$A133^2)</f>
        <v>631872.68936507101</v>
      </c>
      <c r="M133" s="33">
        <f>(Examples!$H$6*Examples!$H$7*Examples!$H$8*EXP(-Examples!$H$9*$A133)*(1-(Examples!$H$12*(1-EXP(-Examples!$H$13*$A133))/(1+EXP(MIN(700,MAX(-700,(Examples!$H$14*$A133-Examples!$H$15)/Examples!$H$16))))))+Examples!$H$17*$A133^2)</f>
        <v>802627.31063492899</v>
      </c>
    </row>
    <row r="134" spans="1:13" x14ac:dyDescent="0.25">
      <c r="A134">
        <f>(134-2)/100</f>
        <v>1.32</v>
      </c>
      <c r="B134" s="33">
        <f>Examples!$C$18-(Examples!$C$10+Examples!$C$11)*$A134-(Examples!$C$6*Examples!$C$7*Examples!$C$8*EXP(-Examples!$C$9*$A134)*(1-(Examples!$C$12*(1-EXP(-Examples!$C$13*$A134))/(1+EXP(MIN(700,MAX(-700,(Examples!$C$14*$A134-Examples!$C$15)/Examples!$C$16))))))+Examples!$C$17*$A134^2)</f>
        <v>199447.1721008945</v>
      </c>
      <c r="C134" s="33">
        <f>(Examples!$C$6*Examples!$C$7*Examples!$C$8*EXP(-Examples!$C$9*$A134)*(1-(Examples!$C$12*(1-EXP(-Examples!$C$13*$A134))/(1+EXP(MIN(700,MAX(-700,(Examples!$C$14*$A134-Examples!$C$15)/Examples!$C$16))))))+Examples!$C$17*$A134^2)</f>
        <v>354352.8278991055</v>
      </c>
      <c r="D134" s="33">
        <f>Examples!$D$18-(Examples!$D$10+Examples!$D$11)*$A134-(Examples!$D$6*Examples!$D$7*Examples!$D$8*EXP(-Examples!$D$9*$A134)*(1-(Examples!$D$12*(1-EXP(-Examples!$D$13*$A134))/(1+EXP(MIN(700,MAX(-700,(Examples!$D$14*$A134-Examples!$D$15)/Examples!$D$16))))))+Examples!$D$17*$A134^2)</f>
        <v>427160.42529545864</v>
      </c>
      <c r="E134" s="33">
        <f>(Examples!$D$6*Examples!$D$7*Examples!$D$8*EXP(-Examples!$D$9*$A134)*(1-(Examples!$D$12*(1-EXP(-Examples!$D$13*$A134))/(1+EXP(MIN(700,MAX(-700,(Examples!$D$14*$A134-Examples!$D$15)/Examples!$D$16))))))+Examples!$D$17*$A134^2)</f>
        <v>2013439.5747045414</v>
      </c>
      <c r="F134" s="33">
        <f>Examples!$E$18-(Examples!$E$10+Examples!$E$11)*$A134-(Examples!$E$6*Examples!$E$7*Examples!$E$8*EXP(-Examples!$E$9*$A134)*(1-(Examples!$E$12*(1-EXP(-Examples!$E$13*$A134))/(1+EXP(MIN(700,MAX(-700,(Examples!$E$14*$A134-Examples!$E$15)/Examples!$E$16))))))+Examples!$E$17*$A134^2)</f>
        <v>2166639.9130019816</v>
      </c>
      <c r="G134" s="33">
        <f>(Examples!$E$6*Examples!$E$7*Examples!$E$8*EXP(-Examples!$E$9*$A134)*(1-(Examples!$E$12*(1-EXP(-Examples!$E$13*$A134))/(1+EXP(MIN(700,MAX(-700,(Examples!$E$14*$A134-Examples!$E$15)/Examples!$E$16))))))+Examples!$E$17*$A134^2)</f>
        <v>721160.08699801844</v>
      </c>
      <c r="H134" s="33">
        <f>Examples!$F$18-(Examples!$F$10+Examples!$F$11)*$A134-(Examples!$F$6*Examples!$F$7*Examples!$F$8*EXP(-Examples!$F$9*$A134)*(1-(Examples!$F$12*(1-EXP(-Examples!$F$13*$A134))/(1+EXP(MIN(700,MAX(-700,(Examples!$F$14*$A134-Examples!$F$15)/Examples!$F$16))))))+Examples!$F$17*$A134^2)</f>
        <v>77765.158088624783</v>
      </c>
      <c r="I134" s="33">
        <f>(Examples!$F$6*Examples!$F$7*Examples!$F$8*EXP(-Examples!$F$9*$A134)*(1-(Examples!$F$12*(1-EXP(-Examples!$F$13*$A134))/(1+EXP(MIN(700,MAX(-700,(Examples!$F$14*$A134-Examples!$F$15)/Examples!$F$16))))))+Examples!$F$17*$A134^2)</f>
        <v>45834.841911375217</v>
      </c>
      <c r="J134" s="33">
        <f>Examples!$G$18-(Examples!$G$10+Examples!$G$11)*$A134-(Examples!$G$6*Examples!$G$7*Examples!$G$8*EXP(-Examples!$G$9*$A134)*(1-(Examples!$G$12*(1-EXP(-Examples!$G$13*$A134))/(1+EXP(MIN(700,MAX(-700,(Examples!$G$14*$A134-Examples!$G$15)/Examples!$G$16))))))+Examples!$G$17*$A134^2)</f>
        <v>563403.68264001503</v>
      </c>
      <c r="K134" s="33">
        <f>(Examples!$G$6*Examples!$G$7*Examples!$G$8*EXP(-Examples!$G$9*$A134)*(1-(Examples!$G$12*(1-EXP(-Examples!$G$13*$A134))/(1+EXP(MIN(700,MAX(-700,(Examples!$G$14*$A134-Examples!$G$15)/Examples!$G$16))))))+Examples!$G$17*$A134^2)</f>
        <v>870596.31735998497</v>
      </c>
      <c r="L134" s="33">
        <f>Examples!$H$18-(Examples!$H$10+Examples!$H$11)*$A134-(Examples!$H$6*Examples!$H$7*Examples!$H$8*EXP(-Examples!$H$9*$A134)*(1-(Examples!$H$12*(1-EXP(-Examples!$H$13*$A134))/(1+EXP(MIN(700,MAX(-700,(Examples!$H$14*$A134-Examples!$H$15)/Examples!$H$16))))))+Examples!$H$17*$A134^2)</f>
        <v>636137.32471963333</v>
      </c>
      <c r="M134" s="33">
        <f>(Examples!$H$6*Examples!$H$7*Examples!$H$8*EXP(-Examples!$H$9*$A134)*(1-(Examples!$H$12*(1-EXP(-Examples!$H$13*$A134))/(1+EXP(MIN(700,MAX(-700,(Examples!$H$14*$A134-Examples!$H$15)/Examples!$H$16))))))+Examples!$H$17*$A134^2)</f>
        <v>797862.67528036667</v>
      </c>
    </row>
    <row r="135" spans="1:13" x14ac:dyDescent="0.25">
      <c r="A135">
        <f>(135-2)/100</f>
        <v>1.33</v>
      </c>
      <c r="B135" s="33">
        <f>Examples!$C$18-(Examples!$C$10+Examples!$C$11)*$A135-(Examples!$C$6*Examples!$C$7*Examples!$C$8*EXP(-Examples!$C$9*$A135)*(1-(Examples!$C$12*(1-EXP(-Examples!$C$13*$A135))/(1+EXP(MIN(700,MAX(-700,(Examples!$C$14*$A135-Examples!$C$15)/Examples!$C$16))))))+Examples!$C$17*$A135^2)</f>
        <v>199505.1119456453</v>
      </c>
      <c r="C135" s="33">
        <f>(Examples!$C$6*Examples!$C$7*Examples!$C$8*EXP(-Examples!$C$9*$A135)*(1-(Examples!$C$12*(1-EXP(-Examples!$C$13*$A135))/(1+EXP(MIN(700,MAX(-700,(Examples!$C$14*$A135-Examples!$C$15)/Examples!$C$16))))))+Examples!$C$17*$A135^2)</f>
        <v>353944.8880543547</v>
      </c>
      <c r="D135" s="33">
        <f>Examples!$D$18-(Examples!$D$10+Examples!$D$11)*$A135-(Examples!$D$6*Examples!$D$7*Examples!$D$8*EXP(-Examples!$D$9*$A135)*(1-(Examples!$D$12*(1-EXP(-Examples!$D$13*$A135))/(1+EXP(MIN(700,MAX(-700,(Examples!$D$14*$A135-Examples!$D$15)/Examples!$D$16))))))+Examples!$D$17*$A135^2)</f>
        <v>441366.29730277229</v>
      </c>
      <c r="E135" s="33">
        <f>(Examples!$D$6*Examples!$D$7*Examples!$D$8*EXP(-Examples!$D$9*$A135)*(1-(Examples!$D$12*(1-EXP(-Examples!$D$13*$A135))/(1+EXP(MIN(700,MAX(-700,(Examples!$D$14*$A135-Examples!$D$15)/Examples!$D$16))))))+Examples!$D$17*$A135^2)</f>
        <v>1998783.7026972277</v>
      </c>
      <c r="F135" s="33">
        <f>Examples!$E$18-(Examples!$E$10+Examples!$E$11)*$A135-(Examples!$E$6*Examples!$E$7*Examples!$E$8*EXP(-Examples!$E$9*$A135)*(1-(Examples!$E$12*(1-EXP(-Examples!$E$13*$A135))/(1+EXP(MIN(700,MAX(-700,(Examples!$E$14*$A135-Examples!$E$15)/Examples!$E$16))))))+Examples!$E$17*$A135^2)</f>
        <v>2172112.7658698242</v>
      </c>
      <c r="G135" s="33">
        <f>(Examples!$E$6*Examples!$E$7*Examples!$E$8*EXP(-Examples!$E$9*$A135)*(1-(Examples!$E$12*(1-EXP(-Examples!$E$13*$A135))/(1+EXP(MIN(700,MAX(-700,(Examples!$E$14*$A135-Examples!$E$15)/Examples!$E$16))))))+Examples!$E$17*$A135^2)</f>
        <v>714837.23413017567</v>
      </c>
      <c r="H135" s="33">
        <f>Examples!$F$18-(Examples!$F$10+Examples!$F$11)*$A135-(Examples!$F$6*Examples!$F$7*Examples!$F$8*EXP(-Examples!$F$9*$A135)*(1-(Examples!$F$12*(1-EXP(-Examples!$F$13*$A135))/(1+EXP(MIN(700,MAX(-700,(Examples!$F$14*$A135-Examples!$F$15)/Examples!$F$16))))))+Examples!$F$17*$A135^2)</f>
        <v>77057.481397715019</v>
      </c>
      <c r="I135" s="33">
        <f>(Examples!$F$6*Examples!$F$7*Examples!$F$8*EXP(-Examples!$F$9*$A135)*(1-(Examples!$F$12*(1-EXP(-Examples!$F$13*$A135))/(1+EXP(MIN(700,MAX(-700,(Examples!$F$14*$A135-Examples!$F$15)/Examples!$F$16))))))+Examples!$F$17*$A135^2)</f>
        <v>46342.518602284981</v>
      </c>
      <c r="J135" s="33">
        <f>Examples!$G$18-(Examples!$G$10+Examples!$G$11)*$A135-(Examples!$G$6*Examples!$G$7*Examples!$G$8*EXP(-Examples!$G$9*$A135)*(1-(Examples!$G$12*(1-EXP(-Examples!$G$13*$A135))/(1+EXP(MIN(700,MAX(-700,(Examples!$G$14*$A135-Examples!$G$15)/Examples!$G$16))))))+Examples!$G$17*$A135^2)</f>
        <v>566900.01775311155</v>
      </c>
      <c r="K135" s="33">
        <f>(Examples!$G$6*Examples!$G$7*Examples!$G$8*EXP(-Examples!$G$9*$A135)*(1-(Examples!$G$12*(1-EXP(-Examples!$G$13*$A135))/(1+EXP(MIN(700,MAX(-700,(Examples!$G$14*$A135-Examples!$G$15)/Examples!$G$16))))))+Examples!$G$17*$A135^2)</f>
        <v>866599.98224688845</v>
      </c>
      <c r="L135" s="33">
        <f>Examples!$H$18-(Examples!$H$10+Examples!$H$11)*$A135-(Examples!$H$6*Examples!$H$7*Examples!$H$8*EXP(-Examples!$H$9*$A135)*(1-(Examples!$H$12*(1-EXP(-Examples!$H$13*$A135))/(1+EXP(MIN(700,MAX(-700,(Examples!$H$14*$A135-Examples!$H$15)/Examples!$H$16))))))+Examples!$H$17*$A135^2)</f>
        <v>640348.50196421368</v>
      </c>
      <c r="M135" s="33">
        <f>(Examples!$H$6*Examples!$H$7*Examples!$H$8*EXP(-Examples!$H$9*$A135)*(1-(Examples!$H$12*(1-EXP(-Examples!$H$13*$A135))/(1+EXP(MIN(700,MAX(-700,(Examples!$H$14*$A135-Examples!$H$15)/Examples!$H$16))))))+Examples!$H$17*$A135^2)</f>
        <v>793151.49803578632</v>
      </c>
    </row>
    <row r="136" spans="1:13" x14ac:dyDescent="0.25">
      <c r="A136">
        <f>(136-2)/100</f>
        <v>1.34</v>
      </c>
      <c r="B136" s="33">
        <f>Examples!$C$18-(Examples!$C$10+Examples!$C$11)*$A136-(Examples!$C$6*Examples!$C$7*Examples!$C$8*EXP(-Examples!$C$9*$A136)*(1-(Examples!$C$12*(1-EXP(-Examples!$C$13*$A136))/(1+EXP(MIN(700,MAX(-700,(Examples!$C$14*$A136-Examples!$C$15)/Examples!$C$16))))))+Examples!$C$17*$A136^2)</f>
        <v>199539.06783242914</v>
      </c>
      <c r="C136" s="33">
        <f>(Examples!$C$6*Examples!$C$7*Examples!$C$8*EXP(-Examples!$C$9*$A136)*(1-(Examples!$C$12*(1-EXP(-Examples!$C$13*$A136))/(1+EXP(MIN(700,MAX(-700,(Examples!$C$14*$A136-Examples!$C$15)/Examples!$C$16))))))+Examples!$C$17*$A136^2)</f>
        <v>353560.93216757086</v>
      </c>
      <c r="D136" s="33">
        <f>Examples!$D$18-(Examples!$D$10+Examples!$D$11)*$A136-(Examples!$D$6*Examples!$D$7*Examples!$D$8*EXP(-Examples!$D$9*$A136)*(1-(Examples!$D$12*(1-EXP(-Examples!$D$13*$A136))/(1+EXP(MIN(700,MAX(-700,(Examples!$D$14*$A136-Examples!$D$15)/Examples!$D$16))))))+Examples!$D$17*$A136^2)</f>
        <v>455425.72687014379</v>
      </c>
      <c r="E136" s="33">
        <f>(Examples!$D$6*Examples!$D$7*Examples!$D$8*EXP(-Examples!$D$9*$A136)*(1-(Examples!$D$12*(1-EXP(-Examples!$D$13*$A136))/(1+EXP(MIN(700,MAX(-700,(Examples!$D$14*$A136-Examples!$D$15)/Examples!$D$16))))))+Examples!$D$17*$A136^2)</f>
        <v>1984274.2731298562</v>
      </c>
      <c r="F136" s="33">
        <f>Examples!$E$18-(Examples!$E$10+Examples!$E$11)*$A136-(Examples!$E$6*Examples!$E$7*Examples!$E$8*EXP(-Examples!$E$9*$A136)*(1-(Examples!$E$12*(1-EXP(-Examples!$E$13*$A136))/(1+EXP(MIN(700,MAX(-700,(Examples!$E$14*$A136-Examples!$E$15)/Examples!$E$16))))))+Examples!$E$17*$A136^2)</f>
        <v>2177512.9845852302</v>
      </c>
      <c r="G136" s="33">
        <f>(Examples!$E$6*Examples!$E$7*Examples!$E$8*EXP(-Examples!$E$9*$A136)*(1-(Examples!$E$12*(1-EXP(-Examples!$E$13*$A136))/(1+EXP(MIN(700,MAX(-700,(Examples!$E$14*$A136-Examples!$E$15)/Examples!$E$16))))))+Examples!$E$17*$A136^2)</f>
        <v>708587.01541476976</v>
      </c>
      <c r="H136" s="33">
        <f>Examples!$F$18-(Examples!$F$10+Examples!$F$11)*$A136-(Examples!$F$6*Examples!$F$7*Examples!$F$8*EXP(-Examples!$F$9*$A136)*(1-(Examples!$F$12*(1-EXP(-Examples!$F$13*$A136))/(1+EXP(MIN(700,MAX(-700,(Examples!$F$14*$A136-Examples!$F$15)/Examples!$F$16))))))+Examples!$F$17*$A136^2)</f>
        <v>76345.562715631328</v>
      </c>
      <c r="I136" s="33">
        <f>(Examples!$F$6*Examples!$F$7*Examples!$F$8*EXP(-Examples!$F$9*$A136)*(1-(Examples!$F$12*(1-EXP(-Examples!$F$13*$A136))/(1+EXP(MIN(700,MAX(-700,(Examples!$F$14*$A136-Examples!$F$15)/Examples!$F$16))))))+Examples!$F$17*$A136^2)</f>
        <v>46854.43728436868</v>
      </c>
      <c r="J136" s="33">
        <f>Examples!$G$18-(Examples!$G$10+Examples!$G$11)*$A136-(Examples!$G$6*Examples!$G$7*Examples!$G$8*EXP(-Examples!$G$9*$A136)*(1-(Examples!$G$12*(1-EXP(-Examples!$G$13*$A136))/(1+EXP(MIN(700,MAX(-700,(Examples!$G$14*$A136-Examples!$G$15)/Examples!$G$16))))))+Examples!$G$17*$A136^2)</f>
        <v>570347.22361958178</v>
      </c>
      <c r="K136" s="33">
        <f>(Examples!$G$6*Examples!$G$7*Examples!$G$8*EXP(-Examples!$G$9*$A136)*(1-(Examples!$G$12*(1-EXP(-Examples!$G$13*$A136))/(1+EXP(MIN(700,MAX(-700,(Examples!$G$14*$A136-Examples!$G$15)/Examples!$G$16))))))+Examples!$G$17*$A136^2)</f>
        <v>862652.77638041822</v>
      </c>
      <c r="L136" s="33">
        <f>Examples!$H$18-(Examples!$H$10+Examples!$H$11)*$A136-(Examples!$H$6*Examples!$H$7*Examples!$H$8*EXP(-Examples!$H$9*$A136)*(1-(Examples!$H$12*(1-EXP(-Examples!$H$13*$A136))/(1+EXP(MIN(700,MAX(-700,(Examples!$H$14*$A136-Examples!$H$15)/Examples!$H$16))))))+Examples!$H$17*$A136^2)</f>
        <v>644506.23222092458</v>
      </c>
      <c r="M136" s="33">
        <f>(Examples!$H$6*Examples!$H$7*Examples!$H$8*EXP(-Examples!$H$9*$A136)*(1-(Examples!$H$12*(1-EXP(-Examples!$H$13*$A136))/(1+EXP(MIN(700,MAX(-700,(Examples!$H$14*$A136-Examples!$H$15)/Examples!$H$16))))))+Examples!$H$17*$A136^2)</f>
        <v>788493.76777907542</v>
      </c>
    </row>
    <row r="137" spans="1:13" x14ac:dyDescent="0.25">
      <c r="A137">
        <f>(137-2)/100</f>
        <v>1.35</v>
      </c>
      <c r="B137" s="33">
        <f>Examples!$C$18-(Examples!$C$10+Examples!$C$11)*$A137-(Examples!$C$6*Examples!$C$7*Examples!$C$8*EXP(-Examples!$C$9*$A137)*(1-(Examples!$C$12*(1-EXP(-Examples!$C$13*$A137))/(1+EXP(MIN(700,MAX(-700,(Examples!$C$14*$A137-Examples!$C$15)/Examples!$C$16))))))+Examples!$C$17*$A137^2)</f>
        <v>199549.17140434025</v>
      </c>
      <c r="C137" s="33">
        <f>(Examples!$C$6*Examples!$C$7*Examples!$C$8*EXP(-Examples!$C$9*$A137)*(1-(Examples!$C$12*(1-EXP(-Examples!$C$13*$A137))/(1+EXP(MIN(700,MAX(-700,(Examples!$C$14*$A137-Examples!$C$15)/Examples!$C$16))))))+Examples!$C$17*$A137^2)</f>
        <v>353200.82859565975</v>
      </c>
      <c r="D137" s="33">
        <f>Examples!$D$18-(Examples!$D$10+Examples!$D$11)*$A137-(Examples!$D$6*Examples!$D$7*Examples!$D$8*EXP(-Examples!$D$9*$A137)*(1-(Examples!$D$12*(1-EXP(-Examples!$D$13*$A137))/(1+EXP(MIN(700,MAX(-700,(Examples!$D$14*$A137-Examples!$D$15)/Examples!$D$16))))))+Examples!$D$17*$A137^2)</f>
        <v>469340.0350587375</v>
      </c>
      <c r="E137" s="33">
        <f>(Examples!$D$6*Examples!$D$7*Examples!$D$8*EXP(-Examples!$D$9*$A137)*(1-(Examples!$D$12*(1-EXP(-Examples!$D$13*$A137))/(1+EXP(MIN(700,MAX(-700,(Examples!$D$14*$A137-Examples!$D$15)/Examples!$D$16))))))+Examples!$D$17*$A137^2)</f>
        <v>1969909.9649412625</v>
      </c>
      <c r="F137" s="33">
        <f>Examples!$E$18-(Examples!$E$10+Examples!$E$11)*$A137-(Examples!$E$6*Examples!$E$7*Examples!$E$8*EXP(-Examples!$E$9*$A137)*(1-(Examples!$E$12*(1-EXP(-Examples!$E$13*$A137))/(1+EXP(MIN(700,MAX(-700,(Examples!$E$14*$A137-Examples!$E$15)/Examples!$E$16))))))+Examples!$E$17*$A137^2)</f>
        <v>2182841.3943411708</v>
      </c>
      <c r="G137" s="33">
        <f>(Examples!$E$6*Examples!$E$7*Examples!$E$8*EXP(-Examples!$E$9*$A137)*(1-(Examples!$E$12*(1-EXP(-Examples!$E$13*$A137))/(1+EXP(MIN(700,MAX(-700,(Examples!$E$14*$A137-Examples!$E$15)/Examples!$E$16))))))+Examples!$E$17*$A137^2)</f>
        <v>702408.60565882898</v>
      </c>
      <c r="H137" s="33">
        <f>Examples!$F$18-(Examples!$F$10+Examples!$F$11)*$A137-(Examples!$F$6*Examples!$F$7*Examples!$F$8*EXP(-Examples!$F$9*$A137)*(1-(Examples!$F$12*(1-EXP(-Examples!$F$13*$A137))/(1+EXP(MIN(700,MAX(-700,(Examples!$F$14*$A137-Examples!$F$15)/Examples!$F$16))))))+Examples!$F$17*$A137^2)</f>
        <v>75629.417156120035</v>
      </c>
      <c r="I137" s="33">
        <f>(Examples!$F$6*Examples!$F$7*Examples!$F$8*EXP(-Examples!$F$9*$A137)*(1-(Examples!$F$12*(1-EXP(-Examples!$F$13*$A137))/(1+EXP(MIN(700,MAX(-700,(Examples!$F$14*$A137-Examples!$F$15)/Examples!$F$16))))))+Examples!$F$17*$A137^2)</f>
        <v>47370.582843879958</v>
      </c>
      <c r="J137" s="33">
        <f>Examples!$G$18-(Examples!$G$10+Examples!$G$11)*$A137-(Examples!$G$6*Examples!$G$7*Examples!$G$8*EXP(-Examples!$G$9*$A137)*(1-(Examples!$G$12*(1-EXP(-Examples!$G$13*$A137))/(1+EXP(MIN(700,MAX(-700,(Examples!$G$14*$A137-Examples!$G$15)/Examples!$G$16))))))+Examples!$G$17*$A137^2)</f>
        <v>573745.65695855801</v>
      </c>
      <c r="K137" s="33">
        <f>(Examples!$G$6*Examples!$G$7*Examples!$G$8*EXP(-Examples!$G$9*$A137)*(1-(Examples!$G$12*(1-EXP(-Examples!$G$13*$A137))/(1+EXP(MIN(700,MAX(-700,(Examples!$G$14*$A137-Examples!$G$15)/Examples!$G$16))))))+Examples!$G$17*$A137^2)</f>
        <v>858754.34304144199</v>
      </c>
      <c r="L137" s="33">
        <f>Examples!$H$18-(Examples!$H$10+Examples!$H$11)*$A137-(Examples!$H$6*Examples!$H$7*Examples!$H$8*EXP(-Examples!$H$9*$A137)*(1-(Examples!$H$12*(1-EXP(-Examples!$H$13*$A137))/(1+EXP(MIN(700,MAX(-700,(Examples!$H$14*$A137-Examples!$H$15)/Examples!$H$16))))))+Examples!$H$17*$A137^2)</f>
        <v>648610.51618299645</v>
      </c>
      <c r="M137" s="33">
        <f>(Examples!$H$6*Examples!$H$7*Examples!$H$8*EXP(-Examples!$H$9*$A137)*(1-(Examples!$H$12*(1-EXP(-Examples!$H$13*$A137))/(1+EXP(MIN(700,MAX(-700,(Examples!$H$14*$A137-Examples!$H$15)/Examples!$H$16))))))+Examples!$H$17*$A137^2)</f>
        <v>783889.48381700355</v>
      </c>
    </row>
    <row r="138" spans="1:13" x14ac:dyDescent="0.25">
      <c r="A138">
        <f>(138-2)/100</f>
        <v>1.36</v>
      </c>
      <c r="B138" s="33">
        <f>Examples!$C$18-(Examples!$C$10+Examples!$C$11)*$A138-(Examples!$C$6*Examples!$C$7*Examples!$C$8*EXP(-Examples!$C$9*$A138)*(1-(Examples!$C$12*(1-EXP(-Examples!$C$13*$A138))/(1+EXP(MIN(700,MAX(-700,(Examples!$C$14*$A138-Examples!$C$15)/Examples!$C$16))))))+Examples!$C$17*$A138^2)</f>
        <v>199535.57143755571</v>
      </c>
      <c r="C138" s="33">
        <f>(Examples!$C$6*Examples!$C$7*Examples!$C$8*EXP(-Examples!$C$9*$A138)*(1-(Examples!$C$12*(1-EXP(-Examples!$C$13*$A138))/(1+EXP(MIN(700,MAX(-700,(Examples!$C$14*$A138-Examples!$C$15)/Examples!$C$16))))))+Examples!$C$17*$A138^2)</f>
        <v>352864.42856244429</v>
      </c>
      <c r="D138" s="33">
        <f>Examples!$D$18-(Examples!$D$10+Examples!$D$11)*$A138-(Examples!$D$6*Examples!$D$7*Examples!$D$8*EXP(-Examples!$D$9*$A138)*(1-(Examples!$D$12*(1-EXP(-Examples!$D$13*$A138))/(1+EXP(MIN(700,MAX(-700,(Examples!$D$14*$A138-Examples!$D$15)/Examples!$D$16))))))+Examples!$D$17*$A138^2)</f>
        <v>483110.52926285681</v>
      </c>
      <c r="E138" s="33">
        <f>(Examples!$D$6*Examples!$D$7*Examples!$D$8*EXP(-Examples!$D$9*$A138)*(1-(Examples!$D$12*(1-EXP(-Examples!$D$13*$A138))/(1+EXP(MIN(700,MAX(-700,(Examples!$D$14*$A138-Examples!$D$15)/Examples!$D$16))))))+Examples!$D$17*$A138^2)</f>
        <v>1955689.4707371432</v>
      </c>
      <c r="F138" s="33">
        <f>Examples!$E$18-(Examples!$E$10+Examples!$E$11)*$A138-(Examples!$E$6*Examples!$E$7*Examples!$E$8*EXP(-Examples!$E$9*$A138)*(1-(Examples!$E$12*(1-EXP(-Examples!$E$13*$A138))/(1+EXP(MIN(700,MAX(-700,(Examples!$E$14*$A138-Examples!$E$15)/Examples!$E$16))))))+Examples!$E$17*$A138^2)</f>
        <v>2188098.8107013851</v>
      </c>
      <c r="G138" s="33">
        <f>(Examples!$E$6*Examples!$E$7*Examples!$E$8*EXP(-Examples!$E$9*$A138)*(1-(Examples!$E$12*(1-EXP(-Examples!$E$13*$A138))/(1+EXP(MIN(700,MAX(-700,(Examples!$E$14*$A138-Examples!$E$15)/Examples!$E$16))))))+Examples!$E$17*$A138^2)</f>
        <v>696301.18929861509</v>
      </c>
      <c r="H138" s="33">
        <f>Examples!$F$18-(Examples!$F$10+Examples!$F$11)*$A138-(Examples!$F$6*Examples!$F$7*Examples!$F$8*EXP(-Examples!$F$9*$A138)*(1-(Examples!$F$12*(1-EXP(-Examples!$F$13*$A138))/(1+EXP(MIN(700,MAX(-700,(Examples!$F$14*$A138-Examples!$F$15)/Examples!$F$16))))))+Examples!$F$17*$A138^2)</f>
        <v>74909.059931206401</v>
      </c>
      <c r="I138" s="33">
        <f>(Examples!$F$6*Examples!$F$7*Examples!$F$8*EXP(-Examples!$F$9*$A138)*(1-(Examples!$F$12*(1-EXP(-Examples!$F$13*$A138))/(1+EXP(MIN(700,MAX(-700,(Examples!$F$14*$A138-Examples!$F$15)/Examples!$F$16))))))+Examples!$F$17*$A138^2)</f>
        <v>47890.940068793599</v>
      </c>
      <c r="J138" s="33">
        <f>Examples!$G$18-(Examples!$G$10+Examples!$G$11)*$A138-(Examples!$G$6*Examples!$G$7*Examples!$G$8*EXP(-Examples!$G$9*$A138)*(1-(Examples!$G$12*(1-EXP(-Examples!$G$13*$A138))/(1+EXP(MIN(700,MAX(-700,(Examples!$G$14*$A138-Examples!$G$15)/Examples!$G$16))))))+Examples!$G$17*$A138^2)</f>
        <v>577095.67351841659</v>
      </c>
      <c r="K138" s="33">
        <f>(Examples!$G$6*Examples!$G$7*Examples!$G$8*EXP(-Examples!$G$9*$A138)*(1-(Examples!$G$12*(1-EXP(-Examples!$G$13*$A138))/(1+EXP(MIN(700,MAX(-700,(Examples!$G$14*$A138-Examples!$G$15)/Examples!$G$16))))))+Examples!$G$17*$A138^2)</f>
        <v>854904.32648158341</v>
      </c>
      <c r="L138" s="33">
        <f>Examples!$H$18-(Examples!$H$10+Examples!$H$11)*$A138-(Examples!$H$6*Examples!$H$7*Examples!$H$8*EXP(-Examples!$H$9*$A138)*(1-(Examples!$H$12*(1-EXP(-Examples!$H$13*$A138))/(1+EXP(MIN(700,MAX(-700,(Examples!$H$14*$A138-Examples!$H$15)/Examples!$H$16))))))+Examples!$H$17*$A138^2)</f>
        <v>652661.34403412044</v>
      </c>
      <c r="M138" s="33">
        <f>(Examples!$H$6*Examples!$H$7*Examples!$H$8*EXP(-Examples!$H$9*$A138)*(1-(Examples!$H$12*(1-EXP(-Examples!$H$13*$A138))/(1+EXP(MIN(700,MAX(-700,(Examples!$H$14*$A138-Examples!$H$15)/Examples!$H$16))))))+Examples!$H$17*$A138^2)</f>
        <v>779338.65596587956</v>
      </c>
    </row>
    <row r="139" spans="1:13" x14ac:dyDescent="0.25">
      <c r="A139">
        <f>(139-2)/100</f>
        <v>1.37</v>
      </c>
      <c r="B139" s="33">
        <f>Examples!$C$18-(Examples!$C$10+Examples!$C$11)*$A139-(Examples!$C$6*Examples!$C$7*Examples!$C$8*EXP(-Examples!$C$9*$A139)*(1-(Examples!$C$12*(1-EXP(-Examples!$C$13*$A139))/(1+EXP(MIN(700,MAX(-700,(Examples!$C$14*$A139-Examples!$C$15)/Examples!$C$16))))))+Examples!$C$17*$A139^2)</f>
        <v>199498.43424354773</v>
      </c>
      <c r="C139" s="33">
        <f>(Examples!$C$6*Examples!$C$7*Examples!$C$8*EXP(-Examples!$C$9*$A139)*(1-(Examples!$C$12*(1-EXP(-Examples!$C$13*$A139))/(1+EXP(MIN(700,MAX(-700,(Examples!$C$14*$A139-Examples!$C$15)/Examples!$C$16))))))+Examples!$C$17*$A139^2)</f>
        <v>352551.56575645227</v>
      </c>
      <c r="D139" s="33">
        <f>Examples!$D$18-(Examples!$D$10+Examples!$D$11)*$A139-(Examples!$D$6*Examples!$D$7*Examples!$D$8*EXP(-Examples!$D$9*$A139)*(1-(Examples!$D$12*(1-EXP(-Examples!$D$13*$A139))/(1+EXP(MIN(700,MAX(-700,(Examples!$D$14*$A139-Examples!$D$15)/Examples!$D$16))))))+Examples!$D$17*$A139^2)</f>
        <v>496738.50335926609</v>
      </c>
      <c r="E139" s="33">
        <f>(Examples!$D$6*Examples!$D$7*Examples!$D$8*EXP(-Examples!$D$9*$A139)*(1-(Examples!$D$12*(1-EXP(-Examples!$D$13*$A139))/(1+EXP(MIN(700,MAX(-700,(Examples!$D$14*$A139-Examples!$D$15)/Examples!$D$16))))))+Examples!$D$17*$A139^2)</f>
        <v>1941611.4966407339</v>
      </c>
      <c r="F139" s="33">
        <f>Examples!$E$18-(Examples!$E$10+Examples!$E$11)*$A139-(Examples!$E$6*Examples!$E$7*Examples!$E$8*EXP(-Examples!$E$9*$A139)*(1-(Examples!$E$12*(1-EXP(-Examples!$E$13*$A139))/(1+EXP(MIN(700,MAX(-700,(Examples!$E$14*$A139-Examples!$E$15)/Examples!$E$16))))))+Examples!$E$17*$A139^2)</f>
        <v>2193286.0397148961</v>
      </c>
      <c r="G139" s="33">
        <f>(Examples!$E$6*Examples!$E$7*Examples!$E$8*EXP(-Examples!$E$9*$A139)*(1-(Examples!$E$12*(1-EXP(-Examples!$E$13*$A139))/(1+EXP(MIN(700,MAX(-700,(Examples!$E$14*$A139-Examples!$E$15)/Examples!$E$16))))))+Examples!$E$17*$A139^2)</f>
        <v>690263.96028510388</v>
      </c>
      <c r="H139" s="33">
        <f>Examples!$F$18-(Examples!$F$10+Examples!$F$11)*$A139-(Examples!$F$6*Examples!$F$7*Examples!$F$8*EXP(-Examples!$F$9*$A139)*(1-(Examples!$F$12*(1-EXP(-Examples!$F$13*$A139))/(1+EXP(MIN(700,MAX(-700,(Examples!$F$14*$A139-Examples!$F$15)/Examples!$F$16))))))+Examples!$F$17*$A139^2)</f>
        <v>74184.506305628907</v>
      </c>
      <c r="I139" s="33">
        <f>(Examples!$F$6*Examples!$F$7*Examples!$F$8*EXP(-Examples!$F$9*$A139)*(1-(Examples!$F$12*(1-EXP(-Examples!$F$13*$A139))/(1+EXP(MIN(700,MAX(-700,(Examples!$F$14*$A139-Examples!$F$15)/Examples!$F$16))))))+Examples!$F$17*$A139^2)</f>
        <v>48415.493694371093</v>
      </c>
      <c r="J139" s="33">
        <f>Examples!$G$18-(Examples!$G$10+Examples!$G$11)*$A139-(Examples!$G$6*Examples!$G$7*Examples!$G$8*EXP(-Examples!$G$9*$A139)*(1-(Examples!$G$12*(1-EXP(-Examples!$G$13*$A139))/(1+EXP(MIN(700,MAX(-700,(Examples!$G$14*$A139-Examples!$G$15)/Examples!$G$16))))))+Examples!$G$17*$A139^2)</f>
        <v>580397.62811961246</v>
      </c>
      <c r="K139" s="33">
        <f>(Examples!$G$6*Examples!$G$7*Examples!$G$8*EXP(-Examples!$G$9*$A139)*(1-(Examples!$G$12*(1-EXP(-Examples!$G$13*$A139))/(1+EXP(MIN(700,MAX(-700,(Examples!$G$14*$A139-Examples!$G$15)/Examples!$G$16))))))+Examples!$G$17*$A139^2)</f>
        <v>851102.37188038754</v>
      </c>
      <c r="L139" s="33">
        <f>Examples!$H$18-(Examples!$H$10+Examples!$H$11)*$A139-(Examples!$H$6*Examples!$H$7*Examples!$H$8*EXP(-Examples!$H$9*$A139)*(1-(Examples!$H$12*(1-EXP(-Examples!$H$13*$A139))/(1+EXP(MIN(700,MAX(-700,(Examples!$H$14*$A139-Examples!$H$15)/Examples!$H$16))))))+Examples!$H$17*$A139^2)</f>
        <v>656658.69537190581</v>
      </c>
      <c r="M139" s="33">
        <f>(Examples!$H$6*Examples!$H$7*Examples!$H$8*EXP(-Examples!$H$9*$A139)*(1-(Examples!$H$12*(1-EXP(-Examples!$H$13*$A139))/(1+EXP(MIN(700,MAX(-700,(Examples!$H$14*$A139-Examples!$H$15)/Examples!$H$16))))))+Examples!$H$17*$A139^2)</f>
        <v>774841.30462809419</v>
      </c>
    </row>
    <row r="140" spans="1:13" x14ac:dyDescent="0.25">
      <c r="A140">
        <f>(140-2)/100</f>
        <v>1.38</v>
      </c>
      <c r="B140" s="33">
        <f>Examples!$C$18-(Examples!$C$10+Examples!$C$11)*$A140-(Examples!$C$6*Examples!$C$7*Examples!$C$8*EXP(-Examples!$C$9*$A140)*(1-(Examples!$C$12*(1-EXP(-Examples!$C$13*$A140))/(1+EXP(MIN(700,MAX(-700,(Examples!$C$14*$A140-Examples!$C$15)/Examples!$C$16))))))+Examples!$C$17*$A140^2)</f>
        <v>199437.94403179572</v>
      </c>
      <c r="C140" s="33">
        <f>(Examples!$C$6*Examples!$C$7*Examples!$C$8*EXP(-Examples!$C$9*$A140)*(1-(Examples!$C$12*(1-EXP(-Examples!$C$13*$A140))/(1+EXP(MIN(700,MAX(-700,(Examples!$C$14*$A140-Examples!$C$15)/Examples!$C$16))))))+Examples!$C$17*$A140^2)</f>
        <v>352262.05596820428</v>
      </c>
      <c r="D140" s="33">
        <f>Examples!$D$18-(Examples!$D$10+Examples!$D$11)*$A140-(Examples!$D$6*Examples!$D$7*Examples!$D$8*EXP(-Examples!$D$9*$A140)*(1-(Examples!$D$12*(1-EXP(-Examples!$D$13*$A140))/(1+EXP(MIN(700,MAX(-700,(Examples!$D$14*$A140-Examples!$D$15)/Examples!$D$16))))))+Examples!$D$17*$A140^2)</f>
        <v>510225.23785523023</v>
      </c>
      <c r="E140" s="33">
        <f>(Examples!$D$6*Examples!$D$7*Examples!$D$8*EXP(-Examples!$D$9*$A140)*(1-(Examples!$D$12*(1-EXP(-Examples!$D$13*$A140))/(1+EXP(MIN(700,MAX(-700,(Examples!$D$14*$A140-Examples!$D$15)/Examples!$D$16))))))+Examples!$D$17*$A140^2)</f>
        <v>1927674.7621447698</v>
      </c>
      <c r="F140" s="33">
        <f>Examples!$E$18-(Examples!$E$10+Examples!$E$11)*$A140-(Examples!$E$6*Examples!$E$7*Examples!$E$8*EXP(-Examples!$E$9*$A140)*(1-(Examples!$E$12*(1-EXP(-Examples!$E$13*$A140))/(1+EXP(MIN(700,MAX(-700,(Examples!$E$14*$A140-Examples!$E$15)/Examples!$E$16))))))+Examples!$E$17*$A140^2)</f>
        <v>2198403.8780291788</v>
      </c>
      <c r="G140" s="33">
        <f>(Examples!$E$6*Examples!$E$7*Examples!$E$8*EXP(-Examples!$E$9*$A140)*(1-(Examples!$E$12*(1-EXP(-Examples!$E$13*$A140))/(1+EXP(MIN(700,MAX(-700,(Examples!$E$14*$A140-Examples!$E$15)/Examples!$E$16))))))+Examples!$E$17*$A140^2)</f>
        <v>684296.12197082117</v>
      </c>
      <c r="H140" s="33">
        <f>Examples!$F$18-(Examples!$F$10+Examples!$F$11)*$A140-(Examples!$F$6*Examples!$F$7*Examples!$F$8*EXP(-Examples!$F$9*$A140)*(1-(Examples!$F$12*(1-EXP(-Examples!$F$13*$A140))/(1+EXP(MIN(700,MAX(-700,(Examples!$F$14*$A140-Examples!$F$15)/Examples!$F$16))))))+Examples!$F$17*$A140^2)</f>
        <v>73455.771551140191</v>
      </c>
      <c r="I140" s="33">
        <f>(Examples!$F$6*Examples!$F$7*Examples!$F$8*EXP(-Examples!$F$9*$A140)*(1-(Examples!$F$12*(1-EXP(-Examples!$F$13*$A140))/(1+EXP(MIN(700,MAX(-700,(Examples!$F$14*$A140-Examples!$F$15)/Examples!$F$16))))))+Examples!$F$17*$A140^2)</f>
        <v>48944.228448859809</v>
      </c>
      <c r="J140" s="33">
        <f>Examples!$G$18-(Examples!$G$10+Examples!$G$11)*$A140-(Examples!$G$6*Examples!$G$7*Examples!$G$8*EXP(-Examples!$G$9*$A140)*(1-(Examples!$G$12*(1-EXP(-Examples!$G$13*$A140))/(1+EXP(MIN(700,MAX(-700,(Examples!$G$14*$A140-Examples!$G$15)/Examples!$G$16))))))+Examples!$G$17*$A140^2)</f>
        <v>583651.87469694787</v>
      </c>
      <c r="K140" s="33">
        <f>(Examples!$G$6*Examples!$G$7*Examples!$G$8*EXP(-Examples!$G$9*$A140)*(1-(Examples!$G$12*(1-EXP(-Examples!$G$13*$A140))/(1+EXP(MIN(700,MAX(-700,(Examples!$G$14*$A140-Examples!$G$15)/Examples!$G$16))))))+Examples!$G$17*$A140^2)</f>
        <v>847348.12530305213</v>
      </c>
      <c r="L140" s="33">
        <f>Examples!$H$18-(Examples!$H$10+Examples!$H$11)*$A140-(Examples!$H$6*Examples!$H$7*Examples!$H$8*EXP(-Examples!$H$9*$A140)*(1-(Examples!$H$12*(1-EXP(-Examples!$H$13*$A140))/(1+EXP(MIN(700,MAX(-700,(Examples!$H$14*$A140-Examples!$H$15)/Examples!$H$16))))))+Examples!$H$17*$A140^2)</f>
        <v>660602.5391359583</v>
      </c>
      <c r="M140" s="33">
        <f>(Examples!$H$6*Examples!$H$7*Examples!$H$8*EXP(-Examples!$H$9*$A140)*(1-(Examples!$H$12*(1-EXP(-Examples!$H$13*$A140))/(1+EXP(MIN(700,MAX(-700,(Examples!$H$14*$A140-Examples!$H$15)/Examples!$H$16))))))+Examples!$H$17*$A140^2)</f>
        <v>770397.4608640417</v>
      </c>
    </row>
    <row r="141" spans="1:13" x14ac:dyDescent="0.25">
      <c r="A141">
        <f>(141-2)/100</f>
        <v>1.39</v>
      </c>
      <c r="B141" s="33">
        <f>Examples!$C$18-(Examples!$C$10+Examples!$C$11)*$A141-(Examples!$C$6*Examples!$C$7*Examples!$C$8*EXP(-Examples!$C$9*$A141)*(1-(Examples!$C$12*(1-EXP(-Examples!$C$13*$A141))/(1+EXP(MIN(700,MAX(-700,(Examples!$C$14*$A141-Examples!$C$15)/Examples!$C$16))))))+Examples!$C$17*$A141^2)</f>
        <v>199354.30322963855</v>
      </c>
      <c r="C141" s="33">
        <f>(Examples!$C$6*Examples!$C$7*Examples!$C$8*EXP(-Examples!$C$9*$A141)*(1-(Examples!$C$12*(1-EXP(-Examples!$C$13*$A141))/(1+EXP(MIN(700,MAX(-700,(Examples!$C$14*$A141-Examples!$C$15)/Examples!$C$16))))))+Examples!$C$17*$A141^2)</f>
        <v>351995.69677036145</v>
      </c>
      <c r="D141" s="33">
        <f>Examples!$D$18-(Examples!$D$10+Examples!$D$11)*$A141-(Examples!$D$6*Examples!$D$7*Examples!$D$8*EXP(-Examples!$D$9*$A141)*(1-(Examples!$D$12*(1-EXP(-Examples!$D$13*$A141))/(1+EXP(MIN(700,MAX(-700,(Examples!$D$14*$A141-Examples!$D$15)/Examples!$D$16))))))+Examples!$D$17*$A141^2)</f>
        <v>523572.0000352799</v>
      </c>
      <c r="E141" s="33">
        <f>(Examples!$D$6*Examples!$D$7*Examples!$D$8*EXP(-Examples!$D$9*$A141)*(1-(Examples!$D$12*(1-EXP(-Examples!$D$13*$A141))/(1+EXP(MIN(700,MAX(-700,(Examples!$D$14*$A141-Examples!$D$15)/Examples!$D$16))))))+Examples!$D$17*$A141^2)</f>
        <v>1913877.9999647201</v>
      </c>
      <c r="F141" s="33">
        <f>Examples!$E$18-(Examples!$E$10+Examples!$E$11)*$A141-(Examples!$E$6*Examples!$E$7*Examples!$E$8*EXP(-Examples!$E$9*$A141)*(1-(Examples!$E$12*(1-EXP(-Examples!$E$13*$A141))/(1+EXP(MIN(700,MAX(-700,(Examples!$E$14*$A141-Examples!$E$15)/Examples!$E$16))))))+Examples!$E$17*$A141^2)</f>
        <v>2203453.1130019752</v>
      </c>
      <c r="G141" s="33">
        <f>(Examples!$E$6*Examples!$E$7*Examples!$E$8*EXP(-Examples!$E$9*$A141)*(1-(Examples!$E$12*(1-EXP(-Examples!$E$13*$A141))/(1+EXP(MIN(700,MAX(-700,(Examples!$E$14*$A141-Examples!$E$15)/Examples!$E$16))))))+Examples!$E$17*$A141^2)</f>
        <v>678396.88699802489</v>
      </c>
      <c r="H141" s="33">
        <f>Examples!$F$18-(Examples!$F$10+Examples!$F$11)*$A141-(Examples!$F$6*Examples!$F$7*Examples!$F$8*EXP(-Examples!$F$9*$A141)*(1-(Examples!$F$12*(1-EXP(-Examples!$F$13*$A141))/(1+EXP(MIN(700,MAX(-700,(Examples!$F$14*$A141-Examples!$F$15)/Examples!$F$16))))))+Examples!$F$17*$A141^2)</f>
        <v>72722.870900984068</v>
      </c>
      <c r="I141" s="33">
        <f>(Examples!$F$6*Examples!$F$7*Examples!$F$8*EXP(-Examples!$F$9*$A141)*(1-(Examples!$F$12*(1-EXP(-Examples!$F$13*$A141))/(1+EXP(MIN(700,MAX(-700,(Examples!$F$14*$A141-Examples!$F$15)/Examples!$F$16))))))+Examples!$F$17*$A141^2)</f>
        <v>49477.129099015932</v>
      </c>
      <c r="J141" s="33">
        <f>Examples!$G$18-(Examples!$G$10+Examples!$G$11)*$A141-(Examples!$G$6*Examples!$G$7*Examples!$G$8*EXP(-Examples!$G$9*$A141)*(1-(Examples!$G$12*(1-EXP(-Examples!$G$13*$A141))/(1+EXP(MIN(700,MAX(-700,(Examples!$G$14*$A141-Examples!$G$15)/Examples!$G$16))))))+Examples!$G$17*$A141^2)</f>
        <v>586858.76634125772</v>
      </c>
      <c r="K141" s="33">
        <f>(Examples!$G$6*Examples!$G$7*Examples!$G$8*EXP(-Examples!$G$9*$A141)*(1-(Examples!$G$12*(1-EXP(-Examples!$G$13*$A141))/(1+EXP(MIN(700,MAX(-700,(Examples!$G$14*$A141-Examples!$G$15)/Examples!$G$16))))))+Examples!$G$17*$A141^2)</f>
        <v>843641.23365874228</v>
      </c>
      <c r="L141" s="33">
        <f>Examples!$H$18-(Examples!$H$10+Examples!$H$11)*$A141-(Examples!$H$6*Examples!$H$7*Examples!$H$8*EXP(-Examples!$H$9*$A141)*(1-(Examples!$H$12*(1-EXP(-Examples!$H$13*$A141))/(1+EXP(MIN(700,MAX(-700,(Examples!$H$14*$A141-Examples!$H$15)/Examples!$H$16))))))+Examples!$H$17*$A141^2)</f>
        <v>664492.83354112238</v>
      </c>
      <c r="M141" s="33">
        <f>(Examples!$H$6*Examples!$H$7*Examples!$H$8*EXP(-Examples!$H$9*$A141)*(1-(Examples!$H$12*(1-EXP(-Examples!$H$13*$A141))/(1+EXP(MIN(700,MAX(-700,(Examples!$H$14*$A141-Examples!$H$15)/Examples!$H$16))))))+Examples!$H$17*$A141^2)</f>
        <v>766007.16645887762</v>
      </c>
    </row>
    <row r="142" spans="1:13" x14ac:dyDescent="0.25">
      <c r="A142">
        <f>(142-2)/100</f>
        <v>1.4</v>
      </c>
      <c r="B142" s="33">
        <f>Examples!$C$18-(Examples!$C$10+Examples!$C$11)*$A142-(Examples!$C$6*Examples!$C$7*Examples!$C$8*EXP(-Examples!$C$9*$A142)*(1-(Examples!$C$12*(1-EXP(-Examples!$C$13*$A142))/(1+EXP(MIN(700,MAX(-700,(Examples!$C$14*$A142-Examples!$C$15)/Examples!$C$16))))))+Examples!$C$17*$A142^2)</f>
        <v>199247.73275597853</v>
      </c>
      <c r="C142" s="33">
        <f>(Examples!$C$6*Examples!$C$7*Examples!$C$8*EXP(-Examples!$C$9*$A142)*(1-(Examples!$C$12*(1-EXP(-Examples!$C$13*$A142))/(1+EXP(MIN(700,MAX(-700,(Examples!$C$14*$A142-Examples!$C$15)/Examples!$C$16))))))+Examples!$C$17*$A142^2)</f>
        <v>351752.26724402147</v>
      </c>
      <c r="D142" s="33">
        <f>Examples!$D$18-(Examples!$D$10+Examples!$D$11)*$A142-(Examples!$D$6*Examples!$D$7*Examples!$D$8*EXP(-Examples!$D$9*$A142)*(1-(Examples!$D$12*(1-EXP(-Examples!$D$13*$A142))/(1+EXP(MIN(700,MAX(-700,(Examples!$D$14*$A142-Examples!$D$15)/Examples!$D$16))))))+Examples!$D$17*$A142^2)</f>
        <v>536780.04410673096</v>
      </c>
      <c r="E142" s="33">
        <f>(Examples!$D$6*Examples!$D$7*Examples!$D$8*EXP(-Examples!$D$9*$A142)*(1-(Examples!$D$12*(1-EXP(-Examples!$D$13*$A142))/(1+EXP(MIN(700,MAX(-700,(Examples!$D$14*$A142-Examples!$D$15)/Examples!$D$16))))))+Examples!$D$17*$A142^2)</f>
        <v>1900219.955893269</v>
      </c>
      <c r="F142" s="33">
        <f>Examples!$E$18-(Examples!$E$10+Examples!$E$11)*$A142-(Examples!$E$6*Examples!$E$7*Examples!$E$8*EXP(-Examples!$E$9*$A142)*(1-(Examples!$E$12*(1-EXP(-Examples!$E$13*$A142))/(1+EXP(MIN(700,MAX(-700,(Examples!$E$14*$A142-Examples!$E$15)/Examples!$E$16))))))+Examples!$E$17*$A142^2)</f>
        <v>2208434.5228117877</v>
      </c>
      <c r="G142" s="33">
        <f>(Examples!$E$6*Examples!$E$7*Examples!$E$8*EXP(-Examples!$E$9*$A142)*(1-(Examples!$E$12*(1-EXP(-Examples!$E$13*$A142))/(1+EXP(MIN(700,MAX(-700,(Examples!$E$14*$A142-Examples!$E$15)/Examples!$E$16))))))+Examples!$E$17*$A142^2)</f>
        <v>672565.47718821233</v>
      </c>
      <c r="H142" s="33">
        <f>Examples!$F$18-(Examples!$F$10+Examples!$F$11)*$A142-(Examples!$F$6*Examples!$F$7*Examples!$F$8*EXP(-Examples!$F$9*$A142)*(1-(Examples!$F$12*(1-EXP(-Examples!$F$13*$A142))/(1+EXP(MIN(700,MAX(-700,(Examples!$F$14*$A142-Examples!$F$15)/Examples!$F$16))))))+Examples!$F$17*$A142^2)</f>
        <v>71985.819504854866</v>
      </c>
      <c r="I142" s="33">
        <f>(Examples!$F$6*Examples!$F$7*Examples!$F$8*EXP(-Examples!$F$9*$A142)*(1-(Examples!$F$12*(1-EXP(-Examples!$F$13*$A142))/(1+EXP(MIN(700,MAX(-700,(Examples!$F$14*$A142-Examples!$F$15)/Examples!$F$16))))))+Examples!$F$17*$A142^2)</f>
        <v>50014.180495145134</v>
      </c>
      <c r="J142" s="33">
        <f>Examples!$G$18-(Examples!$G$10+Examples!$G$11)*$A142-(Examples!$G$6*Examples!$G$7*Examples!$G$8*EXP(-Examples!$G$9*$A142)*(1-(Examples!$G$12*(1-EXP(-Examples!$G$13*$A142))/(1+EXP(MIN(700,MAX(-700,(Examples!$G$14*$A142-Examples!$G$15)/Examples!$G$16))))))+Examples!$G$17*$A142^2)</f>
        <v>590018.6553404833</v>
      </c>
      <c r="K142" s="33">
        <f>(Examples!$G$6*Examples!$G$7*Examples!$G$8*EXP(-Examples!$G$9*$A142)*(1-(Examples!$G$12*(1-EXP(-Examples!$G$13*$A142))/(1+EXP(MIN(700,MAX(-700,(Examples!$G$14*$A142-Examples!$G$15)/Examples!$G$16))))))+Examples!$G$17*$A142^2)</f>
        <v>839981.3446595167</v>
      </c>
      <c r="L142" s="33">
        <f>Examples!$H$18-(Examples!$H$10+Examples!$H$11)*$A142-(Examples!$H$6*Examples!$H$7*Examples!$H$8*EXP(-Examples!$H$9*$A142)*(1-(Examples!$H$12*(1-EXP(-Examples!$H$13*$A142))/(1+EXP(MIN(700,MAX(-700,(Examples!$H$14*$A142-Examples!$H$15)/Examples!$H$16))))))+Examples!$H$17*$A142^2)</f>
        <v>668329.52601644606</v>
      </c>
      <c r="M142" s="33">
        <f>(Examples!$H$6*Examples!$H$7*Examples!$H$8*EXP(-Examples!$H$9*$A142)*(1-(Examples!$H$12*(1-EXP(-Examples!$H$13*$A142))/(1+EXP(MIN(700,MAX(-700,(Examples!$H$14*$A142-Examples!$H$15)/Examples!$H$16))))))+Examples!$H$17*$A142^2)</f>
        <v>761670.47398355394</v>
      </c>
    </row>
    <row r="143" spans="1:13" x14ac:dyDescent="0.25">
      <c r="A143">
        <f>(143-2)/100</f>
        <v>1.41</v>
      </c>
      <c r="B143" s="33">
        <f>Examples!$C$18-(Examples!$C$10+Examples!$C$11)*$A143-(Examples!$C$6*Examples!$C$7*Examples!$C$8*EXP(-Examples!$C$9*$A143)*(1-(Examples!$C$12*(1-EXP(-Examples!$C$13*$A143))/(1+EXP(MIN(700,MAX(-700,(Examples!$C$14*$A143-Examples!$C$15)/Examples!$C$16))))))+Examples!$C$17*$A143^2)</f>
        <v>199118.47224565985</v>
      </c>
      <c r="C143" s="33">
        <f>(Examples!$C$6*Examples!$C$7*Examples!$C$8*EXP(-Examples!$C$9*$A143)*(1-(Examples!$C$12*(1-EXP(-Examples!$C$13*$A143))/(1+EXP(MIN(700,MAX(-700,(Examples!$C$14*$A143-Examples!$C$15)/Examples!$C$16))))))+Examples!$C$17*$A143^2)</f>
        <v>351531.52775434015</v>
      </c>
      <c r="D143" s="33">
        <f>Examples!$D$18-(Examples!$D$10+Examples!$D$11)*$A143-(Examples!$D$6*Examples!$D$7*Examples!$D$8*EXP(-Examples!$D$9*$A143)*(1-(Examples!$D$12*(1-EXP(-Examples!$D$13*$A143))/(1+EXP(MIN(700,MAX(-700,(Examples!$D$14*$A143-Examples!$D$15)/Examples!$D$16))))))+Examples!$D$17*$A143^2)</f>
        <v>549850.61134396982</v>
      </c>
      <c r="E143" s="33">
        <f>(Examples!$D$6*Examples!$D$7*Examples!$D$8*EXP(-Examples!$D$9*$A143)*(1-(Examples!$D$12*(1-EXP(-Examples!$D$13*$A143))/(1+EXP(MIN(700,MAX(-700,(Examples!$D$14*$A143-Examples!$D$15)/Examples!$D$16))))))+Examples!$D$17*$A143^2)</f>
        <v>1886699.3886560302</v>
      </c>
      <c r="F143" s="33">
        <f>Examples!$E$18-(Examples!$E$10+Examples!$E$11)*$A143-(Examples!$E$6*Examples!$E$7*Examples!$E$8*EXP(-Examples!$E$9*$A143)*(1-(Examples!$E$12*(1-EXP(-Examples!$E$13*$A143))/(1+EXP(MIN(700,MAX(-700,(Examples!$E$14*$A143-Examples!$E$15)/Examples!$E$16))))))+Examples!$E$17*$A143^2)</f>
        <v>2213348.8765670611</v>
      </c>
      <c r="G143" s="33">
        <f>(Examples!$E$6*Examples!$E$7*Examples!$E$8*EXP(-Examples!$E$9*$A143)*(1-(Examples!$E$12*(1-EXP(-Examples!$E$13*$A143))/(1+EXP(MIN(700,MAX(-700,(Examples!$E$14*$A143-Examples!$E$15)/Examples!$E$16))))))+Examples!$E$17*$A143^2)</f>
        <v>666801.12343293882</v>
      </c>
      <c r="H143" s="33">
        <f>Examples!$F$18-(Examples!$F$10+Examples!$F$11)*$A143-(Examples!$F$6*Examples!$F$7*Examples!$F$8*EXP(-Examples!$F$9*$A143)*(1-(Examples!$F$12*(1-EXP(-Examples!$F$13*$A143))/(1+EXP(MIN(700,MAX(-700,(Examples!$F$14*$A143-Examples!$F$15)/Examples!$F$16))))))+Examples!$F$17*$A143^2)</f>
        <v>71244.632384637531</v>
      </c>
      <c r="I143" s="33">
        <f>(Examples!$F$6*Examples!$F$7*Examples!$F$8*EXP(-Examples!$F$9*$A143)*(1-(Examples!$F$12*(1-EXP(-Examples!$F$13*$A143))/(1+EXP(MIN(700,MAX(-700,(Examples!$F$14*$A143-Examples!$F$15)/Examples!$F$16))))))+Examples!$F$17*$A143^2)</f>
        <v>50555.367615362469</v>
      </c>
      <c r="J143" s="33">
        <f>Examples!$G$18-(Examples!$G$10+Examples!$G$11)*$A143-(Examples!$G$6*Examples!$G$7*Examples!$G$8*EXP(-Examples!$G$9*$A143)*(1-(Examples!$G$12*(1-EXP(-Examples!$G$13*$A143))/(1+EXP(MIN(700,MAX(-700,(Examples!$G$14*$A143-Examples!$G$15)/Examples!$G$16))))))+Examples!$G$17*$A143^2)</f>
        <v>593131.89322012535</v>
      </c>
      <c r="K143" s="33">
        <f>(Examples!$G$6*Examples!$G$7*Examples!$G$8*EXP(-Examples!$G$9*$A143)*(1-(Examples!$G$12*(1-EXP(-Examples!$G$13*$A143))/(1+EXP(MIN(700,MAX(-700,(Examples!$G$14*$A143-Examples!$G$15)/Examples!$G$16))))))+Examples!$G$17*$A143^2)</f>
        <v>836368.10677987465</v>
      </c>
      <c r="L143" s="33">
        <f>Examples!$H$18-(Examples!$H$10+Examples!$H$11)*$A143-(Examples!$H$6*Examples!$H$7*Examples!$H$8*EXP(-Examples!$H$9*$A143)*(1-(Examples!$H$12*(1-EXP(-Examples!$H$13*$A143))/(1+EXP(MIN(700,MAX(-700,(Examples!$H$14*$A143-Examples!$H$15)/Examples!$H$16))))))+Examples!$H$17*$A143^2)</f>
        <v>672112.55315048224</v>
      </c>
      <c r="M143" s="33">
        <f>(Examples!$H$6*Examples!$H$7*Examples!$H$8*EXP(-Examples!$H$9*$A143)*(1-(Examples!$H$12*(1-EXP(-Examples!$H$13*$A143))/(1+EXP(MIN(700,MAX(-700,(Examples!$H$14*$A143-Examples!$H$15)/Examples!$H$16))))))+Examples!$H$17*$A143^2)</f>
        <v>757387.44684951776</v>
      </c>
    </row>
    <row r="144" spans="1:13" x14ac:dyDescent="0.25">
      <c r="A144">
        <f>(144-2)/100</f>
        <v>1.42</v>
      </c>
      <c r="B144" s="33">
        <f>Examples!$C$18-(Examples!$C$10+Examples!$C$11)*$A144-(Examples!$C$6*Examples!$C$7*Examples!$C$8*EXP(-Examples!$C$9*$A144)*(1-(Examples!$C$12*(1-EXP(-Examples!$C$13*$A144))/(1+EXP(MIN(700,MAX(-700,(Examples!$C$14*$A144-Examples!$C$15)/Examples!$C$16))))))+Examples!$C$17*$A144^2)</f>
        <v>198966.78022148111</v>
      </c>
      <c r="C144" s="33">
        <f>(Examples!$C$6*Examples!$C$7*Examples!$C$8*EXP(-Examples!$C$9*$A144)*(1-(Examples!$C$12*(1-EXP(-Examples!$C$13*$A144))/(1+EXP(MIN(700,MAX(-700,(Examples!$C$14*$A144-Examples!$C$15)/Examples!$C$16))))))+Examples!$C$17*$A144^2)</f>
        <v>351333.21977851889</v>
      </c>
      <c r="D144" s="33">
        <f>Examples!$D$18-(Examples!$D$10+Examples!$D$11)*$A144-(Examples!$D$6*Examples!$D$7*Examples!$D$8*EXP(-Examples!$D$9*$A144)*(1-(Examples!$D$12*(1-EXP(-Examples!$D$13*$A144))/(1+EXP(MIN(700,MAX(-700,(Examples!$D$14*$A144-Examples!$D$15)/Examples!$D$16))))))+Examples!$D$17*$A144^2)</f>
        <v>562784.9302315223</v>
      </c>
      <c r="E144" s="33">
        <f>(Examples!$D$6*Examples!$D$7*Examples!$D$8*EXP(-Examples!$D$9*$A144)*(1-(Examples!$D$12*(1-EXP(-Examples!$D$13*$A144))/(1+EXP(MIN(700,MAX(-700,(Examples!$D$14*$A144-Examples!$D$15)/Examples!$D$16))))))+Examples!$D$17*$A144^2)</f>
        <v>1873315.0697684777</v>
      </c>
      <c r="F144" s="33">
        <f>Examples!$E$18-(Examples!$E$10+Examples!$E$11)*$A144-(Examples!$E$6*Examples!$E$7*Examples!$E$8*EXP(-Examples!$E$9*$A144)*(1-(Examples!$E$12*(1-EXP(-Examples!$E$13*$A144))/(1+EXP(MIN(700,MAX(-700,(Examples!$E$14*$A144-Examples!$E$15)/Examples!$E$16))))))+Examples!$E$17*$A144^2)</f>
        <v>2218196.9344140687</v>
      </c>
      <c r="G144" s="33">
        <f>(Examples!$E$6*Examples!$E$7*Examples!$E$8*EXP(-Examples!$E$9*$A144)*(1-(Examples!$E$12*(1-EXP(-Examples!$E$13*$A144))/(1+EXP(MIN(700,MAX(-700,(Examples!$E$14*$A144-Examples!$E$15)/Examples!$E$16))))))+Examples!$E$17*$A144^2)</f>
        <v>661103.06558593141</v>
      </c>
      <c r="H144" s="33">
        <f>Examples!$F$18-(Examples!$F$10+Examples!$F$11)*$A144-(Examples!$F$6*Examples!$F$7*Examples!$F$8*EXP(-Examples!$F$9*$A144)*(1-(Examples!$F$12*(1-EXP(-Examples!$F$13*$A144))/(1+EXP(MIN(700,MAX(-700,(Examples!$F$14*$A144-Examples!$F$15)/Examples!$F$16))))))+Examples!$F$17*$A144^2)</f>
        <v>70499.324391216956</v>
      </c>
      <c r="I144" s="33">
        <f>(Examples!$F$6*Examples!$F$7*Examples!$F$8*EXP(-Examples!$F$9*$A144)*(1-(Examples!$F$12*(1-EXP(-Examples!$F$13*$A144))/(1+EXP(MIN(700,MAX(-700,(Examples!$F$14*$A144-Examples!$F$15)/Examples!$F$16))))))+Examples!$F$17*$A144^2)</f>
        <v>51100.675608783044</v>
      </c>
      <c r="J144" s="33">
        <f>Examples!$G$18-(Examples!$G$10+Examples!$G$11)*$A144-(Examples!$G$6*Examples!$G$7*Examples!$G$8*EXP(-Examples!$G$9*$A144)*(1-(Examples!$G$12*(1-EXP(-Examples!$G$13*$A144))/(1+EXP(MIN(700,MAX(-700,(Examples!$G$14*$A144-Examples!$G$15)/Examples!$G$16))))))+Examples!$G$17*$A144^2)</f>
        <v>596198.83078304667</v>
      </c>
      <c r="K144" s="33">
        <f>(Examples!$G$6*Examples!$G$7*Examples!$G$8*EXP(-Examples!$G$9*$A144)*(1-(Examples!$G$12*(1-EXP(-Examples!$G$13*$A144))/(1+EXP(MIN(700,MAX(-700,(Examples!$G$14*$A144-Examples!$G$15)/Examples!$G$16))))))+Examples!$G$17*$A144^2)</f>
        <v>832801.16921695333</v>
      </c>
      <c r="L144" s="33">
        <f>Examples!$H$18-(Examples!$H$10+Examples!$H$11)*$A144-(Examples!$H$6*Examples!$H$7*Examples!$H$8*EXP(-Examples!$H$9*$A144)*(1-(Examples!$H$12*(1-EXP(-Examples!$H$13*$A144))/(1+EXP(MIN(700,MAX(-700,(Examples!$H$14*$A144-Examples!$H$15)/Examples!$H$16))))))+Examples!$H$17*$A144^2)</f>
        <v>675841.84064354852</v>
      </c>
      <c r="M144" s="33">
        <f>(Examples!$H$6*Examples!$H$7*Examples!$H$8*EXP(-Examples!$H$9*$A144)*(1-(Examples!$H$12*(1-EXP(-Examples!$H$13*$A144))/(1+EXP(MIN(700,MAX(-700,(Examples!$H$14*$A144-Examples!$H$15)/Examples!$H$16))))))+Examples!$H$17*$A144^2)</f>
        <v>753158.15935645148</v>
      </c>
    </row>
    <row r="145" spans="1:13" x14ac:dyDescent="0.25">
      <c r="A145">
        <f>(145-2)/100</f>
        <v>1.43</v>
      </c>
      <c r="B145" s="33">
        <f>Examples!$C$18-(Examples!$C$10+Examples!$C$11)*$A145-(Examples!$C$6*Examples!$C$7*Examples!$C$8*EXP(-Examples!$C$9*$A145)*(1-(Examples!$C$12*(1-EXP(-Examples!$C$13*$A145))/(1+EXP(MIN(700,MAX(-700,(Examples!$C$14*$A145-Examples!$C$15)/Examples!$C$16))))))+Examples!$C$17*$A145^2)</f>
        <v>198792.93421096663</v>
      </c>
      <c r="C145" s="33">
        <f>(Examples!$C$6*Examples!$C$7*Examples!$C$8*EXP(-Examples!$C$9*$A145)*(1-(Examples!$C$12*(1-EXP(-Examples!$C$13*$A145))/(1+EXP(MIN(700,MAX(-700,(Examples!$C$14*$A145-Examples!$C$15)/Examples!$C$16))))))+Examples!$C$17*$A145^2)</f>
        <v>351157.06578903337</v>
      </c>
      <c r="D145" s="33">
        <f>Examples!$D$18-(Examples!$D$10+Examples!$D$11)*$A145-(Examples!$D$6*Examples!$D$7*Examples!$D$8*EXP(-Examples!$D$9*$A145)*(1-(Examples!$D$12*(1-EXP(-Examples!$D$13*$A145))/(1+EXP(MIN(700,MAX(-700,(Examples!$D$14*$A145-Examples!$D$15)/Examples!$D$16))))))+Examples!$D$17*$A145^2)</f>
        <v>575584.21660592291</v>
      </c>
      <c r="E145" s="33">
        <f>(Examples!$D$6*Examples!$D$7*Examples!$D$8*EXP(-Examples!$D$9*$A145)*(1-(Examples!$D$12*(1-EXP(-Examples!$D$13*$A145))/(1+EXP(MIN(700,MAX(-700,(Examples!$D$14*$A145-Examples!$D$15)/Examples!$D$16))))))+Examples!$D$17*$A145^2)</f>
        <v>1860065.7833940771</v>
      </c>
      <c r="F145" s="33">
        <f>Examples!$E$18-(Examples!$E$10+Examples!$E$11)*$A145-(Examples!$E$6*Examples!$E$7*Examples!$E$8*EXP(-Examples!$E$9*$A145)*(1-(Examples!$E$12*(1-EXP(-Examples!$E$13*$A145))/(1+EXP(MIN(700,MAX(-700,(Examples!$E$14*$A145-Examples!$E$15)/Examples!$E$16))))))+Examples!$E$17*$A145^2)</f>
        <v>2222979.4476435166</v>
      </c>
      <c r="G145" s="33">
        <f>(Examples!$E$6*Examples!$E$7*Examples!$E$8*EXP(-Examples!$E$9*$A145)*(1-(Examples!$E$12*(1-EXP(-Examples!$E$13*$A145))/(1+EXP(MIN(700,MAX(-700,(Examples!$E$14*$A145-Examples!$E$15)/Examples!$E$16))))))+Examples!$E$17*$A145^2)</f>
        <v>655470.55235648318</v>
      </c>
      <c r="H145" s="33">
        <f>Examples!$F$18-(Examples!$F$10+Examples!$F$11)*$A145-(Examples!$F$6*Examples!$F$7*Examples!$F$8*EXP(-Examples!$F$9*$A145)*(1-(Examples!$F$12*(1-EXP(-Examples!$F$13*$A145))/(1+EXP(MIN(700,MAX(-700,(Examples!$F$14*$A145-Examples!$F$15)/Examples!$F$16))))))+Examples!$F$17*$A145^2)</f>
        <v>69749.910162630811</v>
      </c>
      <c r="I145" s="33">
        <f>(Examples!$F$6*Examples!$F$7*Examples!$F$8*EXP(-Examples!$F$9*$A145)*(1-(Examples!$F$12*(1-EXP(-Examples!$F$13*$A145))/(1+EXP(MIN(700,MAX(-700,(Examples!$F$14*$A145-Examples!$F$15)/Examples!$F$16))))))+Examples!$F$17*$A145^2)</f>
        <v>51650.089837369196</v>
      </c>
      <c r="J145" s="33">
        <f>Examples!$G$18-(Examples!$G$10+Examples!$G$11)*$A145-(Examples!$G$6*Examples!$G$7*Examples!$G$8*EXP(-Examples!$G$9*$A145)*(1-(Examples!$G$12*(1-EXP(-Examples!$G$13*$A145))/(1+EXP(MIN(700,MAX(-700,(Examples!$G$14*$A145-Examples!$G$15)/Examples!$G$16))))))+Examples!$G$17*$A145^2)</f>
        <v>599219.81814860937</v>
      </c>
      <c r="K145" s="33">
        <f>(Examples!$G$6*Examples!$G$7*Examples!$G$8*EXP(-Examples!$G$9*$A145)*(1-(Examples!$G$12*(1-EXP(-Examples!$G$13*$A145))/(1+EXP(MIN(700,MAX(-700,(Examples!$G$14*$A145-Examples!$G$15)/Examples!$G$16))))))+Examples!$G$17*$A145^2)</f>
        <v>829280.18185139063</v>
      </c>
      <c r="L145" s="33">
        <f>Examples!$H$18-(Examples!$H$10+Examples!$H$11)*$A145-(Examples!$H$6*Examples!$H$7*Examples!$H$8*EXP(-Examples!$H$9*$A145)*(1-(Examples!$H$12*(1-EXP(-Examples!$H$13*$A145))/(1+EXP(MIN(700,MAX(-700,(Examples!$H$14*$A145-Examples!$H$15)/Examples!$H$16))))))+Examples!$H$17*$A145^2)</f>
        <v>679517.3032676205</v>
      </c>
      <c r="M145" s="33">
        <f>(Examples!$H$6*Examples!$H$7*Examples!$H$8*EXP(-Examples!$H$9*$A145)*(1-(Examples!$H$12*(1-EXP(-Examples!$H$13*$A145))/(1+EXP(MIN(700,MAX(-700,(Examples!$H$14*$A145-Examples!$H$15)/Examples!$H$16))))))+Examples!$H$17*$A145^2)</f>
        <v>748982.6967323795</v>
      </c>
    </row>
    <row r="146" spans="1:13" x14ac:dyDescent="0.25">
      <c r="A146">
        <f>(146-2)/100</f>
        <v>1.44</v>
      </c>
      <c r="B146" s="33">
        <f>Examples!$C$18-(Examples!$C$10+Examples!$C$11)*$A146-(Examples!$C$6*Examples!$C$7*Examples!$C$8*EXP(-Examples!$C$9*$A146)*(1-(Examples!$C$12*(1-EXP(-Examples!$C$13*$A146))/(1+EXP(MIN(700,MAX(-700,(Examples!$C$14*$A146-Examples!$C$15)/Examples!$C$16))))))+Examples!$C$17*$A146^2)</f>
        <v>198597.23080522317</v>
      </c>
      <c r="C146" s="33">
        <f>(Examples!$C$6*Examples!$C$7*Examples!$C$8*EXP(-Examples!$C$9*$A146)*(1-(Examples!$C$12*(1-EXP(-Examples!$C$13*$A146))/(1+EXP(MIN(700,MAX(-700,(Examples!$C$14*$A146-Examples!$C$15)/Examples!$C$16))))))+Examples!$C$17*$A146^2)</f>
        <v>351002.76919477683</v>
      </c>
      <c r="D146" s="33">
        <f>Examples!$D$18-(Examples!$D$10+Examples!$D$11)*$A146-(Examples!$D$6*Examples!$D$7*Examples!$D$8*EXP(-Examples!$D$9*$A146)*(1-(Examples!$D$12*(1-EXP(-Examples!$D$13*$A146))/(1+EXP(MIN(700,MAX(-700,(Examples!$D$14*$A146-Examples!$D$15)/Examples!$D$16))))))+Examples!$D$17*$A146^2)</f>
        <v>588249.67379640276</v>
      </c>
      <c r="E146" s="33">
        <f>(Examples!$D$6*Examples!$D$7*Examples!$D$8*EXP(-Examples!$D$9*$A146)*(1-(Examples!$D$12*(1-EXP(-Examples!$D$13*$A146))/(1+EXP(MIN(700,MAX(-700,(Examples!$D$14*$A146-Examples!$D$15)/Examples!$D$16))))))+Examples!$D$17*$A146^2)</f>
        <v>1846950.3262035972</v>
      </c>
      <c r="F146" s="33">
        <f>Examples!$E$18-(Examples!$E$10+Examples!$E$11)*$A146-(Examples!$E$6*Examples!$E$7*Examples!$E$8*EXP(-Examples!$E$9*$A146)*(1-(Examples!$E$12*(1-EXP(-Examples!$E$13*$A146))/(1+EXP(MIN(700,MAX(-700,(Examples!$E$14*$A146-Examples!$E$15)/Examples!$E$16))))))+Examples!$E$17*$A146^2)</f>
        <v>2227697.1587958885</v>
      </c>
      <c r="G146" s="33">
        <f>(Examples!$E$6*Examples!$E$7*Examples!$E$8*EXP(-Examples!$E$9*$A146)*(1-(Examples!$E$12*(1-EXP(-Examples!$E$13*$A146))/(1+EXP(MIN(700,MAX(-700,(Examples!$E$14*$A146-Examples!$E$15)/Examples!$E$16))))))+Examples!$E$17*$A146^2)</f>
        <v>649902.84120411135</v>
      </c>
      <c r="H146" s="33">
        <f>Examples!$F$18-(Examples!$F$10+Examples!$F$11)*$A146-(Examples!$F$6*Examples!$F$7*Examples!$F$8*EXP(-Examples!$F$9*$A146)*(1-(Examples!$F$12*(1-EXP(-Examples!$F$13*$A146))/(1+EXP(MIN(700,MAX(-700,(Examples!$F$14*$A146-Examples!$F$15)/Examples!$F$16))))))+Examples!$F$17*$A146^2)</f>
        <v>68996.404083823611</v>
      </c>
      <c r="I146" s="33">
        <f>(Examples!$F$6*Examples!$F$7*Examples!$F$8*EXP(-Examples!$F$9*$A146)*(1-(Examples!$F$12*(1-EXP(-Examples!$F$13*$A146))/(1+EXP(MIN(700,MAX(-700,(Examples!$F$14*$A146-Examples!$F$15)/Examples!$F$16))))))+Examples!$F$17*$A146^2)</f>
        <v>52203.595916176389</v>
      </c>
      <c r="J146" s="33">
        <f>Examples!$G$18-(Examples!$G$10+Examples!$G$11)*$A146-(Examples!$G$6*Examples!$G$7*Examples!$G$8*EXP(-Examples!$G$9*$A146)*(1-(Examples!$G$12*(1-EXP(-Examples!$G$13*$A146))/(1+EXP(MIN(700,MAX(-700,(Examples!$G$14*$A146-Examples!$G$15)/Examples!$G$16))))))+Examples!$G$17*$A146^2)</f>
        <v>602195.20479112724</v>
      </c>
      <c r="K146" s="33">
        <f>(Examples!$G$6*Examples!$G$7*Examples!$G$8*EXP(-Examples!$G$9*$A146)*(1-(Examples!$G$12*(1-EXP(-Examples!$G$13*$A146))/(1+EXP(MIN(700,MAX(-700,(Examples!$G$14*$A146-Examples!$G$15)/Examples!$G$16))))))+Examples!$G$17*$A146^2)</f>
        <v>825804.79520887276</v>
      </c>
      <c r="L146" s="33">
        <f>Examples!$H$18-(Examples!$H$10+Examples!$H$11)*$A146-(Examples!$H$6*Examples!$H$7*Examples!$H$8*EXP(-Examples!$H$9*$A146)*(1-(Examples!$H$12*(1-EXP(-Examples!$H$13*$A146))/(1+EXP(MIN(700,MAX(-700,(Examples!$H$14*$A146-Examples!$H$15)/Examples!$H$16))))))+Examples!$H$17*$A146^2)</f>
        <v>683138.84483456204</v>
      </c>
      <c r="M146" s="33">
        <f>(Examples!$H$6*Examples!$H$7*Examples!$H$8*EXP(-Examples!$H$9*$A146)*(1-(Examples!$H$12*(1-EXP(-Examples!$H$13*$A146))/(1+EXP(MIN(700,MAX(-700,(Examples!$H$14*$A146-Examples!$H$15)/Examples!$H$16))))))+Examples!$H$17*$A146^2)</f>
        <v>744861.15516543796</v>
      </c>
    </row>
    <row r="147" spans="1:13" x14ac:dyDescent="0.25">
      <c r="A147">
        <f>(147-2)/100</f>
        <v>1.45</v>
      </c>
      <c r="B147" s="33">
        <f>Examples!$C$18-(Examples!$C$10+Examples!$C$11)*$A147-(Examples!$C$6*Examples!$C$7*Examples!$C$8*EXP(-Examples!$C$9*$A147)*(1-(Examples!$C$12*(1-EXP(-Examples!$C$13*$A147))/(1+EXP(MIN(700,MAX(-700,(Examples!$C$14*$A147-Examples!$C$15)/Examples!$C$16))))))+Examples!$C$17*$A147^2)</f>
        <v>198379.98565743584</v>
      </c>
      <c r="C147" s="33">
        <f>(Examples!$C$6*Examples!$C$7*Examples!$C$8*EXP(-Examples!$C$9*$A147)*(1-(Examples!$C$12*(1-EXP(-Examples!$C$13*$A147))/(1+EXP(MIN(700,MAX(-700,(Examples!$C$14*$A147-Examples!$C$15)/Examples!$C$16))))))+Examples!$C$17*$A147^2)</f>
        <v>350870.01434256416</v>
      </c>
      <c r="D147" s="33">
        <f>Examples!$D$18-(Examples!$D$10+Examples!$D$11)*$A147-(Examples!$D$6*Examples!$D$7*Examples!$D$8*EXP(-Examples!$D$9*$A147)*(1-(Examples!$D$12*(1-EXP(-Examples!$D$13*$A147))/(1+EXP(MIN(700,MAX(-700,(Examples!$D$14*$A147-Examples!$D$15)/Examples!$D$16))))))+Examples!$D$17*$A147^2)</f>
        <v>600782.49276440963</v>
      </c>
      <c r="E147" s="33">
        <f>(Examples!$D$6*Examples!$D$7*Examples!$D$8*EXP(-Examples!$D$9*$A147)*(1-(Examples!$D$12*(1-EXP(-Examples!$D$13*$A147))/(1+EXP(MIN(700,MAX(-700,(Examples!$D$14*$A147-Examples!$D$15)/Examples!$D$16))))))+Examples!$D$17*$A147^2)</f>
        <v>1833967.5072355904</v>
      </c>
      <c r="F147" s="33">
        <f>Examples!$E$18-(Examples!$E$10+Examples!$E$11)*$A147-(Examples!$E$6*Examples!$E$7*Examples!$E$8*EXP(-Examples!$E$9*$A147)*(1-(Examples!$E$12*(1-EXP(-Examples!$E$13*$A147))/(1+EXP(MIN(700,MAX(-700,(Examples!$E$14*$A147-Examples!$E$15)/Examples!$E$16))))))+Examples!$E$17*$A147^2)</f>
        <v>2232350.8017655341</v>
      </c>
      <c r="G147" s="33">
        <f>(Examples!$E$6*Examples!$E$7*Examples!$E$8*EXP(-Examples!$E$9*$A147)*(1-(Examples!$E$12*(1-EXP(-Examples!$E$13*$A147))/(1+EXP(MIN(700,MAX(-700,(Examples!$E$14*$A147-Examples!$E$15)/Examples!$E$16))))))+Examples!$E$17*$A147^2)</f>
        <v>644399.19823446614</v>
      </c>
      <c r="H147" s="33">
        <f>Examples!$F$18-(Examples!$F$10+Examples!$F$11)*$A147-(Examples!$F$6*Examples!$F$7*Examples!$F$8*EXP(-Examples!$F$9*$A147)*(1-(Examples!$F$12*(1-EXP(-Examples!$F$13*$A147))/(1+EXP(MIN(700,MAX(-700,(Examples!$F$14*$A147-Examples!$F$15)/Examples!$F$16))))))+Examples!$F$17*$A147^2)</f>
        <v>68238.820248241056</v>
      </c>
      <c r="I147" s="33">
        <f>(Examples!$F$6*Examples!$F$7*Examples!$F$8*EXP(-Examples!$F$9*$A147)*(1-(Examples!$F$12*(1-EXP(-Examples!$F$13*$A147))/(1+EXP(MIN(700,MAX(-700,(Examples!$F$14*$A147-Examples!$F$15)/Examples!$F$16))))))+Examples!$F$17*$A147^2)</f>
        <v>52761.179751758944</v>
      </c>
      <c r="J147" s="33">
        <f>Examples!$G$18-(Examples!$G$10+Examples!$G$11)*$A147-(Examples!$G$6*Examples!$G$7*Examples!$G$8*EXP(-Examples!$G$9*$A147)*(1-(Examples!$G$12*(1-EXP(-Examples!$G$13*$A147))/(1+EXP(MIN(700,MAX(-700,(Examples!$G$14*$A147-Examples!$G$15)/Examples!$G$16))))))+Examples!$G$17*$A147^2)</f>
        <v>605125.33957760665</v>
      </c>
      <c r="K147" s="33">
        <f>(Examples!$G$6*Examples!$G$7*Examples!$G$8*EXP(-Examples!$G$9*$A147)*(1-(Examples!$G$12*(1-EXP(-Examples!$G$13*$A147))/(1+EXP(MIN(700,MAX(-700,(Examples!$G$14*$A147-Examples!$G$15)/Examples!$G$16))))))+Examples!$G$17*$A147^2)</f>
        <v>822374.66042239335</v>
      </c>
      <c r="L147" s="33">
        <f>Examples!$H$18-(Examples!$H$10+Examples!$H$11)*$A147-(Examples!$H$6*Examples!$H$7*Examples!$H$8*EXP(-Examples!$H$9*$A147)*(1-(Examples!$H$12*(1-EXP(-Examples!$H$13*$A147))/(1+EXP(MIN(700,MAX(-700,(Examples!$H$14*$A147-Examples!$H$15)/Examples!$H$16))))))+Examples!$H$17*$A147^2)</f>
        <v>686706.35817342729</v>
      </c>
      <c r="M147" s="33">
        <f>(Examples!$H$6*Examples!$H$7*Examples!$H$8*EXP(-Examples!$H$9*$A147)*(1-(Examples!$H$12*(1-EXP(-Examples!$H$13*$A147))/(1+EXP(MIN(700,MAX(-700,(Examples!$H$14*$A147-Examples!$H$15)/Examples!$H$16))))))+Examples!$H$17*$A147^2)</f>
        <v>740793.64182657271</v>
      </c>
    </row>
    <row r="148" spans="1:13" x14ac:dyDescent="0.25">
      <c r="A148">
        <f>(148-2)/100</f>
        <v>1.46</v>
      </c>
      <c r="B148" s="33">
        <f>Examples!$C$18-(Examples!$C$10+Examples!$C$11)*$A148-(Examples!$C$6*Examples!$C$7*Examples!$C$8*EXP(-Examples!$C$9*$A148)*(1-(Examples!$C$12*(1-EXP(-Examples!$C$13*$A148))/(1+EXP(MIN(700,MAX(-700,(Examples!$C$14*$A148-Examples!$C$15)/Examples!$C$16))))))+Examples!$C$17*$A148^2)</f>
        <v>198141.53341881605</v>
      </c>
      <c r="C148" s="33">
        <f>(Examples!$C$6*Examples!$C$7*Examples!$C$8*EXP(-Examples!$C$9*$A148)*(1-(Examples!$C$12*(1-EXP(-Examples!$C$13*$A148))/(1+EXP(MIN(700,MAX(-700,(Examples!$C$14*$A148-Examples!$C$15)/Examples!$C$16))))))+Examples!$C$17*$A148^2)</f>
        <v>350758.46658118395</v>
      </c>
      <c r="D148" s="33">
        <f>Examples!$D$18-(Examples!$D$10+Examples!$D$11)*$A148-(Examples!$D$6*Examples!$D$7*Examples!$D$8*EXP(-Examples!$D$9*$A148)*(1-(Examples!$D$12*(1-EXP(-Examples!$D$13*$A148))/(1+EXP(MIN(700,MAX(-700,(Examples!$D$14*$A148-Examples!$D$15)/Examples!$D$16))))))+Examples!$D$17*$A148^2)</f>
        <v>613183.8522419869</v>
      </c>
      <c r="E148" s="33">
        <f>(Examples!$D$6*Examples!$D$7*Examples!$D$8*EXP(-Examples!$D$9*$A148)*(1-(Examples!$D$12*(1-EXP(-Examples!$D$13*$A148))/(1+EXP(MIN(700,MAX(-700,(Examples!$D$14*$A148-Examples!$D$15)/Examples!$D$16))))))+Examples!$D$17*$A148^2)</f>
        <v>1821116.1477580131</v>
      </c>
      <c r="F148" s="33">
        <f>Examples!$E$18-(Examples!$E$10+Examples!$E$11)*$A148-(Examples!$E$6*Examples!$E$7*Examples!$E$8*EXP(-Examples!$E$9*$A148)*(1-(Examples!$E$12*(1-EXP(-Examples!$E$13*$A148))/(1+EXP(MIN(700,MAX(-700,(Examples!$E$14*$A148-Examples!$E$15)/Examples!$E$16))))))+Examples!$E$17*$A148^2)</f>
        <v>2236941.1019035252</v>
      </c>
      <c r="G148" s="33">
        <f>(Examples!$E$6*Examples!$E$7*Examples!$E$8*EXP(-Examples!$E$9*$A148)*(1-(Examples!$E$12*(1-EXP(-Examples!$E$13*$A148))/(1+EXP(MIN(700,MAX(-700,(Examples!$E$14*$A148-Examples!$E$15)/Examples!$E$16))))))+Examples!$E$17*$A148^2)</f>
        <v>638958.89809647459</v>
      </c>
      <c r="H148" s="33">
        <f>Examples!$F$18-(Examples!$F$10+Examples!$F$11)*$A148-(Examples!$F$6*Examples!$F$7*Examples!$F$8*EXP(-Examples!$F$9*$A148)*(1-(Examples!$F$12*(1-EXP(-Examples!$F$13*$A148))/(1+EXP(MIN(700,MAX(-700,(Examples!$F$14*$A148-Examples!$F$15)/Examples!$F$16))))))+Examples!$F$17*$A148^2)</f>
        <v>67477.17242148098</v>
      </c>
      <c r="I148" s="33">
        <f>(Examples!$F$6*Examples!$F$7*Examples!$F$8*EXP(-Examples!$F$9*$A148)*(1-(Examples!$F$12*(1-EXP(-Examples!$F$13*$A148))/(1+EXP(MIN(700,MAX(-700,(Examples!$F$14*$A148-Examples!$F$15)/Examples!$F$16))))))+Examples!$F$17*$A148^2)</f>
        <v>53322.82757851902</v>
      </c>
      <c r="J148" s="33">
        <f>Examples!$G$18-(Examples!$G$10+Examples!$G$11)*$A148-(Examples!$G$6*Examples!$G$7*Examples!$G$8*EXP(-Examples!$G$9*$A148)*(1-(Examples!$G$12*(1-EXP(-Examples!$G$13*$A148))/(1+EXP(MIN(700,MAX(-700,(Examples!$G$14*$A148-Examples!$G$15)/Examples!$G$16))))))+Examples!$G$17*$A148^2)</f>
        <v>608010.57080476021</v>
      </c>
      <c r="K148" s="33">
        <f>(Examples!$G$6*Examples!$G$7*Examples!$G$8*EXP(-Examples!$G$9*$A148)*(1-(Examples!$G$12*(1-EXP(-Examples!$G$13*$A148))/(1+EXP(MIN(700,MAX(-700,(Examples!$G$14*$A148-Examples!$G$15)/Examples!$G$16))))))+Examples!$G$17*$A148^2)</f>
        <v>818989.42919523979</v>
      </c>
      <c r="L148" s="33">
        <f>Examples!$H$18-(Examples!$H$10+Examples!$H$11)*$A148-(Examples!$H$6*Examples!$H$7*Examples!$H$8*EXP(-Examples!$H$9*$A148)*(1-(Examples!$H$12*(1-EXP(-Examples!$H$13*$A148))/(1+EXP(MIN(700,MAX(-700,(Examples!$H$14*$A148-Examples!$H$15)/Examples!$H$16))))))+Examples!$H$17*$A148^2)</f>
        <v>690219.72511761321</v>
      </c>
      <c r="M148" s="33">
        <f>(Examples!$H$6*Examples!$H$7*Examples!$H$8*EXP(-Examples!$H$9*$A148)*(1-(Examples!$H$12*(1-EXP(-Examples!$H$13*$A148))/(1+EXP(MIN(700,MAX(-700,(Examples!$H$14*$A148-Examples!$H$15)/Examples!$H$16))))))+Examples!$H$17*$A148^2)</f>
        <v>736780.27488238679</v>
      </c>
    </row>
    <row r="149" spans="1:13" x14ac:dyDescent="0.25">
      <c r="A149">
        <f>(149-2)/100</f>
        <v>1.47</v>
      </c>
      <c r="B149" s="33">
        <f>Examples!$C$18-(Examples!$C$10+Examples!$C$11)*$A149-(Examples!$C$6*Examples!$C$7*Examples!$C$8*EXP(-Examples!$C$9*$A149)*(1-(Examples!$C$12*(1-EXP(-Examples!$C$13*$A149))/(1+EXP(MIN(700,MAX(-700,(Examples!$C$14*$A149-Examples!$C$15)/Examples!$C$16))))))+Examples!$C$17*$A149^2)</f>
        <v>197882.22761010349</v>
      </c>
      <c r="C149" s="33">
        <f>(Examples!$C$6*Examples!$C$7*Examples!$C$8*EXP(-Examples!$C$9*$A149)*(1-(Examples!$C$12*(1-EXP(-Examples!$C$13*$A149))/(1+EXP(MIN(700,MAX(-700,(Examples!$C$14*$A149-Examples!$C$15)/Examples!$C$16))))))+Examples!$C$17*$A149^2)</f>
        <v>350667.77238989651</v>
      </c>
      <c r="D149" s="33">
        <f>Examples!$D$18-(Examples!$D$10+Examples!$D$11)*$A149-(Examples!$D$6*Examples!$D$7*Examples!$D$8*EXP(-Examples!$D$9*$A149)*(1-(Examples!$D$12*(1-EXP(-Examples!$D$13*$A149))/(1+EXP(MIN(700,MAX(-700,(Examples!$D$14*$A149-Examples!$D$15)/Examples!$D$16))))))+Examples!$D$17*$A149^2)</f>
        <v>625454.91886900761</v>
      </c>
      <c r="E149" s="33">
        <f>(Examples!$D$6*Examples!$D$7*Examples!$D$8*EXP(-Examples!$D$9*$A149)*(1-(Examples!$D$12*(1-EXP(-Examples!$D$13*$A149))/(1+EXP(MIN(700,MAX(-700,(Examples!$D$14*$A149-Examples!$D$15)/Examples!$D$16))))))+Examples!$D$17*$A149^2)</f>
        <v>1808395.0811309924</v>
      </c>
      <c r="F149" s="33">
        <f>Examples!$E$18-(Examples!$E$10+Examples!$E$11)*$A149-(Examples!$E$6*Examples!$E$7*Examples!$E$8*EXP(-Examples!$E$9*$A149)*(1-(Examples!$E$12*(1-EXP(-Examples!$E$13*$A149))/(1+EXP(MIN(700,MAX(-700,(Examples!$E$14*$A149-Examples!$E$15)/Examples!$E$16))))))+Examples!$E$17*$A149^2)</f>
        <v>2241468.7761192974</v>
      </c>
      <c r="G149" s="33">
        <f>(Examples!$E$6*Examples!$E$7*Examples!$E$8*EXP(-Examples!$E$9*$A149)*(1-(Examples!$E$12*(1-EXP(-Examples!$E$13*$A149))/(1+EXP(MIN(700,MAX(-700,(Examples!$E$14*$A149-Examples!$E$15)/Examples!$E$16))))))+Examples!$E$17*$A149^2)</f>
        <v>633581.22388070263</v>
      </c>
      <c r="H149" s="33">
        <f>Examples!$F$18-(Examples!$F$10+Examples!$F$11)*$A149-(Examples!$F$6*Examples!$F$7*Examples!$F$8*EXP(-Examples!$F$9*$A149)*(1-(Examples!$F$12*(1-EXP(-Examples!$F$13*$A149))/(1+EXP(MIN(700,MAX(-700,(Examples!$F$14*$A149-Examples!$F$15)/Examples!$F$16))))))+Examples!$F$17*$A149^2)</f>
        <v>66711.47400719524</v>
      </c>
      <c r="I149" s="33">
        <f>(Examples!$F$6*Examples!$F$7*Examples!$F$8*EXP(-Examples!$F$9*$A149)*(1-(Examples!$F$12*(1-EXP(-Examples!$F$13*$A149))/(1+EXP(MIN(700,MAX(-700,(Examples!$F$14*$A149-Examples!$F$15)/Examples!$F$16))))))+Examples!$F$17*$A149^2)</f>
        <v>53888.52599280476</v>
      </c>
      <c r="J149" s="33">
        <f>Examples!$G$18-(Examples!$G$10+Examples!$G$11)*$A149-(Examples!$G$6*Examples!$G$7*Examples!$G$8*EXP(-Examples!$G$9*$A149)*(1-(Examples!$G$12*(1-EXP(-Examples!$G$13*$A149))/(1+EXP(MIN(700,MAX(-700,(Examples!$G$14*$A149-Examples!$G$15)/Examples!$G$16))))))+Examples!$G$17*$A149^2)</f>
        <v>610851.24623527238</v>
      </c>
      <c r="K149" s="33">
        <f>(Examples!$G$6*Examples!$G$7*Examples!$G$8*EXP(-Examples!$G$9*$A149)*(1-(Examples!$G$12*(1-EXP(-Examples!$G$13*$A149))/(1+EXP(MIN(700,MAX(-700,(Examples!$G$14*$A149-Examples!$G$15)/Examples!$G$16))))))+Examples!$G$17*$A149^2)</f>
        <v>815648.75376472762</v>
      </c>
      <c r="L149" s="33">
        <f>Examples!$H$18-(Examples!$H$10+Examples!$H$11)*$A149-(Examples!$H$6*Examples!$H$7*Examples!$H$8*EXP(-Examples!$H$9*$A149)*(1-(Examples!$H$12*(1-EXP(-Examples!$H$13*$A149))/(1+EXP(MIN(700,MAX(-700,(Examples!$H$14*$A149-Examples!$H$15)/Examples!$H$16))))))+Examples!$H$17*$A149^2)</f>
        <v>693678.8165026803</v>
      </c>
      <c r="M149" s="33">
        <f>(Examples!$H$6*Examples!$H$7*Examples!$H$8*EXP(-Examples!$H$9*$A149)*(1-(Examples!$H$12*(1-EXP(-Examples!$H$13*$A149))/(1+EXP(MIN(700,MAX(-700,(Examples!$H$14*$A149-Examples!$H$15)/Examples!$H$16))))))+Examples!$H$17*$A149^2)</f>
        <v>732821.1834973197</v>
      </c>
    </row>
    <row r="150" spans="1:13" x14ac:dyDescent="0.25">
      <c r="A150">
        <f>(150-2)/100</f>
        <v>1.48</v>
      </c>
      <c r="B150" s="33">
        <f>Examples!$C$18-(Examples!$C$10+Examples!$C$11)*$A150-(Examples!$C$6*Examples!$C$7*Examples!$C$8*EXP(-Examples!$C$9*$A150)*(1-(Examples!$C$12*(1-EXP(-Examples!$C$13*$A150))/(1+EXP(MIN(700,MAX(-700,(Examples!$C$14*$A150-Examples!$C$15)/Examples!$C$16))))))+Examples!$C$17*$A150^2)</f>
        <v>197602.44042704022</v>
      </c>
      <c r="C150" s="33">
        <f>(Examples!$C$6*Examples!$C$7*Examples!$C$8*EXP(-Examples!$C$9*$A150)*(1-(Examples!$C$12*(1-EXP(-Examples!$C$13*$A150))/(1+EXP(MIN(700,MAX(-700,(Examples!$C$14*$A150-Examples!$C$15)/Examples!$C$16))))))+Examples!$C$17*$A150^2)</f>
        <v>350597.55957295978</v>
      </c>
      <c r="D150" s="33">
        <f>Examples!$D$18-(Examples!$D$10+Examples!$D$11)*$A150-(Examples!$D$6*Examples!$D$7*Examples!$D$8*EXP(-Examples!$D$9*$A150)*(1-(Examples!$D$12*(1-EXP(-Examples!$D$13*$A150))/(1+EXP(MIN(700,MAX(-700,(Examples!$D$14*$A150-Examples!$D$15)/Examples!$D$16))))))+Examples!$D$17*$A150^2)</f>
        <v>637596.84732930316</v>
      </c>
      <c r="E150" s="33">
        <f>(Examples!$D$6*Examples!$D$7*Examples!$D$8*EXP(-Examples!$D$9*$A150)*(1-(Examples!$D$12*(1-EXP(-Examples!$D$13*$A150))/(1+EXP(MIN(700,MAX(-700,(Examples!$D$14*$A150-Examples!$D$15)/Examples!$D$16))))))+Examples!$D$17*$A150^2)</f>
        <v>1795803.1526706968</v>
      </c>
      <c r="F150" s="33">
        <f>Examples!$E$18-(Examples!$E$10+Examples!$E$11)*$A150-(Examples!$E$6*Examples!$E$7*Examples!$E$8*EXP(-Examples!$E$9*$A150)*(1-(Examples!$E$12*(1-EXP(-Examples!$E$13*$A150))/(1+EXP(MIN(700,MAX(-700,(Examples!$E$14*$A150-Examples!$E$15)/Examples!$E$16))))))+Examples!$E$17*$A150^2)</f>
        <v>2245934.5329810739</v>
      </c>
      <c r="G150" s="33">
        <f>(Examples!$E$6*Examples!$E$7*Examples!$E$8*EXP(-Examples!$E$9*$A150)*(1-(Examples!$E$12*(1-EXP(-Examples!$E$13*$A150))/(1+EXP(MIN(700,MAX(-700,(Examples!$E$14*$A150-Examples!$E$15)/Examples!$E$16))))))+Examples!$E$17*$A150^2)</f>
        <v>628265.46701892617</v>
      </c>
      <c r="H150" s="33">
        <f>Examples!$F$18-(Examples!$F$10+Examples!$F$11)*$A150-(Examples!$F$6*Examples!$F$7*Examples!$F$8*EXP(-Examples!$F$9*$A150)*(1-(Examples!$F$12*(1-EXP(-Examples!$F$13*$A150))/(1+EXP(MIN(700,MAX(-700,(Examples!$F$14*$A150-Examples!$F$15)/Examples!$F$16))))))+Examples!$F$17*$A150^2)</f>
        <v>65941.738015411043</v>
      </c>
      <c r="I150" s="33">
        <f>(Examples!$F$6*Examples!$F$7*Examples!$F$8*EXP(-Examples!$F$9*$A150)*(1-(Examples!$F$12*(1-EXP(-Examples!$F$13*$A150))/(1+EXP(MIN(700,MAX(-700,(Examples!$F$14*$A150-Examples!$F$15)/Examples!$F$16))))))+Examples!$F$17*$A150^2)</f>
        <v>54458.261984588949</v>
      </c>
      <c r="J150" s="33">
        <f>Examples!$G$18-(Examples!$G$10+Examples!$G$11)*$A150-(Examples!$G$6*Examples!$G$7*Examples!$G$8*EXP(-Examples!$G$9*$A150)*(1-(Examples!$G$12*(1-EXP(-Examples!$G$13*$A150))/(1+EXP(MIN(700,MAX(-700,(Examples!$G$14*$A150-Examples!$G$15)/Examples!$G$16))))))+Examples!$G$17*$A150^2)</f>
        <v>613647.71313328994</v>
      </c>
      <c r="K150" s="33">
        <f>(Examples!$G$6*Examples!$G$7*Examples!$G$8*EXP(-Examples!$G$9*$A150)*(1-(Examples!$G$12*(1-EXP(-Examples!$G$13*$A150))/(1+EXP(MIN(700,MAX(-700,(Examples!$G$14*$A150-Examples!$G$15)/Examples!$G$16))))))+Examples!$G$17*$A150^2)</f>
        <v>812352.28686671006</v>
      </c>
      <c r="L150" s="33">
        <f>Examples!$H$18-(Examples!$H$10+Examples!$H$11)*$A150-(Examples!$H$6*Examples!$H$7*Examples!$H$8*EXP(-Examples!$H$9*$A150)*(1-(Examples!$H$12*(1-EXP(-Examples!$H$13*$A150))/(1+EXP(MIN(700,MAX(-700,(Examples!$H$14*$A150-Examples!$H$15)/Examples!$H$16))))))+Examples!$H$17*$A150^2)</f>
        <v>697083.4921756821</v>
      </c>
      <c r="M150" s="33">
        <f>(Examples!$H$6*Examples!$H$7*Examples!$H$8*EXP(-Examples!$H$9*$A150)*(1-(Examples!$H$12*(1-EXP(-Examples!$H$13*$A150))/(1+EXP(MIN(700,MAX(-700,(Examples!$H$14*$A150-Examples!$H$15)/Examples!$H$16))))))+Examples!$H$17*$A150^2)</f>
        <v>728916.5078243179</v>
      </c>
    </row>
    <row r="151" spans="1:13" x14ac:dyDescent="0.25">
      <c r="A151">
        <f>(151-2)/100</f>
        <v>1.49</v>
      </c>
      <c r="B151" s="33">
        <f>Examples!$C$18-(Examples!$C$10+Examples!$C$11)*$A151-(Examples!$C$6*Examples!$C$7*Examples!$C$8*EXP(-Examples!$C$9*$A151)*(1-(Examples!$C$12*(1-EXP(-Examples!$C$13*$A151))/(1+EXP(MIN(700,MAX(-700,(Examples!$C$14*$A151-Examples!$C$15)/Examples!$C$16))))))+Examples!$C$17*$A151^2)</f>
        <v>197302.56247857586</v>
      </c>
      <c r="C151" s="33">
        <f>(Examples!$C$6*Examples!$C$7*Examples!$C$8*EXP(-Examples!$C$9*$A151)*(1-(Examples!$C$12*(1-EXP(-Examples!$C$13*$A151))/(1+EXP(MIN(700,MAX(-700,(Examples!$C$14*$A151-Examples!$C$15)/Examples!$C$16))))))+Examples!$C$17*$A151^2)</f>
        <v>350547.43752142414</v>
      </c>
      <c r="D151" s="33">
        <f>Examples!$D$18-(Examples!$D$10+Examples!$D$11)*$A151-(Examples!$D$6*Examples!$D$7*Examples!$D$8*EXP(-Examples!$D$9*$A151)*(1-(Examples!$D$12*(1-EXP(-Examples!$D$13*$A151))/(1+EXP(MIN(700,MAX(-700,(Examples!$D$14*$A151-Examples!$D$15)/Examples!$D$16))))))+Examples!$D$17*$A151^2)</f>
        <v>649610.78048568522</v>
      </c>
      <c r="E151" s="33">
        <f>(Examples!$D$6*Examples!$D$7*Examples!$D$8*EXP(-Examples!$D$9*$A151)*(1-(Examples!$D$12*(1-EXP(-Examples!$D$13*$A151))/(1+EXP(MIN(700,MAX(-700,(Examples!$D$14*$A151-Examples!$D$15)/Examples!$D$16))))))+Examples!$D$17*$A151^2)</f>
        <v>1783339.2195143148</v>
      </c>
      <c r="F151" s="33">
        <f>Examples!$E$18-(Examples!$E$10+Examples!$E$11)*$A151-(Examples!$E$6*Examples!$E$7*Examples!$E$8*EXP(-Examples!$E$9*$A151)*(1-(Examples!$E$12*(1-EXP(-Examples!$E$13*$A151))/(1+EXP(MIN(700,MAX(-700,(Examples!$E$14*$A151-Examples!$E$15)/Examples!$E$16))))))+Examples!$E$17*$A151^2)</f>
        <v>2250339.07281511</v>
      </c>
      <c r="G151" s="33">
        <f>(Examples!$E$6*Examples!$E$7*Examples!$E$8*EXP(-Examples!$E$9*$A151)*(1-(Examples!$E$12*(1-EXP(-Examples!$E$13*$A151))/(1+EXP(MIN(700,MAX(-700,(Examples!$E$14*$A151-Examples!$E$15)/Examples!$E$16))))))+Examples!$E$17*$A151^2)</f>
        <v>623010.92718489014</v>
      </c>
      <c r="H151" s="33">
        <f>Examples!$F$18-(Examples!$F$10+Examples!$F$11)*$A151-(Examples!$F$6*Examples!$F$7*Examples!$F$8*EXP(-Examples!$F$9*$A151)*(1-(Examples!$F$12*(1-EXP(-Examples!$F$13*$A151))/(1+EXP(MIN(700,MAX(-700,(Examples!$F$14*$A151-Examples!$F$15)/Examples!$F$16))))))+Examples!$F$17*$A151^2)</f>
        <v>65167.97703341442</v>
      </c>
      <c r="I151" s="33">
        <f>(Examples!$F$6*Examples!$F$7*Examples!$F$8*EXP(-Examples!$F$9*$A151)*(1-(Examples!$F$12*(1-EXP(-Examples!$F$13*$A151))/(1+EXP(MIN(700,MAX(-700,(Examples!$F$14*$A151-Examples!$F$15)/Examples!$F$16))))))+Examples!$F$17*$A151^2)</f>
        <v>55032.02296658558</v>
      </c>
      <c r="J151" s="33">
        <f>Examples!$G$18-(Examples!$G$10+Examples!$G$11)*$A151-(Examples!$G$6*Examples!$G$7*Examples!$G$8*EXP(-Examples!$G$9*$A151)*(1-(Examples!$G$12*(1-EXP(-Examples!$G$13*$A151))/(1+EXP(MIN(700,MAX(-700,(Examples!$G$14*$A151-Examples!$G$15)/Examples!$G$16))))))+Examples!$G$17*$A151^2)</f>
        <v>616400.3182991253</v>
      </c>
      <c r="K151" s="33">
        <f>(Examples!$G$6*Examples!$G$7*Examples!$G$8*EXP(-Examples!$G$9*$A151)*(1-(Examples!$G$12*(1-EXP(-Examples!$G$13*$A151))/(1+EXP(MIN(700,MAX(-700,(Examples!$G$14*$A151-Examples!$G$15)/Examples!$G$16))))))+Examples!$G$17*$A151^2)</f>
        <v>809099.6817008747</v>
      </c>
      <c r="L151" s="33">
        <f>Examples!$H$18-(Examples!$H$10+Examples!$H$11)*$A151-(Examples!$H$6*Examples!$H$7*Examples!$H$8*EXP(-Examples!$H$9*$A151)*(1-(Examples!$H$12*(1-EXP(-Examples!$H$13*$A151))/(1+EXP(MIN(700,MAX(-700,(Examples!$H$14*$A151-Examples!$H$15)/Examples!$H$16))))))+Examples!$H$17*$A151^2)</f>
        <v>700433.60101690819</v>
      </c>
      <c r="M151" s="33">
        <f>(Examples!$H$6*Examples!$H$7*Examples!$H$8*EXP(-Examples!$H$9*$A151)*(1-(Examples!$H$12*(1-EXP(-Examples!$H$13*$A151))/(1+EXP(MIN(700,MAX(-700,(Examples!$H$14*$A151-Examples!$H$15)/Examples!$H$16))))))+Examples!$H$17*$A151^2)</f>
        <v>725066.39898309181</v>
      </c>
    </row>
    <row r="152" spans="1:13" x14ac:dyDescent="0.25">
      <c r="A152">
        <f>(152-2)/100</f>
        <v>1.5</v>
      </c>
      <c r="B152" s="33">
        <f>Examples!$C$18-(Examples!$C$10+Examples!$C$11)*$A152-(Examples!$C$6*Examples!$C$7*Examples!$C$8*EXP(-Examples!$C$9*$A152)*(1-(Examples!$C$12*(1-EXP(-Examples!$C$13*$A152))/(1+EXP(MIN(700,MAX(-700,(Examples!$C$14*$A152-Examples!$C$15)/Examples!$C$16))))))+Examples!$C$17*$A152^2)</f>
        <v>196983.00245693221</v>
      </c>
      <c r="C152" s="33">
        <f>(Examples!$C$6*Examples!$C$7*Examples!$C$8*EXP(-Examples!$C$9*$A152)*(1-(Examples!$C$12*(1-EXP(-Examples!$C$13*$A152))/(1+EXP(MIN(700,MAX(-700,(Examples!$C$14*$A152-Examples!$C$15)/Examples!$C$16))))))+Examples!$C$17*$A152^2)</f>
        <v>350516.99754306779</v>
      </c>
      <c r="D152" s="33">
        <f>Examples!$D$18-(Examples!$D$10+Examples!$D$11)*$A152-(Examples!$D$6*Examples!$D$7*Examples!$D$8*EXP(-Examples!$D$9*$A152)*(1-(Examples!$D$12*(1-EXP(-Examples!$D$13*$A152))/(1+EXP(MIN(700,MAX(-700,(Examples!$D$14*$A152-Examples!$D$15)/Examples!$D$16))))))+Examples!$D$17*$A152^2)</f>
        <v>661497.84951388743</v>
      </c>
      <c r="E152" s="33">
        <f>(Examples!$D$6*Examples!$D$7*Examples!$D$8*EXP(-Examples!$D$9*$A152)*(1-(Examples!$D$12*(1-EXP(-Examples!$D$13*$A152))/(1+EXP(MIN(700,MAX(-700,(Examples!$D$14*$A152-Examples!$D$15)/Examples!$D$16))))))+Examples!$D$17*$A152^2)</f>
        <v>1771002.1504861126</v>
      </c>
      <c r="F152" s="33">
        <f>Examples!$E$18-(Examples!$E$10+Examples!$E$11)*$A152-(Examples!$E$6*Examples!$E$7*Examples!$E$8*EXP(-Examples!$E$9*$A152)*(1-(Examples!$E$12*(1-EXP(-Examples!$E$13*$A152))/(1+EXP(MIN(700,MAX(-700,(Examples!$E$14*$A152-Examples!$E$15)/Examples!$E$16))))))+Examples!$E$17*$A152^2)</f>
        <v>2254683.0878037536</v>
      </c>
      <c r="G152" s="33">
        <f>(Examples!$E$6*Examples!$E$7*Examples!$E$8*EXP(-Examples!$E$9*$A152)*(1-(Examples!$E$12*(1-EXP(-Examples!$E$13*$A152))/(1+EXP(MIN(700,MAX(-700,(Examples!$E$14*$A152-Examples!$E$15)/Examples!$E$16))))))+Examples!$E$17*$A152^2)</f>
        <v>617816.91219624644</v>
      </c>
      <c r="H152" s="33">
        <f>Examples!$F$18-(Examples!$F$10+Examples!$F$11)*$A152-(Examples!$F$6*Examples!$F$7*Examples!$F$8*EXP(-Examples!$F$9*$A152)*(1-(Examples!$F$12*(1-EXP(-Examples!$F$13*$A152))/(1+EXP(MIN(700,MAX(-700,(Examples!$F$14*$A152-Examples!$F$15)/Examples!$F$16))))))+Examples!$F$17*$A152^2)</f>
        <v>64390.203199311814</v>
      </c>
      <c r="I152" s="33">
        <f>(Examples!$F$6*Examples!$F$7*Examples!$F$8*EXP(-Examples!$F$9*$A152)*(1-(Examples!$F$12*(1-EXP(-Examples!$F$13*$A152))/(1+EXP(MIN(700,MAX(-700,(Examples!$F$14*$A152-Examples!$F$15)/Examples!$F$16))))))+Examples!$F$17*$A152^2)</f>
        <v>55609.796800688186</v>
      </c>
      <c r="J152" s="33">
        <f>Examples!$G$18-(Examples!$G$10+Examples!$G$11)*$A152-(Examples!$G$6*Examples!$G$7*Examples!$G$8*EXP(-Examples!$G$9*$A152)*(1-(Examples!$G$12*(1-EXP(-Examples!$G$13*$A152))/(1+EXP(MIN(700,MAX(-700,(Examples!$G$14*$A152-Examples!$G$15)/Examples!$G$16))))))+Examples!$G$17*$A152^2)</f>
        <v>619109.40810314287</v>
      </c>
      <c r="K152" s="33">
        <f>(Examples!$G$6*Examples!$G$7*Examples!$G$8*EXP(-Examples!$G$9*$A152)*(1-(Examples!$G$12*(1-EXP(-Examples!$G$13*$A152))/(1+EXP(MIN(700,MAX(-700,(Examples!$G$14*$A152-Examples!$G$15)/Examples!$G$16))))))+Examples!$G$17*$A152^2)</f>
        <v>805890.59189685713</v>
      </c>
      <c r="L152" s="33">
        <f>Examples!$H$18-(Examples!$H$10+Examples!$H$11)*$A152-(Examples!$H$6*Examples!$H$7*Examples!$H$8*EXP(-Examples!$H$9*$A152)*(1-(Examples!$H$12*(1-EXP(-Examples!$H$13*$A152))/(1+EXP(MIN(700,MAX(-700,(Examples!$H$14*$A152-Examples!$H$15)/Examples!$H$16))))))+Examples!$H$17*$A152^2)</f>
        <v>703728.98097496072</v>
      </c>
      <c r="M152" s="33">
        <f>(Examples!$H$6*Examples!$H$7*Examples!$H$8*EXP(-Examples!$H$9*$A152)*(1-(Examples!$H$12*(1-EXP(-Examples!$H$13*$A152))/(1+EXP(MIN(700,MAX(-700,(Examples!$H$14*$A152-Examples!$H$15)/Examples!$H$16))))))+Examples!$H$17*$A152^2)</f>
        <v>721271.01902503928</v>
      </c>
    </row>
    <row r="153" spans="1:13" x14ac:dyDescent="0.25">
      <c r="A153">
        <f>(153-2)/100</f>
        <v>1.51</v>
      </c>
      <c r="B153" s="33">
        <f>Examples!$C$18-(Examples!$C$10+Examples!$C$11)*$A153-(Examples!$C$6*Examples!$C$7*Examples!$C$8*EXP(-Examples!$C$9*$A153)*(1-(Examples!$C$12*(1-EXP(-Examples!$C$13*$A153))/(1+EXP(MIN(700,MAX(-700,(Examples!$C$14*$A153-Examples!$C$15)/Examples!$C$16))))))+Examples!$C$17*$A153^2)</f>
        <v>196644.18673903908</v>
      </c>
      <c r="C153" s="33">
        <f>(Examples!$C$6*Examples!$C$7*Examples!$C$8*EXP(-Examples!$C$9*$A153)*(1-(Examples!$C$12*(1-EXP(-Examples!$C$13*$A153))/(1+EXP(MIN(700,MAX(-700,(Examples!$C$14*$A153-Examples!$C$15)/Examples!$C$16))))))+Examples!$C$17*$A153^2)</f>
        <v>350505.81326096092</v>
      </c>
      <c r="D153" s="33">
        <f>Examples!$D$18-(Examples!$D$10+Examples!$D$11)*$A153-(Examples!$D$6*Examples!$D$7*Examples!$D$8*EXP(-Examples!$D$9*$A153)*(1-(Examples!$D$12*(1-EXP(-Examples!$D$13*$A153))/(1+EXP(MIN(700,MAX(-700,(Examples!$D$14*$A153-Examples!$D$15)/Examples!$D$16))))))+Examples!$D$17*$A153^2)</f>
        <v>673259.17403543158</v>
      </c>
      <c r="E153" s="33">
        <f>(Examples!$D$6*Examples!$D$7*Examples!$D$8*EXP(-Examples!$D$9*$A153)*(1-(Examples!$D$12*(1-EXP(-Examples!$D$13*$A153))/(1+EXP(MIN(700,MAX(-700,(Examples!$D$14*$A153-Examples!$D$15)/Examples!$D$16))))))+Examples!$D$17*$A153^2)</f>
        <v>1758790.8259645684</v>
      </c>
      <c r="F153" s="33">
        <f>Examples!$E$18-(Examples!$E$10+Examples!$E$11)*$A153-(Examples!$E$6*Examples!$E$7*Examples!$E$8*EXP(-Examples!$E$9*$A153)*(1-(Examples!$E$12*(1-EXP(-Examples!$E$13*$A153))/(1+EXP(MIN(700,MAX(-700,(Examples!$E$14*$A153-Examples!$E$15)/Examples!$E$16))))))+Examples!$E$17*$A153^2)</f>
        <v>2258967.2620823449</v>
      </c>
      <c r="G153" s="33">
        <f>(Examples!$E$6*Examples!$E$7*Examples!$E$8*EXP(-Examples!$E$9*$A153)*(1-(Examples!$E$12*(1-EXP(-Examples!$E$13*$A153))/(1+EXP(MIN(700,MAX(-700,(Examples!$E$14*$A153-Examples!$E$15)/Examples!$E$16))))))+Examples!$E$17*$A153^2)</f>
        <v>612682.73791765515</v>
      </c>
      <c r="H153" s="33">
        <f>Examples!$F$18-(Examples!$F$10+Examples!$F$11)*$A153-(Examples!$F$6*Examples!$F$7*Examples!$F$8*EXP(-Examples!$F$9*$A153)*(1-(Examples!$F$12*(1-EXP(-Examples!$F$13*$A153))/(1+EXP(MIN(700,MAX(-700,(Examples!$F$14*$A153-Examples!$F$15)/Examples!$F$16))))))+Examples!$F$17*$A153^2)</f>
        <v>63608.428178358961</v>
      </c>
      <c r="I153" s="33">
        <f>(Examples!$F$6*Examples!$F$7*Examples!$F$8*EXP(-Examples!$F$9*$A153)*(1-(Examples!$F$12*(1-EXP(-Examples!$F$13*$A153))/(1+EXP(MIN(700,MAX(-700,(Examples!$F$14*$A153-Examples!$F$15)/Examples!$F$16))))))+Examples!$F$17*$A153^2)</f>
        <v>56191.571821641039</v>
      </c>
      <c r="J153" s="33">
        <f>Examples!$G$18-(Examples!$G$10+Examples!$G$11)*$A153-(Examples!$G$6*Examples!$G$7*Examples!$G$8*EXP(-Examples!$G$9*$A153)*(1-(Examples!$G$12*(1-EXP(-Examples!$G$13*$A153))/(1+EXP(MIN(700,MAX(-700,(Examples!$G$14*$A153-Examples!$G$15)/Examples!$G$16))))))+Examples!$G$17*$A153^2)</f>
        <v>621775.32851881289</v>
      </c>
      <c r="K153" s="33">
        <f>(Examples!$G$6*Examples!$G$7*Examples!$G$8*EXP(-Examples!$G$9*$A153)*(1-(Examples!$G$12*(1-EXP(-Examples!$G$13*$A153))/(1+EXP(MIN(700,MAX(-700,(Examples!$G$14*$A153-Examples!$G$15)/Examples!$G$16))))))+Examples!$G$17*$A153^2)</f>
        <v>802724.67148118711</v>
      </c>
      <c r="L153" s="33">
        <f>Examples!$H$18-(Examples!$H$10+Examples!$H$11)*$A153-(Examples!$H$6*Examples!$H$7*Examples!$H$8*EXP(-Examples!$H$9*$A153)*(1-(Examples!$H$12*(1-EXP(-Examples!$H$13*$A153))/(1+EXP(MIN(700,MAX(-700,(Examples!$H$14*$A153-Examples!$H$15)/Examples!$H$16))))))+Examples!$H$17*$A153^2)</f>
        <v>706969.45911613689</v>
      </c>
      <c r="M153" s="33">
        <f>(Examples!$H$6*Examples!$H$7*Examples!$H$8*EXP(-Examples!$H$9*$A153)*(1-(Examples!$H$12*(1-EXP(-Examples!$H$13*$A153))/(1+EXP(MIN(700,MAX(-700,(Examples!$H$14*$A153-Examples!$H$15)/Examples!$H$16))))))+Examples!$H$17*$A153^2)</f>
        <v>717530.54088386311</v>
      </c>
    </row>
    <row r="154" spans="1:13" x14ac:dyDescent="0.25">
      <c r="A154">
        <f>(154-2)/100</f>
        <v>1.52</v>
      </c>
      <c r="B154" s="33">
        <f>Examples!$C$18-(Examples!$C$10+Examples!$C$11)*$A154-(Examples!$C$6*Examples!$C$7*Examples!$C$8*EXP(-Examples!$C$9*$A154)*(1-(Examples!$C$12*(1-EXP(-Examples!$C$13*$A154))/(1+EXP(MIN(700,MAX(-700,(Examples!$C$14*$A154-Examples!$C$15)/Examples!$C$16))))))+Examples!$C$17*$A154^2)</f>
        <v>196286.55891926307</v>
      </c>
      <c r="C154" s="33">
        <f>(Examples!$C$6*Examples!$C$7*Examples!$C$8*EXP(-Examples!$C$9*$A154)*(1-(Examples!$C$12*(1-EXP(-Examples!$C$13*$A154))/(1+EXP(MIN(700,MAX(-700,(Examples!$C$14*$A154-Examples!$C$15)/Examples!$C$16))))))+Examples!$C$17*$A154^2)</f>
        <v>350513.44108073693</v>
      </c>
      <c r="D154" s="33">
        <f>Examples!$D$18-(Examples!$D$10+Examples!$D$11)*$A154-(Examples!$D$6*Examples!$D$7*Examples!$D$8*EXP(-Examples!$D$9*$A154)*(1-(Examples!$D$12*(1-EXP(-Examples!$D$13*$A154))/(1+EXP(MIN(700,MAX(-700,(Examples!$D$14*$A154-Examples!$D$15)/Examples!$D$16))))))+Examples!$D$17*$A154^2)</f>
        <v>684895.86224944727</v>
      </c>
      <c r="E154" s="33">
        <f>(Examples!$D$6*Examples!$D$7*Examples!$D$8*EXP(-Examples!$D$9*$A154)*(1-(Examples!$D$12*(1-EXP(-Examples!$D$13*$A154))/(1+EXP(MIN(700,MAX(-700,(Examples!$D$14*$A154-Examples!$D$15)/Examples!$D$16))))))+Examples!$D$17*$A154^2)</f>
        <v>1746704.1377505527</v>
      </c>
      <c r="F154" s="33">
        <f>Examples!$E$18-(Examples!$E$10+Examples!$E$11)*$A154-(Examples!$E$6*Examples!$E$7*Examples!$E$8*EXP(-Examples!$E$9*$A154)*(1-(Examples!$E$12*(1-EXP(-Examples!$E$13*$A154))/(1+EXP(MIN(700,MAX(-700,(Examples!$E$14*$A154-Examples!$E$15)/Examples!$E$16))))))+Examples!$E$17*$A154^2)</f>
        <v>2263192.2718349644</v>
      </c>
      <c r="G154" s="33">
        <f>(Examples!$E$6*Examples!$E$7*Examples!$E$8*EXP(-Examples!$E$9*$A154)*(1-(Examples!$E$12*(1-EXP(-Examples!$E$13*$A154))/(1+EXP(MIN(700,MAX(-700,(Examples!$E$14*$A154-Examples!$E$15)/Examples!$E$16))))))+Examples!$E$17*$A154^2)</f>
        <v>607607.7281650356</v>
      </c>
      <c r="H154" s="33">
        <f>Examples!$F$18-(Examples!$F$10+Examples!$F$11)*$A154-(Examples!$F$6*Examples!$F$7*Examples!$F$8*EXP(-Examples!$F$9*$A154)*(1-(Examples!$F$12*(1-EXP(-Examples!$F$13*$A154))/(1+EXP(MIN(700,MAX(-700,(Examples!$F$14*$A154-Examples!$F$15)/Examples!$F$16))))))+Examples!$F$17*$A154^2)</f>
        <v>62822.663142118785</v>
      </c>
      <c r="I154" s="33">
        <f>(Examples!$F$6*Examples!$F$7*Examples!$F$8*EXP(-Examples!$F$9*$A154)*(1-(Examples!$F$12*(1-EXP(-Examples!$F$13*$A154))/(1+EXP(MIN(700,MAX(-700,(Examples!$F$14*$A154-Examples!$F$15)/Examples!$F$16))))))+Examples!$F$17*$A154^2)</f>
        <v>56777.336857881215</v>
      </c>
      <c r="J154" s="33">
        <f>Examples!$G$18-(Examples!$G$10+Examples!$G$11)*$A154-(Examples!$G$6*Examples!$G$7*Examples!$G$8*EXP(-Examples!$G$9*$A154)*(1-(Examples!$G$12*(1-EXP(-Examples!$G$13*$A154))/(1+EXP(MIN(700,MAX(-700,(Examples!$G$14*$A154-Examples!$G$15)/Examples!$G$16))))))+Examples!$G$17*$A154^2)</f>
        <v>624398.42515490798</v>
      </c>
      <c r="K154" s="33">
        <f>(Examples!$G$6*Examples!$G$7*Examples!$G$8*EXP(-Examples!$G$9*$A154)*(1-(Examples!$G$12*(1-EXP(-Examples!$G$13*$A154))/(1+EXP(MIN(700,MAX(-700,(Examples!$G$14*$A154-Examples!$G$15)/Examples!$G$16))))))+Examples!$G$17*$A154^2)</f>
        <v>799601.57484509202</v>
      </c>
      <c r="L154" s="33">
        <f>Examples!$H$18-(Examples!$H$10+Examples!$H$11)*$A154-(Examples!$H$6*Examples!$H$7*Examples!$H$8*EXP(-Examples!$H$9*$A154)*(1-(Examples!$H$12*(1-EXP(-Examples!$H$13*$A154))/(1+EXP(MIN(700,MAX(-700,(Examples!$H$14*$A154-Examples!$H$15)/Examples!$H$16))))))+Examples!$H$17*$A154^2)</f>
        <v>710154.85168912937</v>
      </c>
      <c r="M154" s="33">
        <f>(Examples!$H$6*Examples!$H$7*Examples!$H$8*EXP(-Examples!$H$9*$A154)*(1-(Examples!$H$12*(1-EXP(-Examples!$H$13*$A154))/(1+EXP(MIN(700,MAX(-700,(Examples!$H$14*$A154-Examples!$H$15)/Examples!$H$16))))))+Examples!$H$17*$A154^2)</f>
        <v>713845.14831087063</v>
      </c>
    </row>
    <row r="155" spans="1:13" x14ac:dyDescent="0.25">
      <c r="A155">
        <f>(155-2)/100</f>
        <v>1.53</v>
      </c>
      <c r="B155" s="33">
        <f>Examples!$C$18-(Examples!$C$10+Examples!$C$11)*$A155-(Examples!$C$6*Examples!$C$7*Examples!$C$8*EXP(-Examples!$C$9*$A155)*(1-(Examples!$C$12*(1-EXP(-Examples!$C$13*$A155))/(1+EXP(MIN(700,MAX(-700,(Examples!$C$14*$A155-Examples!$C$15)/Examples!$C$16))))))+Examples!$C$17*$A155^2)</f>
        <v>195910.5792737719</v>
      </c>
      <c r="C155" s="33">
        <f>(Examples!$C$6*Examples!$C$7*Examples!$C$8*EXP(-Examples!$C$9*$A155)*(1-(Examples!$C$12*(1-EXP(-Examples!$C$13*$A155))/(1+EXP(MIN(700,MAX(-700,(Examples!$C$14*$A155-Examples!$C$15)/Examples!$C$16))))))+Examples!$C$17*$A155^2)</f>
        <v>350539.4207262281</v>
      </c>
      <c r="D155" s="33">
        <f>Examples!$D$18-(Examples!$D$10+Examples!$D$11)*$A155-(Examples!$D$6*Examples!$D$7*Examples!$D$8*EXP(-Examples!$D$9*$A155)*(1-(Examples!$D$12*(1-EXP(-Examples!$D$13*$A155))/(1+EXP(MIN(700,MAX(-700,(Examples!$D$14*$A155-Examples!$D$15)/Examples!$D$16))))))+Examples!$D$17*$A155^2)</f>
        <v>696409.01106345118</v>
      </c>
      <c r="E155" s="33">
        <f>(Examples!$D$6*Examples!$D$7*Examples!$D$8*EXP(-Examples!$D$9*$A155)*(1-(Examples!$D$12*(1-EXP(-Examples!$D$13*$A155))/(1+EXP(MIN(700,MAX(-700,(Examples!$D$14*$A155-Examples!$D$15)/Examples!$D$16))))))+Examples!$D$17*$A155^2)</f>
        <v>1734740.9889365488</v>
      </c>
      <c r="F155" s="33">
        <f>Examples!$E$18-(Examples!$E$10+Examples!$E$11)*$A155-(Examples!$E$6*Examples!$E$7*Examples!$E$8*EXP(-Examples!$E$9*$A155)*(1-(Examples!$E$12*(1-EXP(-Examples!$E$13*$A155))/(1+EXP(MIN(700,MAX(-700,(Examples!$E$14*$A155-Examples!$E$15)/Examples!$E$16))))))+Examples!$E$17*$A155^2)</f>
        <v>2267358.7853890499</v>
      </c>
      <c r="G155" s="33">
        <f>(Examples!$E$6*Examples!$E$7*Examples!$E$8*EXP(-Examples!$E$9*$A155)*(1-(Examples!$E$12*(1-EXP(-Examples!$E$13*$A155))/(1+EXP(MIN(700,MAX(-700,(Examples!$E$14*$A155-Examples!$E$15)/Examples!$E$16))))))+Examples!$E$17*$A155^2)</f>
        <v>602591.21461095021</v>
      </c>
      <c r="H155" s="33">
        <f>Examples!$F$18-(Examples!$F$10+Examples!$F$11)*$A155-(Examples!$F$6*Examples!$F$7*Examples!$F$8*EXP(-Examples!$F$9*$A155)*(1-(Examples!$F$12*(1-EXP(-Examples!$F$13*$A155))/(1+EXP(MIN(700,MAX(-700,(Examples!$F$14*$A155-Examples!$F$15)/Examples!$F$16))))))+Examples!$F$17*$A155^2)</f>
        <v>62032.918750483877</v>
      </c>
      <c r="I155" s="33">
        <f>(Examples!$F$6*Examples!$F$7*Examples!$F$8*EXP(-Examples!$F$9*$A155)*(1-(Examples!$F$12*(1-EXP(-Examples!$F$13*$A155))/(1+EXP(MIN(700,MAX(-700,(Examples!$F$14*$A155-Examples!$F$15)/Examples!$F$16))))))+Examples!$F$17*$A155^2)</f>
        <v>57367.081249516123</v>
      </c>
      <c r="J155" s="33">
        <f>Examples!$G$18-(Examples!$G$10+Examples!$G$11)*$A155-(Examples!$G$6*Examples!$G$7*Examples!$G$8*EXP(-Examples!$G$9*$A155)*(1-(Examples!$G$12*(1-EXP(-Examples!$G$13*$A155))/(1+EXP(MIN(700,MAX(-700,(Examples!$G$14*$A155-Examples!$G$15)/Examples!$G$16))))))+Examples!$G$17*$A155^2)</f>
        <v>626979.04328682367</v>
      </c>
      <c r="K155" s="33">
        <f>(Examples!$G$6*Examples!$G$7*Examples!$G$8*EXP(-Examples!$G$9*$A155)*(1-(Examples!$G$12*(1-EXP(-Examples!$G$13*$A155))/(1+EXP(MIN(700,MAX(-700,(Examples!$G$14*$A155-Examples!$G$15)/Examples!$G$16))))))+Examples!$G$17*$A155^2)</f>
        <v>796520.95671317633</v>
      </c>
      <c r="L155" s="33">
        <f>Examples!$H$18-(Examples!$H$10+Examples!$H$11)*$A155-(Examples!$H$6*Examples!$H$7*Examples!$H$8*EXP(-Examples!$H$9*$A155)*(1-(Examples!$H$12*(1-EXP(-Examples!$H$13*$A155))/(1+EXP(MIN(700,MAX(-700,(Examples!$H$14*$A155-Examples!$H$15)/Examples!$H$16))))))+Examples!$H$17*$A155^2)</f>
        <v>713284.96420608938</v>
      </c>
      <c r="M155" s="33">
        <f>(Examples!$H$6*Examples!$H$7*Examples!$H$8*EXP(-Examples!$H$9*$A155)*(1-(Examples!$H$12*(1-EXP(-Examples!$H$13*$A155))/(1+EXP(MIN(700,MAX(-700,(Examples!$H$14*$A155-Examples!$H$15)/Examples!$H$16))))))+Examples!$H$17*$A155^2)</f>
        <v>710215.03579391062</v>
      </c>
    </row>
    <row r="156" spans="1:13" x14ac:dyDescent="0.25">
      <c r="A156">
        <f>(156-2)/100</f>
        <v>1.54</v>
      </c>
      <c r="B156" s="33">
        <f>Examples!$C$18-(Examples!$C$10+Examples!$C$11)*$A156-(Examples!$C$6*Examples!$C$7*Examples!$C$8*EXP(-Examples!$C$9*$A156)*(1-(Examples!$C$12*(1-EXP(-Examples!$C$13*$A156))/(1+EXP(MIN(700,MAX(-700,(Examples!$C$14*$A156-Examples!$C$15)/Examples!$C$16))))))+Examples!$C$17*$A156^2)</f>
        <v>195516.72415730753</v>
      </c>
      <c r="C156" s="33">
        <f>(Examples!$C$6*Examples!$C$7*Examples!$C$8*EXP(-Examples!$C$9*$A156)*(1-(Examples!$C$12*(1-EXP(-Examples!$C$13*$A156))/(1+EXP(MIN(700,MAX(-700,(Examples!$C$14*$A156-Examples!$C$15)/Examples!$C$16))))))+Examples!$C$17*$A156^2)</f>
        <v>350583.27584269247</v>
      </c>
      <c r="D156" s="33">
        <f>Examples!$D$18-(Examples!$D$10+Examples!$D$11)*$A156-(Examples!$D$6*Examples!$D$7*Examples!$D$8*EXP(-Examples!$D$9*$A156)*(1-(Examples!$D$12*(1-EXP(-Examples!$D$13*$A156))/(1+EXP(MIN(700,MAX(-700,(Examples!$D$14*$A156-Examples!$D$15)/Examples!$D$16))))))+Examples!$D$17*$A156^2)</f>
        <v>707799.70622310112</v>
      </c>
      <c r="E156" s="33">
        <f>(Examples!$D$6*Examples!$D$7*Examples!$D$8*EXP(-Examples!$D$9*$A156)*(1-(Examples!$D$12*(1-EXP(-Examples!$D$13*$A156))/(1+EXP(MIN(700,MAX(-700,(Examples!$D$14*$A156-Examples!$D$15)/Examples!$D$16))))))+Examples!$D$17*$A156^2)</f>
        <v>1722900.2937768989</v>
      </c>
      <c r="F156" s="33">
        <f>Examples!$E$18-(Examples!$E$10+Examples!$E$11)*$A156-(Examples!$E$6*Examples!$E$7*Examples!$E$8*EXP(-Examples!$E$9*$A156)*(1-(Examples!$E$12*(1-EXP(-Examples!$E$13*$A156))/(1+EXP(MIN(700,MAX(-700,(Examples!$E$14*$A156-Examples!$E$15)/Examples!$E$16))))))+Examples!$E$17*$A156^2)</f>
        <v>2271467.4633088857</v>
      </c>
      <c r="G156" s="33">
        <f>(Examples!$E$6*Examples!$E$7*Examples!$E$8*EXP(-Examples!$E$9*$A156)*(1-(Examples!$E$12*(1-EXP(-Examples!$E$13*$A156))/(1+EXP(MIN(700,MAX(-700,(Examples!$E$14*$A156-Examples!$E$15)/Examples!$E$16))))))+Examples!$E$17*$A156^2)</f>
        <v>597632.53669111431</v>
      </c>
      <c r="H156" s="33">
        <f>Examples!$F$18-(Examples!$F$10+Examples!$F$11)*$A156-(Examples!$F$6*Examples!$F$7*Examples!$F$8*EXP(-Examples!$F$9*$A156)*(1-(Examples!$F$12*(1-EXP(-Examples!$F$13*$A156))/(1+EXP(MIN(700,MAX(-700,(Examples!$F$14*$A156-Examples!$F$15)/Examples!$F$16))))))+Examples!$F$17*$A156^2)</f>
        <v>61239.205136573248</v>
      </c>
      <c r="I156" s="33">
        <f>(Examples!$F$6*Examples!$F$7*Examples!$F$8*EXP(-Examples!$F$9*$A156)*(1-(Examples!$F$12*(1-EXP(-Examples!$F$13*$A156))/(1+EXP(MIN(700,MAX(-700,(Examples!$F$14*$A156-Examples!$F$15)/Examples!$F$16))))))+Examples!$F$17*$A156^2)</f>
        <v>57960.794863426752</v>
      </c>
      <c r="J156" s="33">
        <f>Examples!$G$18-(Examples!$G$10+Examples!$G$11)*$A156-(Examples!$G$6*Examples!$G$7*Examples!$G$8*EXP(-Examples!$G$9*$A156)*(1-(Examples!$G$12*(1-EXP(-Examples!$G$13*$A156))/(1+EXP(MIN(700,MAX(-700,(Examples!$G$14*$A156-Examples!$G$15)/Examples!$G$16))))))+Examples!$G$17*$A156^2)</f>
        <v>629517.52788699942</v>
      </c>
      <c r="K156" s="33">
        <f>(Examples!$G$6*Examples!$G$7*Examples!$G$8*EXP(-Examples!$G$9*$A156)*(1-(Examples!$G$12*(1-EXP(-Examples!$G$13*$A156))/(1+EXP(MIN(700,MAX(-700,(Examples!$G$14*$A156-Examples!$G$15)/Examples!$G$16))))))+Examples!$G$17*$A156^2)</f>
        <v>793482.47211300058</v>
      </c>
      <c r="L156" s="33">
        <f>Examples!$H$18-(Examples!$H$10+Examples!$H$11)*$A156-(Examples!$H$6*Examples!$H$7*Examples!$H$8*EXP(-Examples!$H$9*$A156)*(1-(Examples!$H$12*(1-EXP(-Examples!$H$13*$A156))/(1+EXP(MIN(700,MAX(-700,(Examples!$H$14*$A156-Examples!$H$15)/Examples!$H$16))))))+Examples!$H$17*$A156^2)</f>
        <v>716359.59154114453</v>
      </c>
      <c r="M156" s="33">
        <f>(Examples!$H$6*Examples!$H$7*Examples!$H$8*EXP(-Examples!$H$9*$A156)*(1-(Examples!$H$12*(1-EXP(-Examples!$H$13*$A156))/(1+EXP(MIN(700,MAX(-700,(Examples!$H$14*$A156-Examples!$H$15)/Examples!$H$16))))))+Examples!$H$17*$A156^2)</f>
        <v>706640.40845885547</v>
      </c>
    </row>
    <row r="157" spans="1:13" x14ac:dyDescent="0.25">
      <c r="A157">
        <f>(157-2)/100</f>
        <v>1.55</v>
      </c>
      <c r="B157" s="33">
        <f>Examples!$C$18-(Examples!$C$10+Examples!$C$11)*$A157-(Examples!$C$6*Examples!$C$7*Examples!$C$8*EXP(-Examples!$C$9*$A157)*(1-(Examples!$C$12*(1-EXP(-Examples!$C$13*$A157))/(1+EXP(MIN(700,MAX(-700,(Examples!$C$14*$A157-Examples!$C$15)/Examples!$C$16))))))+Examples!$C$17*$A157^2)</f>
        <v>195105.48533358617</v>
      </c>
      <c r="C157" s="33">
        <f>(Examples!$C$6*Examples!$C$7*Examples!$C$8*EXP(-Examples!$C$9*$A157)*(1-(Examples!$C$12*(1-EXP(-Examples!$C$13*$A157))/(1+EXP(MIN(700,MAX(-700,(Examples!$C$14*$A157-Examples!$C$15)/Examples!$C$16))))))+Examples!$C$17*$A157^2)</f>
        <v>350644.51466641383</v>
      </c>
      <c r="D157" s="33">
        <f>Examples!$D$18-(Examples!$D$10+Examples!$D$11)*$A157-(Examples!$D$6*Examples!$D$7*Examples!$D$8*EXP(-Examples!$D$9*$A157)*(1-(Examples!$D$12*(1-EXP(-Examples!$D$13*$A157))/(1+EXP(MIN(700,MAX(-700,(Examples!$D$14*$A157-Examples!$D$15)/Examples!$D$16))))))+Examples!$D$17*$A157^2)</f>
        <v>719069.0224409427</v>
      </c>
      <c r="E157" s="33">
        <f>(Examples!$D$6*Examples!$D$7*Examples!$D$8*EXP(-Examples!$D$9*$A157)*(1-(Examples!$D$12*(1-EXP(-Examples!$D$13*$A157))/(1+EXP(MIN(700,MAX(-700,(Examples!$D$14*$A157-Examples!$D$15)/Examples!$D$16))))))+Examples!$D$17*$A157^2)</f>
        <v>1711180.9775590573</v>
      </c>
      <c r="F157" s="33">
        <f>Examples!$E$18-(Examples!$E$10+Examples!$E$11)*$A157-(Examples!$E$6*Examples!$E$7*Examples!$E$8*EXP(-Examples!$E$9*$A157)*(1-(Examples!$E$12*(1-EXP(-Examples!$E$13*$A157))/(1+EXP(MIN(700,MAX(-700,(Examples!$E$14*$A157-Examples!$E$15)/Examples!$E$16))))))+Examples!$E$17*$A157^2)</f>
        <v>2275518.9584879875</v>
      </c>
      <c r="G157" s="33">
        <f>(Examples!$E$6*Examples!$E$7*Examples!$E$8*EXP(-Examples!$E$9*$A157)*(1-(Examples!$E$12*(1-EXP(-Examples!$E$13*$A157))/(1+EXP(MIN(700,MAX(-700,(Examples!$E$14*$A157-Examples!$E$15)/Examples!$E$16))))))+Examples!$E$17*$A157^2)</f>
        <v>592731.04151201271</v>
      </c>
      <c r="H157" s="33">
        <f>Examples!$F$18-(Examples!$F$10+Examples!$F$11)*$A157-(Examples!$F$6*Examples!$F$7*Examples!$F$8*EXP(-Examples!$F$9*$A157)*(1-(Examples!$F$12*(1-EXP(-Examples!$F$13*$A157))/(1+EXP(MIN(700,MAX(-700,(Examples!$F$14*$A157-Examples!$F$15)/Examples!$F$16))))))+Examples!$F$17*$A157^2)</f>
        <v>60441.531894488457</v>
      </c>
      <c r="I157" s="33">
        <f>(Examples!$F$6*Examples!$F$7*Examples!$F$8*EXP(-Examples!$F$9*$A157)*(1-(Examples!$F$12*(1-EXP(-Examples!$F$13*$A157))/(1+EXP(MIN(700,MAX(-700,(Examples!$F$14*$A157-Examples!$F$15)/Examples!$F$16))))))+Examples!$F$17*$A157^2)</f>
        <v>58558.468105511543</v>
      </c>
      <c r="J157" s="33">
        <f>Examples!$G$18-(Examples!$G$10+Examples!$G$11)*$A157-(Examples!$G$6*Examples!$G$7*Examples!$G$8*EXP(-Examples!$G$9*$A157)*(1-(Examples!$G$12*(1-EXP(-Examples!$G$13*$A157))/(1+EXP(MIN(700,MAX(-700,(Examples!$G$14*$A157-Examples!$G$15)/Examples!$G$16))))))+Examples!$G$17*$A157^2)</f>
        <v>632014.22365442256</v>
      </c>
      <c r="K157" s="33">
        <f>(Examples!$G$6*Examples!$G$7*Examples!$G$8*EXP(-Examples!$G$9*$A157)*(1-(Examples!$G$12*(1-EXP(-Examples!$G$13*$A157))/(1+EXP(MIN(700,MAX(-700,(Examples!$G$14*$A157-Examples!$G$15)/Examples!$G$16))))))+Examples!$G$17*$A157^2)</f>
        <v>790485.77634557744</v>
      </c>
      <c r="L157" s="33">
        <f>Examples!$H$18-(Examples!$H$10+Examples!$H$11)*$A157-(Examples!$H$6*Examples!$H$7*Examples!$H$8*EXP(-Examples!$H$9*$A157)*(1-(Examples!$H$12*(1-EXP(-Examples!$H$13*$A157))/(1+EXP(MIN(700,MAX(-700,(Examples!$H$14*$A157-Examples!$H$15)/Examples!$H$16))))))+Examples!$H$17*$A157^2)</f>
        <v>719378.518047499</v>
      </c>
      <c r="M157" s="33">
        <f>(Examples!$H$6*Examples!$H$7*Examples!$H$8*EXP(-Examples!$H$9*$A157)*(1-(Examples!$H$12*(1-EXP(-Examples!$H$13*$A157))/(1+EXP(MIN(700,MAX(-700,(Examples!$H$14*$A157-Examples!$H$15)/Examples!$H$16))))))+Examples!$H$17*$A157^2)</f>
        <v>703121.481952501</v>
      </c>
    </row>
    <row r="158" spans="1:13" x14ac:dyDescent="0.25">
      <c r="A158">
        <f>(158-2)/100</f>
        <v>1.56</v>
      </c>
      <c r="B158" s="33">
        <f>Examples!$C$18-(Examples!$C$10+Examples!$C$11)*$A158-(Examples!$C$6*Examples!$C$7*Examples!$C$8*EXP(-Examples!$C$9*$A158)*(1-(Examples!$C$12*(1-EXP(-Examples!$C$13*$A158))/(1+EXP(MIN(700,MAX(-700,(Examples!$C$14*$A158-Examples!$C$15)/Examples!$C$16))))))+Examples!$C$17*$A158^2)</f>
        <v>194677.36924098636</v>
      </c>
      <c r="C158" s="33">
        <f>(Examples!$C$6*Examples!$C$7*Examples!$C$8*EXP(-Examples!$C$9*$A158)*(1-(Examples!$C$12*(1-EXP(-Examples!$C$13*$A158))/(1+EXP(MIN(700,MAX(-700,(Examples!$C$14*$A158-Examples!$C$15)/Examples!$C$16))))))+Examples!$C$17*$A158^2)</f>
        <v>350722.63075901364</v>
      </c>
      <c r="D158" s="33">
        <f>Examples!$D$18-(Examples!$D$10+Examples!$D$11)*$A158-(Examples!$D$6*Examples!$D$7*Examples!$D$8*EXP(-Examples!$D$9*$A158)*(1-(Examples!$D$12*(1-EXP(-Examples!$D$13*$A158))/(1+EXP(MIN(700,MAX(-700,(Examples!$D$14*$A158-Examples!$D$15)/Examples!$D$16))))))+Examples!$D$17*$A158^2)</f>
        <v>730218.02352416539</v>
      </c>
      <c r="E158" s="33">
        <f>(Examples!$D$6*Examples!$D$7*Examples!$D$8*EXP(-Examples!$D$9*$A158)*(1-(Examples!$D$12*(1-EXP(-Examples!$D$13*$A158))/(1+EXP(MIN(700,MAX(-700,(Examples!$D$14*$A158-Examples!$D$15)/Examples!$D$16))))))+Examples!$D$17*$A158^2)</f>
        <v>1699581.9764758346</v>
      </c>
      <c r="F158" s="33">
        <f>Examples!$E$18-(Examples!$E$10+Examples!$E$11)*$A158-(Examples!$E$6*Examples!$E$7*Examples!$E$8*EXP(-Examples!$E$9*$A158)*(1-(Examples!$E$12*(1-EXP(-Examples!$E$13*$A158))/(1+EXP(MIN(700,MAX(-700,(Examples!$E$14*$A158-Examples!$E$15)/Examples!$E$16))))))+Examples!$E$17*$A158^2)</f>
        <v>2279513.9162403876</v>
      </c>
      <c r="G158" s="33">
        <f>(Examples!$E$6*Examples!$E$7*Examples!$E$8*EXP(-Examples!$E$9*$A158)*(1-(Examples!$E$12*(1-EXP(-Examples!$E$13*$A158))/(1+EXP(MIN(700,MAX(-700,(Examples!$E$14*$A158-Examples!$E$15)/Examples!$E$16))))))+Examples!$E$17*$A158^2)</f>
        <v>587886.0837596124</v>
      </c>
      <c r="H158" s="33">
        <f>Examples!$F$18-(Examples!$F$10+Examples!$F$11)*$A158-(Examples!$F$6*Examples!$F$7*Examples!$F$8*EXP(-Examples!$F$9*$A158)*(1-(Examples!$F$12*(1-EXP(-Examples!$F$13*$A158))/(1+EXP(MIN(700,MAX(-700,(Examples!$F$14*$A158-Examples!$F$15)/Examples!$F$16))))))+Examples!$F$17*$A158^2)</f>
        <v>59639.908069890851</v>
      </c>
      <c r="I158" s="33">
        <f>(Examples!$F$6*Examples!$F$7*Examples!$F$8*EXP(-Examples!$F$9*$A158)*(1-(Examples!$F$12*(1-EXP(-Examples!$F$13*$A158))/(1+EXP(MIN(700,MAX(-700,(Examples!$F$14*$A158-Examples!$F$15)/Examples!$F$16))))))+Examples!$F$17*$A158^2)</f>
        <v>59160.091930109149</v>
      </c>
      <c r="J158" s="33">
        <f>Examples!$G$18-(Examples!$G$10+Examples!$G$11)*$A158-(Examples!$G$6*Examples!$G$7*Examples!$G$8*EXP(-Examples!$G$9*$A158)*(1-(Examples!$G$12*(1-EXP(-Examples!$G$13*$A158))/(1+EXP(MIN(700,MAX(-700,(Examples!$G$14*$A158-Examples!$G$15)/Examples!$G$16))))))+Examples!$G$17*$A158^2)</f>
        <v>634469.4750431868</v>
      </c>
      <c r="K158" s="33">
        <f>(Examples!$G$6*Examples!$G$7*Examples!$G$8*EXP(-Examples!$G$9*$A158)*(1-(Examples!$G$12*(1-EXP(-Examples!$G$13*$A158))/(1+EXP(MIN(700,MAX(-700,(Examples!$G$14*$A158-Examples!$G$15)/Examples!$G$16))))))+Examples!$G$17*$A158^2)</f>
        <v>787530.5249568132</v>
      </c>
      <c r="L158" s="33">
        <f>Examples!$H$18-(Examples!$H$10+Examples!$H$11)*$A158-(Examples!$H$6*Examples!$H$7*Examples!$H$8*EXP(-Examples!$H$9*$A158)*(1-(Examples!$H$12*(1-EXP(-Examples!$H$13*$A158))/(1+EXP(MIN(700,MAX(-700,(Examples!$H$14*$A158-Examples!$H$15)/Examples!$H$16))))))+Examples!$H$17*$A158^2)</f>
        <v>722341.51769427909</v>
      </c>
      <c r="M158" s="33">
        <f>(Examples!$H$6*Examples!$H$7*Examples!$H$8*EXP(-Examples!$H$9*$A158)*(1-(Examples!$H$12*(1-EXP(-Examples!$H$13*$A158))/(1+EXP(MIN(700,MAX(-700,(Examples!$H$14*$A158-Examples!$H$15)/Examples!$H$16))))))+Examples!$H$17*$A158^2)</f>
        <v>699658.48230572091</v>
      </c>
    </row>
    <row r="159" spans="1:13" x14ac:dyDescent="0.25">
      <c r="A159">
        <f>(159-2)/100</f>
        <v>1.57</v>
      </c>
      <c r="B159" s="33">
        <f>Examples!$C$18-(Examples!$C$10+Examples!$C$11)*$A159-(Examples!$C$6*Examples!$C$7*Examples!$C$8*EXP(-Examples!$C$9*$A159)*(1-(Examples!$C$12*(1-EXP(-Examples!$C$13*$A159))/(1+EXP(MIN(700,MAX(-700,(Examples!$C$14*$A159-Examples!$C$15)/Examples!$C$16))))))+Examples!$C$17*$A159^2)</f>
        <v>194232.89619562833</v>
      </c>
      <c r="C159" s="33">
        <f>(Examples!$C$6*Examples!$C$7*Examples!$C$8*EXP(-Examples!$C$9*$A159)*(1-(Examples!$C$12*(1-EXP(-Examples!$C$13*$A159))/(1+EXP(MIN(700,MAX(-700,(Examples!$C$14*$A159-Examples!$C$15)/Examples!$C$16))))))+Examples!$C$17*$A159^2)</f>
        <v>350817.10380437167</v>
      </c>
      <c r="D159" s="33">
        <f>Examples!$D$18-(Examples!$D$10+Examples!$D$11)*$A159-(Examples!$D$6*Examples!$D$7*Examples!$D$8*EXP(-Examples!$D$9*$A159)*(1-(Examples!$D$12*(1-EXP(-Examples!$D$13*$A159))/(1+EXP(MIN(700,MAX(-700,(Examples!$D$14*$A159-Examples!$D$15)/Examples!$D$16))))))+Examples!$D$17*$A159^2)</f>
        <v>741247.76250137505</v>
      </c>
      <c r="E159" s="33">
        <f>(Examples!$D$6*Examples!$D$7*Examples!$D$8*EXP(-Examples!$D$9*$A159)*(1-(Examples!$D$12*(1-EXP(-Examples!$D$13*$A159))/(1+EXP(MIN(700,MAX(-700,(Examples!$D$14*$A159-Examples!$D$15)/Examples!$D$16))))))+Examples!$D$17*$A159^2)</f>
        <v>1688102.2374986249</v>
      </c>
      <c r="F159" s="33">
        <f>Examples!$E$18-(Examples!$E$10+Examples!$E$11)*$A159-(Examples!$E$6*Examples!$E$7*Examples!$E$8*EXP(-Examples!$E$9*$A159)*(1-(Examples!$E$12*(1-EXP(-Examples!$E$13*$A159))/(1+EXP(MIN(700,MAX(-700,(Examples!$E$14*$A159-Examples!$E$15)/Examples!$E$16))))))+Examples!$E$17*$A159^2)</f>
        <v>2283452.9743908416</v>
      </c>
      <c r="G159" s="33">
        <f>(Examples!$E$6*Examples!$E$7*Examples!$E$8*EXP(-Examples!$E$9*$A159)*(1-(Examples!$E$12*(1-EXP(-Examples!$E$13*$A159))/(1+EXP(MIN(700,MAX(-700,(Examples!$E$14*$A159-Examples!$E$15)/Examples!$E$16))))))+Examples!$E$17*$A159^2)</f>
        <v>583097.02560915833</v>
      </c>
      <c r="H159" s="33">
        <f>Examples!$F$18-(Examples!$F$10+Examples!$F$11)*$A159-(Examples!$F$6*Examples!$F$7*Examples!$F$8*EXP(-Examples!$F$9*$A159)*(1-(Examples!$F$12*(1-EXP(-Examples!$F$13*$A159))/(1+EXP(MIN(700,MAX(-700,(Examples!$F$14*$A159-Examples!$F$15)/Examples!$F$16))))))+Examples!$F$17*$A159^2)</f>
        <v>58834.342153339916</v>
      </c>
      <c r="I159" s="33">
        <f>(Examples!$F$6*Examples!$F$7*Examples!$F$8*EXP(-Examples!$F$9*$A159)*(1-(Examples!$F$12*(1-EXP(-Examples!$F$13*$A159))/(1+EXP(MIN(700,MAX(-700,(Examples!$F$14*$A159-Examples!$F$15)/Examples!$F$16))))))+Examples!$F$17*$A159^2)</f>
        <v>59765.657846660084</v>
      </c>
      <c r="J159" s="33">
        <f>Examples!$G$18-(Examples!$G$10+Examples!$G$11)*$A159-(Examples!$G$6*Examples!$G$7*Examples!$G$8*EXP(-Examples!$G$9*$A159)*(1-(Examples!$G$12*(1-EXP(-Examples!$G$13*$A159))/(1+EXP(MIN(700,MAX(-700,(Examples!$G$14*$A159-Examples!$G$15)/Examples!$G$16))))))+Examples!$G$17*$A159^2)</f>
        <v>636883.62629009434</v>
      </c>
      <c r="K159" s="33">
        <f>(Examples!$G$6*Examples!$G$7*Examples!$G$8*EXP(-Examples!$G$9*$A159)*(1-(Examples!$G$12*(1-EXP(-Examples!$G$13*$A159))/(1+EXP(MIN(700,MAX(-700,(Examples!$G$14*$A159-Examples!$G$15)/Examples!$G$16))))))+Examples!$G$17*$A159^2)</f>
        <v>784616.37370990566</v>
      </c>
      <c r="L159" s="33">
        <f>Examples!$H$18-(Examples!$H$10+Examples!$H$11)*$A159-(Examples!$H$6*Examples!$H$7*Examples!$H$8*EXP(-Examples!$H$9*$A159)*(1-(Examples!$H$12*(1-EXP(-Examples!$H$13*$A159))/(1+EXP(MIN(700,MAX(-700,(Examples!$H$14*$A159-Examples!$H$15)/Examples!$H$16))))))+Examples!$H$17*$A159^2)</f>
        <v>725248.35422433459</v>
      </c>
      <c r="M159" s="33">
        <f>(Examples!$H$6*Examples!$H$7*Examples!$H$8*EXP(-Examples!$H$9*$A159)*(1-(Examples!$H$12*(1-EXP(-Examples!$H$13*$A159))/(1+EXP(MIN(700,MAX(-700,(Examples!$H$14*$A159-Examples!$H$15)/Examples!$H$16))))))+Examples!$H$17*$A159^2)</f>
        <v>696251.64577566541</v>
      </c>
    </row>
    <row r="160" spans="1:13" x14ac:dyDescent="0.25">
      <c r="A160">
        <f>(160-2)/100</f>
        <v>1.58</v>
      </c>
      <c r="B160" s="33">
        <f>Examples!$C$18-(Examples!$C$10+Examples!$C$11)*$A160-(Examples!$C$6*Examples!$C$7*Examples!$C$8*EXP(-Examples!$C$9*$A160)*(1-(Examples!$C$12*(1-EXP(-Examples!$C$13*$A160))/(1+EXP(MIN(700,MAX(-700,(Examples!$C$14*$A160-Examples!$C$15)/Examples!$C$16))))))+Examples!$C$17*$A160^2)</f>
        <v>193772.59953439148</v>
      </c>
      <c r="C160" s="33">
        <f>(Examples!$C$6*Examples!$C$7*Examples!$C$8*EXP(-Examples!$C$9*$A160)*(1-(Examples!$C$12*(1-EXP(-Examples!$C$13*$A160))/(1+EXP(MIN(700,MAX(-700,(Examples!$C$14*$A160-Examples!$C$15)/Examples!$C$16))))))+Examples!$C$17*$A160^2)</f>
        <v>350927.40046560852</v>
      </c>
      <c r="D160" s="33">
        <f>Examples!$D$18-(Examples!$D$10+Examples!$D$11)*$A160-(Examples!$D$6*Examples!$D$7*Examples!$D$8*EXP(-Examples!$D$9*$A160)*(1-(Examples!$D$12*(1-EXP(-Examples!$D$13*$A160))/(1+EXP(MIN(700,MAX(-700,(Examples!$D$14*$A160-Examples!$D$15)/Examples!$D$16))))))+Examples!$D$17*$A160^2)</f>
        <v>752159.28174840845</v>
      </c>
      <c r="E160" s="33">
        <f>(Examples!$D$6*Examples!$D$7*Examples!$D$8*EXP(-Examples!$D$9*$A160)*(1-(Examples!$D$12*(1-EXP(-Examples!$D$13*$A160))/(1+EXP(MIN(700,MAX(-700,(Examples!$D$14*$A160-Examples!$D$15)/Examples!$D$16))))))+Examples!$D$17*$A160^2)</f>
        <v>1676740.7182515915</v>
      </c>
      <c r="F160" s="33">
        <f>Examples!$E$18-(Examples!$E$10+Examples!$E$11)*$A160-(Examples!$E$6*Examples!$E$7*Examples!$E$8*EXP(-Examples!$E$9*$A160)*(1-(Examples!$E$12*(1-EXP(-Examples!$E$13*$A160))/(1+EXP(MIN(700,MAX(-700,(Examples!$E$14*$A160-Examples!$E$15)/Examples!$E$16))))))+Examples!$E$17*$A160^2)</f>
        <v>2287336.7633639621</v>
      </c>
      <c r="G160" s="33">
        <f>(Examples!$E$6*Examples!$E$7*Examples!$E$8*EXP(-Examples!$E$9*$A160)*(1-(Examples!$E$12*(1-EXP(-Examples!$E$13*$A160))/(1+EXP(MIN(700,MAX(-700,(Examples!$E$14*$A160-Examples!$E$15)/Examples!$E$16))))))+Examples!$E$17*$A160^2)</f>
        <v>578363.23663603782</v>
      </c>
      <c r="H160" s="33">
        <f>Examples!$F$18-(Examples!$F$10+Examples!$F$11)*$A160-(Examples!$F$6*Examples!$F$7*Examples!$F$8*EXP(-Examples!$F$9*$A160)*(1-(Examples!$F$12*(1-EXP(-Examples!$F$13*$A160))/(1+EXP(MIN(700,MAX(-700,(Examples!$F$14*$A160-Examples!$F$15)/Examples!$F$16))))))+Examples!$F$17*$A160^2)</f>
        <v>58024.84207631318</v>
      </c>
      <c r="I160" s="33">
        <f>(Examples!$F$6*Examples!$F$7*Examples!$F$8*EXP(-Examples!$F$9*$A160)*(1-(Examples!$F$12*(1-EXP(-Examples!$F$13*$A160))/(1+EXP(MIN(700,MAX(-700,(Examples!$F$14*$A160-Examples!$F$15)/Examples!$F$16))))))+Examples!$F$17*$A160^2)</f>
        <v>60375.15792368682</v>
      </c>
      <c r="J160" s="33">
        <f>Examples!$G$18-(Examples!$G$10+Examples!$G$11)*$A160-(Examples!$G$6*Examples!$G$7*Examples!$G$8*EXP(-Examples!$G$9*$A160)*(1-(Examples!$G$12*(1-EXP(-Examples!$G$13*$A160))/(1+EXP(MIN(700,MAX(-700,(Examples!$G$14*$A160-Examples!$G$15)/Examples!$G$16))))))+Examples!$G$17*$A160^2)</f>
        <v>639257.02144127176</v>
      </c>
      <c r="K160" s="33">
        <f>(Examples!$G$6*Examples!$G$7*Examples!$G$8*EXP(-Examples!$G$9*$A160)*(1-(Examples!$G$12*(1-EXP(-Examples!$G$13*$A160))/(1+EXP(MIN(700,MAX(-700,(Examples!$G$14*$A160-Examples!$G$15)/Examples!$G$16))))))+Examples!$G$17*$A160^2)</f>
        <v>781742.97855872824</v>
      </c>
      <c r="L160" s="33">
        <f>Examples!$H$18-(Examples!$H$10+Examples!$H$11)*$A160-(Examples!$H$6*Examples!$H$7*Examples!$H$8*EXP(-Examples!$H$9*$A160)*(1-(Examples!$H$12*(1-EXP(-Examples!$H$13*$A160))/(1+EXP(MIN(700,MAX(-700,(Examples!$H$14*$A160-Examples!$H$15)/Examples!$H$16))))))+Examples!$H$17*$A160^2)</f>
        <v>728098.78133422893</v>
      </c>
      <c r="M160" s="33">
        <f>(Examples!$H$6*Examples!$H$7*Examples!$H$8*EXP(-Examples!$H$9*$A160)*(1-(Examples!$H$12*(1-EXP(-Examples!$H$13*$A160))/(1+EXP(MIN(700,MAX(-700,(Examples!$H$14*$A160-Examples!$H$15)/Examples!$H$16))))))+Examples!$H$17*$A160^2)</f>
        <v>692901.21866577107</v>
      </c>
    </row>
    <row r="161" spans="1:13" x14ac:dyDescent="0.25">
      <c r="A161">
        <f>(161-2)/100</f>
        <v>1.59</v>
      </c>
      <c r="B161" s="33">
        <f>Examples!$C$18-(Examples!$C$10+Examples!$C$11)*$A161-(Examples!$C$6*Examples!$C$7*Examples!$C$8*EXP(-Examples!$C$9*$A161)*(1-(Examples!$C$12*(1-EXP(-Examples!$C$13*$A161))/(1+EXP(MIN(700,MAX(-700,(Examples!$C$14*$A161-Examples!$C$15)/Examples!$C$16))))))+Examples!$C$17*$A161^2)</f>
        <v>193297.02470084111</v>
      </c>
      <c r="C161" s="33">
        <f>(Examples!$C$6*Examples!$C$7*Examples!$C$8*EXP(-Examples!$C$9*$A161)*(1-(Examples!$C$12*(1-EXP(-Examples!$C$13*$A161))/(1+EXP(MIN(700,MAX(-700,(Examples!$C$14*$A161-Examples!$C$15)/Examples!$C$16))))))+Examples!$C$17*$A161^2)</f>
        <v>351052.97529915889</v>
      </c>
      <c r="D161" s="33">
        <f>Examples!$D$18-(Examples!$D$10+Examples!$D$11)*$A161-(Examples!$D$6*Examples!$D$7*Examples!$D$8*EXP(-Examples!$D$9*$A161)*(1-(Examples!$D$12*(1-EXP(-Examples!$D$13*$A161))/(1+EXP(MIN(700,MAX(-700,(Examples!$D$14*$A161-Examples!$D$15)/Examples!$D$16))))))+Examples!$D$17*$A161^2)</f>
        <v>762953.61311318609</v>
      </c>
      <c r="E161" s="33">
        <f>(Examples!$D$6*Examples!$D$7*Examples!$D$8*EXP(-Examples!$D$9*$A161)*(1-(Examples!$D$12*(1-EXP(-Examples!$D$13*$A161))/(1+EXP(MIN(700,MAX(-700,(Examples!$D$14*$A161-Examples!$D$15)/Examples!$D$16))))))+Examples!$D$17*$A161^2)</f>
        <v>1665496.3868868139</v>
      </c>
      <c r="F161" s="33">
        <f>Examples!$E$18-(Examples!$E$10+Examples!$E$11)*$A161-(Examples!$E$6*Examples!$E$7*Examples!$E$8*EXP(-Examples!$E$9*$A161)*(1-(Examples!$E$12*(1-EXP(-Examples!$E$13*$A161))/(1+EXP(MIN(700,MAX(-700,(Examples!$E$14*$A161-Examples!$E$15)/Examples!$E$16))))))+Examples!$E$17*$A161^2)</f>
        <v>2291165.9062722968</v>
      </c>
      <c r="G161" s="33">
        <f>(Examples!$E$6*Examples!$E$7*Examples!$E$8*EXP(-Examples!$E$9*$A161)*(1-(Examples!$E$12*(1-EXP(-Examples!$E$13*$A161))/(1+EXP(MIN(700,MAX(-700,(Examples!$E$14*$A161-Examples!$E$15)/Examples!$E$16))))))+Examples!$E$17*$A161^2)</f>
        <v>573684.09372770309</v>
      </c>
      <c r="H161" s="33">
        <f>Examples!$F$18-(Examples!$F$10+Examples!$F$11)*$A161-(Examples!$F$6*Examples!$F$7*Examples!$F$8*EXP(-Examples!$F$9*$A161)*(1-(Examples!$F$12*(1-EXP(-Examples!$F$13*$A161))/(1+EXP(MIN(700,MAX(-700,(Examples!$F$14*$A161-Examples!$F$15)/Examples!$F$16))))))+Examples!$F$17*$A161^2)</f>
        <v>57211.415209809835</v>
      </c>
      <c r="I161" s="33">
        <f>(Examples!$F$6*Examples!$F$7*Examples!$F$8*EXP(-Examples!$F$9*$A161)*(1-(Examples!$F$12*(1-EXP(-Examples!$F$13*$A161))/(1+EXP(MIN(700,MAX(-700,(Examples!$F$14*$A161-Examples!$F$15)/Examples!$F$16))))))+Examples!$F$17*$A161^2)</f>
        <v>60988.584790190165</v>
      </c>
      <c r="J161" s="33">
        <f>Examples!$G$18-(Examples!$G$10+Examples!$G$11)*$A161-(Examples!$G$6*Examples!$G$7*Examples!$G$8*EXP(-Examples!$G$9*$A161)*(1-(Examples!$G$12*(1-EXP(-Examples!$G$13*$A161))/(1+EXP(MIN(700,MAX(-700,(Examples!$G$14*$A161-Examples!$G$15)/Examples!$G$16))))))+Examples!$G$17*$A161^2)</f>
        <v>641590.00437778665</v>
      </c>
      <c r="K161" s="33">
        <f>(Examples!$G$6*Examples!$G$7*Examples!$G$8*EXP(-Examples!$G$9*$A161)*(1-(Examples!$G$12*(1-EXP(-Examples!$G$13*$A161))/(1+EXP(MIN(700,MAX(-700,(Examples!$G$14*$A161-Examples!$G$15)/Examples!$G$16))))))+Examples!$G$17*$A161^2)</f>
        <v>778909.99562221335</v>
      </c>
      <c r="L161" s="33">
        <f>Examples!$H$18-(Examples!$H$10+Examples!$H$11)*$A161-(Examples!$H$6*Examples!$H$7*Examples!$H$8*EXP(-Examples!$H$9*$A161)*(1-(Examples!$H$12*(1-EXP(-Examples!$H$13*$A161))/(1+EXP(MIN(700,MAX(-700,(Examples!$H$14*$A161-Examples!$H$15)/Examples!$H$16))))))+Examples!$H$17*$A161^2)</f>
        <v>730892.54287770286</v>
      </c>
      <c r="M161" s="33">
        <f>(Examples!$H$6*Examples!$H$7*Examples!$H$8*EXP(-Examples!$H$9*$A161)*(1-(Examples!$H$12*(1-EXP(-Examples!$H$13*$A161))/(1+EXP(MIN(700,MAX(-700,(Examples!$H$14*$A161-Examples!$H$15)/Examples!$H$16))))))+Examples!$H$17*$A161^2)</f>
        <v>689607.45712229714</v>
      </c>
    </row>
    <row r="162" spans="1:13" x14ac:dyDescent="0.25">
      <c r="A162">
        <f>(162-2)/100</f>
        <v>1.6</v>
      </c>
      <c r="B162" s="33">
        <f>Examples!$C$18-(Examples!$C$10+Examples!$C$11)*$A162-(Examples!$C$6*Examples!$C$7*Examples!$C$8*EXP(-Examples!$C$9*$A162)*(1-(Examples!$C$12*(1-EXP(-Examples!$C$13*$A162))/(1+EXP(MIN(700,MAX(-700,(Examples!$C$14*$A162-Examples!$C$15)/Examples!$C$16))))))+Examples!$C$17*$A162^2)</f>
        <v>192806.72827745357</v>
      </c>
      <c r="C162" s="33">
        <f>(Examples!$C$6*Examples!$C$7*Examples!$C$8*EXP(-Examples!$C$9*$A162)*(1-(Examples!$C$12*(1-EXP(-Examples!$C$13*$A162))/(1+EXP(MIN(700,MAX(-700,(Examples!$C$14*$A162-Examples!$C$15)/Examples!$C$16))))))+Examples!$C$17*$A162^2)</f>
        <v>351193.27172254643</v>
      </c>
      <c r="D162" s="33">
        <f>Examples!$D$18-(Examples!$D$10+Examples!$D$11)*$A162-(Examples!$D$6*Examples!$D$7*Examples!$D$8*EXP(-Examples!$D$9*$A162)*(1-(Examples!$D$12*(1-EXP(-Examples!$D$13*$A162))/(1+EXP(MIN(700,MAX(-700,(Examples!$D$14*$A162-Examples!$D$15)/Examples!$D$16))))))+Examples!$D$17*$A162^2)</f>
        <v>773631.77803964354</v>
      </c>
      <c r="E162" s="33">
        <f>(Examples!$D$6*Examples!$D$7*Examples!$D$8*EXP(-Examples!$D$9*$A162)*(1-(Examples!$D$12*(1-EXP(-Examples!$D$13*$A162))/(1+EXP(MIN(700,MAX(-700,(Examples!$D$14*$A162-Examples!$D$15)/Examples!$D$16))))))+Examples!$D$17*$A162^2)</f>
        <v>1654368.2219603565</v>
      </c>
      <c r="F162" s="33">
        <f>Examples!$E$18-(Examples!$E$10+Examples!$E$11)*$A162-(Examples!$E$6*Examples!$E$7*Examples!$E$8*EXP(-Examples!$E$9*$A162)*(1-(Examples!$E$12*(1-EXP(-Examples!$E$13*$A162))/(1+EXP(MIN(700,MAX(-700,(Examples!$E$14*$A162-Examples!$E$15)/Examples!$E$16))))))+Examples!$E$17*$A162^2)</f>
        <v>2294941.019003361</v>
      </c>
      <c r="G162" s="33">
        <f>(Examples!$E$6*Examples!$E$7*Examples!$E$8*EXP(-Examples!$E$9*$A162)*(1-(Examples!$E$12*(1-EXP(-Examples!$E$13*$A162))/(1+EXP(MIN(700,MAX(-700,(Examples!$E$14*$A162-Examples!$E$15)/Examples!$E$16))))))+Examples!$E$17*$A162^2)</f>
        <v>569058.98099663889</v>
      </c>
      <c r="H162" s="33">
        <f>Examples!$F$18-(Examples!$F$10+Examples!$F$11)*$A162-(Examples!$F$6*Examples!$F$7*Examples!$F$8*EXP(-Examples!$F$9*$A162)*(1-(Examples!$F$12*(1-EXP(-Examples!$F$13*$A162))/(1+EXP(MIN(700,MAX(-700,(Examples!$F$14*$A162-Examples!$F$15)/Examples!$F$16))))))+Examples!$F$17*$A162^2)</f>
        <v>56394.068365424362</v>
      </c>
      <c r="I162" s="33">
        <f>(Examples!$F$6*Examples!$F$7*Examples!$F$8*EXP(-Examples!$F$9*$A162)*(1-(Examples!$F$12*(1-EXP(-Examples!$F$13*$A162))/(1+EXP(MIN(700,MAX(-700,(Examples!$F$14*$A162-Examples!$F$15)/Examples!$F$16))))))+Examples!$F$17*$A162^2)</f>
        <v>61605.931634575638</v>
      </c>
      <c r="J162" s="33">
        <f>Examples!$G$18-(Examples!$G$10+Examples!$G$11)*$A162-(Examples!$G$6*Examples!$G$7*Examples!$G$8*EXP(-Examples!$G$9*$A162)*(1-(Examples!$G$12*(1-EXP(-Examples!$G$13*$A162))/(1+EXP(MIN(700,MAX(-700,(Examples!$G$14*$A162-Examples!$G$15)/Examples!$G$16))))))+Examples!$G$17*$A162^2)</f>
        <v>643882.91884023568</v>
      </c>
      <c r="K162" s="33">
        <f>(Examples!$G$6*Examples!$G$7*Examples!$G$8*EXP(-Examples!$G$9*$A162)*(1-(Examples!$G$12*(1-EXP(-Examples!$G$13*$A162))/(1+EXP(MIN(700,MAX(-700,(Examples!$G$14*$A162-Examples!$G$15)/Examples!$G$16))))))+Examples!$G$17*$A162^2)</f>
        <v>776117.08115976432</v>
      </c>
      <c r="L162" s="33">
        <f>Examples!$H$18-(Examples!$H$10+Examples!$H$11)*$A162-(Examples!$H$6*Examples!$H$7*Examples!$H$8*EXP(-Examples!$H$9*$A162)*(1-(Examples!$H$12*(1-EXP(-Examples!$H$13*$A162))/(1+EXP(MIN(700,MAX(-700,(Examples!$H$14*$A162-Examples!$H$15)/Examples!$H$16))))))+Examples!$H$17*$A162^2)</f>
        <v>733629.37309390935</v>
      </c>
      <c r="M162" s="33">
        <f>(Examples!$H$6*Examples!$H$7*Examples!$H$8*EXP(-Examples!$H$9*$A162)*(1-(Examples!$H$12*(1-EXP(-Examples!$H$13*$A162))/(1+EXP(MIN(700,MAX(-700,(Examples!$H$14*$A162-Examples!$H$15)/Examples!$H$16))))))+Examples!$H$17*$A162^2)</f>
        <v>686370.62690609065</v>
      </c>
    </row>
    <row r="163" spans="1:13" x14ac:dyDescent="0.25">
      <c r="A163">
        <f>(163-2)/100</f>
        <v>1.61</v>
      </c>
      <c r="B163" s="33">
        <f>Examples!$C$18-(Examples!$C$10+Examples!$C$11)*$A163-(Examples!$C$6*Examples!$C$7*Examples!$C$8*EXP(-Examples!$C$9*$A163)*(1-(Examples!$C$12*(1-EXP(-Examples!$C$13*$A163))/(1+EXP(MIN(700,MAX(-700,(Examples!$C$14*$A163-Examples!$C$15)/Examples!$C$16))))))+Examples!$C$17*$A163^2)</f>
        <v>192302.27696792374</v>
      </c>
      <c r="C163" s="33">
        <f>(Examples!$C$6*Examples!$C$7*Examples!$C$8*EXP(-Examples!$C$9*$A163)*(1-(Examples!$C$12*(1-EXP(-Examples!$C$13*$A163))/(1+EXP(MIN(700,MAX(-700,(Examples!$C$14*$A163-Examples!$C$15)/Examples!$C$16))))))+Examples!$C$17*$A163^2)</f>
        <v>351347.72303207626</v>
      </c>
      <c r="D163" s="33">
        <f>Examples!$D$18-(Examples!$D$10+Examples!$D$11)*$A163-(Examples!$D$6*Examples!$D$7*Examples!$D$8*EXP(-Examples!$D$9*$A163)*(1-(Examples!$D$12*(1-EXP(-Examples!$D$13*$A163))/(1+EXP(MIN(700,MAX(-700,(Examples!$D$14*$A163-Examples!$D$15)/Examples!$D$16))))))+Examples!$D$17*$A163^2)</f>
        <v>784194.78769072727</v>
      </c>
      <c r="E163" s="33">
        <f>(Examples!$D$6*Examples!$D$7*Examples!$D$8*EXP(-Examples!$D$9*$A163)*(1-(Examples!$D$12*(1-EXP(-Examples!$D$13*$A163))/(1+EXP(MIN(700,MAX(-700,(Examples!$D$14*$A163-Examples!$D$15)/Examples!$D$16))))))+Examples!$D$17*$A163^2)</f>
        <v>1643355.2123092727</v>
      </c>
      <c r="F163" s="33">
        <f>Examples!$E$18-(Examples!$E$10+Examples!$E$11)*$A163-(Examples!$E$6*Examples!$E$7*Examples!$E$8*EXP(-Examples!$E$9*$A163)*(1-(Examples!$E$12*(1-EXP(-Examples!$E$13*$A163))/(1+EXP(MIN(700,MAX(-700,(Examples!$E$14*$A163-Examples!$E$15)/Examples!$E$16))))))+Examples!$E$17*$A163^2)</f>
        <v>2298662.7103056391</v>
      </c>
      <c r="G163" s="33">
        <f>(Examples!$E$6*Examples!$E$7*Examples!$E$8*EXP(-Examples!$E$9*$A163)*(1-(Examples!$E$12*(1-EXP(-Examples!$E$13*$A163))/(1+EXP(MIN(700,MAX(-700,(Examples!$E$14*$A163-Examples!$E$15)/Examples!$E$16))))))+Examples!$E$17*$A163^2)</f>
        <v>564487.28969436092</v>
      </c>
      <c r="H163" s="33">
        <f>Examples!$F$18-(Examples!$F$10+Examples!$F$11)*$A163-(Examples!$F$6*Examples!$F$7*Examples!$F$8*EXP(-Examples!$F$9*$A163)*(1-(Examples!$F$12*(1-EXP(-Examples!$F$13*$A163))/(1+EXP(MIN(700,MAX(-700,(Examples!$F$14*$A163-Examples!$F$15)/Examples!$F$16))))))+Examples!$F$17*$A163^2)</f>
        <v>55572.807798763133</v>
      </c>
      <c r="I163" s="33">
        <f>(Examples!$F$6*Examples!$F$7*Examples!$F$8*EXP(-Examples!$F$9*$A163)*(1-(Examples!$F$12*(1-EXP(-Examples!$F$13*$A163))/(1+EXP(MIN(700,MAX(-700,(Examples!$F$14*$A163-Examples!$F$15)/Examples!$F$16))))))+Examples!$F$17*$A163^2)</f>
        <v>62227.192201236867</v>
      </c>
      <c r="J163" s="33">
        <f>Examples!$G$18-(Examples!$G$10+Examples!$G$11)*$A163-(Examples!$G$6*Examples!$G$7*Examples!$G$8*EXP(-Examples!$G$9*$A163)*(1-(Examples!$G$12*(1-EXP(-Examples!$G$13*$A163))/(1+EXP(MIN(700,MAX(-700,(Examples!$G$14*$A163-Examples!$G$15)/Examples!$G$16))))))+Examples!$G$17*$A163^2)</f>
        <v>646136.10845229321</v>
      </c>
      <c r="K163" s="33">
        <f>(Examples!$G$6*Examples!$G$7*Examples!$G$8*EXP(-Examples!$G$9*$A163)*(1-(Examples!$G$12*(1-EXP(-Examples!$G$13*$A163))/(1+EXP(MIN(700,MAX(-700,(Examples!$G$14*$A163-Examples!$G$15)/Examples!$G$16))))))+Examples!$G$17*$A163^2)</f>
        <v>773363.89154770679</v>
      </c>
      <c r="L163" s="33">
        <f>Examples!$H$18-(Examples!$H$10+Examples!$H$11)*$A163-(Examples!$H$6*Examples!$H$7*Examples!$H$8*EXP(-Examples!$H$9*$A163)*(1-(Examples!$H$12*(1-EXP(-Examples!$H$13*$A163))/(1+EXP(MIN(700,MAX(-700,(Examples!$H$14*$A163-Examples!$H$15)/Examples!$H$16))))))+Examples!$H$17*$A163^2)</f>
        <v>736308.99686176865</v>
      </c>
      <c r="M163" s="33">
        <f>(Examples!$H$6*Examples!$H$7*Examples!$H$8*EXP(-Examples!$H$9*$A163)*(1-(Examples!$H$12*(1-EXP(-Examples!$H$13*$A163))/(1+EXP(MIN(700,MAX(-700,(Examples!$H$14*$A163-Examples!$H$15)/Examples!$H$16))))))+Examples!$H$17*$A163^2)</f>
        <v>683191.00313823135</v>
      </c>
    </row>
    <row r="164" spans="1:13" x14ac:dyDescent="0.25">
      <c r="A164">
        <f>(164-2)/100</f>
        <v>1.62</v>
      </c>
      <c r="B164" s="33">
        <f>Examples!$C$18-(Examples!$C$10+Examples!$C$11)*$A164-(Examples!$C$6*Examples!$C$7*Examples!$C$8*EXP(-Examples!$C$9*$A164)*(1-(Examples!$C$12*(1-EXP(-Examples!$C$13*$A164))/(1+EXP(MIN(700,MAX(-700,(Examples!$C$14*$A164-Examples!$C$15)/Examples!$C$16))))))+Examples!$C$17*$A164^2)</f>
        <v>191784.24653371231</v>
      </c>
      <c r="C164" s="33">
        <f>(Examples!$C$6*Examples!$C$7*Examples!$C$8*EXP(-Examples!$C$9*$A164)*(1-(Examples!$C$12*(1-EXP(-Examples!$C$13*$A164))/(1+EXP(MIN(700,MAX(-700,(Examples!$C$14*$A164-Examples!$C$15)/Examples!$C$16))))))+Examples!$C$17*$A164^2)</f>
        <v>351515.75346628769</v>
      </c>
      <c r="D164" s="33">
        <f>Examples!$D$18-(Examples!$D$10+Examples!$D$11)*$A164-(Examples!$D$6*Examples!$D$7*Examples!$D$8*EXP(-Examples!$D$9*$A164)*(1-(Examples!$D$12*(1-EXP(-Examples!$D$13*$A164))/(1+EXP(MIN(700,MAX(-700,(Examples!$D$14*$A164-Examples!$D$15)/Examples!$D$16))))))+Examples!$D$17*$A164^2)</f>
        <v>794643.64307048894</v>
      </c>
      <c r="E164" s="33">
        <f>(Examples!$D$6*Examples!$D$7*Examples!$D$8*EXP(-Examples!$D$9*$A164)*(1-(Examples!$D$12*(1-EXP(-Examples!$D$13*$A164))/(1+EXP(MIN(700,MAX(-700,(Examples!$D$14*$A164-Examples!$D$15)/Examples!$D$16))))))+Examples!$D$17*$A164^2)</f>
        <v>1632456.3569295111</v>
      </c>
      <c r="F164" s="33">
        <f>Examples!$E$18-(Examples!$E$10+Examples!$E$11)*$A164-(Examples!$E$6*Examples!$E$7*Examples!$E$8*EXP(-Examples!$E$9*$A164)*(1-(Examples!$E$12*(1-EXP(-Examples!$E$13*$A164))/(1+EXP(MIN(700,MAX(-700,(Examples!$E$14*$A164-Examples!$E$15)/Examples!$E$16))))))+Examples!$E$17*$A164^2)</f>
        <v>2302331.581873565</v>
      </c>
      <c r="G164" s="33">
        <f>(Examples!$E$6*Examples!$E$7*Examples!$E$8*EXP(-Examples!$E$9*$A164)*(1-(Examples!$E$12*(1-EXP(-Examples!$E$13*$A164))/(1+EXP(MIN(700,MAX(-700,(Examples!$E$14*$A164-Examples!$E$15)/Examples!$E$16))))))+Examples!$E$17*$A164^2)</f>
        <v>559968.41812643502</v>
      </c>
      <c r="H164" s="33">
        <f>Examples!$F$18-(Examples!$F$10+Examples!$F$11)*$A164-(Examples!$F$6*Examples!$F$7*Examples!$F$8*EXP(-Examples!$F$9*$A164)*(1-(Examples!$F$12*(1-EXP(-Examples!$F$13*$A164))/(1+EXP(MIN(700,MAX(-700,(Examples!$F$14*$A164-Examples!$F$15)/Examples!$F$16))))))+Examples!$F$17*$A164^2)</f>
        <v>54747.639215064883</v>
      </c>
      <c r="I164" s="33">
        <f>(Examples!$F$6*Examples!$F$7*Examples!$F$8*EXP(-Examples!$F$9*$A164)*(1-(Examples!$F$12*(1-EXP(-Examples!$F$13*$A164))/(1+EXP(MIN(700,MAX(-700,(Examples!$F$14*$A164-Examples!$F$15)/Examples!$F$16))))))+Examples!$F$17*$A164^2)</f>
        <v>62852.360784935117</v>
      </c>
      <c r="J164" s="33">
        <f>Examples!$G$18-(Examples!$G$10+Examples!$G$11)*$A164-(Examples!$G$6*Examples!$G$7*Examples!$G$8*EXP(-Examples!$G$9*$A164)*(1-(Examples!$G$12*(1-EXP(-Examples!$G$13*$A164))/(1+EXP(MIN(700,MAX(-700,(Examples!$G$14*$A164-Examples!$G$15)/Examples!$G$16))))))+Examples!$G$17*$A164^2)</f>
        <v>648349.91674319538</v>
      </c>
      <c r="K164" s="33">
        <f>(Examples!$G$6*Examples!$G$7*Examples!$G$8*EXP(-Examples!$G$9*$A164)*(1-(Examples!$G$12*(1-EXP(-Examples!$G$13*$A164))/(1+EXP(MIN(700,MAX(-700,(Examples!$G$14*$A164-Examples!$G$15)/Examples!$G$16))))))+Examples!$G$17*$A164^2)</f>
        <v>770650.08325680462</v>
      </c>
      <c r="L164" s="33">
        <f>Examples!$H$18-(Examples!$H$10+Examples!$H$11)*$A164-(Examples!$H$6*Examples!$H$7*Examples!$H$8*EXP(-Examples!$H$9*$A164)*(1-(Examples!$H$12*(1-EXP(-Examples!$H$13*$A164))/(1+EXP(MIN(700,MAX(-700,(Examples!$H$14*$A164-Examples!$H$15)/Examples!$H$16))))))+Examples!$H$17*$A164^2)</f>
        <v>738931.12998181058</v>
      </c>
      <c r="M164" s="33">
        <f>(Examples!$H$6*Examples!$H$7*Examples!$H$8*EXP(-Examples!$H$9*$A164)*(1-(Examples!$H$12*(1-EXP(-Examples!$H$13*$A164))/(1+EXP(MIN(700,MAX(-700,(Examples!$H$14*$A164-Examples!$H$15)/Examples!$H$16))))))+Examples!$H$17*$A164^2)</f>
        <v>680068.87001818942</v>
      </c>
    </row>
    <row r="165" spans="1:13" x14ac:dyDescent="0.25">
      <c r="A165">
        <f>(165-2)/100</f>
        <v>1.63</v>
      </c>
      <c r="B165" s="33">
        <f>Examples!$C$18-(Examples!$C$10+Examples!$C$11)*$A165-(Examples!$C$6*Examples!$C$7*Examples!$C$8*EXP(-Examples!$C$9*$A165)*(1-(Examples!$C$12*(1-EXP(-Examples!$C$13*$A165))/(1+EXP(MIN(700,MAX(-700,(Examples!$C$14*$A165-Examples!$C$15)/Examples!$C$16))))))+Examples!$C$17*$A165^2)</f>
        <v>191253.22068933421</v>
      </c>
      <c r="C165" s="33">
        <f>(Examples!$C$6*Examples!$C$7*Examples!$C$8*EXP(-Examples!$C$9*$A165)*(1-(Examples!$C$12*(1-EXP(-Examples!$C$13*$A165))/(1+EXP(MIN(700,MAX(-700,(Examples!$C$14*$A165-Examples!$C$15)/Examples!$C$16))))))+Examples!$C$17*$A165^2)</f>
        <v>351696.77931066579</v>
      </c>
      <c r="D165" s="33">
        <f>Examples!$D$18-(Examples!$D$10+Examples!$D$11)*$A165-(Examples!$D$6*Examples!$D$7*Examples!$D$8*EXP(-Examples!$D$9*$A165)*(1-(Examples!$D$12*(1-EXP(-Examples!$D$13*$A165))/(1+EXP(MIN(700,MAX(-700,(Examples!$D$14*$A165-Examples!$D$15)/Examples!$D$16))))))+Examples!$D$17*$A165^2)</f>
        <v>804979.3351452786</v>
      </c>
      <c r="E165" s="33">
        <f>(Examples!$D$6*Examples!$D$7*Examples!$D$8*EXP(-Examples!$D$9*$A165)*(1-(Examples!$D$12*(1-EXP(-Examples!$D$13*$A165))/(1+EXP(MIN(700,MAX(-700,(Examples!$D$14*$A165-Examples!$D$15)/Examples!$D$16))))))+Examples!$D$17*$A165^2)</f>
        <v>1621670.6648547214</v>
      </c>
      <c r="F165" s="33">
        <f>Examples!$E$18-(Examples!$E$10+Examples!$E$11)*$A165-(Examples!$E$6*Examples!$E$7*Examples!$E$8*EXP(-Examples!$E$9*$A165)*(1-(Examples!$E$12*(1-EXP(-Examples!$E$13*$A165))/(1+EXP(MIN(700,MAX(-700,(Examples!$E$14*$A165-Examples!$E$15)/Examples!$E$16))))))+Examples!$E$17*$A165^2)</f>
        <v>2305948.2284314958</v>
      </c>
      <c r="G165" s="33">
        <f>(Examples!$E$6*Examples!$E$7*Examples!$E$8*EXP(-Examples!$E$9*$A165)*(1-(Examples!$E$12*(1-EXP(-Examples!$E$13*$A165))/(1+EXP(MIN(700,MAX(-700,(Examples!$E$14*$A165-Examples!$E$15)/Examples!$E$16))))))+Examples!$E$17*$A165^2)</f>
        <v>555501.77156850428</v>
      </c>
      <c r="H165" s="33">
        <f>Examples!$F$18-(Examples!$F$10+Examples!$F$11)*$A165-(Examples!$F$6*Examples!$F$7*Examples!$F$8*EXP(-Examples!$F$9*$A165)*(1-(Examples!$F$12*(1-EXP(-Examples!$F$13*$A165))/(1+EXP(MIN(700,MAX(-700,(Examples!$F$14*$A165-Examples!$F$15)/Examples!$F$16))))))+Examples!$F$17*$A165^2)</f>
        <v>53918.567776876909</v>
      </c>
      <c r="I165" s="33">
        <f>(Examples!$F$6*Examples!$F$7*Examples!$F$8*EXP(-Examples!$F$9*$A165)*(1-(Examples!$F$12*(1-EXP(-Examples!$F$13*$A165))/(1+EXP(MIN(700,MAX(-700,(Examples!$F$14*$A165-Examples!$F$15)/Examples!$F$16))))))+Examples!$F$17*$A165^2)</f>
        <v>63481.432223123091</v>
      </c>
      <c r="J165" s="33">
        <f>Examples!$G$18-(Examples!$G$10+Examples!$G$11)*$A165-(Examples!$G$6*Examples!$G$7*Examples!$G$8*EXP(-Examples!$G$9*$A165)*(1-(Examples!$G$12*(1-EXP(-Examples!$G$13*$A165))/(1+EXP(MIN(700,MAX(-700,(Examples!$G$14*$A165-Examples!$G$15)/Examples!$G$16))))))+Examples!$G$17*$A165^2)</f>
        <v>650524.68716914009</v>
      </c>
      <c r="K165" s="33">
        <f>(Examples!$G$6*Examples!$G$7*Examples!$G$8*EXP(-Examples!$G$9*$A165)*(1-(Examples!$G$12*(1-EXP(-Examples!$G$13*$A165))/(1+EXP(MIN(700,MAX(-700,(Examples!$G$14*$A165-Examples!$G$15)/Examples!$G$16))))))+Examples!$G$17*$A165^2)</f>
        <v>767975.31283085991</v>
      </c>
      <c r="L165" s="33">
        <f>Examples!$H$18-(Examples!$H$10+Examples!$H$11)*$A165-(Examples!$H$6*Examples!$H$7*Examples!$H$8*EXP(-Examples!$H$9*$A165)*(1-(Examples!$H$12*(1-EXP(-Examples!$H$13*$A165))/(1+EXP(MIN(700,MAX(-700,(Examples!$H$14*$A165-Examples!$H$15)/Examples!$H$16))))))+Examples!$H$17*$A165^2)</f>
        <v>741495.47948688909</v>
      </c>
      <c r="M165" s="33">
        <f>(Examples!$H$6*Examples!$H$7*Examples!$H$8*EXP(-Examples!$H$9*$A165)*(1-(Examples!$H$12*(1-EXP(-Examples!$H$13*$A165))/(1+EXP(MIN(700,MAX(-700,(Examples!$H$14*$A165-Examples!$H$15)/Examples!$H$16))))))+Examples!$H$17*$A165^2)</f>
        <v>677004.52051311091</v>
      </c>
    </row>
    <row r="166" spans="1:13" x14ac:dyDescent="0.25">
      <c r="A166">
        <f>(166-2)/100</f>
        <v>1.64</v>
      </c>
      <c r="B166" s="33">
        <f>Examples!$C$18-(Examples!$C$10+Examples!$C$11)*$A166-(Examples!$C$6*Examples!$C$7*Examples!$C$8*EXP(-Examples!$C$9*$A166)*(1-(Examples!$C$12*(1-EXP(-Examples!$C$13*$A166))/(1+EXP(MIN(700,MAX(-700,(Examples!$C$14*$A166-Examples!$C$15)/Examples!$C$16))))))+Examples!$C$17*$A166^2)</f>
        <v>190709.78996120533</v>
      </c>
      <c r="C166" s="33">
        <f>(Examples!$C$6*Examples!$C$7*Examples!$C$8*EXP(-Examples!$C$9*$A166)*(1-(Examples!$C$12*(1-EXP(-Examples!$C$13*$A166))/(1+EXP(MIN(700,MAX(-700,(Examples!$C$14*$A166-Examples!$C$15)/Examples!$C$16))))))+Examples!$C$17*$A166^2)</f>
        <v>351890.21003879467</v>
      </c>
      <c r="D166" s="33">
        <f>Examples!$D$18-(Examples!$D$10+Examples!$D$11)*$A166-(Examples!$D$6*Examples!$D$7*Examples!$D$8*EXP(-Examples!$D$9*$A166)*(1-(Examples!$D$12*(1-EXP(-Examples!$D$13*$A166))/(1+EXP(MIN(700,MAX(-700,(Examples!$D$14*$A166-Examples!$D$15)/Examples!$D$16))))))+Examples!$D$17*$A166^2)</f>
        <v>815202.84496406419</v>
      </c>
      <c r="E166" s="33">
        <f>(Examples!$D$6*Examples!$D$7*Examples!$D$8*EXP(-Examples!$D$9*$A166)*(1-(Examples!$D$12*(1-EXP(-Examples!$D$13*$A166))/(1+EXP(MIN(700,MAX(-700,(Examples!$D$14*$A166-Examples!$D$15)/Examples!$D$16))))))+Examples!$D$17*$A166^2)</f>
        <v>1610997.1550359358</v>
      </c>
      <c r="F166" s="33">
        <f>Examples!$E$18-(Examples!$E$10+Examples!$E$11)*$A166-(Examples!$E$6*Examples!$E$7*Examples!$E$8*EXP(-Examples!$E$9*$A166)*(1-(Examples!$E$12*(1-EXP(-Examples!$E$13*$A166))/(1+EXP(MIN(700,MAX(-700,(Examples!$E$14*$A166-Examples!$E$15)/Examples!$E$16))))))+Examples!$E$17*$A166^2)</f>
        <v>2309513.2378166895</v>
      </c>
      <c r="G166" s="33">
        <f>(Examples!$E$6*Examples!$E$7*Examples!$E$8*EXP(-Examples!$E$9*$A166)*(1-(Examples!$E$12*(1-EXP(-Examples!$E$13*$A166))/(1+EXP(MIN(700,MAX(-700,(Examples!$E$14*$A166-Examples!$E$15)/Examples!$E$16))))))+Examples!$E$17*$A166^2)</f>
        <v>551086.76218331046</v>
      </c>
      <c r="H166" s="33">
        <f>Examples!$F$18-(Examples!$F$10+Examples!$F$11)*$A166-(Examples!$F$6*Examples!$F$7*Examples!$F$8*EXP(-Examples!$F$9*$A166)*(1-(Examples!$F$12*(1-EXP(-Examples!$F$13*$A166))/(1+EXP(MIN(700,MAX(-700,(Examples!$F$14*$A166-Examples!$F$15)/Examples!$F$16))))))+Examples!$F$17*$A166^2)</f>
        <v>53085.598113631255</v>
      </c>
      <c r="I166" s="33">
        <f>(Examples!$F$6*Examples!$F$7*Examples!$F$8*EXP(-Examples!$F$9*$A166)*(1-(Examples!$F$12*(1-EXP(-Examples!$F$13*$A166))/(1+EXP(MIN(700,MAX(-700,(Examples!$F$14*$A166-Examples!$F$15)/Examples!$F$16))))))+Examples!$F$17*$A166^2)</f>
        <v>64114.401886368745</v>
      </c>
      <c r="J166" s="33">
        <f>Examples!$G$18-(Examples!$G$10+Examples!$G$11)*$A166-(Examples!$G$6*Examples!$G$7*Examples!$G$8*EXP(-Examples!$G$9*$A166)*(1-(Examples!$G$12*(1-EXP(-Examples!$G$13*$A166))/(1+EXP(MIN(700,MAX(-700,(Examples!$G$14*$A166-Examples!$G$15)/Examples!$G$16))))))+Examples!$G$17*$A166^2)</f>
        <v>652660.76313358545</v>
      </c>
      <c r="K166" s="33">
        <f>(Examples!$G$6*Examples!$G$7*Examples!$G$8*EXP(-Examples!$G$9*$A166)*(1-(Examples!$G$12*(1-EXP(-Examples!$G$13*$A166))/(1+EXP(MIN(700,MAX(-700,(Examples!$G$14*$A166-Examples!$G$15)/Examples!$G$16))))))+Examples!$G$17*$A166^2)</f>
        <v>765339.23686641455</v>
      </c>
      <c r="L166" s="33">
        <f>Examples!$H$18-(Examples!$H$10+Examples!$H$11)*$A166-(Examples!$H$6*Examples!$H$7*Examples!$H$8*EXP(-Examples!$H$9*$A166)*(1-(Examples!$H$12*(1-EXP(-Examples!$H$13*$A166))/(1+EXP(MIN(700,MAX(-700,(Examples!$H$14*$A166-Examples!$H$15)/Examples!$H$16))))))+Examples!$H$17*$A166^2)</f>
        <v>744001.74398319889</v>
      </c>
      <c r="M166" s="33">
        <f>(Examples!$H$6*Examples!$H$7*Examples!$H$8*EXP(-Examples!$H$9*$A166)*(1-(Examples!$H$12*(1-EXP(-Examples!$H$13*$A166))/(1+EXP(MIN(700,MAX(-700,(Examples!$H$14*$A166-Examples!$H$15)/Examples!$H$16))))))+Examples!$H$17*$A166^2)</f>
        <v>673998.25601680111</v>
      </c>
    </row>
    <row r="167" spans="1:13" x14ac:dyDescent="0.25">
      <c r="A167">
        <f>(167-2)/100</f>
        <v>1.65</v>
      </c>
      <c r="B167" s="33">
        <f>Examples!$C$18-(Examples!$C$10+Examples!$C$11)*$A167-(Examples!$C$6*Examples!$C$7*Examples!$C$8*EXP(-Examples!$C$9*$A167)*(1-(Examples!$C$12*(1-EXP(-Examples!$C$13*$A167))/(1+EXP(MIN(700,MAX(-700,(Examples!$C$14*$A167-Examples!$C$15)/Examples!$C$16))))))+Examples!$C$17*$A167^2)</f>
        <v>190154.55051514239</v>
      </c>
      <c r="C167" s="33">
        <f>(Examples!$C$6*Examples!$C$7*Examples!$C$8*EXP(-Examples!$C$9*$A167)*(1-(Examples!$C$12*(1-EXP(-Examples!$C$13*$A167))/(1+EXP(MIN(700,MAX(-700,(Examples!$C$14*$A167-Examples!$C$15)/Examples!$C$16))))))+Examples!$C$17*$A167^2)</f>
        <v>352095.44948485761</v>
      </c>
      <c r="D167" s="33">
        <f>Examples!$D$18-(Examples!$D$10+Examples!$D$11)*$A167-(Examples!$D$6*Examples!$D$7*Examples!$D$8*EXP(-Examples!$D$9*$A167)*(1-(Examples!$D$12*(1-EXP(-Examples!$D$13*$A167))/(1+EXP(MIN(700,MAX(-700,(Examples!$D$14*$A167-Examples!$D$15)/Examples!$D$16))))))+Examples!$D$17*$A167^2)</f>
        <v>825315.14377786638</v>
      </c>
      <c r="E167" s="33">
        <f>(Examples!$D$6*Examples!$D$7*Examples!$D$8*EXP(-Examples!$D$9*$A167)*(1-(Examples!$D$12*(1-EXP(-Examples!$D$13*$A167))/(1+EXP(MIN(700,MAX(-700,(Examples!$D$14*$A167-Examples!$D$15)/Examples!$D$16))))))+Examples!$D$17*$A167^2)</f>
        <v>1600434.8562221336</v>
      </c>
      <c r="F167" s="33">
        <f>Examples!$E$18-(Examples!$E$10+Examples!$E$11)*$A167-(Examples!$E$6*Examples!$E$7*Examples!$E$8*EXP(-Examples!$E$9*$A167)*(1-(Examples!$E$12*(1-EXP(-Examples!$E$13*$A167))/(1+EXP(MIN(700,MAX(-700,(Examples!$E$14*$A167-Examples!$E$15)/Examples!$E$16))))))+Examples!$E$17*$A167^2)</f>
        <v>2313027.1910612979</v>
      </c>
      <c r="G167" s="33">
        <f>(Examples!$E$6*Examples!$E$7*Examples!$E$8*EXP(-Examples!$E$9*$A167)*(1-(Examples!$E$12*(1-EXP(-Examples!$E$13*$A167))/(1+EXP(MIN(700,MAX(-700,(Examples!$E$14*$A167-Examples!$E$15)/Examples!$E$16))))))+Examples!$E$17*$A167^2)</f>
        <v>546722.80893870199</v>
      </c>
      <c r="H167" s="33">
        <f>Examples!$F$18-(Examples!$F$10+Examples!$F$11)*$A167-(Examples!$F$6*Examples!$F$7*Examples!$F$8*EXP(-Examples!$F$9*$A167)*(1-(Examples!$F$12*(1-EXP(-Examples!$F$13*$A167))/(1+EXP(MIN(700,MAX(-700,(Examples!$F$14*$A167-Examples!$F$15)/Examples!$F$16))))))+Examples!$F$17*$A167^2)</f>
        <v>52248.734332960441</v>
      </c>
      <c r="I167" s="33">
        <f>(Examples!$F$6*Examples!$F$7*Examples!$F$8*EXP(-Examples!$F$9*$A167)*(1-(Examples!$F$12*(1-EXP(-Examples!$F$13*$A167))/(1+EXP(MIN(700,MAX(-700,(Examples!$F$14*$A167-Examples!$F$15)/Examples!$F$16))))))+Examples!$F$17*$A167^2)</f>
        <v>64751.265667039559</v>
      </c>
      <c r="J167" s="33">
        <f>Examples!$G$18-(Examples!$G$10+Examples!$G$11)*$A167-(Examples!$G$6*Examples!$G$7*Examples!$G$8*EXP(-Examples!$G$9*$A167)*(1-(Examples!$G$12*(1-EXP(-Examples!$G$13*$A167))/(1+EXP(MIN(700,MAX(-700,(Examples!$G$14*$A167-Examples!$G$15)/Examples!$G$16))))))+Examples!$G$17*$A167^2)</f>
        <v>654758.48800642707</v>
      </c>
      <c r="K167" s="33">
        <f>(Examples!$G$6*Examples!$G$7*Examples!$G$8*EXP(-Examples!$G$9*$A167)*(1-(Examples!$G$12*(1-EXP(-Examples!$G$13*$A167))/(1+EXP(MIN(700,MAX(-700,(Examples!$G$14*$A167-Examples!$G$15)/Examples!$G$16))))))+Examples!$G$17*$A167^2)</f>
        <v>762741.51199357293</v>
      </c>
      <c r="L167" s="33">
        <f>Examples!$H$18-(Examples!$H$10+Examples!$H$11)*$A167-(Examples!$H$6*Examples!$H$7*Examples!$H$8*EXP(-Examples!$H$9*$A167)*(1-(Examples!$H$12*(1-EXP(-Examples!$H$13*$A167))/(1+EXP(MIN(700,MAX(-700,(Examples!$H$14*$A167-Examples!$H$15)/Examples!$H$16))))))+Examples!$H$17*$A167^2)</f>
        <v>746449.61402301281</v>
      </c>
      <c r="M167" s="33">
        <f>(Examples!$H$6*Examples!$H$7*Examples!$H$8*EXP(-Examples!$H$9*$A167)*(1-(Examples!$H$12*(1-EXP(-Examples!$H$13*$A167))/(1+EXP(MIN(700,MAX(-700,(Examples!$H$14*$A167-Examples!$H$15)/Examples!$H$16))))))+Examples!$H$17*$A167^2)</f>
        <v>671050.38597698719</v>
      </c>
    </row>
    <row r="168" spans="1:13" x14ac:dyDescent="0.25">
      <c r="A168">
        <f>(168-2)/100</f>
        <v>1.66</v>
      </c>
      <c r="B168" s="33">
        <f>Examples!$C$18-(Examples!$C$10+Examples!$C$11)*$A168-(Examples!$C$6*Examples!$C$7*Examples!$C$8*EXP(-Examples!$C$9*$A168)*(1-(Examples!$C$12*(1-EXP(-Examples!$C$13*$A168))/(1+EXP(MIN(700,MAX(-700,(Examples!$C$14*$A168-Examples!$C$15)/Examples!$C$16))))))+Examples!$C$17*$A168^2)</f>
        <v>189588.10295785085</v>
      </c>
      <c r="C168" s="33">
        <f>(Examples!$C$6*Examples!$C$7*Examples!$C$8*EXP(-Examples!$C$9*$A168)*(1-(Examples!$C$12*(1-EXP(-Examples!$C$13*$A168))/(1+EXP(MIN(700,MAX(-700,(Examples!$C$14*$A168-Examples!$C$15)/Examples!$C$16))))))+Examples!$C$17*$A168^2)</f>
        <v>352311.89704214915</v>
      </c>
      <c r="D168" s="33">
        <f>Examples!$D$18-(Examples!$D$10+Examples!$D$11)*$A168-(Examples!$D$6*Examples!$D$7*Examples!$D$8*EXP(-Examples!$D$9*$A168)*(1-(Examples!$D$12*(1-EXP(-Examples!$D$13*$A168))/(1+EXP(MIN(700,MAX(-700,(Examples!$D$14*$A168-Examples!$D$15)/Examples!$D$16))))))+Examples!$D$17*$A168^2)</f>
        <v>835317.19315835554</v>
      </c>
      <c r="E168" s="33">
        <f>(Examples!$D$6*Examples!$D$7*Examples!$D$8*EXP(-Examples!$D$9*$A168)*(1-(Examples!$D$12*(1-EXP(-Examples!$D$13*$A168))/(1+EXP(MIN(700,MAX(-700,(Examples!$D$14*$A168-Examples!$D$15)/Examples!$D$16))))))+Examples!$D$17*$A168^2)</f>
        <v>1589982.8068416445</v>
      </c>
      <c r="F168" s="33">
        <f>Examples!$E$18-(Examples!$E$10+Examples!$E$11)*$A168-(Examples!$E$6*Examples!$E$7*Examples!$E$8*EXP(-Examples!$E$9*$A168)*(1-(Examples!$E$12*(1-EXP(-Examples!$E$13*$A168))/(1+EXP(MIN(700,MAX(-700,(Examples!$E$14*$A168-Examples!$E$15)/Examples!$E$16))))))+Examples!$E$17*$A168^2)</f>
        <v>2316490.6624733871</v>
      </c>
      <c r="G168" s="33">
        <f>(Examples!$E$6*Examples!$E$7*Examples!$E$8*EXP(-Examples!$E$9*$A168)*(1-(Examples!$E$12*(1-EXP(-Examples!$E$13*$A168))/(1+EXP(MIN(700,MAX(-700,(Examples!$E$14*$A168-Examples!$E$15)/Examples!$E$16))))))+Examples!$E$17*$A168^2)</f>
        <v>542409.33752661268</v>
      </c>
      <c r="H168" s="33">
        <f>Examples!$F$18-(Examples!$F$10+Examples!$F$11)*$A168-(Examples!$F$6*Examples!$F$7*Examples!$F$8*EXP(-Examples!$F$9*$A168)*(1-(Examples!$F$12*(1-EXP(-Examples!$F$13*$A168))/(1+EXP(MIN(700,MAX(-700,(Examples!$F$14*$A168-Examples!$F$15)/Examples!$F$16))))))+Examples!$F$17*$A168^2)</f>
        <v>51407.98003358829</v>
      </c>
      <c r="I168" s="33">
        <f>(Examples!$F$6*Examples!$F$7*Examples!$F$8*EXP(-Examples!$F$9*$A168)*(1-(Examples!$F$12*(1-EXP(-Examples!$F$13*$A168))/(1+EXP(MIN(700,MAX(-700,(Examples!$F$14*$A168-Examples!$F$15)/Examples!$F$16))))))+Examples!$F$17*$A168^2)</f>
        <v>65392.01996641171</v>
      </c>
      <c r="J168" s="33">
        <f>Examples!$G$18-(Examples!$G$10+Examples!$G$11)*$A168-(Examples!$G$6*Examples!$G$7*Examples!$G$8*EXP(-Examples!$G$9*$A168)*(1-(Examples!$G$12*(1-EXP(-Examples!$G$13*$A168))/(1+EXP(MIN(700,MAX(-700,(Examples!$G$14*$A168-Examples!$G$15)/Examples!$G$16))))))+Examples!$G$17*$A168^2)</f>
        <v>656818.20514203364</v>
      </c>
      <c r="K168" s="33">
        <f>(Examples!$G$6*Examples!$G$7*Examples!$G$8*EXP(-Examples!$G$9*$A168)*(1-(Examples!$G$12*(1-EXP(-Examples!$G$13*$A168))/(1+EXP(MIN(700,MAX(-700,(Examples!$G$14*$A168-Examples!$G$15)/Examples!$G$16))))))+Examples!$G$17*$A168^2)</f>
        <v>760181.79485796636</v>
      </c>
      <c r="L168" s="33">
        <f>Examples!$H$18-(Examples!$H$10+Examples!$H$11)*$A168-(Examples!$H$6*Examples!$H$7*Examples!$H$8*EXP(-Examples!$H$9*$A168)*(1-(Examples!$H$12*(1-EXP(-Examples!$H$13*$A168))/(1+EXP(MIN(700,MAX(-700,(Examples!$H$14*$A168-Examples!$H$15)/Examples!$H$16))))))+Examples!$H$17*$A168^2)</f>
        <v>748838.7725105976</v>
      </c>
      <c r="M168" s="33">
        <f>(Examples!$H$6*Examples!$H$7*Examples!$H$8*EXP(-Examples!$H$9*$A168)*(1-(Examples!$H$12*(1-EXP(-Examples!$H$13*$A168))/(1+EXP(MIN(700,MAX(-700,(Examples!$H$14*$A168-Examples!$H$15)/Examples!$H$16))))))+Examples!$H$17*$A168^2)</f>
        <v>668161.2274894024</v>
      </c>
    </row>
    <row r="169" spans="1:13" x14ac:dyDescent="0.25">
      <c r="A169">
        <f>(169-2)/100</f>
        <v>1.67</v>
      </c>
      <c r="B169" s="33">
        <f>Examples!$C$18-(Examples!$C$10+Examples!$C$11)*$A169-(Examples!$C$6*Examples!$C$7*Examples!$C$8*EXP(-Examples!$C$9*$A169)*(1-(Examples!$C$12*(1-EXP(-Examples!$C$13*$A169))/(1+EXP(MIN(700,MAX(-700,(Examples!$C$14*$A169-Examples!$C$15)/Examples!$C$16))))))+Examples!$C$17*$A169^2)</f>
        <v>189011.05111793563</v>
      </c>
      <c r="C169" s="33">
        <f>(Examples!$C$6*Examples!$C$7*Examples!$C$8*EXP(-Examples!$C$9*$A169)*(1-(Examples!$C$12*(1-EXP(-Examples!$C$13*$A169))/(1+EXP(MIN(700,MAX(-700,(Examples!$C$14*$A169-Examples!$C$15)/Examples!$C$16))))))+Examples!$C$17*$A169^2)</f>
        <v>352538.94888206437</v>
      </c>
      <c r="D169" s="33">
        <f>Examples!$D$18-(Examples!$D$10+Examples!$D$11)*$A169-(Examples!$D$6*Examples!$D$7*Examples!$D$8*EXP(-Examples!$D$9*$A169)*(1-(Examples!$D$12*(1-EXP(-Examples!$D$13*$A169))/(1+EXP(MIN(700,MAX(-700,(Examples!$D$14*$A169-Examples!$D$15)/Examples!$D$16))))))+Examples!$D$17*$A169^2)</f>
        <v>845209.94511558674</v>
      </c>
      <c r="E169" s="33">
        <f>(Examples!$D$6*Examples!$D$7*Examples!$D$8*EXP(-Examples!$D$9*$A169)*(1-(Examples!$D$12*(1-EXP(-Examples!$D$13*$A169))/(1+EXP(MIN(700,MAX(-700,(Examples!$D$14*$A169-Examples!$D$15)/Examples!$D$16))))))+Examples!$D$17*$A169^2)</f>
        <v>1579640.0548844133</v>
      </c>
      <c r="F169" s="33">
        <f>Examples!$E$18-(Examples!$E$10+Examples!$E$11)*$A169-(Examples!$E$6*Examples!$E$7*Examples!$E$8*EXP(-Examples!$E$9*$A169)*(1-(Examples!$E$12*(1-EXP(-Examples!$E$13*$A169))/(1+EXP(MIN(700,MAX(-700,(Examples!$E$14*$A169-Examples!$E$15)/Examples!$E$16))))))+Examples!$E$17*$A169^2)</f>
        <v>2319904.2197169992</v>
      </c>
      <c r="G169" s="33">
        <f>(Examples!$E$6*Examples!$E$7*Examples!$E$8*EXP(-Examples!$E$9*$A169)*(1-(Examples!$E$12*(1-EXP(-Examples!$E$13*$A169))/(1+EXP(MIN(700,MAX(-700,(Examples!$E$14*$A169-Examples!$E$15)/Examples!$E$16))))))+Examples!$E$17*$A169^2)</f>
        <v>538145.78028300079</v>
      </c>
      <c r="H169" s="33">
        <f>Examples!$F$18-(Examples!$F$10+Examples!$F$11)*$A169-(Examples!$F$6*Examples!$F$7*Examples!$F$8*EXP(-Examples!$F$9*$A169)*(1-(Examples!$F$12*(1-EXP(-Examples!$F$13*$A169))/(1+EXP(MIN(700,MAX(-700,(Examples!$F$14*$A169-Examples!$F$15)/Examples!$F$16))))))+Examples!$F$17*$A169^2)</f>
        <v>50563.338319630726</v>
      </c>
      <c r="I169" s="33">
        <f>(Examples!$F$6*Examples!$F$7*Examples!$F$8*EXP(-Examples!$F$9*$A169)*(1-(Examples!$F$12*(1-EXP(-Examples!$F$13*$A169))/(1+EXP(MIN(700,MAX(-700,(Examples!$F$14*$A169-Examples!$F$15)/Examples!$F$16))))))+Examples!$F$17*$A169^2)</f>
        <v>66036.661680369274</v>
      </c>
      <c r="J169" s="33">
        <f>Examples!$G$18-(Examples!$G$10+Examples!$G$11)*$A169-(Examples!$G$6*Examples!$G$7*Examples!$G$8*EXP(-Examples!$G$9*$A169)*(1-(Examples!$G$12*(1-EXP(-Examples!$G$13*$A169))/(1+EXP(MIN(700,MAX(-700,(Examples!$G$14*$A169-Examples!$G$15)/Examples!$G$16))))))+Examples!$G$17*$A169^2)</f>
        <v>658840.25789612846</v>
      </c>
      <c r="K169" s="33">
        <f>(Examples!$G$6*Examples!$G$7*Examples!$G$8*EXP(-Examples!$G$9*$A169)*(1-(Examples!$G$12*(1-EXP(-Examples!$G$13*$A169))/(1+EXP(MIN(700,MAX(-700,(Examples!$G$14*$A169-Examples!$G$15)/Examples!$G$16))))))+Examples!$G$17*$A169^2)</f>
        <v>757659.74210387154</v>
      </c>
      <c r="L169" s="33">
        <f>Examples!$H$18-(Examples!$H$10+Examples!$H$11)*$A169-(Examples!$H$6*Examples!$H$7*Examples!$H$8*EXP(-Examples!$H$9*$A169)*(1-(Examples!$H$12*(1-EXP(-Examples!$H$13*$A169))/(1+EXP(MIN(700,MAX(-700,(Examples!$H$14*$A169-Examples!$H$15)/Examples!$H$16))))))+Examples!$H$17*$A169^2)</f>
        <v>751168.89514276083</v>
      </c>
      <c r="M169" s="33">
        <f>(Examples!$H$6*Examples!$H$7*Examples!$H$8*EXP(-Examples!$H$9*$A169)*(1-(Examples!$H$12*(1-EXP(-Examples!$H$13*$A169))/(1+EXP(MIN(700,MAX(-700,(Examples!$H$14*$A169-Examples!$H$15)/Examples!$H$16))))))+Examples!$H$17*$A169^2)</f>
        <v>665331.10485723917</v>
      </c>
    </row>
    <row r="170" spans="1:13" x14ac:dyDescent="0.25">
      <c r="A170">
        <f>(170-2)/100</f>
        <v>1.68</v>
      </c>
      <c r="B170" s="33">
        <f>Examples!$C$18-(Examples!$C$10+Examples!$C$11)*$A170-(Examples!$C$6*Examples!$C$7*Examples!$C$8*EXP(-Examples!$C$9*$A170)*(1-(Examples!$C$12*(1-EXP(-Examples!$C$13*$A170))/(1+EXP(MIN(700,MAX(-700,(Examples!$C$14*$A170-Examples!$C$15)/Examples!$C$16))))))+Examples!$C$17*$A170^2)</f>
        <v>188424.00081212586</v>
      </c>
      <c r="C170" s="33">
        <f>(Examples!$C$6*Examples!$C$7*Examples!$C$8*EXP(-Examples!$C$9*$A170)*(1-(Examples!$C$12*(1-EXP(-Examples!$C$13*$A170))/(1+EXP(MIN(700,MAX(-700,(Examples!$C$14*$A170-Examples!$C$15)/Examples!$C$16))))))+Examples!$C$17*$A170^2)</f>
        <v>352775.99918787414</v>
      </c>
      <c r="D170" s="33">
        <f>Examples!$D$18-(Examples!$D$10+Examples!$D$11)*$A170-(Examples!$D$6*Examples!$D$7*Examples!$D$8*EXP(-Examples!$D$9*$A170)*(1-(Examples!$D$12*(1-EXP(-Examples!$D$13*$A170))/(1+EXP(MIN(700,MAX(-700,(Examples!$D$14*$A170-Examples!$D$15)/Examples!$D$16))))))+Examples!$D$17*$A170^2)</f>
        <v>854994.34221491567</v>
      </c>
      <c r="E170" s="33">
        <f>(Examples!$D$6*Examples!$D$7*Examples!$D$8*EXP(-Examples!$D$9*$A170)*(1-(Examples!$D$12*(1-EXP(-Examples!$D$13*$A170))/(1+EXP(MIN(700,MAX(-700,(Examples!$D$14*$A170-Examples!$D$15)/Examples!$D$16))))))+Examples!$D$17*$A170^2)</f>
        <v>1569405.6577850843</v>
      </c>
      <c r="F170" s="33">
        <f>Examples!$E$18-(Examples!$E$10+Examples!$E$11)*$A170-(Examples!$E$6*Examples!$E$7*Examples!$E$8*EXP(-Examples!$E$9*$A170)*(1-(Examples!$E$12*(1-EXP(-Examples!$E$13*$A170))/(1+EXP(MIN(700,MAX(-700,(Examples!$E$14*$A170-Examples!$E$15)/Examples!$E$16))))))+Examples!$E$17*$A170^2)</f>
        <v>2323268.4238912603</v>
      </c>
      <c r="G170" s="33">
        <f>(Examples!$E$6*Examples!$E$7*Examples!$E$8*EXP(-Examples!$E$9*$A170)*(1-(Examples!$E$12*(1-EXP(-Examples!$E$13*$A170))/(1+EXP(MIN(700,MAX(-700,(Examples!$E$14*$A170-Examples!$E$15)/Examples!$E$16))))))+Examples!$E$17*$A170^2)</f>
        <v>533931.57610873948</v>
      </c>
      <c r="H170" s="33">
        <f>Examples!$F$18-(Examples!$F$10+Examples!$F$11)*$A170-(Examples!$F$6*Examples!$F$7*Examples!$F$8*EXP(-Examples!$F$9*$A170)*(1-(Examples!$F$12*(1-EXP(-Examples!$F$13*$A170))/(1+EXP(MIN(700,MAX(-700,(Examples!$F$14*$A170-Examples!$F$15)/Examples!$F$16))))))+Examples!$F$17*$A170^2)</f>
        <v>49714.811816141286</v>
      </c>
      <c r="I170" s="33">
        <f>(Examples!$F$6*Examples!$F$7*Examples!$F$8*EXP(-Examples!$F$9*$A170)*(1-(Examples!$F$12*(1-EXP(-Examples!$F$13*$A170))/(1+EXP(MIN(700,MAX(-700,(Examples!$F$14*$A170-Examples!$F$15)/Examples!$F$16))))))+Examples!$F$17*$A170^2)</f>
        <v>66685.188183858714</v>
      </c>
      <c r="J170" s="33">
        <f>Examples!$G$18-(Examples!$G$10+Examples!$G$11)*$A170-(Examples!$G$6*Examples!$G$7*Examples!$G$8*EXP(-Examples!$G$9*$A170)*(1-(Examples!$G$12*(1-EXP(-Examples!$G$13*$A170))/(1+EXP(MIN(700,MAX(-700,(Examples!$G$14*$A170-Examples!$G$15)/Examples!$G$16))))))+Examples!$G$17*$A170^2)</f>
        <v>660824.98964149191</v>
      </c>
      <c r="K170" s="33">
        <f>(Examples!$G$6*Examples!$G$7*Examples!$G$8*EXP(-Examples!$G$9*$A170)*(1-(Examples!$G$12*(1-EXP(-Examples!$G$13*$A170))/(1+EXP(MIN(700,MAX(-700,(Examples!$G$14*$A170-Examples!$G$15)/Examples!$G$16))))))+Examples!$G$17*$A170^2)</f>
        <v>755175.01035850809</v>
      </c>
      <c r="L170" s="33">
        <f>Examples!$H$18-(Examples!$H$10+Examples!$H$11)*$A170-(Examples!$H$6*Examples!$H$7*Examples!$H$8*EXP(-Examples!$H$9*$A170)*(1-(Examples!$H$12*(1-EXP(-Examples!$H$13*$A170))/(1+EXP(MIN(700,MAX(-700,(Examples!$H$14*$A170-Examples!$H$15)/Examples!$H$16))))))+Examples!$H$17*$A170^2)</f>
        <v>753439.65088548302</v>
      </c>
      <c r="M170" s="33">
        <f>(Examples!$H$6*Examples!$H$7*Examples!$H$8*EXP(-Examples!$H$9*$A170)*(1-(Examples!$H$12*(1-EXP(-Examples!$H$13*$A170))/(1+EXP(MIN(700,MAX(-700,(Examples!$H$14*$A170-Examples!$H$15)/Examples!$H$16))))))+Examples!$H$17*$A170^2)</f>
        <v>662560.34911451698</v>
      </c>
    </row>
    <row r="171" spans="1:13" x14ac:dyDescent="0.25">
      <c r="A171">
        <f>(171-2)/100</f>
        <v>1.69</v>
      </c>
      <c r="B171" s="33">
        <f>Examples!$C$18-(Examples!$C$10+Examples!$C$11)*$A171-(Examples!$C$6*Examples!$C$7*Examples!$C$8*EXP(-Examples!$C$9*$A171)*(1-(Examples!$C$12*(1-EXP(-Examples!$C$13*$A171))/(1+EXP(MIN(700,MAX(-700,(Examples!$C$14*$A171-Examples!$C$15)/Examples!$C$16))))))+Examples!$C$17*$A171^2)</f>
        <v>187827.5586025127</v>
      </c>
      <c r="C171" s="33">
        <f>(Examples!$C$6*Examples!$C$7*Examples!$C$8*EXP(-Examples!$C$9*$A171)*(1-(Examples!$C$12*(1-EXP(-Examples!$C$13*$A171))/(1+EXP(MIN(700,MAX(-700,(Examples!$C$14*$A171-Examples!$C$15)/Examples!$C$16))))))+Examples!$C$17*$A171^2)</f>
        <v>353022.4413974873</v>
      </c>
      <c r="D171" s="33">
        <f>Examples!$D$18-(Examples!$D$10+Examples!$D$11)*$A171-(Examples!$D$6*Examples!$D$7*Examples!$D$8*EXP(-Examples!$D$9*$A171)*(1-(Examples!$D$12*(1-EXP(-Examples!$D$13*$A171))/(1+EXP(MIN(700,MAX(-700,(Examples!$D$14*$A171-Examples!$D$15)/Examples!$D$16))))))+Examples!$D$17*$A171^2)</f>
        <v>864671.31769308588</v>
      </c>
      <c r="E171" s="33">
        <f>(Examples!$D$6*Examples!$D$7*Examples!$D$8*EXP(-Examples!$D$9*$A171)*(1-(Examples!$D$12*(1-EXP(-Examples!$D$13*$A171))/(1+EXP(MIN(700,MAX(-700,(Examples!$D$14*$A171-Examples!$D$15)/Examples!$D$16))))))+Examples!$D$17*$A171^2)</f>
        <v>1559278.6823069141</v>
      </c>
      <c r="F171" s="33">
        <f>Examples!$E$18-(Examples!$E$10+Examples!$E$11)*$A171-(Examples!$E$6*Examples!$E$7*Examples!$E$8*EXP(-Examples!$E$9*$A171)*(1-(Examples!$E$12*(1-EXP(-Examples!$E$13*$A171))/(1+EXP(MIN(700,MAX(-700,(Examples!$E$14*$A171-Examples!$E$15)/Examples!$E$16))))))+Examples!$E$17*$A171^2)</f>
        <v>2326583.8296085573</v>
      </c>
      <c r="G171" s="33">
        <f>(Examples!$E$6*Examples!$E$7*Examples!$E$8*EXP(-Examples!$E$9*$A171)*(1-(Examples!$E$12*(1-EXP(-Examples!$E$13*$A171))/(1+EXP(MIN(700,MAX(-700,(Examples!$E$14*$A171-Examples!$E$15)/Examples!$E$16))))))+Examples!$E$17*$A171^2)</f>
        <v>529766.17039144272</v>
      </c>
      <c r="H171" s="33">
        <f>Examples!$F$18-(Examples!$F$10+Examples!$F$11)*$A171-(Examples!$F$6*Examples!$F$7*Examples!$F$8*EXP(-Examples!$F$9*$A171)*(1-(Examples!$F$12*(1-EXP(-Examples!$F$13*$A171))/(1+EXP(MIN(700,MAX(-700,(Examples!$F$14*$A171-Examples!$F$15)/Examples!$F$16))))))+Examples!$F$17*$A171^2)</f>
        <v>48862.40268573811</v>
      </c>
      <c r="I171" s="33">
        <f>(Examples!$F$6*Examples!$F$7*Examples!$F$8*EXP(-Examples!$F$9*$A171)*(1-(Examples!$F$12*(1-EXP(-Examples!$F$13*$A171))/(1+EXP(MIN(700,MAX(-700,(Examples!$F$14*$A171-Examples!$F$15)/Examples!$F$16))))))+Examples!$F$17*$A171^2)</f>
        <v>67337.59731426189</v>
      </c>
      <c r="J171" s="33">
        <f>Examples!$G$18-(Examples!$G$10+Examples!$G$11)*$A171-(Examples!$G$6*Examples!$G$7*Examples!$G$8*EXP(-Examples!$G$9*$A171)*(1-(Examples!$G$12*(1-EXP(-Examples!$G$13*$A171))/(1+EXP(MIN(700,MAX(-700,(Examples!$G$14*$A171-Examples!$G$15)/Examples!$G$16))))))+Examples!$G$17*$A171^2)</f>
        <v>662772.74378247233</v>
      </c>
      <c r="K171" s="33">
        <f>(Examples!$G$6*Examples!$G$7*Examples!$G$8*EXP(-Examples!$G$9*$A171)*(1-(Examples!$G$12*(1-EXP(-Examples!$G$13*$A171))/(1+EXP(MIN(700,MAX(-700,(Examples!$G$14*$A171-Examples!$G$15)/Examples!$G$16))))))+Examples!$G$17*$A171^2)</f>
        <v>752727.25621752767</v>
      </c>
      <c r="L171" s="33">
        <f>Examples!$H$18-(Examples!$H$10+Examples!$H$11)*$A171-(Examples!$H$6*Examples!$H$7*Examples!$H$8*EXP(-Examples!$H$9*$A171)*(1-(Examples!$H$12*(1-EXP(-Examples!$H$13*$A171))/(1+EXP(MIN(700,MAX(-700,(Examples!$H$14*$A171-Examples!$H$15)/Examples!$H$16))))))+Examples!$H$17*$A171^2)</f>
        <v>755650.70248809725</v>
      </c>
      <c r="M171" s="33">
        <f>(Examples!$H$6*Examples!$H$7*Examples!$H$8*EXP(-Examples!$H$9*$A171)*(1-(Examples!$H$12*(1-EXP(-Examples!$H$13*$A171))/(1+EXP(MIN(700,MAX(-700,(Examples!$H$14*$A171-Examples!$H$15)/Examples!$H$16))))))+Examples!$H$17*$A171^2)</f>
        <v>659849.29751190275</v>
      </c>
    </row>
    <row r="172" spans="1:13" x14ac:dyDescent="0.25">
      <c r="A172">
        <f>(172-2)/100</f>
        <v>1.7</v>
      </c>
      <c r="B172" s="33">
        <f>Examples!$C$18-(Examples!$C$10+Examples!$C$11)*$A172-(Examples!$C$6*Examples!$C$7*Examples!$C$8*EXP(-Examples!$C$9*$A172)*(1-(Examples!$C$12*(1-EXP(-Examples!$C$13*$A172))/(1+EXP(MIN(700,MAX(-700,(Examples!$C$14*$A172-Examples!$C$15)/Examples!$C$16))))))+Examples!$C$17*$A172^2)</f>
        <v>187222.33055066544</v>
      </c>
      <c r="C172" s="33">
        <f>(Examples!$C$6*Examples!$C$7*Examples!$C$8*EXP(-Examples!$C$9*$A172)*(1-(Examples!$C$12*(1-EXP(-Examples!$C$13*$A172))/(1+EXP(MIN(700,MAX(-700,(Examples!$C$14*$A172-Examples!$C$15)/Examples!$C$16))))))+Examples!$C$17*$A172^2)</f>
        <v>353277.66944933456</v>
      </c>
      <c r="D172" s="33">
        <f>Examples!$D$18-(Examples!$D$10+Examples!$D$11)*$A172-(Examples!$D$6*Examples!$D$7*Examples!$D$8*EXP(-Examples!$D$9*$A172)*(1-(Examples!$D$12*(1-EXP(-Examples!$D$13*$A172))/(1+EXP(MIN(700,MAX(-700,(Examples!$D$14*$A172-Examples!$D$15)/Examples!$D$16))))))+Examples!$D$17*$A172^2)</f>
        <v>874241.79557351535</v>
      </c>
      <c r="E172" s="33">
        <f>(Examples!$D$6*Examples!$D$7*Examples!$D$8*EXP(-Examples!$D$9*$A172)*(1-(Examples!$D$12*(1-EXP(-Examples!$D$13*$A172))/(1+EXP(MIN(700,MAX(-700,(Examples!$D$14*$A172-Examples!$D$15)/Examples!$D$16))))))+Examples!$D$17*$A172^2)</f>
        <v>1549258.2044264846</v>
      </c>
      <c r="F172" s="33">
        <f>Examples!$E$18-(Examples!$E$10+Examples!$E$11)*$A172-(Examples!$E$6*Examples!$E$7*Examples!$E$8*EXP(-Examples!$E$9*$A172)*(1-(Examples!$E$12*(1-EXP(-Examples!$E$13*$A172))/(1+EXP(MIN(700,MAX(-700,(Examples!$E$14*$A172-Examples!$E$15)/Examples!$E$16))))))+Examples!$E$17*$A172^2)</f>
        <v>2329850.9850717788</v>
      </c>
      <c r="G172" s="33">
        <f>(Examples!$E$6*Examples!$E$7*Examples!$E$8*EXP(-Examples!$E$9*$A172)*(1-(Examples!$E$12*(1-EXP(-Examples!$E$13*$A172))/(1+EXP(MIN(700,MAX(-700,(Examples!$E$14*$A172-Examples!$E$15)/Examples!$E$16))))))+Examples!$E$17*$A172^2)</f>
        <v>525649.01492822135</v>
      </c>
      <c r="H172" s="33">
        <f>Examples!$F$18-(Examples!$F$10+Examples!$F$11)*$A172-(Examples!$F$6*Examples!$F$7*Examples!$F$8*EXP(-Examples!$F$9*$A172)*(1-(Examples!$F$12*(1-EXP(-Examples!$F$13*$A172))/(1+EXP(MIN(700,MAX(-700,(Examples!$F$14*$A172-Examples!$F$15)/Examples!$F$16))))))+Examples!$F$17*$A172^2)</f>
        <v>48006.112646152586</v>
      </c>
      <c r="I172" s="33">
        <f>(Examples!$F$6*Examples!$F$7*Examples!$F$8*EXP(-Examples!$F$9*$A172)*(1-(Examples!$F$12*(1-EXP(-Examples!$F$13*$A172))/(1+EXP(MIN(700,MAX(-700,(Examples!$F$14*$A172-Examples!$F$15)/Examples!$F$16))))))+Examples!$F$17*$A172^2)</f>
        <v>67993.887353847414</v>
      </c>
      <c r="J172" s="33">
        <f>Examples!$G$18-(Examples!$G$10+Examples!$G$11)*$A172-(Examples!$G$6*Examples!$G$7*Examples!$G$8*EXP(-Examples!$G$9*$A172)*(1-(Examples!$G$12*(1-EXP(-Examples!$G$13*$A172))/(1+EXP(MIN(700,MAX(-700,(Examples!$G$14*$A172-Examples!$G$15)/Examples!$G$16))))))+Examples!$G$17*$A172^2)</f>
        <v>664683.86376829108</v>
      </c>
      <c r="K172" s="33">
        <f>(Examples!$G$6*Examples!$G$7*Examples!$G$8*EXP(-Examples!$G$9*$A172)*(1-(Examples!$G$12*(1-EXP(-Examples!$G$13*$A172))/(1+EXP(MIN(700,MAX(-700,(Examples!$G$14*$A172-Examples!$G$15)/Examples!$G$16))))))+Examples!$G$17*$A172^2)</f>
        <v>750316.13623170892</v>
      </c>
      <c r="L172" s="33">
        <f>Examples!$H$18-(Examples!$H$10+Examples!$H$11)*$A172-(Examples!$H$6*Examples!$H$7*Examples!$H$8*EXP(-Examples!$H$9*$A172)*(1-(Examples!$H$12*(1-EXP(-Examples!$H$13*$A172))/(1+EXP(MIN(700,MAX(-700,(Examples!$H$14*$A172-Examples!$H$15)/Examples!$H$16))))))+Examples!$H$17*$A172^2)</f>
        <v>757801.70703645761</v>
      </c>
      <c r="M172" s="33">
        <f>(Examples!$H$6*Examples!$H$7*Examples!$H$8*EXP(-Examples!$H$9*$A172)*(1-(Examples!$H$12*(1-EXP(-Examples!$H$13*$A172))/(1+EXP(MIN(700,MAX(-700,(Examples!$H$14*$A172-Examples!$H$15)/Examples!$H$16))))))+Examples!$H$17*$A172^2)</f>
        <v>657198.29296354239</v>
      </c>
    </row>
    <row r="173" spans="1:13" x14ac:dyDescent="0.25">
      <c r="A173">
        <f>(173-2)/100</f>
        <v>1.71</v>
      </c>
      <c r="B173" s="33">
        <f>Examples!$C$18-(Examples!$C$10+Examples!$C$11)*$A173-(Examples!$C$6*Examples!$C$7*Examples!$C$8*EXP(-Examples!$C$9*$A173)*(1-(Examples!$C$12*(1-EXP(-Examples!$C$13*$A173))/(1+EXP(MIN(700,MAX(-700,(Examples!$C$14*$A173-Examples!$C$15)/Examples!$C$16))))))+Examples!$C$17*$A173^2)</f>
        <v>186608.92097450548</v>
      </c>
      <c r="C173" s="33">
        <f>(Examples!$C$6*Examples!$C$7*Examples!$C$8*EXP(-Examples!$C$9*$A173)*(1-(Examples!$C$12*(1-EXP(-Examples!$C$13*$A173))/(1+EXP(MIN(700,MAX(-700,(Examples!$C$14*$A173-Examples!$C$15)/Examples!$C$16))))))+Examples!$C$17*$A173^2)</f>
        <v>353541.07902549452</v>
      </c>
      <c r="D173" s="33">
        <f>Examples!$D$18-(Examples!$D$10+Examples!$D$11)*$A173-(Examples!$D$6*Examples!$D$7*Examples!$D$8*EXP(-Examples!$D$9*$A173)*(1-(Examples!$D$12*(1-EXP(-Examples!$D$13*$A173))/(1+EXP(MIN(700,MAX(-700,(Examples!$D$14*$A173-Examples!$D$15)/Examples!$D$16))))))+Examples!$D$17*$A173^2)</f>
        <v>883706.69078078098</v>
      </c>
      <c r="E173" s="33">
        <f>(Examples!$D$6*Examples!$D$7*Examples!$D$8*EXP(-Examples!$D$9*$A173)*(1-(Examples!$D$12*(1-EXP(-Examples!$D$13*$A173))/(1+EXP(MIN(700,MAX(-700,(Examples!$D$14*$A173-Examples!$D$15)/Examples!$D$16))))))+Examples!$D$17*$A173^2)</f>
        <v>1539343.309219219</v>
      </c>
      <c r="F173" s="33">
        <f>Examples!$E$18-(Examples!$E$10+Examples!$E$11)*$A173-(Examples!$E$6*Examples!$E$7*Examples!$E$8*EXP(-Examples!$E$9*$A173)*(1-(Examples!$E$12*(1-EXP(-Examples!$E$13*$A173))/(1+EXP(MIN(700,MAX(-700,(Examples!$E$14*$A173-Examples!$E$15)/Examples!$E$16))))))+Examples!$E$17*$A173^2)</f>
        <v>2333070.4321506475</v>
      </c>
      <c r="G173" s="33">
        <f>(Examples!$E$6*Examples!$E$7*Examples!$E$8*EXP(-Examples!$E$9*$A173)*(1-(Examples!$E$12*(1-EXP(-Examples!$E$13*$A173))/(1+EXP(MIN(700,MAX(-700,(Examples!$E$14*$A173-Examples!$E$15)/Examples!$E$16))))))+Examples!$E$17*$A173^2)</f>
        <v>521579.56784935243</v>
      </c>
      <c r="H173" s="33">
        <f>Examples!$F$18-(Examples!$F$10+Examples!$F$11)*$A173-(Examples!$F$6*Examples!$F$7*Examples!$F$8*EXP(-Examples!$F$9*$A173)*(1-(Examples!$F$12*(1-EXP(-Examples!$F$13*$A173))/(1+EXP(MIN(700,MAX(-700,(Examples!$F$14*$A173-Examples!$F$15)/Examples!$F$16))))))+Examples!$F$17*$A173^2)</f>
        <v>47145.942988544237</v>
      </c>
      <c r="I173" s="33">
        <f>(Examples!$F$6*Examples!$F$7*Examples!$F$8*EXP(-Examples!$F$9*$A173)*(1-(Examples!$F$12*(1-EXP(-Examples!$F$13*$A173))/(1+EXP(MIN(700,MAX(-700,(Examples!$F$14*$A173-Examples!$F$15)/Examples!$F$16))))))+Examples!$F$17*$A173^2)</f>
        <v>68654.057011455763</v>
      </c>
      <c r="J173" s="33">
        <f>Examples!$G$18-(Examples!$G$10+Examples!$G$11)*$A173-(Examples!$G$6*Examples!$G$7*Examples!$G$8*EXP(-Examples!$G$9*$A173)*(1-(Examples!$G$12*(1-EXP(-Examples!$G$13*$A173))/(1+EXP(MIN(700,MAX(-700,(Examples!$G$14*$A173-Examples!$G$15)/Examples!$G$16))))))+Examples!$G$17*$A173^2)</f>
        <v>666558.69310511695</v>
      </c>
      <c r="K173" s="33">
        <f>(Examples!$G$6*Examples!$G$7*Examples!$G$8*EXP(-Examples!$G$9*$A173)*(1-(Examples!$G$12*(1-EXP(-Examples!$G$13*$A173))/(1+EXP(MIN(700,MAX(-700,(Examples!$G$14*$A173-Examples!$G$15)/Examples!$G$16))))))+Examples!$G$17*$A173^2)</f>
        <v>747941.30689488305</v>
      </c>
      <c r="L173" s="33">
        <f>Examples!$H$18-(Examples!$H$10+Examples!$H$11)*$A173-(Examples!$H$6*Examples!$H$7*Examples!$H$8*EXP(-Examples!$H$9*$A173)*(1-(Examples!$H$12*(1-EXP(-Examples!$H$13*$A173))/(1+EXP(MIN(700,MAX(-700,(Examples!$H$14*$A173-Examples!$H$15)/Examples!$H$16))))))+Examples!$H$17*$A173^2)</f>
        <v>759892.31654652138</v>
      </c>
      <c r="M173" s="33">
        <f>(Examples!$H$6*Examples!$H$7*Examples!$H$8*EXP(-Examples!$H$9*$A173)*(1-(Examples!$H$12*(1-EXP(-Examples!$H$13*$A173))/(1+EXP(MIN(700,MAX(-700,(Examples!$H$14*$A173-Examples!$H$15)/Examples!$H$16))))))+Examples!$H$17*$A173^2)</f>
        <v>654607.68345347862</v>
      </c>
    </row>
    <row r="174" spans="1:13" x14ac:dyDescent="0.25">
      <c r="A174">
        <f>(174-2)/100</f>
        <v>1.72</v>
      </c>
      <c r="B174" s="33">
        <f>Examples!$C$18-(Examples!$C$10+Examples!$C$11)*$A174-(Examples!$C$6*Examples!$C$7*Examples!$C$8*EXP(-Examples!$C$9*$A174)*(1-(Examples!$C$12*(1-EXP(-Examples!$C$13*$A174))/(1+EXP(MIN(700,MAX(-700,(Examples!$C$14*$A174-Examples!$C$15)/Examples!$C$16))))))+Examples!$C$17*$A174^2)</f>
        <v>185987.93121378805</v>
      </c>
      <c r="C174" s="33">
        <f>(Examples!$C$6*Examples!$C$7*Examples!$C$8*EXP(-Examples!$C$9*$A174)*(1-(Examples!$C$12*(1-EXP(-Examples!$C$13*$A174))/(1+EXP(MIN(700,MAX(-700,(Examples!$C$14*$A174-Examples!$C$15)/Examples!$C$16))))))+Examples!$C$17*$A174^2)</f>
        <v>353812.06878621195</v>
      </c>
      <c r="D174" s="33">
        <f>Examples!$D$18-(Examples!$D$10+Examples!$D$11)*$A174-(Examples!$D$6*Examples!$D$7*Examples!$D$8*EXP(-Examples!$D$9*$A174)*(1-(Examples!$D$12*(1-EXP(-Examples!$D$13*$A174))/(1+EXP(MIN(700,MAX(-700,(Examples!$D$14*$A174-Examples!$D$15)/Examples!$D$16))))))+Examples!$D$17*$A174^2)</f>
        <v>893066.90925431927</v>
      </c>
      <c r="E174" s="33">
        <f>(Examples!$D$6*Examples!$D$7*Examples!$D$8*EXP(-Examples!$D$9*$A174)*(1-(Examples!$D$12*(1-EXP(-Examples!$D$13*$A174))/(1+EXP(MIN(700,MAX(-700,(Examples!$D$14*$A174-Examples!$D$15)/Examples!$D$16))))))+Examples!$D$17*$A174^2)</f>
        <v>1529533.0907456807</v>
      </c>
      <c r="F174" s="33">
        <f>Examples!$E$18-(Examples!$E$10+Examples!$E$11)*$A174-(Examples!$E$6*Examples!$E$7*Examples!$E$8*EXP(-Examples!$E$9*$A174)*(1-(Examples!$E$12*(1-EXP(-Examples!$E$13*$A174))/(1+EXP(MIN(700,MAX(-700,(Examples!$E$14*$A174-Examples!$E$15)/Examples!$E$16))))))+Examples!$E$17*$A174^2)</f>
        <v>2336242.7064571446</v>
      </c>
      <c r="G174" s="33">
        <f>(Examples!$E$6*Examples!$E$7*Examples!$E$8*EXP(-Examples!$E$9*$A174)*(1-(Examples!$E$12*(1-EXP(-Examples!$E$13*$A174))/(1+EXP(MIN(700,MAX(-700,(Examples!$E$14*$A174-Examples!$E$15)/Examples!$E$16))))))+Examples!$E$17*$A174^2)</f>
        <v>517557.29354285536</v>
      </c>
      <c r="H174" s="33">
        <f>Examples!$F$18-(Examples!$F$10+Examples!$F$11)*$A174-(Examples!$F$6*Examples!$F$7*Examples!$F$8*EXP(-Examples!$F$9*$A174)*(1-(Examples!$F$12*(1-EXP(-Examples!$F$13*$A174))/(1+EXP(MIN(700,MAX(-700,(Examples!$F$14*$A174-Examples!$F$15)/Examples!$F$16))))))+Examples!$F$17*$A174^2)</f>
        <v>46281.894596432088</v>
      </c>
      <c r="I174" s="33">
        <f>(Examples!$F$6*Examples!$F$7*Examples!$F$8*EXP(-Examples!$F$9*$A174)*(1-(Examples!$F$12*(1-EXP(-Examples!$F$13*$A174))/(1+EXP(MIN(700,MAX(-700,(Examples!$F$14*$A174-Examples!$F$15)/Examples!$F$16))))))+Examples!$F$17*$A174^2)</f>
        <v>69318.105403567912</v>
      </c>
      <c r="J174" s="33">
        <f>Examples!$G$18-(Examples!$G$10+Examples!$G$11)*$A174-(Examples!$G$6*Examples!$G$7*Examples!$G$8*EXP(-Examples!$G$9*$A174)*(1-(Examples!$G$12*(1-EXP(-Examples!$G$13*$A174))/(1+EXP(MIN(700,MAX(-700,(Examples!$G$14*$A174-Examples!$G$15)/Examples!$G$16))))))+Examples!$G$17*$A174^2)</f>
        <v>668397.57536690414</v>
      </c>
      <c r="K174" s="33">
        <f>(Examples!$G$6*Examples!$G$7*Examples!$G$8*EXP(-Examples!$G$9*$A174)*(1-(Examples!$G$12*(1-EXP(-Examples!$G$13*$A174))/(1+EXP(MIN(700,MAX(-700,(Examples!$G$14*$A174-Examples!$G$15)/Examples!$G$16))))))+Examples!$G$17*$A174^2)</f>
        <v>745602.42463309586</v>
      </c>
      <c r="L174" s="33">
        <f>Examples!$H$18-(Examples!$H$10+Examples!$H$11)*$A174-(Examples!$H$6*Examples!$H$7*Examples!$H$8*EXP(-Examples!$H$9*$A174)*(1-(Examples!$H$12*(1-EXP(-Examples!$H$13*$A174))/(1+EXP(MIN(700,MAX(-700,(Examples!$H$14*$A174-Examples!$H$15)/Examples!$H$16))))))+Examples!$H$17*$A174^2)</f>
        <v>761922.17859975423</v>
      </c>
      <c r="M174" s="33">
        <f>(Examples!$H$6*Examples!$H$7*Examples!$H$8*EXP(-Examples!$H$9*$A174)*(1-(Examples!$H$12*(1-EXP(-Examples!$H$13*$A174))/(1+EXP(MIN(700,MAX(-700,(Examples!$H$14*$A174-Examples!$H$15)/Examples!$H$16))))))+Examples!$H$17*$A174^2)</f>
        <v>652077.82140024577</v>
      </c>
    </row>
    <row r="175" spans="1:13" x14ac:dyDescent="0.25">
      <c r="A175">
        <f>(175-2)/100</f>
        <v>1.73</v>
      </c>
      <c r="B175" s="33">
        <f>Examples!$C$18-(Examples!$C$10+Examples!$C$11)*$A175-(Examples!$C$6*Examples!$C$7*Examples!$C$8*EXP(-Examples!$C$9*$A175)*(1-(Examples!$C$12*(1-EXP(-Examples!$C$13*$A175))/(1+EXP(MIN(700,MAX(-700,(Examples!$C$14*$A175-Examples!$C$15)/Examples!$C$16))))))+Examples!$C$17*$A175^2)</f>
        <v>185359.95840996021</v>
      </c>
      <c r="C175" s="33">
        <f>(Examples!$C$6*Examples!$C$7*Examples!$C$8*EXP(-Examples!$C$9*$A175)*(1-(Examples!$C$12*(1-EXP(-Examples!$C$13*$A175))/(1+EXP(MIN(700,MAX(-700,(Examples!$C$14*$A175-Examples!$C$15)/Examples!$C$16))))))+Examples!$C$17*$A175^2)</f>
        <v>354090.04159003979</v>
      </c>
      <c r="D175" s="33">
        <f>Examples!$D$18-(Examples!$D$10+Examples!$D$11)*$A175-(Examples!$D$6*Examples!$D$7*Examples!$D$8*EXP(-Examples!$D$9*$A175)*(1-(Examples!$D$12*(1-EXP(-Examples!$D$13*$A175))/(1+EXP(MIN(700,MAX(-700,(Examples!$D$14*$A175-Examples!$D$15)/Examples!$D$16))))))+Examples!$D$17*$A175^2)</f>
        <v>902323.34806135669</v>
      </c>
      <c r="E175" s="33">
        <f>(Examples!$D$6*Examples!$D$7*Examples!$D$8*EXP(-Examples!$D$9*$A175)*(1-(Examples!$D$12*(1-EXP(-Examples!$D$13*$A175))/(1+EXP(MIN(700,MAX(-700,(Examples!$D$14*$A175-Examples!$D$15)/Examples!$D$16))))))+Examples!$D$17*$A175^2)</f>
        <v>1519826.6519386433</v>
      </c>
      <c r="F175" s="33">
        <f>Examples!$E$18-(Examples!$E$10+Examples!$E$11)*$A175-(Examples!$E$6*Examples!$E$7*Examples!$E$8*EXP(-Examples!$E$9*$A175)*(1-(Examples!$E$12*(1-EXP(-Examples!$E$13*$A175))/(1+EXP(MIN(700,MAX(-700,(Examples!$E$14*$A175-Examples!$E$15)/Examples!$E$16))))))+Examples!$E$17*$A175^2)</f>
        <v>2339368.3374200375</v>
      </c>
      <c r="G175" s="33">
        <f>(Examples!$E$6*Examples!$E$7*Examples!$E$8*EXP(-Examples!$E$9*$A175)*(1-(Examples!$E$12*(1-EXP(-Examples!$E$13*$A175))/(1+EXP(MIN(700,MAX(-700,(Examples!$E$14*$A175-Examples!$E$15)/Examples!$E$16))))))+Examples!$E$17*$A175^2)</f>
        <v>513581.66257996234</v>
      </c>
      <c r="H175" s="33">
        <f>Examples!$F$18-(Examples!$F$10+Examples!$F$11)*$A175-(Examples!$F$6*Examples!$F$7*Examples!$F$8*EXP(-Examples!$F$9*$A175)*(1-(Examples!$F$12*(1-EXP(-Examples!$F$13*$A175))/(1+EXP(MIN(700,MAX(-700,(Examples!$F$14*$A175-Examples!$F$15)/Examples!$F$16))))))+Examples!$F$17*$A175^2)</f>
        <v>45413.967965099582</v>
      </c>
      <c r="I175" s="33">
        <f>(Examples!$F$6*Examples!$F$7*Examples!$F$8*EXP(-Examples!$F$9*$A175)*(1-(Examples!$F$12*(1-EXP(-Examples!$F$13*$A175))/(1+EXP(MIN(700,MAX(-700,(Examples!$F$14*$A175-Examples!$F$15)/Examples!$F$16))))))+Examples!$F$17*$A175^2)</f>
        <v>69986.032034900418</v>
      </c>
      <c r="J175" s="33">
        <f>Examples!$G$18-(Examples!$G$10+Examples!$G$11)*$A175-(Examples!$G$6*Examples!$G$7*Examples!$G$8*EXP(-Examples!$G$9*$A175)*(1-(Examples!$G$12*(1-EXP(-Examples!$G$13*$A175))/(1+EXP(MIN(700,MAX(-700,(Examples!$G$14*$A175-Examples!$G$15)/Examples!$G$16))))))+Examples!$G$17*$A175^2)</f>
        <v>670200.85420497542</v>
      </c>
      <c r="K175" s="33">
        <f>(Examples!$G$6*Examples!$G$7*Examples!$G$8*EXP(-Examples!$G$9*$A175)*(1-(Examples!$G$12*(1-EXP(-Examples!$G$13*$A175))/(1+EXP(MIN(700,MAX(-700,(Examples!$G$14*$A175-Examples!$G$15)/Examples!$G$16))))))+Examples!$G$17*$A175^2)</f>
        <v>743299.14579502458</v>
      </c>
      <c r="L175" s="33">
        <f>Examples!$H$18-(Examples!$H$10+Examples!$H$11)*$A175-(Examples!$H$6*Examples!$H$7*Examples!$H$8*EXP(-Examples!$H$9*$A175)*(1-(Examples!$H$12*(1-EXP(-Examples!$H$13*$A175))/(1+EXP(MIN(700,MAX(-700,(Examples!$H$14*$A175-Examples!$H$15)/Examples!$H$16))))))+Examples!$H$17*$A175^2)</f>
        <v>763890.93702171685</v>
      </c>
      <c r="M175" s="33">
        <f>(Examples!$H$6*Examples!$H$7*Examples!$H$8*EXP(-Examples!$H$9*$A175)*(1-(Examples!$H$12*(1-EXP(-Examples!$H$13*$A175))/(1+EXP(MIN(700,MAX(-700,(Examples!$H$14*$A175-Examples!$H$15)/Examples!$H$16))))))+Examples!$H$17*$A175^2)</f>
        <v>649609.06297828315</v>
      </c>
    </row>
    <row r="176" spans="1:13" x14ac:dyDescent="0.25">
      <c r="A176">
        <f>(176-2)/100</f>
        <v>1.74</v>
      </c>
      <c r="B176" s="33">
        <f>Examples!$C$18-(Examples!$C$10+Examples!$C$11)*$A176-(Examples!$C$6*Examples!$C$7*Examples!$C$8*EXP(-Examples!$C$9*$A176)*(1-(Examples!$C$12*(1-EXP(-Examples!$C$13*$A176))/(1+EXP(MIN(700,MAX(-700,(Examples!$C$14*$A176-Examples!$C$15)/Examples!$C$16))))))+Examples!$C$17*$A176^2)</f>
        <v>184725.59430604352</v>
      </c>
      <c r="C176" s="33">
        <f>(Examples!$C$6*Examples!$C$7*Examples!$C$8*EXP(-Examples!$C$9*$A176)*(1-(Examples!$C$12*(1-EXP(-Examples!$C$13*$A176))/(1+EXP(MIN(700,MAX(-700,(Examples!$C$14*$A176-Examples!$C$15)/Examples!$C$16))))))+Examples!$C$17*$A176^2)</f>
        <v>354374.40569395648</v>
      </c>
      <c r="D176" s="33">
        <f>Examples!$D$18-(Examples!$D$10+Examples!$D$11)*$A176-(Examples!$D$6*Examples!$D$7*Examples!$D$8*EXP(-Examples!$D$9*$A176)*(1-(Examples!$D$12*(1-EXP(-Examples!$D$13*$A176))/(1+EXP(MIN(700,MAX(-700,(Examples!$D$14*$A176-Examples!$D$15)/Examples!$D$16))))))+Examples!$D$17*$A176^2)</f>
        <v>911476.89550907444</v>
      </c>
      <c r="E176" s="33">
        <f>(Examples!$D$6*Examples!$D$7*Examples!$D$8*EXP(-Examples!$D$9*$A176)*(1-(Examples!$D$12*(1-EXP(-Examples!$D$13*$A176))/(1+EXP(MIN(700,MAX(-700,(Examples!$D$14*$A176-Examples!$D$15)/Examples!$D$16))))))+Examples!$D$17*$A176^2)</f>
        <v>1510223.1044909256</v>
      </c>
      <c r="F176" s="33">
        <f>Examples!$E$18-(Examples!$E$10+Examples!$E$11)*$A176-(Examples!$E$6*Examples!$E$7*Examples!$E$8*EXP(-Examples!$E$9*$A176)*(1-(Examples!$E$12*(1-EXP(-Examples!$E$13*$A176))/(1+EXP(MIN(700,MAX(-700,(Examples!$E$14*$A176-Examples!$E$15)/Examples!$E$16))))))+Examples!$E$17*$A176^2)</f>
        <v>2342447.8483585292</v>
      </c>
      <c r="G176" s="33">
        <f>(Examples!$E$6*Examples!$E$7*Examples!$E$8*EXP(-Examples!$E$9*$A176)*(1-(Examples!$E$12*(1-EXP(-Examples!$E$13*$A176))/(1+EXP(MIN(700,MAX(-700,(Examples!$E$14*$A176-Examples!$E$15)/Examples!$E$16))))))+Examples!$E$17*$A176^2)</f>
        <v>509652.15164147102</v>
      </c>
      <c r="H176" s="33">
        <f>Examples!$F$18-(Examples!$F$10+Examples!$F$11)*$A176-(Examples!$F$6*Examples!$F$7*Examples!$F$8*EXP(-Examples!$F$9*$A176)*(1-(Examples!$F$12*(1-EXP(-Examples!$F$13*$A176))/(1+EXP(MIN(700,MAX(-700,(Examples!$F$14*$A176-Examples!$F$15)/Examples!$F$16))))))+Examples!$F$17*$A176^2)</f>
        <v>44542.163221337134</v>
      </c>
      <c r="I176" s="33">
        <f>(Examples!$F$6*Examples!$F$7*Examples!$F$8*EXP(-Examples!$F$9*$A176)*(1-(Examples!$F$12*(1-EXP(-Examples!$F$13*$A176))/(1+EXP(MIN(700,MAX(-700,(Examples!$F$14*$A176-Examples!$F$15)/Examples!$F$16))))))+Examples!$F$17*$A176^2)</f>
        <v>70657.836778662866</v>
      </c>
      <c r="J176" s="33">
        <f>Examples!$G$18-(Examples!$G$10+Examples!$G$11)*$A176-(Examples!$G$6*Examples!$G$7*Examples!$G$8*EXP(-Examples!$G$9*$A176)*(1-(Examples!$G$12*(1-EXP(-Examples!$G$13*$A176))/(1+EXP(MIN(700,MAX(-700,(Examples!$G$14*$A176-Examples!$G$15)/Examples!$G$16))))))+Examples!$G$17*$A176^2)</f>
        <v>671968.8733563323</v>
      </c>
      <c r="K176" s="33">
        <f>(Examples!$G$6*Examples!$G$7*Examples!$G$8*EXP(-Examples!$G$9*$A176)*(1-(Examples!$G$12*(1-EXP(-Examples!$G$13*$A176))/(1+EXP(MIN(700,MAX(-700,(Examples!$G$14*$A176-Examples!$G$15)/Examples!$G$16))))))+Examples!$G$17*$A176^2)</f>
        <v>741031.1266436677</v>
      </c>
      <c r="L176" s="33">
        <f>Examples!$H$18-(Examples!$H$10+Examples!$H$11)*$A176-(Examples!$H$6*Examples!$H$7*Examples!$H$8*EXP(-Examples!$H$9*$A176)*(1-(Examples!$H$12*(1-EXP(-Examples!$H$13*$A176))/(1+EXP(MIN(700,MAX(-700,(Examples!$H$14*$A176-Examples!$H$15)/Examples!$H$16))))))+Examples!$H$17*$A176^2)</f>
        <v>765798.23260516196</v>
      </c>
      <c r="M176" s="33">
        <f>(Examples!$H$6*Examples!$H$7*Examples!$H$8*EXP(-Examples!$H$9*$A176)*(1-(Examples!$H$12*(1-EXP(-Examples!$H$13*$A176))/(1+EXP(MIN(700,MAX(-700,(Examples!$H$14*$A176-Examples!$H$15)/Examples!$H$16))))))+Examples!$H$17*$A176^2)</f>
        <v>647201.76739483804</v>
      </c>
    </row>
    <row r="177" spans="1:13" x14ac:dyDescent="0.25">
      <c r="A177">
        <f>(177-2)/100</f>
        <v>1.75</v>
      </c>
      <c r="B177" s="33">
        <f>Examples!$C$18-(Examples!$C$10+Examples!$C$11)*$A177-(Examples!$C$6*Examples!$C$7*Examples!$C$8*EXP(-Examples!$C$9*$A177)*(1-(Examples!$C$12*(1-EXP(-Examples!$C$13*$A177))/(1+EXP(MIN(700,MAX(-700,(Examples!$C$14*$A177-Examples!$C$15)/Examples!$C$16))))))+Examples!$C$17*$A177^2)</f>
        <v>184085.42407201667</v>
      </c>
      <c r="C177" s="33">
        <f>(Examples!$C$6*Examples!$C$7*Examples!$C$8*EXP(-Examples!$C$9*$A177)*(1-(Examples!$C$12*(1-EXP(-Examples!$C$13*$A177))/(1+EXP(MIN(700,MAX(-700,(Examples!$C$14*$A177-Examples!$C$15)/Examples!$C$16))))))+Examples!$C$17*$A177^2)</f>
        <v>354664.57592798333</v>
      </c>
      <c r="D177" s="33">
        <f>Examples!$D$18-(Examples!$D$10+Examples!$D$11)*$A177-(Examples!$D$6*Examples!$D$7*Examples!$D$8*EXP(-Examples!$D$9*$A177)*(1-(Examples!$D$12*(1-EXP(-Examples!$D$13*$A177))/(1+EXP(MIN(700,MAX(-700,(Examples!$D$14*$A177-Examples!$D$15)/Examples!$D$16))))))+Examples!$D$17*$A177^2)</f>
        <v>920528.43125602021</v>
      </c>
      <c r="E177" s="33">
        <f>(Examples!$D$6*Examples!$D$7*Examples!$D$8*EXP(-Examples!$D$9*$A177)*(1-(Examples!$D$12*(1-EXP(-Examples!$D$13*$A177))/(1+EXP(MIN(700,MAX(-700,(Examples!$D$14*$A177-Examples!$D$15)/Examples!$D$16))))))+Examples!$D$17*$A177^2)</f>
        <v>1500721.5687439798</v>
      </c>
      <c r="F177" s="33">
        <f>Examples!$E$18-(Examples!$E$10+Examples!$E$11)*$A177-(Examples!$E$6*Examples!$E$7*Examples!$E$8*EXP(-Examples!$E$9*$A177)*(1-(Examples!$E$12*(1-EXP(-Examples!$E$13*$A177))/(1+EXP(MIN(700,MAX(-700,(Examples!$E$14*$A177-Examples!$E$15)/Examples!$E$16))))))+Examples!$E$17*$A177^2)</f>
        <v>2345481.7565550255</v>
      </c>
      <c r="G177" s="33">
        <f>(Examples!$E$6*Examples!$E$7*Examples!$E$8*EXP(-Examples!$E$9*$A177)*(1-(Examples!$E$12*(1-EXP(-Examples!$E$13*$A177))/(1+EXP(MIN(700,MAX(-700,(Examples!$E$14*$A177-Examples!$E$15)/Examples!$E$16))))))+Examples!$E$17*$A177^2)</f>
        <v>505768.24344497448</v>
      </c>
      <c r="H177" s="33">
        <f>Examples!$F$18-(Examples!$F$10+Examples!$F$11)*$A177-(Examples!$F$6*Examples!$F$7*Examples!$F$8*EXP(-Examples!$F$9*$A177)*(1-(Examples!$F$12*(1-EXP(-Examples!$F$13*$A177))/(1+EXP(MIN(700,MAX(-700,(Examples!$F$14*$A177-Examples!$F$15)/Examples!$F$16))))))+Examples!$F$17*$A177^2)</f>
        <v>43666.480143394627</v>
      </c>
      <c r="I177" s="33">
        <f>(Examples!$F$6*Examples!$F$7*Examples!$F$8*EXP(-Examples!$F$9*$A177)*(1-(Examples!$F$12*(1-EXP(-Examples!$F$13*$A177))/(1+EXP(MIN(700,MAX(-700,(Examples!$F$14*$A177-Examples!$F$15)/Examples!$F$16))))))+Examples!$F$17*$A177^2)</f>
        <v>71333.519856605373</v>
      </c>
      <c r="J177" s="33">
        <f>Examples!$G$18-(Examples!$G$10+Examples!$G$11)*$A177-(Examples!$G$6*Examples!$G$7*Examples!$G$8*EXP(-Examples!$G$9*$A177)*(1-(Examples!$G$12*(1-EXP(-Examples!$G$13*$A177))/(1+EXP(MIN(700,MAX(-700,(Examples!$G$14*$A177-Examples!$G$15)/Examples!$G$16))))))+Examples!$G$17*$A177^2)</f>
        <v>673701.9766506881</v>
      </c>
      <c r="K177" s="33">
        <f>(Examples!$G$6*Examples!$G$7*Examples!$G$8*EXP(-Examples!$G$9*$A177)*(1-(Examples!$G$12*(1-EXP(-Examples!$G$13*$A177))/(1+EXP(MIN(700,MAX(-700,(Examples!$G$14*$A177-Examples!$G$15)/Examples!$G$16))))))+Examples!$G$17*$A177^2)</f>
        <v>738798.0233493119</v>
      </c>
      <c r="L177" s="33">
        <f>Examples!$H$18-(Examples!$H$10+Examples!$H$11)*$A177-(Examples!$H$6*Examples!$H$7*Examples!$H$8*EXP(-Examples!$H$9*$A177)*(1-(Examples!$H$12*(1-EXP(-Examples!$H$13*$A177))/(1+EXP(MIN(700,MAX(-700,(Examples!$H$14*$A177-Examples!$H$15)/Examples!$H$16))))))+Examples!$H$17*$A177^2)</f>
        <v>767643.7038789069</v>
      </c>
      <c r="M177" s="33">
        <f>(Examples!$H$6*Examples!$H$7*Examples!$H$8*EXP(-Examples!$H$9*$A177)*(1-(Examples!$H$12*(1-EXP(-Examples!$H$13*$A177))/(1+EXP(MIN(700,MAX(-700,(Examples!$H$14*$A177-Examples!$H$15)/Examples!$H$16))))))+Examples!$H$17*$A177^2)</f>
        <v>644856.2961210931</v>
      </c>
    </row>
    <row r="178" spans="1:13" x14ac:dyDescent="0.25">
      <c r="A178">
        <f>(178-2)/100</f>
        <v>1.76</v>
      </c>
      <c r="B178" s="33">
        <f>Examples!$C$18-(Examples!$C$10+Examples!$C$11)*$A178-(Examples!$C$6*Examples!$C$7*Examples!$C$8*EXP(-Examples!$C$9*$A178)*(1-(Examples!$C$12*(1-EXP(-Examples!$C$13*$A178))/(1+EXP(MIN(700,MAX(-700,(Examples!$C$14*$A178-Examples!$C$15)/Examples!$C$16))))))+Examples!$C$17*$A178^2)</f>
        <v>183440.02516096469</v>
      </c>
      <c r="C178" s="33">
        <f>(Examples!$C$6*Examples!$C$7*Examples!$C$8*EXP(-Examples!$C$9*$A178)*(1-(Examples!$C$12*(1-EXP(-Examples!$C$13*$A178))/(1+EXP(MIN(700,MAX(-700,(Examples!$C$14*$A178-Examples!$C$15)/Examples!$C$16))))))+Examples!$C$17*$A178^2)</f>
        <v>354959.97483903531</v>
      </c>
      <c r="D178" s="33">
        <f>Examples!$D$18-(Examples!$D$10+Examples!$D$11)*$A178-(Examples!$D$6*Examples!$D$7*Examples!$D$8*EXP(-Examples!$D$9*$A178)*(1-(Examples!$D$12*(1-EXP(-Examples!$D$13*$A178))/(1+EXP(MIN(700,MAX(-700,(Examples!$D$14*$A178-Examples!$D$15)/Examples!$D$16))))))+Examples!$D$17*$A178^2)</f>
        <v>929478.82642278168</v>
      </c>
      <c r="E178" s="33">
        <f>(Examples!$D$6*Examples!$D$7*Examples!$D$8*EXP(-Examples!$D$9*$A178)*(1-(Examples!$D$12*(1-EXP(-Examples!$D$13*$A178))/(1+EXP(MIN(700,MAX(-700,(Examples!$D$14*$A178-Examples!$D$15)/Examples!$D$16))))))+Examples!$D$17*$A178^2)</f>
        <v>1491321.1735772183</v>
      </c>
      <c r="F178" s="33">
        <f>Examples!$E$18-(Examples!$E$10+Examples!$E$11)*$A178-(Examples!$E$6*Examples!$E$7*Examples!$E$8*EXP(-Examples!$E$9*$A178)*(1-(Examples!$E$12*(1-EXP(-Examples!$E$13*$A178))/(1+EXP(MIN(700,MAX(-700,(Examples!$E$14*$A178-Examples!$E$15)/Examples!$E$16))))))+Examples!$E$17*$A178^2)</f>
        <v>2348470.5733270505</v>
      </c>
      <c r="G178" s="33">
        <f>(Examples!$E$6*Examples!$E$7*Examples!$E$8*EXP(-Examples!$E$9*$A178)*(1-(Examples!$E$12*(1-EXP(-Examples!$E$13*$A178))/(1+EXP(MIN(700,MAX(-700,(Examples!$E$14*$A178-Examples!$E$15)/Examples!$E$16))))))+Examples!$E$17*$A178^2)</f>
        <v>501929.42667294951</v>
      </c>
      <c r="H178" s="33">
        <f>Examples!$F$18-(Examples!$F$10+Examples!$F$11)*$A178-(Examples!$F$6*Examples!$F$7*Examples!$F$8*EXP(-Examples!$F$9*$A178)*(1-(Examples!$F$12*(1-EXP(-Examples!$F$13*$A178))/(1+EXP(MIN(700,MAX(-700,(Examples!$F$14*$A178-Examples!$F$15)/Examples!$F$16))))))+Examples!$F$17*$A178^2)</f>
        <v>42786.918181024608</v>
      </c>
      <c r="I178" s="33">
        <f>(Examples!$F$6*Examples!$F$7*Examples!$F$8*EXP(-Examples!$F$9*$A178)*(1-(Examples!$F$12*(1-EXP(-Examples!$F$13*$A178))/(1+EXP(MIN(700,MAX(-700,(Examples!$F$14*$A178-Examples!$F$15)/Examples!$F$16))))))+Examples!$F$17*$A178^2)</f>
        <v>72013.081818975392</v>
      </c>
      <c r="J178" s="33">
        <f>Examples!$G$18-(Examples!$G$10+Examples!$G$11)*$A178-(Examples!$G$6*Examples!$G$7*Examples!$G$8*EXP(-Examples!$G$9*$A178)*(1-(Examples!$G$12*(1-EXP(-Examples!$G$13*$A178))/(1+EXP(MIN(700,MAX(-700,(Examples!$G$14*$A178-Examples!$G$15)/Examples!$G$16))))))+Examples!$G$17*$A178^2)</f>
        <v>675400.5080162012</v>
      </c>
      <c r="K178" s="33">
        <f>(Examples!$G$6*Examples!$G$7*Examples!$G$8*EXP(-Examples!$G$9*$A178)*(1-(Examples!$G$12*(1-EXP(-Examples!$G$13*$A178))/(1+EXP(MIN(700,MAX(-700,(Examples!$G$14*$A178-Examples!$G$15)/Examples!$G$16))))))+Examples!$G$17*$A178^2)</f>
        <v>736599.4919837988</v>
      </c>
      <c r="L178" s="33">
        <f>Examples!$H$18-(Examples!$H$10+Examples!$H$11)*$A178-(Examples!$H$6*Examples!$H$7*Examples!$H$8*EXP(-Examples!$H$9*$A178)*(1-(Examples!$H$12*(1-EXP(-Examples!$H$13*$A178))/(1+EXP(MIN(700,MAX(-700,(Examples!$H$14*$A178-Examples!$H$15)/Examples!$H$16))))))+Examples!$H$17*$A178^2)</f>
        <v>769426.98792368313</v>
      </c>
      <c r="M178" s="33">
        <f>(Examples!$H$6*Examples!$H$7*Examples!$H$8*EXP(-Examples!$H$9*$A178)*(1-(Examples!$H$12*(1-EXP(-Examples!$H$13*$A178))/(1+EXP(MIN(700,MAX(-700,(Examples!$H$14*$A178-Examples!$H$15)/Examples!$H$16))))))+Examples!$H$17*$A178^2)</f>
        <v>642573.01207631687</v>
      </c>
    </row>
    <row r="179" spans="1:13" x14ac:dyDescent="0.25">
      <c r="A179">
        <f>(179-2)/100</f>
        <v>1.77</v>
      </c>
      <c r="B179" s="33">
        <f>Examples!$C$18-(Examples!$C$10+Examples!$C$11)*$A179-(Examples!$C$6*Examples!$C$7*Examples!$C$8*EXP(-Examples!$C$9*$A179)*(1-(Examples!$C$12*(1-EXP(-Examples!$C$13*$A179))/(1+EXP(MIN(700,MAX(-700,(Examples!$C$14*$A179-Examples!$C$15)/Examples!$C$16))))))+Examples!$C$17*$A179^2)</f>
        <v>182789.9662010094</v>
      </c>
      <c r="C179" s="33">
        <f>(Examples!$C$6*Examples!$C$7*Examples!$C$8*EXP(-Examples!$C$9*$A179)*(1-(Examples!$C$12*(1-EXP(-Examples!$C$13*$A179))/(1+EXP(MIN(700,MAX(-700,(Examples!$C$14*$A179-Examples!$C$15)/Examples!$C$16))))))+Examples!$C$17*$A179^2)</f>
        <v>355260.0337989906</v>
      </c>
      <c r="D179" s="33">
        <f>Examples!$D$18-(Examples!$D$10+Examples!$D$11)*$A179-(Examples!$D$6*Examples!$D$7*Examples!$D$8*EXP(-Examples!$D$9*$A179)*(1-(Examples!$D$12*(1-EXP(-Examples!$D$13*$A179))/(1+EXP(MIN(700,MAX(-700,(Examples!$D$14*$A179-Examples!$D$15)/Examples!$D$16))))))+Examples!$D$17*$A179^2)</f>
        <v>938328.94370192359</v>
      </c>
      <c r="E179" s="33">
        <f>(Examples!$D$6*Examples!$D$7*Examples!$D$8*EXP(-Examples!$D$9*$A179)*(1-(Examples!$D$12*(1-EXP(-Examples!$D$13*$A179))/(1+EXP(MIN(700,MAX(-700,(Examples!$D$14*$A179-Examples!$D$15)/Examples!$D$16))))))+Examples!$D$17*$A179^2)</f>
        <v>1482021.0562980764</v>
      </c>
      <c r="F179" s="33">
        <f>Examples!$E$18-(Examples!$E$10+Examples!$E$11)*$A179-(Examples!$E$6*Examples!$E$7*Examples!$E$8*EXP(-Examples!$E$9*$A179)*(1-(Examples!$E$12*(1-EXP(-Examples!$E$13*$A179))/(1+EXP(MIN(700,MAX(-700,(Examples!$E$14*$A179-Examples!$E$15)/Examples!$E$16))))))+Examples!$E$17*$A179^2)</f>
        <v>2351414.8040982997</v>
      </c>
      <c r="G179" s="33">
        <f>(Examples!$E$6*Examples!$E$7*Examples!$E$8*EXP(-Examples!$E$9*$A179)*(1-(Examples!$E$12*(1-EXP(-Examples!$E$13*$A179))/(1+EXP(MIN(700,MAX(-700,(Examples!$E$14*$A179-Examples!$E$15)/Examples!$E$16))))))+Examples!$E$17*$A179^2)</f>
        <v>498135.19590170024</v>
      </c>
      <c r="H179" s="33">
        <f>Examples!$F$18-(Examples!$F$10+Examples!$F$11)*$A179-(Examples!$F$6*Examples!$F$7*Examples!$F$8*EXP(-Examples!$F$9*$A179)*(1-(Examples!$F$12*(1-EXP(-Examples!$F$13*$A179))/(1+EXP(MIN(700,MAX(-700,(Examples!$F$14*$A179-Examples!$F$15)/Examples!$F$16))))))+Examples!$F$17*$A179^2)</f>
        <v>41903.476475505318</v>
      </c>
      <c r="I179" s="33">
        <f>(Examples!$F$6*Examples!$F$7*Examples!$F$8*EXP(-Examples!$F$9*$A179)*(1-(Examples!$F$12*(1-EXP(-Examples!$F$13*$A179))/(1+EXP(MIN(700,MAX(-700,(Examples!$F$14*$A179-Examples!$F$15)/Examples!$F$16))))))+Examples!$F$17*$A179^2)</f>
        <v>72696.523524494682</v>
      </c>
      <c r="J179" s="33">
        <f>Examples!$G$18-(Examples!$G$10+Examples!$G$11)*$A179-(Examples!$G$6*Examples!$G$7*Examples!$G$8*EXP(-Examples!$G$9*$A179)*(1-(Examples!$G$12*(1-EXP(-Examples!$G$13*$A179))/(1+EXP(MIN(700,MAX(-700,(Examples!$G$14*$A179-Examples!$G$15)/Examples!$G$16))))))+Examples!$G$17*$A179^2)</f>
        <v>677064.81148390402</v>
      </c>
      <c r="K179" s="33">
        <f>(Examples!$G$6*Examples!$G$7*Examples!$G$8*EXP(-Examples!$G$9*$A179)*(1-(Examples!$G$12*(1-EXP(-Examples!$G$13*$A179))/(1+EXP(MIN(700,MAX(-700,(Examples!$G$14*$A179-Examples!$G$15)/Examples!$G$16))))))+Examples!$G$17*$A179^2)</f>
        <v>734435.18851609598</v>
      </c>
      <c r="L179" s="33">
        <f>Examples!$H$18-(Examples!$H$10+Examples!$H$11)*$A179-(Examples!$H$6*Examples!$H$7*Examples!$H$8*EXP(-Examples!$H$9*$A179)*(1-(Examples!$H$12*(1-EXP(-Examples!$H$13*$A179))/(1+EXP(MIN(700,MAX(-700,(Examples!$H$14*$A179-Examples!$H$15)/Examples!$H$16))))))+Examples!$H$17*$A179^2)</f>
        <v>771147.72123608843</v>
      </c>
      <c r="M179" s="33">
        <f>(Examples!$H$6*Examples!$H$7*Examples!$H$8*EXP(-Examples!$H$9*$A179)*(1-(Examples!$H$12*(1-EXP(-Examples!$H$13*$A179))/(1+EXP(MIN(700,MAX(-700,(Examples!$H$14*$A179-Examples!$H$15)/Examples!$H$16))))))+Examples!$H$17*$A179^2)</f>
        <v>640352.27876391157</v>
      </c>
    </row>
    <row r="180" spans="1:13" x14ac:dyDescent="0.25">
      <c r="A180">
        <f>(180-2)/100</f>
        <v>1.78</v>
      </c>
      <c r="B180" s="33">
        <f>Examples!$C$18-(Examples!$C$10+Examples!$C$11)*$A180-(Examples!$C$6*Examples!$C$7*Examples!$C$8*EXP(-Examples!$C$9*$A180)*(1-(Examples!$C$12*(1-EXP(-Examples!$C$13*$A180))/(1+EXP(MIN(700,MAX(-700,(Examples!$C$14*$A180-Examples!$C$15)/Examples!$C$16))))))+Examples!$C$17*$A180^2)</f>
        <v>182135.80592774879</v>
      </c>
      <c r="C180" s="33">
        <f>(Examples!$C$6*Examples!$C$7*Examples!$C$8*EXP(-Examples!$C$9*$A180)*(1-(Examples!$C$12*(1-EXP(-Examples!$C$13*$A180))/(1+EXP(MIN(700,MAX(-700,(Examples!$C$14*$A180-Examples!$C$15)/Examples!$C$16))))))+Examples!$C$17*$A180^2)</f>
        <v>355564.19407225121</v>
      </c>
      <c r="D180" s="33">
        <f>Examples!$D$18-(Examples!$D$10+Examples!$D$11)*$A180-(Examples!$D$6*Examples!$D$7*Examples!$D$8*EXP(-Examples!$D$9*$A180)*(1-(Examples!$D$12*(1-EXP(-Examples!$D$13*$A180))/(1+EXP(MIN(700,MAX(-700,(Examples!$D$14*$A180-Examples!$D$15)/Examples!$D$16))))))+Examples!$D$17*$A180^2)</f>
        <v>947079.63746721135</v>
      </c>
      <c r="E180" s="33">
        <f>(Examples!$D$6*Examples!$D$7*Examples!$D$8*EXP(-Examples!$D$9*$A180)*(1-(Examples!$D$12*(1-EXP(-Examples!$D$13*$A180))/(1+EXP(MIN(700,MAX(-700,(Examples!$D$14*$A180-Examples!$D$15)/Examples!$D$16))))))+Examples!$D$17*$A180^2)</f>
        <v>1472820.3625327887</v>
      </c>
      <c r="F180" s="33">
        <f>Examples!$E$18-(Examples!$E$10+Examples!$E$11)*$A180-(Examples!$E$6*Examples!$E$7*Examples!$E$8*EXP(-Examples!$E$9*$A180)*(1-(Examples!$E$12*(1-EXP(-Examples!$E$13*$A180))/(1+EXP(MIN(700,MAX(-700,(Examples!$E$14*$A180-Examples!$E$15)/Examples!$E$16))))))+Examples!$E$17*$A180^2)</f>
        <v>2354314.9484688542</v>
      </c>
      <c r="G180" s="33">
        <f>(Examples!$E$6*Examples!$E$7*Examples!$E$8*EXP(-Examples!$E$9*$A180)*(1-(Examples!$E$12*(1-EXP(-Examples!$E$13*$A180))/(1+EXP(MIN(700,MAX(-700,(Examples!$E$14*$A180-Examples!$E$15)/Examples!$E$16))))))+Examples!$E$17*$A180^2)</f>
        <v>494385.05153114581</v>
      </c>
      <c r="H180" s="33">
        <f>Examples!$F$18-(Examples!$F$10+Examples!$F$11)*$A180-(Examples!$F$6*Examples!$F$7*Examples!$F$8*EXP(-Examples!$F$9*$A180)*(1-(Examples!$F$12*(1-EXP(-Examples!$F$13*$A180))/(1+EXP(MIN(700,MAX(-700,(Examples!$F$14*$A180-Examples!$F$15)/Examples!$F$16))))))+Examples!$F$17*$A180^2)</f>
        <v>41016.153879542457</v>
      </c>
      <c r="I180" s="33">
        <f>(Examples!$F$6*Examples!$F$7*Examples!$F$8*EXP(-Examples!$F$9*$A180)*(1-(Examples!$F$12*(1-EXP(-Examples!$F$13*$A180))/(1+EXP(MIN(700,MAX(-700,(Examples!$F$14*$A180-Examples!$F$15)/Examples!$F$16))))))+Examples!$F$17*$A180^2)</f>
        <v>73383.846120457543</v>
      </c>
      <c r="J180" s="33">
        <f>Examples!$G$18-(Examples!$G$10+Examples!$G$11)*$A180-(Examples!$G$6*Examples!$G$7*Examples!$G$8*EXP(-Examples!$G$9*$A180)*(1-(Examples!$G$12*(1-EXP(-Examples!$G$13*$A180))/(1+EXP(MIN(700,MAX(-700,(Examples!$G$14*$A180-Examples!$G$15)/Examples!$G$16))))))+Examples!$G$17*$A180^2)</f>
        <v>678695.23119081231</v>
      </c>
      <c r="K180" s="33">
        <f>(Examples!$G$6*Examples!$G$7*Examples!$G$8*EXP(-Examples!$G$9*$A180)*(1-(Examples!$G$12*(1-EXP(-Examples!$G$13*$A180))/(1+EXP(MIN(700,MAX(-700,(Examples!$G$14*$A180-Examples!$G$15)/Examples!$G$16))))))+Examples!$G$17*$A180^2)</f>
        <v>732304.76880918769</v>
      </c>
      <c r="L180" s="33">
        <f>Examples!$H$18-(Examples!$H$10+Examples!$H$11)*$A180-(Examples!$H$6*Examples!$H$7*Examples!$H$8*EXP(-Examples!$H$9*$A180)*(1-(Examples!$H$12*(1-EXP(-Examples!$H$13*$A180))/(1+EXP(MIN(700,MAX(-700,(Examples!$H$14*$A180-Examples!$H$15)/Examples!$H$16))))))+Examples!$H$17*$A180^2)</f>
        <v>772805.54064167303</v>
      </c>
      <c r="M180" s="33">
        <f>(Examples!$H$6*Examples!$H$7*Examples!$H$8*EXP(-Examples!$H$9*$A180)*(1-(Examples!$H$12*(1-EXP(-Examples!$H$13*$A180))/(1+EXP(MIN(700,MAX(-700,(Examples!$H$14*$A180-Examples!$H$15)/Examples!$H$16))))))+Examples!$H$17*$A180^2)</f>
        <v>638194.45935832697</v>
      </c>
    </row>
    <row r="181" spans="1:13" x14ac:dyDescent="0.25">
      <c r="A181">
        <f>(181-2)/100</f>
        <v>1.79</v>
      </c>
      <c r="B181" s="33">
        <f>Examples!$C$18-(Examples!$C$10+Examples!$C$11)*$A181-(Examples!$C$6*Examples!$C$7*Examples!$C$8*EXP(-Examples!$C$9*$A181)*(1-(Examples!$C$12*(1-EXP(-Examples!$C$13*$A181))/(1+EXP(MIN(700,MAX(-700,(Examples!$C$14*$A181-Examples!$C$15)/Examples!$C$16))))))+Examples!$C$17*$A181^2)</f>
        <v>181478.0921616116</v>
      </c>
      <c r="C181" s="33">
        <f>(Examples!$C$6*Examples!$C$7*Examples!$C$8*EXP(-Examples!$C$9*$A181)*(1-(Examples!$C$12*(1-EXP(-Examples!$C$13*$A181))/(1+EXP(MIN(700,MAX(-700,(Examples!$C$14*$A181-Examples!$C$15)/Examples!$C$16))))))+Examples!$C$17*$A181^2)</f>
        <v>355871.9078383884</v>
      </c>
      <c r="D181" s="33">
        <f>Examples!$D$18-(Examples!$D$10+Examples!$D$11)*$A181-(Examples!$D$6*Examples!$D$7*Examples!$D$8*EXP(-Examples!$D$9*$A181)*(1-(Examples!$D$12*(1-EXP(-Examples!$D$13*$A181))/(1+EXP(MIN(700,MAX(-700,(Examples!$D$14*$A181-Examples!$D$15)/Examples!$D$16))))))+Examples!$D$17*$A181^2)</f>
        <v>955731.75388211338</v>
      </c>
      <c r="E181" s="33">
        <f>(Examples!$D$6*Examples!$D$7*Examples!$D$8*EXP(-Examples!$D$9*$A181)*(1-(Examples!$D$12*(1-EXP(-Examples!$D$13*$A181))/(1+EXP(MIN(700,MAX(-700,(Examples!$D$14*$A181-Examples!$D$15)/Examples!$D$16))))))+Examples!$D$17*$A181^2)</f>
        <v>1463718.2461178866</v>
      </c>
      <c r="F181" s="33">
        <f>Examples!$E$18-(Examples!$E$10+Examples!$E$11)*$A181-(Examples!$E$6*Examples!$E$7*Examples!$E$8*EXP(-Examples!$E$9*$A181)*(1-(Examples!$E$12*(1-EXP(-Examples!$E$13*$A181))/(1+EXP(MIN(700,MAX(-700,(Examples!$E$14*$A181-Examples!$E$15)/Examples!$E$16))))))+Examples!$E$17*$A181^2)</f>
        <v>2357171.5002845633</v>
      </c>
      <c r="G181" s="33">
        <f>(Examples!$E$6*Examples!$E$7*Examples!$E$8*EXP(-Examples!$E$9*$A181)*(1-(Examples!$E$12*(1-EXP(-Examples!$E$13*$A181))/(1+EXP(MIN(700,MAX(-700,(Examples!$E$14*$A181-Examples!$E$15)/Examples!$E$16))))))+Examples!$E$17*$A181^2)</f>
        <v>490678.49971543689</v>
      </c>
      <c r="H181" s="33">
        <f>Examples!$F$18-(Examples!$F$10+Examples!$F$11)*$A181-(Examples!$F$6*Examples!$F$7*Examples!$F$8*EXP(-Examples!$F$9*$A181)*(1-(Examples!$F$12*(1-EXP(-Examples!$F$13*$A181))/(1+EXP(MIN(700,MAX(-700,(Examples!$F$14*$A181-Examples!$F$15)/Examples!$F$16))))))+Examples!$F$17*$A181^2)</f>
        <v>40124.948976956512</v>
      </c>
      <c r="I181" s="33">
        <f>(Examples!$F$6*Examples!$F$7*Examples!$F$8*EXP(-Examples!$F$9*$A181)*(1-(Examples!$F$12*(1-EXP(-Examples!$F$13*$A181))/(1+EXP(MIN(700,MAX(-700,(Examples!$F$14*$A181-Examples!$F$15)/Examples!$F$16))))))+Examples!$F$17*$A181^2)</f>
        <v>74075.051023043488</v>
      </c>
      <c r="J181" s="33">
        <f>Examples!$G$18-(Examples!$G$10+Examples!$G$11)*$A181-(Examples!$G$6*Examples!$G$7*Examples!$G$8*EXP(-Examples!$G$9*$A181)*(1-(Examples!$G$12*(1-EXP(-Examples!$G$13*$A181))/(1+EXP(MIN(700,MAX(-700,(Examples!$G$14*$A181-Examples!$G$15)/Examples!$G$16))))))+Examples!$G$17*$A181^2)</f>
        <v>680292.11138170864</v>
      </c>
      <c r="K181" s="33">
        <f>(Examples!$G$6*Examples!$G$7*Examples!$G$8*EXP(-Examples!$G$9*$A181)*(1-(Examples!$G$12*(1-EXP(-Examples!$G$13*$A181))/(1+EXP(MIN(700,MAX(-700,(Examples!$G$14*$A181-Examples!$G$15)/Examples!$G$16))))))+Examples!$G$17*$A181^2)</f>
        <v>730207.88861829136</v>
      </c>
      <c r="L181" s="33">
        <f>Examples!$H$18-(Examples!$H$10+Examples!$H$11)*$A181-(Examples!$H$6*Examples!$H$7*Examples!$H$8*EXP(-Examples!$H$9*$A181)*(1-(Examples!$H$12*(1-EXP(-Examples!$H$13*$A181))/(1+EXP(MIN(700,MAX(-700,(Examples!$H$14*$A181-Examples!$H$15)/Examples!$H$16))))))+Examples!$H$17*$A181^2)</f>
        <v>774400.08425809362</v>
      </c>
      <c r="M181" s="33">
        <f>(Examples!$H$6*Examples!$H$7*Examples!$H$8*EXP(-Examples!$H$9*$A181)*(1-(Examples!$H$12*(1-EXP(-Examples!$H$13*$A181))/(1+EXP(MIN(700,MAX(-700,(Examples!$H$14*$A181-Examples!$H$15)/Examples!$H$16))))))+Examples!$H$17*$A181^2)</f>
        <v>636099.91574190638</v>
      </c>
    </row>
    <row r="182" spans="1:13" x14ac:dyDescent="0.25">
      <c r="A182">
        <f>(182-2)/100</f>
        <v>1.8</v>
      </c>
      <c r="B182" s="33">
        <f>Examples!$C$18-(Examples!$C$10+Examples!$C$11)*$A182-(Examples!$C$6*Examples!$C$7*Examples!$C$8*EXP(-Examples!$C$9*$A182)*(1-(Examples!$C$12*(1-EXP(-Examples!$C$13*$A182))/(1+EXP(MIN(700,MAX(-700,(Examples!$C$14*$A182-Examples!$C$15)/Examples!$C$16))))))+Examples!$C$17*$A182^2)</f>
        <v>180817.36083418364</v>
      </c>
      <c r="C182" s="33">
        <f>(Examples!$C$6*Examples!$C$7*Examples!$C$8*EXP(-Examples!$C$9*$A182)*(1-(Examples!$C$12*(1-EXP(-Examples!$C$13*$A182))/(1+EXP(MIN(700,MAX(-700,(Examples!$C$14*$A182-Examples!$C$15)/Examples!$C$16))))))+Examples!$C$17*$A182^2)</f>
        <v>356182.63916581636</v>
      </c>
      <c r="D182" s="33">
        <f>Examples!$D$18-(Examples!$D$10+Examples!$D$11)*$A182-(Examples!$D$6*Examples!$D$7*Examples!$D$8*EXP(-Examples!$D$9*$A182)*(1-(Examples!$D$12*(1-EXP(-Examples!$D$13*$A182))/(1+EXP(MIN(700,MAX(-700,(Examples!$D$14*$A182-Examples!$D$15)/Examples!$D$16))))))+Examples!$D$17*$A182^2)</f>
        <v>964286.13100760872</v>
      </c>
      <c r="E182" s="33">
        <f>(Examples!$D$6*Examples!$D$7*Examples!$D$8*EXP(-Examples!$D$9*$A182)*(1-(Examples!$D$12*(1-EXP(-Examples!$D$13*$A182))/(1+EXP(MIN(700,MAX(-700,(Examples!$D$14*$A182-Examples!$D$15)/Examples!$D$16))))))+Examples!$D$17*$A182^2)</f>
        <v>1454713.8689923913</v>
      </c>
      <c r="F182" s="33">
        <f>Examples!$E$18-(Examples!$E$10+Examples!$E$11)*$A182-(Examples!$E$6*Examples!$E$7*Examples!$E$8*EXP(-Examples!$E$9*$A182)*(1-(Examples!$E$12*(1-EXP(-Examples!$E$13*$A182))/(1+EXP(MIN(700,MAX(-700,(Examples!$E$14*$A182-Examples!$E$15)/Examples!$E$16))))))+Examples!$E$17*$A182^2)</f>
        <v>2359984.9477056004</v>
      </c>
      <c r="G182" s="33">
        <f>(Examples!$E$6*Examples!$E$7*Examples!$E$8*EXP(-Examples!$E$9*$A182)*(1-(Examples!$E$12*(1-EXP(-Examples!$E$13*$A182))/(1+EXP(MIN(700,MAX(-700,(Examples!$E$14*$A182-Examples!$E$15)/Examples!$E$16))))))+Examples!$E$17*$A182^2)</f>
        <v>487015.05229439941</v>
      </c>
      <c r="H182" s="33">
        <f>Examples!$F$18-(Examples!$F$10+Examples!$F$11)*$A182-(Examples!$F$6*Examples!$F$7*Examples!$F$8*EXP(-Examples!$F$9*$A182)*(1-(Examples!$F$12*(1-EXP(-Examples!$F$13*$A182))/(1+EXP(MIN(700,MAX(-700,(Examples!$F$14*$A182-Examples!$F$15)/Examples!$F$16))))))+Examples!$F$17*$A182^2)</f>
        <v>39229.860102072606</v>
      </c>
      <c r="I182" s="33">
        <f>(Examples!$F$6*Examples!$F$7*Examples!$F$8*EXP(-Examples!$F$9*$A182)*(1-(Examples!$F$12*(1-EXP(-Examples!$F$13*$A182))/(1+EXP(MIN(700,MAX(-700,(Examples!$F$14*$A182-Examples!$F$15)/Examples!$F$16))))))+Examples!$F$17*$A182^2)</f>
        <v>74770.139897927394</v>
      </c>
      <c r="J182" s="33">
        <f>Examples!$G$18-(Examples!$G$10+Examples!$G$11)*$A182-(Examples!$G$6*Examples!$G$7*Examples!$G$8*EXP(-Examples!$G$9*$A182)*(1-(Examples!$G$12*(1-EXP(-Examples!$G$13*$A182))/(1+EXP(MIN(700,MAX(-700,(Examples!$G$14*$A182-Examples!$G$15)/Examples!$G$16))))))+Examples!$G$17*$A182^2)</f>
        <v>681855.79640958668</v>
      </c>
      <c r="K182" s="33">
        <f>(Examples!$G$6*Examples!$G$7*Examples!$G$8*EXP(-Examples!$G$9*$A182)*(1-(Examples!$G$12*(1-EXP(-Examples!$G$13*$A182))/(1+EXP(MIN(700,MAX(-700,(Examples!$G$14*$A182-Examples!$G$15)/Examples!$G$16))))))+Examples!$G$17*$A182^2)</f>
        <v>728144.20359041332</v>
      </c>
      <c r="L182" s="33">
        <f>Examples!$H$18-(Examples!$H$10+Examples!$H$11)*$A182-(Examples!$H$6*Examples!$H$7*Examples!$H$8*EXP(-Examples!$H$9*$A182)*(1-(Examples!$H$12*(1-EXP(-Examples!$H$13*$A182))/(1+EXP(MIN(700,MAX(-700,(Examples!$H$14*$A182-Examples!$H$15)/Examples!$H$16))))))+Examples!$H$17*$A182^2)</f>
        <v>775930.99250914005</v>
      </c>
      <c r="M182" s="33">
        <f>(Examples!$H$6*Examples!$H$7*Examples!$H$8*EXP(-Examples!$H$9*$A182)*(1-(Examples!$H$12*(1-EXP(-Examples!$H$13*$A182))/(1+EXP(MIN(700,MAX(-700,(Examples!$H$14*$A182-Examples!$H$15)/Examples!$H$16))))))+Examples!$H$17*$A182^2)</f>
        <v>634069.00749085995</v>
      </c>
    </row>
    <row r="183" spans="1:13" x14ac:dyDescent="0.25">
      <c r="A183">
        <f>(183-2)/100</f>
        <v>1.81</v>
      </c>
      <c r="B183" s="33">
        <f>Examples!$C$18-(Examples!$C$10+Examples!$C$11)*$A183-(Examples!$C$6*Examples!$C$7*Examples!$C$8*EXP(-Examples!$C$9*$A183)*(1-(Examples!$C$12*(1-EXP(-Examples!$C$13*$A183))/(1+EXP(MIN(700,MAX(-700,(Examples!$C$14*$A183-Examples!$C$15)/Examples!$C$16))))))+Examples!$C$17*$A183^2)</f>
        <v>180154.13506718748</v>
      </c>
      <c r="C183" s="33">
        <f>(Examples!$C$6*Examples!$C$7*Examples!$C$8*EXP(-Examples!$C$9*$A183)*(1-(Examples!$C$12*(1-EXP(-Examples!$C$13*$A183))/(1+EXP(MIN(700,MAX(-700,(Examples!$C$14*$A183-Examples!$C$15)/Examples!$C$16))))))+Examples!$C$17*$A183^2)</f>
        <v>356495.86493281252</v>
      </c>
      <c r="D183" s="33">
        <f>Examples!$D$18-(Examples!$D$10+Examples!$D$11)*$A183-(Examples!$D$6*Examples!$D$7*Examples!$D$8*EXP(-Examples!$D$9*$A183)*(1-(Examples!$D$12*(1-EXP(-Examples!$D$13*$A183))/(1+EXP(MIN(700,MAX(-700,(Examples!$D$14*$A183-Examples!$D$15)/Examples!$D$16))))))+Examples!$D$17*$A183^2)</f>
        <v>972743.59890929726</v>
      </c>
      <c r="E183" s="33">
        <f>(Examples!$D$6*Examples!$D$7*Examples!$D$8*EXP(-Examples!$D$9*$A183)*(1-(Examples!$D$12*(1-EXP(-Examples!$D$13*$A183))/(1+EXP(MIN(700,MAX(-700,(Examples!$D$14*$A183-Examples!$D$15)/Examples!$D$16))))))+Examples!$D$17*$A183^2)</f>
        <v>1445806.4010907027</v>
      </c>
      <c r="F183" s="33">
        <f>Examples!$E$18-(Examples!$E$10+Examples!$E$11)*$A183-(Examples!$E$6*Examples!$E$7*Examples!$E$8*EXP(-Examples!$E$9*$A183)*(1-(Examples!$E$12*(1-EXP(-Examples!$E$13*$A183))/(1+EXP(MIN(700,MAX(-700,(Examples!$E$14*$A183-Examples!$E$15)/Examples!$E$16))))))+Examples!$E$17*$A183^2)</f>
        <v>2362755.7732742121</v>
      </c>
      <c r="G183" s="33">
        <f>(Examples!$E$6*Examples!$E$7*Examples!$E$8*EXP(-Examples!$E$9*$A183)*(1-(Examples!$E$12*(1-EXP(-Examples!$E$13*$A183))/(1+EXP(MIN(700,MAX(-700,(Examples!$E$14*$A183-Examples!$E$15)/Examples!$E$16))))))+Examples!$E$17*$A183^2)</f>
        <v>483394.22672578809</v>
      </c>
      <c r="H183" s="33">
        <f>Examples!$F$18-(Examples!$F$10+Examples!$F$11)*$A183-(Examples!$F$6*Examples!$F$7*Examples!$F$8*EXP(-Examples!$F$9*$A183)*(1-(Examples!$F$12*(1-EXP(-Examples!$F$13*$A183))/(1+EXP(MIN(700,MAX(-700,(Examples!$F$14*$A183-Examples!$F$15)/Examples!$F$16))))))+Examples!$F$17*$A183^2)</f>
        <v>38330.885358738116</v>
      </c>
      <c r="I183" s="33">
        <f>(Examples!$F$6*Examples!$F$7*Examples!$F$8*EXP(-Examples!$F$9*$A183)*(1-(Examples!$F$12*(1-EXP(-Examples!$F$13*$A183))/(1+EXP(MIN(700,MAX(-700,(Examples!$F$14*$A183-Examples!$F$15)/Examples!$F$16))))))+Examples!$F$17*$A183^2)</f>
        <v>75469.114641261884</v>
      </c>
      <c r="J183" s="33">
        <f>Examples!$G$18-(Examples!$G$10+Examples!$G$11)*$A183-(Examples!$G$6*Examples!$G$7*Examples!$G$8*EXP(-Examples!$G$9*$A183)*(1-(Examples!$G$12*(1-EXP(-Examples!$G$13*$A183))/(1+EXP(MIN(700,MAX(-700,(Examples!$G$14*$A183-Examples!$G$15)/Examples!$G$16))))))+Examples!$G$17*$A183^2)</f>
        <v>683386.63073474914</v>
      </c>
      <c r="K183" s="33">
        <f>(Examples!$G$6*Examples!$G$7*Examples!$G$8*EXP(-Examples!$G$9*$A183)*(1-(Examples!$G$12*(1-EXP(-Examples!$G$13*$A183))/(1+EXP(MIN(700,MAX(-700,(Examples!$G$14*$A183-Examples!$G$15)/Examples!$G$16))))))+Examples!$G$17*$A183^2)</f>
        <v>726113.36926525086</v>
      </c>
      <c r="L183" s="33">
        <f>Examples!$H$18-(Examples!$H$10+Examples!$H$11)*$A183-(Examples!$H$6*Examples!$H$7*Examples!$H$8*EXP(-Examples!$H$9*$A183)*(1-(Examples!$H$12*(1-EXP(-Examples!$H$13*$A183))/(1+EXP(MIN(700,MAX(-700,(Examples!$H$14*$A183-Examples!$H$15)/Examples!$H$16))))))+Examples!$H$17*$A183^2)</f>
        <v>777397.90919031855</v>
      </c>
      <c r="M183" s="33">
        <f>(Examples!$H$6*Examples!$H$7*Examples!$H$8*EXP(-Examples!$H$9*$A183)*(1-(Examples!$H$12*(1-EXP(-Examples!$H$13*$A183))/(1+EXP(MIN(700,MAX(-700,(Examples!$H$14*$A183-Examples!$H$15)/Examples!$H$16))))))+Examples!$H$17*$A183^2)</f>
        <v>632102.09080968145</v>
      </c>
    </row>
    <row r="184" spans="1:13" x14ac:dyDescent="0.25">
      <c r="A184">
        <f>(184-2)/100</f>
        <v>1.82</v>
      </c>
      <c r="B184" s="33">
        <f>Examples!$C$18-(Examples!$C$10+Examples!$C$11)*$A184-(Examples!$C$6*Examples!$C$7*Examples!$C$8*EXP(-Examples!$C$9*$A184)*(1-(Examples!$C$12*(1-EXP(-Examples!$C$13*$A184))/(1+EXP(MIN(700,MAX(-700,(Examples!$C$14*$A184-Examples!$C$15)/Examples!$C$16))))))+Examples!$C$17*$A184^2)</f>
        <v>179488.92430739949</v>
      </c>
      <c r="C184" s="33">
        <f>(Examples!$C$6*Examples!$C$7*Examples!$C$8*EXP(-Examples!$C$9*$A184)*(1-(Examples!$C$12*(1-EXP(-Examples!$C$13*$A184))/(1+EXP(MIN(700,MAX(-700,(Examples!$C$14*$A184-Examples!$C$15)/Examples!$C$16))))))+Examples!$C$17*$A184^2)</f>
        <v>356811.07569260051</v>
      </c>
      <c r="D184" s="33">
        <f>Examples!$D$18-(Examples!$D$10+Examples!$D$11)*$A184-(Examples!$D$6*Examples!$D$7*Examples!$D$8*EXP(-Examples!$D$9*$A184)*(1-(Examples!$D$12*(1-EXP(-Examples!$D$13*$A184))/(1+EXP(MIN(700,MAX(-700,(Examples!$D$14*$A184-Examples!$D$15)/Examples!$D$16))))))+Examples!$D$17*$A184^2)</f>
        <v>981104.97976382938</v>
      </c>
      <c r="E184" s="33">
        <f>(Examples!$D$6*Examples!$D$7*Examples!$D$8*EXP(-Examples!$D$9*$A184)*(1-(Examples!$D$12*(1-EXP(-Examples!$D$13*$A184))/(1+EXP(MIN(700,MAX(-700,(Examples!$D$14*$A184-Examples!$D$15)/Examples!$D$16))))))+Examples!$D$17*$A184^2)</f>
        <v>1436995.0202361706</v>
      </c>
      <c r="F184" s="33">
        <f>Examples!$E$18-(Examples!$E$10+Examples!$E$11)*$A184-(Examples!$E$6*Examples!$E$7*Examples!$E$8*EXP(-Examples!$E$9*$A184)*(1-(Examples!$E$12*(1-EXP(-Examples!$E$13*$A184))/(1+EXP(MIN(700,MAX(-700,(Examples!$E$14*$A184-Examples!$E$15)/Examples!$E$16))))))+Examples!$E$17*$A184^2)</f>
        <v>2365484.4539816533</v>
      </c>
      <c r="G184" s="33">
        <f>(Examples!$E$6*Examples!$E$7*Examples!$E$8*EXP(-Examples!$E$9*$A184)*(1-(Examples!$E$12*(1-EXP(-Examples!$E$13*$A184))/(1+EXP(MIN(700,MAX(-700,(Examples!$E$14*$A184-Examples!$E$15)/Examples!$E$16))))))+Examples!$E$17*$A184^2)</f>
        <v>479815.54601834656</v>
      </c>
      <c r="H184" s="33">
        <f>Examples!$F$18-(Examples!$F$10+Examples!$F$11)*$A184-(Examples!$F$6*Examples!$F$7*Examples!$F$8*EXP(-Examples!$F$9*$A184)*(1-(Examples!$F$12*(1-EXP(-Examples!$F$13*$A184))/(1+EXP(MIN(700,MAX(-700,(Examples!$F$14*$A184-Examples!$F$15)/Examples!$F$16))))))+Examples!$F$17*$A184^2)</f>
        <v>37428.022638901835</v>
      </c>
      <c r="I184" s="33">
        <f>(Examples!$F$6*Examples!$F$7*Examples!$F$8*EXP(-Examples!$F$9*$A184)*(1-(Examples!$F$12*(1-EXP(-Examples!$F$13*$A184))/(1+EXP(MIN(700,MAX(-700,(Examples!$F$14*$A184-Examples!$F$15)/Examples!$F$16))))))+Examples!$F$17*$A184^2)</f>
        <v>76171.977361098165</v>
      </c>
      <c r="J184" s="33">
        <f>Examples!$G$18-(Examples!$G$10+Examples!$G$11)*$A184-(Examples!$G$6*Examples!$G$7*Examples!$G$8*EXP(-Examples!$G$9*$A184)*(1-(Examples!$G$12*(1-EXP(-Examples!$G$13*$A184))/(1+EXP(MIN(700,MAX(-700,(Examples!$G$14*$A184-Examples!$G$15)/Examples!$G$16))))))+Examples!$G$17*$A184^2)</f>
        <v>684884.95892255416</v>
      </c>
      <c r="K184" s="33">
        <f>(Examples!$G$6*Examples!$G$7*Examples!$G$8*EXP(-Examples!$G$9*$A184)*(1-(Examples!$G$12*(1-EXP(-Examples!$G$13*$A184))/(1+EXP(MIN(700,MAX(-700,(Examples!$G$14*$A184-Examples!$G$15)/Examples!$G$16))))))+Examples!$G$17*$A184^2)</f>
        <v>724115.04107744584</v>
      </c>
      <c r="L184" s="33">
        <f>Examples!$H$18-(Examples!$H$10+Examples!$H$11)*$A184-(Examples!$H$6*Examples!$H$7*Examples!$H$8*EXP(-Examples!$H$9*$A184)*(1-(Examples!$H$12*(1-EXP(-Examples!$H$13*$A184))/(1+EXP(MIN(700,MAX(-700,(Examples!$H$14*$A184-Examples!$H$15)/Examples!$H$16))))))+Examples!$H$17*$A184^2)</f>
        <v>778800.48258651933</v>
      </c>
      <c r="M184" s="33">
        <f>(Examples!$H$6*Examples!$H$7*Examples!$H$8*EXP(-Examples!$H$9*$A184)*(1-(Examples!$H$12*(1-EXP(-Examples!$H$13*$A184))/(1+EXP(MIN(700,MAX(-700,(Examples!$H$14*$A184-Examples!$H$15)/Examples!$H$16))))))+Examples!$H$17*$A184^2)</f>
        <v>630199.51741348067</v>
      </c>
    </row>
    <row r="185" spans="1:13" x14ac:dyDescent="0.25">
      <c r="A185">
        <f>(185-2)/100</f>
        <v>1.83</v>
      </c>
      <c r="B185" s="33">
        <f>Examples!$C$18-(Examples!$C$10+Examples!$C$11)*$A185-(Examples!$C$6*Examples!$C$7*Examples!$C$8*EXP(-Examples!$C$9*$A185)*(1-(Examples!$C$12*(1-EXP(-Examples!$C$13*$A185))/(1+EXP(MIN(700,MAX(-700,(Examples!$C$14*$A185-Examples!$C$15)/Examples!$C$16))))))+Examples!$C$17*$A185^2)</f>
        <v>178822.22352037567</v>
      </c>
      <c r="C185" s="33">
        <f>(Examples!$C$6*Examples!$C$7*Examples!$C$8*EXP(-Examples!$C$9*$A185)*(1-(Examples!$C$12*(1-EXP(-Examples!$C$13*$A185))/(1+EXP(MIN(700,MAX(-700,(Examples!$C$14*$A185-Examples!$C$15)/Examples!$C$16))))))+Examples!$C$17*$A185^2)</f>
        <v>357127.77647962433</v>
      </c>
      <c r="D185" s="33">
        <f>Examples!$D$18-(Examples!$D$10+Examples!$D$11)*$A185-(Examples!$D$6*Examples!$D$7*Examples!$D$8*EXP(-Examples!$D$9*$A185)*(1-(Examples!$D$12*(1-EXP(-Examples!$D$13*$A185))/(1+EXP(MIN(700,MAX(-700,(Examples!$D$14*$A185-Examples!$D$15)/Examples!$D$16))))))+Examples!$D$17*$A185^2)</f>
        <v>989371.08796465443</v>
      </c>
      <c r="E185" s="33">
        <f>(Examples!$D$6*Examples!$D$7*Examples!$D$8*EXP(-Examples!$D$9*$A185)*(1-(Examples!$D$12*(1-EXP(-Examples!$D$13*$A185))/(1+EXP(MIN(700,MAX(-700,(Examples!$D$14*$A185-Examples!$D$15)/Examples!$D$16))))))+Examples!$D$17*$A185^2)</f>
        <v>1428278.9120353456</v>
      </c>
      <c r="F185" s="33">
        <f>Examples!$E$18-(Examples!$E$10+Examples!$E$11)*$A185-(Examples!$E$6*Examples!$E$7*Examples!$E$8*EXP(-Examples!$E$9*$A185)*(1-(Examples!$E$12*(1-EXP(-Examples!$E$13*$A185))/(1+EXP(MIN(700,MAX(-700,(Examples!$E$14*$A185-Examples!$E$15)/Examples!$E$16))))))+Examples!$E$17*$A185^2)</f>
        <v>2368171.4613343421</v>
      </c>
      <c r="G185" s="33">
        <f>(Examples!$E$6*Examples!$E$7*Examples!$E$8*EXP(-Examples!$E$9*$A185)*(1-(Examples!$E$12*(1-EXP(-Examples!$E$13*$A185))/(1+EXP(MIN(700,MAX(-700,(Examples!$E$14*$A185-Examples!$E$15)/Examples!$E$16))))))+Examples!$E$17*$A185^2)</f>
        <v>476278.53866565792</v>
      </c>
      <c r="H185" s="33">
        <f>Examples!$F$18-(Examples!$F$10+Examples!$F$11)*$A185-(Examples!$F$6*Examples!$F$7*Examples!$F$8*EXP(-Examples!$F$9*$A185)*(1-(Examples!$F$12*(1-EXP(-Examples!$F$13*$A185))/(1+EXP(MIN(700,MAX(-700,(Examples!$F$14*$A185-Examples!$F$15)/Examples!$F$16))))))+Examples!$F$17*$A185^2)</f>
        <v>36521.269640697632</v>
      </c>
      <c r="I185" s="33">
        <f>(Examples!$F$6*Examples!$F$7*Examples!$F$8*EXP(-Examples!$F$9*$A185)*(1-(Examples!$F$12*(1-EXP(-Examples!$F$13*$A185))/(1+EXP(MIN(700,MAX(-700,(Examples!$F$14*$A185-Examples!$F$15)/Examples!$F$16))))))+Examples!$F$17*$A185^2)</f>
        <v>76878.730359302368</v>
      </c>
      <c r="J185" s="33">
        <f>Examples!$G$18-(Examples!$G$10+Examples!$G$11)*$A185-(Examples!$G$6*Examples!$G$7*Examples!$G$8*EXP(-Examples!$G$9*$A185)*(1-(Examples!$G$12*(1-EXP(-Examples!$G$13*$A185))/(1+EXP(MIN(700,MAX(-700,(Examples!$G$14*$A185-Examples!$G$15)/Examples!$G$16))))))+Examples!$G$17*$A185^2)</f>
        <v>686351.12563980115</v>
      </c>
      <c r="K185" s="33">
        <f>(Examples!$G$6*Examples!$G$7*Examples!$G$8*EXP(-Examples!$G$9*$A185)*(1-(Examples!$G$12*(1-EXP(-Examples!$G$13*$A185))/(1+EXP(MIN(700,MAX(-700,(Examples!$G$14*$A185-Examples!$G$15)/Examples!$G$16))))))+Examples!$G$17*$A185^2)</f>
        <v>722148.87436019885</v>
      </c>
      <c r="L185" s="33">
        <f>Examples!$H$18-(Examples!$H$10+Examples!$H$11)*$A185-(Examples!$H$6*Examples!$H$7*Examples!$H$8*EXP(-Examples!$H$9*$A185)*(1-(Examples!$H$12*(1-EXP(-Examples!$H$13*$A185))/(1+EXP(MIN(700,MAX(-700,(Examples!$H$14*$A185-Examples!$H$15)/Examples!$H$16))))))+Examples!$H$17*$A185^2)</f>
        <v>780138.36664213182</v>
      </c>
      <c r="M185" s="33">
        <f>(Examples!$H$6*Examples!$H$7*Examples!$H$8*EXP(-Examples!$H$9*$A185)*(1-(Examples!$H$12*(1-EXP(-Examples!$H$13*$A185))/(1+EXP(MIN(700,MAX(-700,(Examples!$H$14*$A185-Examples!$H$15)/Examples!$H$16))))))+Examples!$H$17*$A185^2)</f>
        <v>628361.63335786818</v>
      </c>
    </row>
    <row r="186" spans="1:13" x14ac:dyDescent="0.25">
      <c r="A186">
        <f>(186-2)/100</f>
        <v>1.84</v>
      </c>
      <c r="B186" s="33">
        <f>Examples!$C$18-(Examples!$C$10+Examples!$C$11)*$A186-(Examples!$C$6*Examples!$C$7*Examples!$C$8*EXP(-Examples!$C$9*$A186)*(1-(Examples!$C$12*(1-EXP(-Examples!$C$13*$A186))/(1+EXP(MIN(700,MAX(-700,(Examples!$C$14*$A186-Examples!$C$15)/Examples!$C$16))))))+Examples!$C$17*$A186^2)</f>
        <v>178154.51244543405</v>
      </c>
      <c r="C186" s="33">
        <f>(Examples!$C$6*Examples!$C$7*Examples!$C$8*EXP(-Examples!$C$9*$A186)*(1-(Examples!$C$12*(1-EXP(-Examples!$C$13*$A186))/(1+EXP(MIN(700,MAX(-700,(Examples!$C$14*$A186-Examples!$C$15)/Examples!$C$16))))))+Examples!$C$17*$A186^2)</f>
        <v>357445.48755456595</v>
      </c>
      <c r="D186" s="33">
        <f>Examples!$D$18-(Examples!$D$10+Examples!$D$11)*$A186-(Examples!$D$6*Examples!$D$7*Examples!$D$8*EXP(-Examples!$D$9*$A186)*(1-(Examples!$D$12*(1-EXP(-Examples!$D$13*$A186))/(1+EXP(MIN(700,MAX(-700,(Examples!$D$14*$A186-Examples!$D$15)/Examples!$D$16))))))+Examples!$D$17*$A186^2)</f>
        <v>997542.73022710928</v>
      </c>
      <c r="E186" s="33">
        <f>(Examples!$D$6*Examples!$D$7*Examples!$D$8*EXP(-Examples!$D$9*$A186)*(1-(Examples!$D$12*(1-EXP(-Examples!$D$13*$A186))/(1+EXP(MIN(700,MAX(-700,(Examples!$D$14*$A186-Examples!$D$15)/Examples!$D$16))))))+Examples!$D$17*$A186^2)</f>
        <v>1419657.2697728907</v>
      </c>
      <c r="F186" s="33">
        <f>Examples!$E$18-(Examples!$E$10+Examples!$E$11)*$A186-(Examples!$E$6*Examples!$E$7*Examples!$E$8*EXP(-Examples!$E$9*$A186)*(1-(Examples!$E$12*(1-EXP(-Examples!$E$13*$A186))/(1+EXP(MIN(700,MAX(-700,(Examples!$E$14*$A186-Examples!$E$15)/Examples!$E$16))))))+Examples!$E$17*$A186^2)</f>
        <v>2370817.2614192162</v>
      </c>
      <c r="G186" s="33">
        <f>(Examples!$E$6*Examples!$E$7*Examples!$E$8*EXP(-Examples!$E$9*$A186)*(1-(Examples!$E$12*(1-EXP(-Examples!$E$13*$A186))/(1+EXP(MIN(700,MAX(-700,(Examples!$E$14*$A186-Examples!$E$15)/Examples!$E$16))))))+Examples!$E$17*$A186^2)</f>
        <v>472782.73858078377</v>
      </c>
      <c r="H186" s="33">
        <f>Examples!$F$18-(Examples!$F$10+Examples!$F$11)*$A186-(Examples!$F$6*Examples!$F$7*Examples!$F$8*EXP(-Examples!$F$9*$A186)*(1-(Examples!$F$12*(1-EXP(-Examples!$F$13*$A186))/(1+EXP(MIN(700,MAX(-700,(Examples!$F$14*$A186-Examples!$F$15)/Examples!$F$16))))))+Examples!$F$17*$A186^2)</f>
        <v>35610.62388598299</v>
      </c>
      <c r="I186" s="33">
        <f>(Examples!$F$6*Examples!$F$7*Examples!$F$8*EXP(-Examples!$F$9*$A186)*(1-(Examples!$F$12*(1-EXP(-Examples!$F$13*$A186))/(1+EXP(MIN(700,MAX(-700,(Examples!$F$14*$A186-Examples!$F$15)/Examples!$F$16))))))+Examples!$F$17*$A186^2)</f>
        <v>77589.37611401701</v>
      </c>
      <c r="J186" s="33">
        <f>Examples!$G$18-(Examples!$G$10+Examples!$G$11)*$A186-(Examples!$G$6*Examples!$G$7*Examples!$G$8*EXP(-Examples!$G$9*$A186)*(1-(Examples!$G$12*(1-EXP(-Examples!$G$13*$A186))/(1+EXP(MIN(700,MAX(-700,(Examples!$G$14*$A186-Examples!$G$15)/Examples!$G$16))))))+Examples!$G$17*$A186^2)</f>
        <v>687785.47564975102</v>
      </c>
      <c r="K186" s="33">
        <f>(Examples!$G$6*Examples!$G$7*Examples!$G$8*EXP(-Examples!$G$9*$A186)*(1-(Examples!$G$12*(1-EXP(-Examples!$G$13*$A186))/(1+EXP(MIN(700,MAX(-700,(Examples!$G$14*$A186-Examples!$G$15)/Examples!$G$16))))))+Examples!$G$17*$A186^2)</f>
        <v>720214.52435024898</v>
      </c>
      <c r="L186" s="33">
        <f>Examples!$H$18-(Examples!$H$10+Examples!$H$11)*$A186-(Examples!$H$6*Examples!$H$7*Examples!$H$8*EXP(-Examples!$H$9*$A186)*(1-(Examples!$H$12*(1-EXP(-Examples!$H$13*$A186))/(1+EXP(MIN(700,MAX(-700,(Examples!$H$14*$A186-Examples!$H$15)/Examples!$H$16))))))+Examples!$H$17*$A186^2)</f>
        <v>781411.22218379285</v>
      </c>
      <c r="M186" s="33">
        <f>(Examples!$H$6*Examples!$H$7*Examples!$H$8*EXP(-Examples!$H$9*$A186)*(1-(Examples!$H$12*(1-EXP(-Examples!$H$13*$A186))/(1+EXP(MIN(700,MAX(-700,(Examples!$H$14*$A186-Examples!$H$15)/Examples!$H$16))))))+Examples!$H$17*$A186^2)</f>
        <v>626588.77781620715</v>
      </c>
    </row>
    <row r="187" spans="1:13" x14ac:dyDescent="0.25">
      <c r="A187">
        <f>(187-2)/100</f>
        <v>1.85</v>
      </c>
      <c r="B187" s="33">
        <f>Examples!$C$18-(Examples!$C$10+Examples!$C$11)*$A187-(Examples!$C$6*Examples!$C$7*Examples!$C$8*EXP(-Examples!$C$9*$A187)*(1-(Examples!$C$12*(1-EXP(-Examples!$C$13*$A187))/(1+EXP(MIN(700,MAX(-700,(Examples!$C$14*$A187-Examples!$C$15)/Examples!$C$16))))))+Examples!$C$17*$A187^2)</f>
        <v>177486.25491390488</v>
      </c>
      <c r="C187" s="33">
        <f>(Examples!$C$6*Examples!$C$7*Examples!$C$8*EXP(-Examples!$C$9*$A187)*(1-(Examples!$C$12*(1-EXP(-Examples!$C$13*$A187))/(1+EXP(MIN(700,MAX(-700,(Examples!$C$14*$A187-Examples!$C$15)/Examples!$C$16))))))+Examples!$C$17*$A187^2)</f>
        <v>357763.74508609512</v>
      </c>
      <c r="D187" s="33">
        <f>Examples!$D$18-(Examples!$D$10+Examples!$D$11)*$A187-(Examples!$D$6*Examples!$D$7*Examples!$D$8*EXP(-Examples!$D$9*$A187)*(1-(Examples!$D$12*(1-EXP(-Examples!$D$13*$A187))/(1+EXP(MIN(700,MAX(-700,(Examples!$D$14*$A187-Examples!$D$15)/Examples!$D$16))))))+Examples!$D$17*$A187^2)</f>
        <v>1005620.7056928412</v>
      </c>
      <c r="E187" s="33">
        <f>(Examples!$D$6*Examples!$D$7*Examples!$D$8*EXP(-Examples!$D$9*$A187)*(1-(Examples!$D$12*(1-EXP(-Examples!$D$13*$A187))/(1+EXP(MIN(700,MAX(-700,(Examples!$D$14*$A187-Examples!$D$15)/Examples!$D$16))))))+Examples!$D$17*$A187^2)</f>
        <v>1411129.2943071588</v>
      </c>
      <c r="F187" s="33">
        <f>Examples!$E$18-(Examples!$E$10+Examples!$E$11)*$A187-(Examples!$E$6*Examples!$E$7*Examples!$E$8*EXP(-Examples!$E$9*$A187)*(1-(Examples!$E$12*(1-EXP(-Examples!$E$13*$A187))/(1+EXP(MIN(700,MAX(-700,(Examples!$E$14*$A187-Examples!$E$15)/Examples!$E$16))))))+Examples!$E$17*$A187^2)</f>
        <v>2373422.3149683238</v>
      </c>
      <c r="G187" s="33">
        <f>(Examples!$E$6*Examples!$E$7*Examples!$E$8*EXP(-Examples!$E$9*$A187)*(1-(Examples!$E$12*(1-EXP(-Examples!$E$13*$A187))/(1+EXP(MIN(700,MAX(-700,(Examples!$E$14*$A187-Examples!$E$15)/Examples!$E$16))))))+Examples!$E$17*$A187^2)</f>
        <v>469327.68503167602</v>
      </c>
      <c r="H187" s="33">
        <f>Examples!$F$18-(Examples!$F$10+Examples!$F$11)*$A187-(Examples!$F$6*Examples!$F$7*Examples!$F$8*EXP(-Examples!$F$9*$A187)*(1-(Examples!$F$12*(1-EXP(-Examples!$F$13*$A187))/(1+EXP(MIN(700,MAX(-700,(Examples!$F$14*$A187-Examples!$F$15)/Examples!$F$16))))))+Examples!$F$17*$A187^2)</f>
        <v>34696.082737290562</v>
      </c>
      <c r="I187" s="33">
        <f>(Examples!$F$6*Examples!$F$7*Examples!$F$8*EXP(-Examples!$F$9*$A187)*(1-(Examples!$F$12*(1-EXP(-Examples!$F$13*$A187))/(1+EXP(MIN(700,MAX(-700,(Examples!$F$14*$A187-Examples!$F$15)/Examples!$F$16))))))+Examples!$F$17*$A187^2)</f>
        <v>78303.917262709438</v>
      </c>
      <c r="J187" s="33">
        <f>Examples!$G$18-(Examples!$G$10+Examples!$G$11)*$A187-(Examples!$G$6*Examples!$G$7*Examples!$G$8*EXP(-Examples!$G$9*$A187)*(1-(Examples!$G$12*(1-EXP(-Examples!$G$13*$A187))/(1+EXP(MIN(700,MAX(-700,(Examples!$G$14*$A187-Examples!$G$15)/Examples!$G$16))))))+Examples!$G$17*$A187^2)</f>
        <v>689188.35380577657</v>
      </c>
      <c r="K187" s="33">
        <f>(Examples!$G$6*Examples!$G$7*Examples!$G$8*EXP(-Examples!$G$9*$A187)*(1-(Examples!$G$12*(1-EXP(-Examples!$G$13*$A187))/(1+EXP(MIN(700,MAX(-700,(Examples!$G$14*$A187-Examples!$G$15)/Examples!$G$16))))))+Examples!$G$17*$A187^2)</f>
        <v>718311.64619422343</v>
      </c>
      <c r="L187" s="33">
        <f>Examples!$H$18-(Examples!$H$10+Examples!$H$11)*$A187-(Examples!$H$6*Examples!$H$7*Examples!$H$8*EXP(-Examples!$H$9*$A187)*(1-(Examples!$H$12*(1-EXP(-Examples!$H$13*$A187))/(1+EXP(MIN(700,MAX(-700,(Examples!$H$14*$A187-Examples!$H$15)/Examples!$H$16))))))+Examples!$H$17*$A187^2)</f>
        <v>782618.71819574875</v>
      </c>
      <c r="M187" s="33">
        <f>(Examples!$H$6*Examples!$H$7*Examples!$H$8*EXP(-Examples!$H$9*$A187)*(1-(Examples!$H$12*(1-EXP(-Examples!$H$13*$A187))/(1+EXP(MIN(700,MAX(-700,(Examples!$H$14*$A187-Examples!$H$15)/Examples!$H$16))))))+Examples!$H$17*$A187^2)</f>
        <v>624881.28180425125</v>
      </c>
    </row>
    <row r="188" spans="1:13" x14ac:dyDescent="0.25">
      <c r="A188">
        <f>(188-2)/100</f>
        <v>1.86</v>
      </c>
      <c r="B188" s="33">
        <f>Examples!$C$18-(Examples!$C$10+Examples!$C$11)*$A188-(Examples!$C$6*Examples!$C$7*Examples!$C$8*EXP(-Examples!$C$9*$A188)*(1-(Examples!$C$12*(1-EXP(-Examples!$C$13*$A188))/(1+EXP(MIN(700,MAX(-700,(Examples!$C$14*$A188-Examples!$C$15)/Examples!$C$16))))))+Examples!$C$17*$A188^2)</f>
        <v>176817.89823222894</v>
      </c>
      <c r="C188" s="33">
        <f>(Examples!$C$6*Examples!$C$7*Examples!$C$8*EXP(-Examples!$C$9*$A188)*(1-(Examples!$C$12*(1-EXP(-Examples!$C$13*$A188))/(1+EXP(MIN(700,MAX(-700,(Examples!$C$14*$A188-Examples!$C$15)/Examples!$C$16))))))+Examples!$C$17*$A188^2)</f>
        <v>358082.10176777106</v>
      </c>
      <c r="D188" s="33">
        <f>Examples!$D$18-(Examples!$D$10+Examples!$D$11)*$A188-(Examples!$D$6*Examples!$D$7*Examples!$D$8*EXP(-Examples!$D$9*$A188)*(1-(Examples!$D$12*(1-EXP(-Examples!$D$13*$A188))/(1+EXP(MIN(700,MAX(-700,(Examples!$D$14*$A188-Examples!$D$15)/Examples!$D$16))))))+Examples!$D$17*$A188^2)</f>
        <v>1013605.8060335845</v>
      </c>
      <c r="E188" s="33">
        <f>(Examples!$D$6*Examples!$D$7*Examples!$D$8*EXP(-Examples!$D$9*$A188)*(1-(Examples!$D$12*(1-EXP(-Examples!$D$13*$A188))/(1+EXP(MIN(700,MAX(-700,(Examples!$D$14*$A188-Examples!$D$15)/Examples!$D$16))))))+Examples!$D$17*$A188^2)</f>
        <v>1402694.1939664155</v>
      </c>
      <c r="F188" s="33">
        <f>Examples!$E$18-(Examples!$E$10+Examples!$E$11)*$A188-(Examples!$E$6*Examples!$E$7*Examples!$E$8*EXP(-Examples!$E$9*$A188)*(1-(Examples!$E$12*(1-EXP(-Examples!$E$13*$A188))/(1+EXP(MIN(700,MAX(-700,(Examples!$E$14*$A188-Examples!$E$15)/Examples!$E$16))))))+Examples!$E$17*$A188^2)</f>
        <v>2375987.0774226449</v>
      </c>
      <c r="G188" s="33">
        <f>(Examples!$E$6*Examples!$E$7*Examples!$E$8*EXP(-Examples!$E$9*$A188)*(1-(Examples!$E$12*(1-EXP(-Examples!$E$13*$A188))/(1+EXP(MIN(700,MAX(-700,(Examples!$E$14*$A188-Examples!$E$15)/Examples!$E$16))))))+Examples!$E$17*$A188^2)</f>
        <v>465912.92257735512</v>
      </c>
      <c r="H188" s="33">
        <f>Examples!$F$18-(Examples!$F$10+Examples!$F$11)*$A188-(Examples!$F$6*Examples!$F$7*Examples!$F$8*EXP(-Examples!$F$9*$A188)*(1-(Examples!$F$12*(1-EXP(-Examples!$F$13*$A188))/(1+EXP(MIN(700,MAX(-700,(Examples!$F$14*$A188-Examples!$F$15)/Examples!$F$16))))))+Examples!$F$17*$A188^2)</f>
        <v>33777.643414158927</v>
      </c>
      <c r="I188" s="33">
        <f>(Examples!$F$6*Examples!$F$7*Examples!$F$8*EXP(-Examples!$F$9*$A188)*(1-(Examples!$F$12*(1-EXP(-Examples!$F$13*$A188))/(1+EXP(MIN(700,MAX(-700,(Examples!$F$14*$A188-Examples!$F$15)/Examples!$F$16))))))+Examples!$F$17*$A188^2)</f>
        <v>79022.356585841073</v>
      </c>
      <c r="J188" s="33">
        <f>Examples!$G$18-(Examples!$G$10+Examples!$G$11)*$A188-(Examples!$G$6*Examples!$G$7*Examples!$G$8*EXP(-Examples!$G$9*$A188)*(1-(Examples!$G$12*(1-EXP(-Examples!$G$13*$A188))/(1+EXP(MIN(700,MAX(-700,(Examples!$G$14*$A188-Examples!$G$15)/Examples!$G$16))))))+Examples!$G$17*$A188^2)</f>
        <v>690560.10504364141</v>
      </c>
      <c r="K188" s="33">
        <f>(Examples!$G$6*Examples!$G$7*Examples!$G$8*EXP(-Examples!$G$9*$A188)*(1-(Examples!$G$12*(1-EXP(-Examples!$G$13*$A188))/(1+EXP(MIN(700,MAX(-700,(Examples!$G$14*$A188-Examples!$G$15)/Examples!$G$16))))))+Examples!$G$17*$A188^2)</f>
        <v>716439.89495635859</v>
      </c>
      <c r="L188" s="33">
        <f>Examples!$H$18-(Examples!$H$10+Examples!$H$11)*$A188-(Examples!$H$6*Examples!$H$7*Examples!$H$8*EXP(-Examples!$H$9*$A188)*(1-(Examples!$H$12*(1-EXP(-Examples!$H$13*$A188))/(1+EXP(MIN(700,MAX(-700,(Examples!$H$14*$A188-Examples!$H$15)/Examples!$H$16))))))+Examples!$H$17*$A188^2)</f>
        <v>783760.53314760316</v>
      </c>
      <c r="M188" s="33">
        <f>(Examples!$H$6*Examples!$H$7*Examples!$H$8*EXP(-Examples!$H$9*$A188)*(1-(Examples!$H$12*(1-EXP(-Examples!$H$13*$A188))/(1+EXP(MIN(700,MAX(-700,(Examples!$H$14*$A188-Examples!$H$15)/Examples!$H$16))))))+Examples!$H$17*$A188^2)</f>
        <v>623239.46685239684</v>
      </c>
    </row>
    <row r="189" spans="1:13" x14ac:dyDescent="0.25">
      <c r="A189">
        <f>(189-2)/100</f>
        <v>1.87</v>
      </c>
      <c r="B189" s="33">
        <f>Examples!$C$18-(Examples!$C$10+Examples!$C$11)*$A189-(Examples!$C$6*Examples!$C$7*Examples!$C$8*EXP(-Examples!$C$9*$A189)*(1-(Examples!$C$12*(1-EXP(-Examples!$C$13*$A189))/(1+EXP(MIN(700,MAX(-700,(Examples!$C$14*$A189-Examples!$C$15)/Examples!$C$16))))))+Examples!$C$17*$A189^2)</f>
        <v>176149.87263104477</v>
      </c>
      <c r="C189" s="33">
        <f>(Examples!$C$6*Examples!$C$7*Examples!$C$8*EXP(-Examples!$C$9*$A189)*(1-(Examples!$C$12*(1-EXP(-Examples!$C$13*$A189))/(1+EXP(MIN(700,MAX(-700,(Examples!$C$14*$A189-Examples!$C$15)/Examples!$C$16))))))+Examples!$C$17*$A189^2)</f>
        <v>358400.12736895523</v>
      </c>
      <c r="D189" s="33">
        <f>Examples!$D$18-(Examples!$D$10+Examples!$D$11)*$A189-(Examples!$D$6*Examples!$D$7*Examples!$D$8*EXP(-Examples!$D$9*$A189)*(1-(Examples!$D$12*(1-EXP(-Examples!$D$13*$A189))/(1+EXP(MIN(700,MAX(-700,(Examples!$D$14*$A189-Examples!$D$15)/Examples!$D$16))))))+Examples!$D$17*$A189^2)</f>
        <v>1021498.8155542861</v>
      </c>
      <c r="E189" s="33">
        <f>(Examples!$D$6*Examples!$D$7*Examples!$D$8*EXP(-Examples!$D$9*$A189)*(1-(Examples!$D$12*(1-EXP(-Examples!$D$13*$A189))/(1+EXP(MIN(700,MAX(-700,(Examples!$D$14*$A189-Examples!$D$15)/Examples!$D$16))))))+Examples!$D$17*$A189^2)</f>
        <v>1394351.1844457139</v>
      </c>
      <c r="F189" s="33">
        <f>Examples!$E$18-(Examples!$E$10+Examples!$E$11)*$A189-(Examples!$E$6*Examples!$E$7*Examples!$E$8*EXP(-Examples!$E$9*$A189)*(1-(Examples!$E$12*(1-EXP(-Examples!$E$13*$A189))/(1+EXP(MIN(700,MAX(-700,(Examples!$E$14*$A189-Examples!$E$15)/Examples!$E$16))))))+Examples!$E$17*$A189^2)</f>
        <v>2378511.9989951518</v>
      </c>
      <c r="G189" s="33">
        <f>(Examples!$E$6*Examples!$E$7*Examples!$E$8*EXP(-Examples!$E$9*$A189)*(1-(Examples!$E$12*(1-EXP(-Examples!$E$13*$A189))/(1+EXP(MIN(700,MAX(-700,(Examples!$E$14*$A189-Examples!$E$15)/Examples!$E$16))))))+Examples!$E$17*$A189^2)</f>
        <v>462538.00100484816</v>
      </c>
      <c r="H189" s="33">
        <f>Examples!$F$18-(Examples!$F$10+Examples!$F$11)*$A189-(Examples!$F$6*Examples!$F$7*Examples!$F$8*EXP(-Examples!$F$9*$A189)*(1-(Examples!$F$12*(1-EXP(-Examples!$F$13*$A189))/(1+EXP(MIN(700,MAX(-700,(Examples!$F$14*$A189-Examples!$F$15)/Examples!$F$16))))))+Examples!$F$17*$A189^2)</f>
        <v>32855.303008814575</v>
      </c>
      <c r="I189" s="33">
        <f>(Examples!$F$6*Examples!$F$7*Examples!$F$8*EXP(-Examples!$F$9*$A189)*(1-(Examples!$F$12*(1-EXP(-Examples!$F$13*$A189))/(1+EXP(MIN(700,MAX(-700,(Examples!$F$14*$A189-Examples!$F$15)/Examples!$F$16))))))+Examples!$F$17*$A189^2)</f>
        <v>79744.696991185425</v>
      </c>
      <c r="J189" s="33">
        <f>Examples!$G$18-(Examples!$G$10+Examples!$G$11)*$A189-(Examples!$G$6*Examples!$G$7*Examples!$G$8*EXP(-Examples!$G$9*$A189)*(1-(Examples!$G$12*(1-EXP(-Examples!$G$13*$A189))/(1+EXP(MIN(700,MAX(-700,(Examples!$G$14*$A189-Examples!$G$15)/Examples!$G$16))))))+Examples!$G$17*$A189^2)</f>
        <v>691901.07437240006</v>
      </c>
      <c r="K189" s="33">
        <f>(Examples!$G$6*Examples!$G$7*Examples!$G$8*EXP(-Examples!$G$9*$A189)*(1-(Examples!$G$12*(1-EXP(-Examples!$G$13*$A189))/(1+EXP(MIN(700,MAX(-700,(Examples!$G$14*$A189-Examples!$G$15)/Examples!$G$16))))))+Examples!$G$17*$A189^2)</f>
        <v>714598.92562759994</v>
      </c>
      <c r="L189" s="33">
        <f>Examples!$H$18-(Examples!$H$10+Examples!$H$11)*$A189-(Examples!$H$6*Examples!$H$7*Examples!$H$8*EXP(-Examples!$H$9*$A189)*(1-(Examples!$H$12*(1-EXP(-Examples!$H$13*$A189))/(1+EXP(MIN(700,MAX(-700,(Examples!$H$14*$A189-Examples!$H$15)/Examples!$H$16))))))+Examples!$H$17*$A189^2)</f>
        <v>784836.35637397668</v>
      </c>
      <c r="M189" s="33">
        <f>(Examples!$H$6*Examples!$H$7*Examples!$H$8*EXP(-Examples!$H$9*$A189)*(1-(Examples!$H$12*(1-EXP(-Examples!$H$13*$A189))/(1+EXP(MIN(700,MAX(-700,(Examples!$H$14*$A189-Examples!$H$15)/Examples!$H$16))))))+Examples!$H$17*$A189^2)</f>
        <v>621663.64362602332</v>
      </c>
    </row>
    <row r="190" spans="1:13" x14ac:dyDescent="0.25">
      <c r="A190">
        <f>(190-2)/100</f>
        <v>1.88</v>
      </c>
      <c r="B190" s="33">
        <f>Examples!$C$18-(Examples!$C$10+Examples!$C$11)*$A190-(Examples!$C$6*Examples!$C$7*Examples!$C$8*EXP(-Examples!$C$9*$A190)*(1-(Examples!$C$12*(1-EXP(-Examples!$C$13*$A190))/(1+EXP(MIN(700,MAX(-700,(Examples!$C$14*$A190-Examples!$C$15)/Examples!$C$16))))))+Examples!$C$17*$A190^2)</f>
        <v>175482.59078097838</v>
      </c>
      <c r="C190" s="33">
        <f>(Examples!$C$6*Examples!$C$7*Examples!$C$8*EXP(-Examples!$C$9*$A190)*(1-(Examples!$C$12*(1-EXP(-Examples!$C$13*$A190))/(1+EXP(MIN(700,MAX(-700,(Examples!$C$14*$A190-Examples!$C$15)/Examples!$C$16))))))+Examples!$C$17*$A190^2)</f>
        <v>358717.40921902162</v>
      </c>
      <c r="D190" s="33">
        <f>Examples!$D$18-(Examples!$D$10+Examples!$D$11)*$A190-(Examples!$D$6*Examples!$D$7*Examples!$D$8*EXP(-Examples!$D$9*$A190)*(1-(Examples!$D$12*(1-EXP(-Examples!$D$13*$A190))/(1+EXP(MIN(700,MAX(-700,(Examples!$D$14*$A190-Examples!$D$15)/Examples!$D$16))))))+Examples!$D$17*$A190^2)</f>
        <v>1029300.5112956059</v>
      </c>
      <c r="E190" s="33">
        <f>(Examples!$D$6*Examples!$D$7*Examples!$D$8*EXP(-Examples!$D$9*$A190)*(1-(Examples!$D$12*(1-EXP(-Examples!$D$13*$A190))/(1+EXP(MIN(700,MAX(-700,(Examples!$D$14*$A190-Examples!$D$15)/Examples!$D$16))))))+Examples!$D$17*$A190^2)</f>
        <v>1386099.4887043941</v>
      </c>
      <c r="F190" s="33">
        <f>Examples!$E$18-(Examples!$E$10+Examples!$E$11)*$A190-(Examples!$E$6*Examples!$E$7*Examples!$E$8*EXP(-Examples!$E$9*$A190)*(1-(Examples!$E$12*(1-EXP(-Examples!$E$13*$A190))/(1+EXP(MIN(700,MAX(-700,(Examples!$E$14*$A190-Examples!$E$15)/Examples!$E$16))))))+Examples!$E$17*$A190^2)</f>
        <v>2380997.5247331294</v>
      </c>
      <c r="G190" s="33">
        <f>(Examples!$E$6*Examples!$E$7*Examples!$E$8*EXP(-Examples!$E$9*$A190)*(1-(Examples!$E$12*(1-EXP(-Examples!$E$13*$A190))/(1+EXP(MIN(700,MAX(-700,(Examples!$E$14*$A190-Examples!$E$15)/Examples!$E$16))))))+Examples!$E$17*$A190^2)</f>
        <v>459202.47526687058</v>
      </c>
      <c r="H190" s="33">
        <f>Examples!$F$18-(Examples!$F$10+Examples!$F$11)*$A190-(Examples!$F$6*Examples!$F$7*Examples!$F$8*EXP(-Examples!$F$9*$A190)*(1-(Examples!$F$12*(1-EXP(-Examples!$F$13*$A190))/(1+EXP(MIN(700,MAX(-700,(Examples!$F$14*$A190-Examples!$F$15)/Examples!$F$16))))))+Examples!$F$17*$A190^2)</f>
        <v>31929.058501184219</v>
      </c>
      <c r="I190" s="33">
        <f>(Examples!$F$6*Examples!$F$7*Examples!$F$8*EXP(-Examples!$F$9*$A190)*(1-(Examples!$F$12*(1-EXP(-Examples!$F$13*$A190))/(1+EXP(MIN(700,MAX(-700,(Examples!$F$14*$A190-Examples!$F$15)/Examples!$F$16))))))+Examples!$F$17*$A190^2)</f>
        <v>80470.941498815781</v>
      </c>
      <c r="J190" s="33">
        <f>Examples!$G$18-(Examples!$G$10+Examples!$G$11)*$A190-(Examples!$G$6*Examples!$G$7*Examples!$G$8*EXP(-Examples!$G$9*$A190)*(1-(Examples!$G$12*(1-EXP(-Examples!$G$13*$A190))/(1+EXP(MIN(700,MAX(-700,(Examples!$G$14*$A190-Examples!$G$15)/Examples!$G$16))))))+Examples!$G$17*$A190^2)</f>
        <v>693211.6068639257</v>
      </c>
      <c r="K190" s="33">
        <f>(Examples!$G$6*Examples!$G$7*Examples!$G$8*EXP(-Examples!$G$9*$A190)*(1-(Examples!$G$12*(1-EXP(-Examples!$G$13*$A190))/(1+EXP(MIN(700,MAX(-700,(Examples!$G$14*$A190-Examples!$G$15)/Examples!$G$16))))))+Examples!$G$17*$A190^2)</f>
        <v>712788.3931360743</v>
      </c>
      <c r="L190" s="33">
        <f>Examples!$H$18-(Examples!$H$10+Examples!$H$11)*$A190-(Examples!$H$6*Examples!$H$7*Examples!$H$8*EXP(-Examples!$H$9*$A190)*(1-(Examples!$H$12*(1-EXP(-Examples!$H$13*$A190))/(1+EXP(MIN(700,MAX(-700,(Examples!$H$14*$A190-Examples!$H$15)/Examples!$H$16))))))+Examples!$H$17*$A190^2)</f>
        <v>785845.88950536074</v>
      </c>
      <c r="M190" s="33">
        <f>(Examples!$H$6*Examples!$H$7*Examples!$H$8*EXP(-Examples!$H$9*$A190)*(1-(Examples!$H$12*(1-EXP(-Examples!$H$13*$A190))/(1+EXP(MIN(700,MAX(-700,(Examples!$H$14*$A190-Examples!$H$15)/Examples!$H$16))))))+Examples!$H$17*$A190^2)</f>
        <v>620154.11049463926</v>
      </c>
    </row>
    <row r="191" spans="1:13" x14ac:dyDescent="0.25">
      <c r="A191">
        <f>(191-2)/100</f>
        <v>1.89</v>
      </c>
      <c r="B191" s="33">
        <f>Examples!$C$18-(Examples!$C$10+Examples!$C$11)*$A191-(Examples!$C$6*Examples!$C$7*Examples!$C$8*EXP(-Examples!$C$9*$A191)*(1-(Examples!$C$12*(1-EXP(-Examples!$C$13*$A191))/(1+EXP(MIN(700,MAX(-700,(Examples!$C$14*$A191-Examples!$C$15)/Examples!$C$16))))))+Examples!$C$17*$A191^2)</f>
        <v>174816.44737542956</v>
      </c>
      <c r="C191" s="33">
        <f>(Examples!$C$6*Examples!$C$7*Examples!$C$8*EXP(-Examples!$C$9*$A191)*(1-(Examples!$C$12*(1-EXP(-Examples!$C$13*$A191))/(1+EXP(MIN(700,MAX(-700,(Examples!$C$14*$A191-Examples!$C$15)/Examples!$C$16))))))+Examples!$C$17*$A191^2)</f>
        <v>359033.55262457044</v>
      </c>
      <c r="D191" s="33">
        <f>Examples!$D$18-(Examples!$D$10+Examples!$D$11)*$A191-(Examples!$D$6*Examples!$D$7*Examples!$D$8*EXP(-Examples!$D$9*$A191)*(1-(Examples!$D$12*(1-EXP(-Examples!$D$13*$A191))/(1+EXP(MIN(700,MAX(-700,(Examples!$D$14*$A191-Examples!$D$15)/Examples!$D$16))))))+Examples!$D$17*$A191^2)</f>
        <v>1037011.6631357756</v>
      </c>
      <c r="E191" s="33">
        <f>(Examples!$D$6*Examples!$D$7*Examples!$D$8*EXP(-Examples!$D$9*$A191)*(1-(Examples!$D$12*(1-EXP(-Examples!$D$13*$A191))/(1+EXP(MIN(700,MAX(-700,(Examples!$D$14*$A191-Examples!$D$15)/Examples!$D$16))))))+Examples!$D$17*$A191^2)</f>
        <v>1377938.3368642244</v>
      </c>
      <c r="F191" s="33">
        <f>Examples!$E$18-(Examples!$E$10+Examples!$E$11)*$A191-(Examples!$E$6*Examples!$E$7*Examples!$E$8*EXP(-Examples!$E$9*$A191)*(1-(Examples!$E$12*(1-EXP(-Examples!$E$13*$A191))/(1+EXP(MIN(700,MAX(-700,(Examples!$E$14*$A191-Examples!$E$15)/Examples!$E$16))))))+Examples!$E$17*$A191^2)</f>
        <v>2383444.0945797479</v>
      </c>
      <c r="G191" s="33">
        <f>(Examples!$E$6*Examples!$E$7*Examples!$E$8*EXP(-Examples!$E$9*$A191)*(1-(Examples!$E$12*(1-EXP(-Examples!$E$13*$A191))/(1+EXP(MIN(700,MAX(-700,(Examples!$E$14*$A191-Examples!$E$15)/Examples!$E$16))))))+Examples!$E$17*$A191^2)</f>
        <v>455905.90542025206</v>
      </c>
      <c r="H191" s="33">
        <f>Examples!$F$18-(Examples!$F$10+Examples!$F$11)*$A191-(Examples!$F$6*Examples!$F$7*Examples!$F$8*EXP(-Examples!$F$9*$A191)*(1-(Examples!$F$12*(1-EXP(-Examples!$F$13*$A191))/(1+EXP(MIN(700,MAX(-700,(Examples!$F$14*$A191-Examples!$F$15)/Examples!$F$16))))))+Examples!$F$17*$A191^2)</f>
        <v>30998.906773222378</v>
      </c>
      <c r="I191" s="33">
        <f>(Examples!$F$6*Examples!$F$7*Examples!$F$8*EXP(-Examples!$F$9*$A191)*(1-(Examples!$F$12*(1-EXP(-Examples!$F$13*$A191))/(1+EXP(MIN(700,MAX(-700,(Examples!$F$14*$A191-Examples!$F$15)/Examples!$F$16))))))+Examples!$F$17*$A191^2)</f>
        <v>81201.093226777622</v>
      </c>
      <c r="J191" s="33">
        <f>Examples!$G$18-(Examples!$G$10+Examples!$G$11)*$A191-(Examples!$G$6*Examples!$G$7*Examples!$G$8*EXP(-Examples!$G$9*$A191)*(1-(Examples!$G$12*(1-EXP(-Examples!$G$13*$A191))/(1+EXP(MIN(700,MAX(-700,(Examples!$G$14*$A191-Examples!$G$15)/Examples!$G$16))))))+Examples!$G$17*$A191^2)</f>
        <v>694492.04764105706</v>
      </c>
      <c r="K191" s="33">
        <f>(Examples!$G$6*Examples!$G$7*Examples!$G$8*EXP(-Examples!$G$9*$A191)*(1-(Examples!$G$12*(1-EXP(-Examples!$G$13*$A191))/(1+EXP(MIN(700,MAX(-700,(Examples!$G$14*$A191-Examples!$G$15)/Examples!$G$16))))))+Examples!$G$17*$A191^2)</f>
        <v>711007.95235894294</v>
      </c>
      <c r="L191" s="33">
        <f>Examples!$H$18-(Examples!$H$10+Examples!$H$11)*$A191-(Examples!$H$6*Examples!$H$7*Examples!$H$8*EXP(-Examples!$H$9*$A191)*(1-(Examples!$H$12*(1-EXP(-Examples!$H$13*$A191))/(1+EXP(MIN(700,MAX(-700,(Examples!$H$14*$A191-Examples!$H$15)/Examples!$H$16))))))+Examples!$H$17*$A191^2)</f>
        <v>786788.84794917225</v>
      </c>
      <c r="M191" s="33">
        <f>(Examples!$H$6*Examples!$H$7*Examples!$H$8*EXP(-Examples!$H$9*$A191)*(1-(Examples!$H$12*(1-EXP(-Examples!$H$13*$A191))/(1+EXP(MIN(700,MAX(-700,(Examples!$H$14*$A191-Examples!$H$15)/Examples!$H$16))))))+Examples!$H$17*$A191^2)</f>
        <v>618711.15205082775</v>
      </c>
    </row>
    <row r="192" spans="1:13" x14ac:dyDescent="0.25">
      <c r="A192">
        <f>(192-2)/100</f>
        <v>1.9</v>
      </c>
      <c r="B192" s="33">
        <f>Examples!$C$18-(Examples!$C$10+Examples!$C$11)*$A192-(Examples!$C$6*Examples!$C$7*Examples!$C$8*EXP(-Examples!$C$9*$A192)*(1-(Examples!$C$12*(1-EXP(-Examples!$C$13*$A192))/(1+EXP(MIN(700,MAX(-700,(Examples!$C$14*$A192-Examples!$C$15)/Examples!$C$16))))))+Examples!$C$17*$A192^2)</f>
        <v>174151.81878023967</v>
      </c>
      <c r="C192" s="33">
        <f>(Examples!$C$6*Examples!$C$7*Examples!$C$8*EXP(-Examples!$C$9*$A192)*(1-(Examples!$C$12*(1-EXP(-Examples!$C$13*$A192))/(1+EXP(MIN(700,MAX(-700,(Examples!$C$14*$A192-Examples!$C$15)/Examples!$C$16))))))+Examples!$C$17*$A192^2)</f>
        <v>359348.18121976033</v>
      </c>
      <c r="D192" s="33">
        <f>Examples!$D$18-(Examples!$D$10+Examples!$D$11)*$A192-(Examples!$D$6*Examples!$D$7*Examples!$D$8*EXP(-Examples!$D$9*$A192)*(1-(Examples!$D$12*(1-EXP(-Examples!$D$13*$A192))/(1+EXP(MIN(700,MAX(-700,(Examples!$D$14*$A192-Examples!$D$15)/Examples!$D$16))))))+Examples!$D$17*$A192^2)</f>
        <v>1044633.0338918399</v>
      </c>
      <c r="E192" s="33">
        <f>(Examples!$D$6*Examples!$D$7*Examples!$D$8*EXP(-Examples!$D$9*$A192)*(1-(Examples!$D$12*(1-EXP(-Examples!$D$13*$A192))/(1+EXP(MIN(700,MAX(-700,(Examples!$D$14*$A192-Examples!$D$15)/Examples!$D$16))))))+Examples!$D$17*$A192^2)</f>
        <v>1369866.9661081601</v>
      </c>
      <c r="F192" s="33">
        <f>Examples!$E$18-(Examples!$E$10+Examples!$E$11)*$A192-(Examples!$E$6*Examples!$E$7*Examples!$E$8*EXP(-Examples!$E$9*$A192)*(1-(Examples!$E$12*(1-EXP(-Examples!$E$13*$A192))/(1+EXP(MIN(700,MAX(-700,(Examples!$E$14*$A192-Examples!$E$15)/Examples!$E$16))))))+Examples!$E$17*$A192^2)</f>
        <v>2385852.1434349101</v>
      </c>
      <c r="G192" s="33">
        <f>(Examples!$E$6*Examples!$E$7*Examples!$E$8*EXP(-Examples!$E$9*$A192)*(1-(Examples!$E$12*(1-EXP(-Examples!$E$13*$A192))/(1+EXP(MIN(700,MAX(-700,(Examples!$E$14*$A192-Examples!$E$15)/Examples!$E$16))))))+Examples!$E$17*$A192^2)</f>
        <v>452647.8565650899</v>
      </c>
      <c r="H192" s="33">
        <f>Examples!$F$18-(Examples!$F$10+Examples!$F$11)*$A192-(Examples!$F$6*Examples!$F$7*Examples!$F$8*EXP(-Examples!$F$9*$A192)*(1-(Examples!$F$12*(1-EXP(-Examples!$F$13*$A192))/(1+EXP(MIN(700,MAX(-700,(Examples!$F$14*$A192-Examples!$F$15)/Examples!$F$16))))))+Examples!$F$17*$A192^2)</f>
        <v>30064.844622544551</v>
      </c>
      <c r="I192" s="33">
        <f>(Examples!$F$6*Examples!$F$7*Examples!$F$8*EXP(-Examples!$F$9*$A192)*(1-(Examples!$F$12*(1-EXP(-Examples!$F$13*$A192))/(1+EXP(MIN(700,MAX(-700,(Examples!$F$14*$A192-Examples!$F$15)/Examples!$F$16))))))+Examples!$F$17*$A192^2)</f>
        <v>81935.155377455449</v>
      </c>
      <c r="J192" s="33">
        <f>Examples!$G$18-(Examples!$G$10+Examples!$G$11)*$A192-(Examples!$G$6*Examples!$G$7*Examples!$G$8*EXP(-Examples!$G$9*$A192)*(1-(Examples!$G$12*(1-EXP(-Examples!$G$13*$A192))/(1+EXP(MIN(700,MAX(-700,(Examples!$G$14*$A192-Examples!$G$15)/Examples!$G$16))))))+Examples!$G$17*$A192^2)</f>
        <v>695742.74186437228</v>
      </c>
      <c r="K192" s="33">
        <f>(Examples!$G$6*Examples!$G$7*Examples!$G$8*EXP(-Examples!$G$9*$A192)*(1-(Examples!$G$12*(1-EXP(-Examples!$G$13*$A192))/(1+EXP(MIN(700,MAX(-700,(Examples!$G$14*$A192-Examples!$G$15)/Examples!$G$16))))))+Examples!$G$17*$A192^2)</f>
        <v>709257.25813562772</v>
      </c>
      <c r="L192" s="33">
        <f>Examples!$H$18-(Examples!$H$10+Examples!$H$11)*$A192-(Examples!$H$6*Examples!$H$7*Examples!$H$8*EXP(-Examples!$H$9*$A192)*(1-(Examples!$H$12*(1-EXP(-Examples!$H$13*$A192))/(1+EXP(MIN(700,MAX(-700,(Examples!$H$14*$A192-Examples!$H$15)/Examples!$H$16))))))+Examples!$H$17*$A192^2)</f>
        <v>787664.96241972526</v>
      </c>
      <c r="M192" s="33">
        <f>(Examples!$H$6*Examples!$H$7*Examples!$H$8*EXP(-Examples!$H$9*$A192)*(1-(Examples!$H$12*(1-EXP(-Examples!$H$13*$A192))/(1+EXP(MIN(700,MAX(-700,(Examples!$H$14*$A192-Examples!$H$15)/Examples!$H$16))))))+Examples!$H$17*$A192^2)</f>
        <v>617335.03758027474</v>
      </c>
    </row>
    <row r="193" spans="1:13" x14ac:dyDescent="0.25">
      <c r="A193">
        <f>(193-2)/100</f>
        <v>1.91</v>
      </c>
      <c r="B193" s="33">
        <f>Examples!$C$18-(Examples!$C$10+Examples!$C$11)*$A193-(Examples!$C$6*Examples!$C$7*Examples!$C$8*EXP(-Examples!$C$9*$A193)*(1-(Examples!$C$12*(1-EXP(-Examples!$C$13*$A193))/(1+EXP(MIN(700,MAX(-700,(Examples!$C$14*$A193-Examples!$C$15)/Examples!$C$16))))))+Examples!$C$17*$A193^2)</f>
        <v>173489.06274973456</v>
      </c>
      <c r="C193" s="33">
        <f>(Examples!$C$6*Examples!$C$7*Examples!$C$8*EXP(-Examples!$C$9*$A193)*(1-(Examples!$C$12*(1-EXP(-Examples!$C$13*$A193))/(1+EXP(MIN(700,MAX(-700,(Examples!$C$14*$A193-Examples!$C$15)/Examples!$C$16))))))+Examples!$C$17*$A193^2)</f>
        <v>359660.93725026544</v>
      </c>
      <c r="D193" s="33">
        <f>Examples!$D$18-(Examples!$D$10+Examples!$D$11)*$A193-(Examples!$D$6*Examples!$D$7*Examples!$D$8*EXP(-Examples!$D$9*$A193)*(1-(Examples!$D$12*(1-EXP(-Examples!$D$13*$A193))/(1+EXP(MIN(700,MAX(-700,(Examples!$D$14*$A193-Examples!$D$15)/Examples!$D$16))))))+Examples!$D$17*$A193^2)</f>
        <v>1052165.3794202807</v>
      </c>
      <c r="E193" s="33">
        <f>(Examples!$D$6*Examples!$D$7*Examples!$D$8*EXP(-Examples!$D$9*$A193)*(1-(Examples!$D$12*(1-EXP(-Examples!$D$13*$A193))/(1+EXP(MIN(700,MAX(-700,(Examples!$D$14*$A193-Examples!$D$15)/Examples!$D$16))))))+Examples!$D$17*$A193^2)</f>
        <v>1361884.6205797193</v>
      </c>
      <c r="F193" s="33">
        <f>Examples!$E$18-(Examples!$E$10+Examples!$E$11)*$A193-(Examples!$E$6*Examples!$E$7*Examples!$E$8*EXP(-Examples!$E$9*$A193)*(1-(Examples!$E$12*(1-EXP(-Examples!$E$13*$A193))/(1+EXP(MIN(700,MAX(-700,(Examples!$E$14*$A193-Examples!$E$15)/Examples!$E$16))))))+Examples!$E$17*$A193^2)</f>
        <v>2388222.1012153747</v>
      </c>
      <c r="G193" s="33">
        <f>(Examples!$E$6*Examples!$E$7*Examples!$E$8*EXP(-Examples!$E$9*$A193)*(1-(Examples!$E$12*(1-EXP(-Examples!$E$13*$A193))/(1+EXP(MIN(700,MAX(-700,(Examples!$E$14*$A193-Examples!$E$15)/Examples!$E$16))))))+Examples!$E$17*$A193^2)</f>
        <v>449427.89878462529</v>
      </c>
      <c r="H193" s="33">
        <f>Examples!$F$18-(Examples!$F$10+Examples!$F$11)*$A193-(Examples!$F$6*Examples!$F$7*Examples!$F$8*EXP(-Examples!$F$9*$A193)*(1-(Examples!$F$12*(1-EXP(-Examples!$F$13*$A193))/(1+EXP(MIN(700,MAX(-700,(Examples!$F$14*$A193-Examples!$F$15)/Examples!$F$16))))))+Examples!$F$17*$A193^2)</f>
        <v>29126.868775361261</v>
      </c>
      <c r="I193" s="33">
        <f>(Examples!$F$6*Examples!$F$7*Examples!$F$8*EXP(-Examples!$F$9*$A193)*(1-(Examples!$F$12*(1-EXP(-Examples!$F$13*$A193))/(1+EXP(MIN(700,MAX(-700,(Examples!$F$14*$A193-Examples!$F$15)/Examples!$F$16))))))+Examples!$F$17*$A193^2)</f>
        <v>82673.131224638739</v>
      </c>
      <c r="J193" s="33">
        <f>Examples!$G$18-(Examples!$G$10+Examples!$G$11)*$A193-(Examples!$G$6*Examples!$G$7*Examples!$G$8*EXP(-Examples!$G$9*$A193)*(1-(Examples!$G$12*(1-EXP(-Examples!$G$13*$A193))/(1+EXP(MIN(700,MAX(-700,(Examples!$G$14*$A193-Examples!$G$15)/Examples!$G$16))))))+Examples!$G$17*$A193^2)</f>
        <v>696964.03471758822</v>
      </c>
      <c r="K193" s="33">
        <f>(Examples!$G$6*Examples!$G$7*Examples!$G$8*EXP(-Examples!$G$9*$A193)*(1-(Examples!$G$12*(1-EXP(-Examples!$G$13*$A193))/(1+EXP(MIN(700,MAX(-700,(Examples!$G$14*$A193-Examples!$G$15)/Examples!$G$16))))))+Examples!$G$17*$A193^2)</f>
        <v>707535.96528241178</v>
      </c>
      <c r="L193" s="33">
        <f>Examples!$H$18-(Examples!$H$10+Examples!$H$11)*$A193-(Examples!$H$6*Examples!$H$7*Examples!$H$8*EXP(-Examples!$H$9*$A193)*(1-(Examples!$H$12*(1-EXP(-Examples!$H$13*$A193))/(1+EXP(MIN(700,MAX(-700,(Examples!$H$14*$A193-Examples!$H$15)/Examples!$H$16))))))+Examples!$H$17*$A193^2)</f>
        <v>788473.98051552707</v>
      </c>
      <c r="M193" s="33">
        <f>(Examples!$H$6*Examples!$H$7*Examples!$H$8*EXP(-Examples!$H$9*$A193)*(1-(Examples!$H$12*(1-EXP(-Examples!$H$13*$A193))/(1+EXP(MIN(700,MAX(-700,(Examples!$H$14*$A193-Examples!$H$15)/Examples!$H$16))))))+Examples!$H$17*$A193^2)</f>
        <v>616026.01948447293</v>
      </c>
    </row>
    <row r="194" spans="1:13" x14ac:dyDescent="0.25">
      <c r="A194">
        <f>(194-2)/100</f>
        <v>1.92</v>
      </c>
      <c r="B194" s="33">
        <f>Examples!$C$18-(Examples!$C$10+Examples!$C$11)*$A194-(Examples!$C$6*Examples!$C$7*Examples!$C$8*EXP(-Examples!$C$9*$A194)*(1-(Examples!$C$12*(1-EXP(-Examples!$C$13*$A194))/(1+EXP(MIN(700,MAX(-700,(Examples!$C$14*$A194-Examples!$C$15)/Examples!$C$16))))))+Examples!$C$17*$A194^2)</f>
        <v>172828.51820826728</v>
      </c>
      <c r="C194" s="33">
        <f>(Examples!$C$6*Examples!$C$7*Examples!$C$8*EXP(-Examples!$C$9*$A194)*(1-(Examples!$C$12*(1-EXP(-Examples!$C$13*$A194))/(1+EXP(MIN(700,MAX(-700,(Examples!$C$14*$A194-Examples!$C$15)/Examples!$C$16))))))+Examples!$C$17*$A194^2)</f>
        <v>359971.48179173272</v>
      </c>
      <c r="D194" s="33">
        <f>Examples!$D$18-(Examples!$D$10+Examples!$D$11)*$A194-(Examples!$D$6*Examples!$D$7*Examples!$D$8*EXP(-Examples!$D$9*$A194)*(1-(Examples!$D$12*(1-EXP(-Examples!$D$13*$A194))/(1+EXP(MIN(700,MAX(-700,(Examples!$D$14*$A194-Examples!$D$15)/Examples!$D$16))))))+Examples!$D$17*$A194^2)</f>
        <v>1059609.4487170284</v>
      </c>
      <c r="E194" s="33">
        <f>(Examples!$D$6*Examples!$D$7*Examples!$D$8*EXP(-Examples!$D$9*$A194)*(1-(Examples!$D$12*(1-EXP(-Examples!$D$13*$A194))/(1+EXP(MIN(700,MAX(-700,(Examples!$D$14*$A194-Examples!$D$15)/Examples!$D$16))))))+Examples!$D$17*$A194^2)</f>
        <v>1353990.5512829716</v>
      </c>
      <c r="F194" s="33">
        <f>Examples!$E$18-(Examples!$E$10+Examples!$E$11)*$A194-(Examples!$E$6*Examples!$E$7*Examples!$E$8*EXP(-Examples!$E$9*$A194)*(1-(Examples!$E$12*(1-EXP(-Examples!$E$13*$A194))/(1+EXP(MIN(700,MAX(-700,(Examples!$E$14*$A194-Examples!$E$15)/Examples!$E$16))))))+Examples!$E$17*$A194^2)</f>
        <v>2390554.3929141657</v>
      </c>
      <c r="G194" s="33">
        <f>(Examples!$E$6*Examples!$E$7*Examples!$E$8*EXP(-Examples!$E$9*$A194)*(1-(Examples!$E$12*(1-EXP(-Examples!$E$13*$A194))/(1+EXP(MIN(700,MAX(-700,(Examples!$E$14*$A194-Examples!$E$15)/Examples!$E$16))))))+Examples!$E$17*$A194^2)</f>
        <v>446245.60708583437</v>
      </c>
      <c r="H194" s="33">
        <f>Examples!$F$18-(Examples!$F$10+Examples!$F$11)*$A194-(Examples!$F$6*Examples!$F$7*Examples!$F$8*EXP(-Examples!$F$9*$A194)*(1-(Examples!$F$12*(1-EXP(-Examples!$F$13*$A194))/(1+EXP(MIN(700,MAX(-700,(Examples!$F$14*$A194-Examples!$F$15)/Examples!$F$16))))))+Examples!$F$17*$A194^2)</f>
        <v>28184.975898712641</v>
      </c>
      <c r="I194" s="33">
        <f>(Examples!$F$6*Examples!$F$7*Examples!$F$8*EXP(-Examples!$F$9*$A194)*(1-(Examples!$F$12*(1-EXP(-Examples!$F$13*$A194))/(1+EXP(MIN(700,MAX(-700,(Examples!$F$14*$A194-Examples!$F$15)/Examples!$F$16))))))+Examples!$F$17*$A194^2)</f>
        <v>83415.024101287359</v>
      </c>
      <c r="J194" s="33">
        <f>Examples!$G$18-(Examples!$G$10+Examples!$G$11)*$A194-(Examples!$G$6*Examples!$G$7*Examples!$G$8*EXP(-Examples!$G$9*$A194)*(1-(Examples!$G$12*(1-EXP(-Examples!$G$13*$A194))/(1+EXP(MIN(700,MAX(-700,(Examples!$G$14*$A194-Examples!$G$15)/Examples!$G$16))))))+Examples!$G$17*$A194^2)</f>
        <v>698156.27139159036</v>
      </c>
      <c r="K194" s="33">
        <f>(Examples!$G$6*Examples!$G$7*Examples!$G$8*EXP(-Examples!$G$9*$A194)*(1-(Examples!$G$12*(1-EXP(-Examples!$G$13*$A194))/(1+EXP(MIN(700,MAX(-700,(Examples!$G$14*$A194-Examples!$G$15)/Examples!$G$16))))))+Examples!$G$17*$A194^2)</f>
        <v>705843.72860840964</v>
      </c>
      <c r="L194" s="33">
        <f>Examples!$H$18-(Examples!$H$10+Examples!$H$11)*$A194-(Examples!$H$6*Examples!$H$7*Examples!$H$8*EXP(-Examples!$H$9*$A194)*(1-(Examples!$H$12*(1-EXP(-Examples!$H$13*$A194))/(1+EXP(MIN(700,MAX(-700,(Examples!$H$14*$A194-Examples!$H$15)/Examples!$H$16))))))+Examples!$H$17*$A194^2)</f>
        <v>789215.6683419816</v>
      </c>
      <c r="M194" s="33">
        <f>(Examples!$H$6*Examples!$H$7*Examples!$H$8*EXP(-Examples!$H$9*$A194)*(1-(Examples!$H$12*(1-EXP(-Examples!$H$13*$A194))/(1+EXP(MIN(700,MAX(-700,(Examples!$H$14*$A194-Examples!$H$15)/Examples!$H$16))))))+Examples!$H$17*$A194^2)</f>
        <v>614784.3316580184</v>
      </c>
    </row>
    <row r="195" spans="1:13" x14ac:dyDescent="0.25">
      <c r="A195">
        <f>(195-2)/100</f>
        <v>1.93</v>
      </c>
      <c r="B195" s="33">
        <f>Examples!$C$18-(Examples!$C$10+Examples!$C$11)*$A195-(Examples!$C$6*Examples!$C$7*Examples!$C$8*EXP(-Examples!$C$9*$A195)*(1-(Examples!$C$12*(1-EXP(-Examples!$C$13*$A195))/(1+EXP(MIN(700,MAX(-700,(Examples!$C$14*$A195-Examples!$C$15)/Examples!$C$16))))))+Examples!$C$17*$A195^2)</f>
        <v>172170.50509603001</v>
      </c>
      <c r="C195" s="33">
        <f>(Examples!$C$6*Examples!$C$7*Examples!$C$8*EXP(-Examples!$C$9*$A195)*(1-(Examples!$C$12*(1-EXP(-Examples!$C$13*$A195))/(1+EXP(MIN(700,MAX(-700,(Examples!$C$14*$A195-Examples!$C$15)/Examples!$C$16))))))+Examples!$C$17*$A195^2)</f>
        <v>360279.49490396999</v>
      </c>
      <c r="D195" s="33">
        <f>Examples!$D$18-(Examples!$D$10+Examples!$D$11)*$A195-(Examples!$D$6*Examples!$D$7*Examples!$D$8*EXP(-Examples!$D$9*$A195)*(1-(Examples!$D$12*(1-EXP(-Examples!$D$13*$A195))/(1+EXP(MIN(700,MAX(-700,(Examples!$D$14*$A195-Examples!$D$15)/Examples!$D$16))))))+Examples!$D$17*$A195^2)</f>
        <v>1066965.9840168688</v>
      </c>
      <c r="E195" s="33">
        <f>(Examples!$D$6*Examples!$D$7*Examples!$D$8*EXP(-Examples!$D$9*$A195)*(1-(Examples!$D$12*(1-EXP(-Examples!$D$13*$A195))/(1+EXP(MIN(700,MAX(-700,(Examples!$D$14*$A195-Examples!$D$15)/Examples!$D$16))))))+Examples!$D$17*$A195^2)</f>
        <v>1346184.0159831312</v>
      </c>
      <c r="F195" s="33">
        <f>Examples!$E$18-(Examples!$E$10+Examples!$E$11)*$A195-(Examples!$E$6*Examples!$E$7*Examples!$E$8*EXP(-Examples!$E$9*$A195)*(1-(Examples!$E$12*(1-EXP(-Examples!$E$13*$A195))/(1+EXP(MIN(700,MAX(-700,(Examples!$E$14*$A195-Examples!$E$15)/Examples!$E$16))))))+Examples!$E$17*$A195^2)</f>
        <v>2392849.4386592777</v>
      </c>
      <c r="G195" s="33">
        <f>(Examples!$E$6*Examples!$E$7*Examples!$E$8*EXP(-Examples!$E$9*$A195)*(1-(Examples!$E$12*(1-EXP(-Examples!$E$13*$A195))/(1+EXP(MIN(700,MAX(-700,(Examples!$E$14*$A195-Examples!$E$15)/Examples!$E$16))))))+Examples!$E$17*$A195^2)</f>
        <v>443100.56134072237</v>
      </c>
      <c r="H195" s="33">
        <f>Examples!$F$18-(Examples!$F$10+Examples!$F$11)*$A195-(Examples!$F$6*Examples!$F$7*Examples!$F$8*EXP(-Examples!$F$9*$A195)*(1-(Examples!$F$12*(1-EXP(-Examples!$F$13*$A195))/(1+EXP(MIN(700,MAX(-700,(Examples!$F$14*$A195-Examples!$F$15)/Examples!$F$16))))))+Examples!$F$17*$A195^2)</f>
        <v>27239.162612007771</v>
      </c>
      <c r="I195" s="33">
        <f>(Examples!$F$6*Examples!$F$7*Examples!$F$8*EXP(-Examples!$F$9*$A195)*(1-(Examples!$F$12*(1-EXP(-Examples!$F$13*$A195))/(1+EXP(MIN(700,MAX(-700,(Examples!$F$14*$A195-Examples!$F$15)/Examples!$F$16))))))+Examples!$F$17*$A195^2)</f>
        <v>84160.837387992229</v>
      </c>
      <c r="J195" s="33">
        <f>Examples!$G$18-(Examples!$G$10+Examples!$G$11)*$A195-(Examples!$G$6*Examples!$G$7*Examples!$G$8*EXP(-Examples!$G$9*$A195)*(1-(Examples!$G$12*(1-EXP(-Examples!$G$13*$A195))/(1+EXP(MIN(700,MAX(-700,(Examples!$G$14*$A195-Examples!$G$15)/Examples!$G$16))))))+Examples!$G$17*$A195^2)</f>
        <v>699319.79706709587</v>
      </c>
      <c r="K195" s="33">
        <f>(Examples!$G$6*Examples!$G$7*Examples!$G$8*EXP(-Examples!$G$9*$A195)*(1-(Examples!$G$12*(1-EXP(-Examples!$G$13*$A195))/(1+EXP(MIN(700,MAX(-700,(Examples!$G$14*$A195-Examples!$G$15)/Examples!$G$16))))))+Examples!$G$17*$A195^2)</f>
        <v>704180.20293290413</v>
      </c>
      <c r="L195" s="33">
        <f>Examples!$H$18-(Examples!$H$10+Examples!$H$11)*$A195-(Examples!$H$6*Examples!$H$7*Examples!$H$8*EXP(-Examples!$H$9*$A195)*(1-(Examples!$H$12*(1-EXP(-Examples!$H$13*$A195))/(1+EXP(MIN(700,MAX(-700,(Examples!$H$14*$A195-Examples!$H$15)/Examples!$H$16))))))+Examples!$H$17*$A195^2)</f>
        <v>789889.81217723794</v>
      </c>
      <c r="M195" s="33">
        <f>(Examples!$H$6*Examples!$H$7*Examples!$H$8*EXP(-Examples!$H$9*$A195)*(1-(Examples!$H$12*(1-EXP(-Examples!$H$13*$A195))/(1+EXP(MIN(700,MAX(-700,(Examples!$H$14*$A195-Examples!$H$15)/Examples!$H$16))))))+Examples!$H$17*$A195^2)</f>
        <v>613610.18782276206</v>
      </c>
    </row>
    <row r="196" spans="1:13" x14ac:dyDescent="0.25">
      <c r="A196">
        <f>(196-2)/100</f>
        <v>1.94</v>
      </c>
      <c r="B196" s="33">
        <f>Examples!$C$18-(Examples!$C$10+Examples!$C$11)*$A196-(Examples!$C$6*Examples!$C$7*Examples!$C$8*EXP(-Examples!$C$9*$A196)*(1-(Examples!$C$12*(1-EXP(-Examples!$C$13*$A196))/(1+EXP(MIN(700,MAX(-700,(Examples!$C$14*$A196-Examples!$C$15)/Examples!$C$16))))))+Examples!$C$17*$A196^2)</f>
        <v>171515.32427758496</v>
      </c>
      <c r="C196" s="33">
        <f>(Examples!$C$6*Examples!$C$7*Examples!$C$8*EXP(-Examples!$C$9*$A196)*(1-(Examples!$C$12*(1-EXP(-Examples!$C$13*$A196))/(1+EXP(MIN(700,MAX(-700,(Examples!$C$14*$A196-Examples!$C$15)/Examples!$C$16))))))+Examples!$C$17*$A196^2)</f>
        <v>360584.67572241504</v>
      </c>
      <c r="D196" s="33">
        <f>Examples!$D$18-(Examples!$D$10+Examples!$D$11)*$A196-(Examples!$D$6*Examples!$D$7*Examples!$D$8*EXP(-Examples!$D$9*$A196)*(1-(Examples!$D$12*(1-EXP(-Examples!$D$13*$A196))/(1+EXP(MIN(700,MAX(-700,(Examples!$D$14*$A196-Examples!$D$15)/Examples!$D$16))))))+Examples!$D$17*$A196^2)</f>
        <v>1074235.7208922503</v>
      </c>
      <c r="E196" s="33">
        <f>(Examples!$D$6*Examples!$D$7*Examples!$D$8*EXP(-Examples!$D$9*$A196)*(1-(Examples!$D$12*(1-EXP(-Examples!$D$13*$A196))/(1+EXP(MIN(700,MAX(-700,(Examples!$D$14*$A196-Examples!$D$15)/Examples!$D$16))))))+Examples!$D$17*$A196^2)</f>
        <v>1338464.2791077497</v>
      </c>
      <c r="F196" s="33">
        <f>Examples!$E$18-(Examples!$E$10+Examples!$E$11)*$A196-(Examples!$E$6*Examples!$E$7*Examples!$E$8*EXP(-Examples!$E$9*$A196)*(1-(Examples!$E$12*(1-EXP(-Examples!$E$13*$A196))/(1+EXP(MIN(700,MAX(-700,(Examples!$E$14*$A196-Examples!$E$15)/Examples!$E$16))))))+Examples!$E$17*$A196^2)</f>
        <v>2395107.653771684</v>
      </c>
      <c r="G196" s="33">
        <f>(Examples!$E$6*Examples!$E$7*Examples!$E$8*EXP(-Examples!$E$9*$A196)*(1-(Examples!$E$12*(1-EXP(-Examples!$E$13*$A196))/(1+EXP(MIN(700,MAX(-700,(Examples!$E$14*$A196-Examples!$E$15)/Examples!$E$16))))))+Examples!$E$17*$A196^2)</f>
        <v>439992.3462283159</v>
      </c>
      <c r="H196" s="33">
        <f>Examples!$F$18-(Examples!$F$10+Examples!$F$11)*$A196-(Examples!$F$6*Examples!$F$7*Examples!$F$8*EXP(-Examples!$F$9*$A196)*(1-(Examples!$F$12*(1-EXP(-Examples!$F$13*$A196))/(1+EXP(MIN(700,MAX(-700,(Examples!$F$14*$A196-Examples!$F$15)/Examples!$F$16))))))+Examples!$F$17*$A196^2)</f>
        <v>26289.425497875927</v>
      </c>
      <c r="I196" s="33">
        <f>(Examples!$F$6*Examples!$F$7*Examples!$F$8*EXP(-Examples!$F$9*$A196)*(1-(Examples!$F$12*(1-EXP(-Examples!$F$13*$A196))/(1+EXP(MIN(700,MAX(-700,(Examples!$F$14*$A196-Examples!$F$15)/Examples!$F$16))))))+Examples!$F$17*$A196^2)</f>
        <v>84910.574502124073</v>
      </c>
      <c r="J196" s="33">
        <f>Examples!$G$18-(Examples!$G$10+Examples!$G$11)*$A196-(Examples!$G$6*Examples!$G$7*Examples!$G$8*EXP(-Examples!$G$9*$A196)*(1-(Examples!$G$12*(1-EXP(-Examples!$G$13*$A196))/(1+EXP(MIN(700,MAX(-700,(Examples!$G$14*$A196-Examples!$G$15)/Examples!$G$16))))))+Examples!$G$17*$A196^2)</f>
        <v>700454.95689596003</v>
      </c>
      <c r="K196" s="33">
        <f>(Examples!$G$6*Examples!$G$7*Examples!$G$8*EXP(-Examples!$G$9*$A196)*(1-(Examples!$G$12*(1-EXP(-Examples!$G$13*$A196))/(1+EXP(MIN(700,MAX(-700,(Examples!$G$14*$A196-Examples!$G$15)/Examples!$G$16))))))+Examples!$G$17*$A196^2)</f>
        <v>702545.04310403997</v>
      </c>
      <c r="L196" s="33">
        <f>Examples!$H$18-(Examples!$H$10+Examples!$H$11)*$A196-(Examples!$H$6*Examples!$H$7*Examples!$H$8*EXP(-Examples!$H$9*$A196)*(1-(Examples!$H$12*(1-EXP(-Examples!$H$13*$A196))/(1+EXP(MIN(700,MAX(-700,(Examples!$H$14*$A196-Examples!$H$15)/Examples!$H$16))))))+Examples!$H$17*$A196^2)</f>
        <v>790496.22017856291</v>
      </c>
      <c r="M196" s="33">
        <f>(Examples!$H$6*Examples!$H$7*Examples!$H$8*EXP(-Examples!$H$9*$A196)*(1-(Examples!$H$12*(1-EXP(-Examples!$H$13*$A196))/(1+EXP(MIN(700,MAX(-700,(Examples!$H$14*$A196-Examples!$H$15)/Examples!$H$16))))))+Examples!$H$17*$A196^2)</f>
        <v>612503.77982143709</v>
      </c>
    </row>
    <row r="197" spans="1:13" x14ac:dyDescent="0.25">
      <c r="A197">
        <f>(197-2)/100</f>
        <v>1.95</v>
      </c>
      <c r="B197" s="33">
        <f>Examples!$C$18-(Examples!$C$10+Examples!$C$11)*$A197-(Examples!$C$6*Examples!$C$7*Examples!$C$8*EXP(-Examples!$C$9*$A197)*(1-(Examples!$C$12*(1-EXP(-Examples!$C$13*$A197))/(1+EXP(MIN(700,MAX(-700,(Examples!$C$14*$A197-Examples!$C$15)/Examples!$C$16))))))+Examples!$C$17*$A197^2)</f>
        <v>170863.25751125807</v>
      </c>
      <c r="C197" s="33">
        <f>(Examples!$C$6*Examples!$C$7*Examples!$C$8*EXP(-Examples!$C$9*$A197)*(1-(Examples!$C$12*(1-EXP(-Examples!$C$13*$A197))/(1+EXP(MIN(700,MAX(-700,(Examples!$C$14*$A197-Examples!$C$15)/Examples!$C$16))))))+Examples!$C$17*$A197^2)</f>
        <v>360886.74248874193</v>
      </c>
      <c r="D197" s="33">
        <f>Examples!$D$18-(Examples!$D$10+Examples!$D$11)*$A197-(Examples!$D$6*Examples!$D$7*Examples!$D$8*EXP(-Examples!$D$9*$A197)*(1-(Examples!$D$12*(1-EXP(-Examples!$D$13*$A197))/(1+EXP(MIN(700,MAX(-700,(Examples!$D$14*$A197-Examples!$D$15)/Examples!$D$16))))))+Examples!$D$17*$A197^2)</f>
        <v>1081419.3883514912</v>
      </c>
      <c r="E197" s="33">
        <f>(Examples!$D$6*Examples!$D$7*Examples!$D$8*EXP(-Examples!$D$9*$A197)*(1-(Examples!$D$12*(1-EXP(-Examples!$D$13*$A197))/(1+EXP(MIN(700,MAX(-700,(Examples!$D$14*$A197-Examples!$D$15)/Examples!$D$16))))))+Examples!$D$17*$A197^2)</f>
        <v>1330830.6116485088</v>
      </c>
      <c r="F197" s="33">
        <f>Examples!$E$18-(Examples!$E$10+Examples!$E$11)*$A197-(Examples!$E$6*Examples!$E$7*Examples!$E$8*EXP(-Examples!$E$9*$A197)*(1-(Examples!$E$12*(1-EXP(-Examples!$E$13*$A197))/(1+EXP(MIN(700,MAX(-700,(Examples!$E$14*$A197-Examples!$E$15)/Examples!$E$16))))))+Examples!$E$17*$A197^2)</f>
        <v>2397329.4488226566</v>
      </c>
      <c r="G197" s="33">
        <f>(Examples!$E$6*Examples!$E$7*Examples!$E$8*EXP(-Examples!$E$9*$A197)*(1-(Examples!$E$12*(1-EXP(-Examples!$E$13*$A197))/(1+EXP(MIN(700,MAX(-700,(Examples!$E$14*$A197-Examples!$E$15)/Examples!$E$16))))))+Examples!$E$17*$A197^2)</f>
        <v>436920.55117734341</v>
      </c>
      <c r="H197" s="33">
        <f>Examples!$F$18-(Examples!$F$10+Examples!$F$11)*$A197-(Examples!$F$6*Examples!$F$7*Examples!$F$8*EXP(-Examples!$F$9*$A197)*(1-(Examples!$F$12*(1-EXP(-Examples!$F$13*$A197))/(1+EXP(MIN(700,MAX(-700,(Examples!$F$14*$A197-Examples!$F$15)/Examples!$F$16))))))+Examples!$F$17*$A197^2)</f>
        <v>25335.76111234061</v>
      </c>
      <c r="I197" s="33">
        <f>(Examples!$F$6*Examples!$F$7*Examples!$F$8*EXP(-Examples!$F$9*$A197)*(1-(Examples!$F$12*(1-EXP(-Examples!$F$13*$A197))/(1+EXP(MIN(700,MAX(-700,(Examples!$F$14*$A197-Examples!$F$15)/Examples!$F$16))))))+Examples!$F$17*$A197^2)</f>
        <v>85664.23888765939</v>
      </c>
      <c r="J197" s="33">
        <f>Examples!$G$18-(Examples!$G$10+Examples!$G$11)*$A197-(Examples!$G$6*Examples!$G$7*Examples!$G$8*EXP(-Examples!$G$9*$A197)*(1-(Examples!$G$12*(1-EXP(-Examples!$G$13*$A197))/(1+EXP(MIN(700,MAX(-700,(Examples!$G$14*$A197-Examples!$G$15)/Examples!$G$16))))))+Examples!$G$17*$A197^2)</f>
        <v>701562.0959811284</v>
      </c>
      <c r="K197" s="33">
        <f>(Examples!$G$6*Examples!$G$7*Examples!$G$8*EXP(-Examples!$G$9*$A197)*(1-(Examples!$G$12*(1-EXP(-Examples!$G$13*$A197))/(1+EXP(MIN(700,MAX(-700,(Examples!$G$14*$A197-Examples!$G$15)/Examples!$G$16))))))+Examples!$G$17*$A197^2)</f>
        <v>700937.9040188716</v>
      </c>
      <c r="L197" s="33">
        <f>Examples!$H$18-(Examples!$H$10+Examples!$H$11)*$A197-(Examples!$H$6*Examples!$H$7*Examples!$H$8*EXP(-Examples!$H$9*$A197)*(1-(Examples!$H$12*(1-EXP(-Examples!$H$13*$A197))/(1+EXP(MIN(700,MAX(-700,(Examples!$H$14*$A197-Examples!$H$15)/Examples!$H$16))))))+Examples!$H$17*$A197^2)</f>
        <v>791034.72412623814</v>
      </c>
      <c r="M197" s="33">
        <f>(Examples!$H$6*Examples!$H$7*Examples!$H$8*EXP(-Examples!$H$9*$A197)*(1-(Examples!$H$12*(1-EXP(-Examples!$H$13*$A197))/(1+EXP(MIN(700,MAX(-700,(Examples!$H$14*$A197-Examples!$H$15)/Examples!$H$16))))))+Examples!$H$17*$A197^2)</f>
        <v>611465.27587376186</v>
      </c>
    </row>
    <row r="198" spans="1:13" x14ac:dyDescent="0.25">
      <c r="A198">
        <f>(198-2)/100</f>
        <v>1.96</v>
      </c>
      <c r="B198" s="33">
        <f>Examples!$C$18-(Examples!$C$10+Examples!$C$11)*$A198-(Examples!$C$6*Examples!$C$7*Examples!$C$8*EXP(-Examples!$C$9*$A198)*(1-(Examples!$C$12*(1-EXP(-Examples!$C$13*$A198))/(1+EXP(MIN(700,MAX(-700,(Examples!$C$14*$A198-Examples!$C$15)/Examples!$C$16))))))+Examples!$C$17*$A198^2)</f>
        <v>170214.56747727044</v>
      </c>
      <c r="C198" s="33">
        <f>(Examples!$C$6*Examples!$C$7*Examples!$C$8*EXP(-Examples!$C$9*$A198)*(1-(Examples!$C$12*(1-EXP(-Examples!$C$13*$A198))/(1+EXP(MIN(700,MAX(-700,(Examples!$C$14*$A198-Examples!$C$15)/Examples!$C$16))))))+Examples!$C$17*$A198^2)</f>
        <v>361185.43252272956</v>
      </c>
      <c r="D198" s="33">
        <f>Examples!$D$18-(Examples!$D$10+Examples!$D$11)*$A198-(Examples!$D$6*Examples!$D$7*Examples!$D$8*EXP(-Examples!$D$9*$A198)*(1-(Examples!$D$12*(1-EXP(-Examples!$D$13*$A198))/(1+EXP(MIN(700,MAX(-700,(Examples!$D$14*$A198-Examples!$D$15)/Examples!$D$16))))))+Examples!$D$17*$A198^2)</f>
        <v>1088517.7089364028</v>
      </c>
      <c r="E198" s="33">
        <f>(Examples!$D$6*Examples!$D$7*Examples!$D$8*EXP(-Examples!$D$9*$A198)*(1-(Examples!$D$12*(1-EXP(-Examples!$D$13*$A198))/(1+EXP(MIN(700,MAX(-700,(Examples!$D$14*$A198-Examples!$D$15)/Examples!$D$16))))))+Examples!$D$17*$A198^2)</f>
        <v>1323282.2910635972</v>
      </c>
      <c r="F198" s="33">
        <f>Examples!$E$18-(Examples!$E$10+Examples!$E$11)*$A198-(Examples!$E$6*Examples!$E$7*Examples!$E$8*EXP(-Examples!$E$9*$A198)*(1-(Examples!$E$12*(1-EXP(-Examples!$E$13*$A198))/(1+EXP(MIN(700,MAX(-700,(Examples!$E$14*$A198-Examples!$E$15)/Examples!$E$16))))))+Examples!$E$17*$A198^2)</f>
        <v>2399515.2296904027</v>
      </c>
      <c r="G198" s="33">
        <f>(Examples!$E$6*Examples!$E$7*Examples!$E$8*EXP(-Examples!$E$9*$A198)*(1-(Examples!$E$12*(1-EXP(-Examples!$E$13*$A198))/(1+EXP(MIN(700,MAX(-700,(Examples!$E$14*$A198-Examples!$E$15)/Examples!$E$16))))))+Examples!$E$17*$A198^2)</f>
        <v>433884.7703095972</v>
      </c>
      <c r="H198" s="33">
        <f>Examples!$F$18-(Examples!$F$10+Examples!$F$11)*$A198-(Examples!$F$6*Examples!$F$7*Examples!$F$8*EXP(-Examples!$F$9*$A198)*(1-(Examples!$F$12*(1-EXP(-Examples!$F$13*$A198))/(1+EXP(MIN(700,MAX(-700,(Examples!$F$14*$A198-Examples!$F$15)/Examples!$F$16))))))+Examples!$F$17*$A198^2)</f>
        <v>24378.165994329684</v>
      </c>
      <c r="I198" s="33">
        <f>(Examples!$F$6*Examples!$F$7*Examples!$F$8*EXP(-Examples!$F$9*$A198)*(1-(Examples!$F$12*(1-EXP(-Examples!$F$13*$A198))/(1+EXP(MIN(700,MAX(-700,(Examples!$F$14*$A198-Examples!$F$15)/Examples!$F$16))))))+Examples!$F$17*$A198^2)</f>
        <v>86421.834005670316</v>
      </c>
      <c r="J198" s="33">
        <f>Examples!$G$18-(Examples!$G$10+Examples!$G$11)*$A198-(Examples!$G$6*Examples!$G$7*Examples!$G$8*EXP(-Examples!$G$9*$A198)*(1-(Examples!$G$12*(1-EXP(-Examples!$G$13*$A198))/(1+EXP(MIN(700,MAX(-700,(Examples!$G$14*$A198-Examples!$G$15)/Examples!$G$16))))))+Examples!$G$17*$A198^2)</f>
        <v>702641.55935524451</v>
      </c>
      <c r="K198" s="33">
        <f>(Examples!$G$6*Examples!$G$7*Examples!$G$8*EXP(-Examples!$G$9*$A198)*(1-(Examples!$G$12*(1-EXP(-Examples!$G$13*$A198))/(1+EXP(MIN(700,MAX(-700,(Examples!$G$14*$A198-Examples!$G$15)/Examples!$G$16))))))+Examples!$G$17*$A198^2)</f>
        <v>699358.44064475549</v>
      </c>
      <c r="L198" s="33">
        <f>Examples!$H$18-(Examples!$H$10+Examples!$H$11)*$A198-(Examples!$H$6*Examples!$H$7*Examples!$H$8*EXP(-Examples!$H$9*$A198)*(1-(Examples!$H$12*(1-EXP(-Examples!$H$13*$A198))/(1+EXP(MIN(700,MAX(-700,(Examples!$H$14*$A198-Examples!$H$15)/Examples!$H$16))))))+Examples!$H$17*$A198^2)</f>
        <v>791505.18120159628</v>
      </c>
      <c r="M198" s="33">
        <f>(Examples!$H$6*Examples!$H$7*Examples!$H$8*EXP(-Examples!$H$9*$A198)*(1-(Examples!$H$12*(1-EXP(-Examples!$H$13*$A198))/(1+EXP(MIN(700,MAX(-700,(Examples!$H$14*$A198-Examples!$H$15)/Examples!$H$16))))))+Examples!$H$17*$A198^2)</f>
        <v>610494.81879840372</v>
      </c>
    </row>
    <row r="199" spans="1:13" x14ac:dyDescent="0.25">
      <c r="A199">
        <f>(199-2)/100</f>
        <v>1.97</v>
      </c>
      <c r="B199" s="33">
        <f>Examples!$C$18-(Examples!$C$10+Examples!$C$11)*$A199-(Examples!$C$6*Examples!$C$7*Examples!$C$8*EXP(-Examples!$C$9*$A199)*(1-(Examples!$C$12*(1-EXP(-Examples!$C$13*$A199))/(1+EXP(MIN(700,MAX(-700,(Examples!$C$14*$A199-Examples!$C$15)/Examples!$C$16))))))+Examples!$C$17*$A199^2)</f>
        <v>169569.49786223879</v>
      </c>
      <c r="C199" s="33">
        <f>(Examples!$C$6*Examples!$C$7*Examples!$C$8*EXP(-Examples!$C$9*$A199)*(1-(Examples!$C$12*(1-EXP(-Examples!$C$13*$A199))/(1+EXP(MIN(700,MAX(-700,(Examples!$C$14*$A199-Examples!$C$15)/Examples!$C$16))))))+Examples!$C$17*$A199^2)</f>
        <v>361480.50213776121</v>
      </c>
      <c r="D199" s="33">
        <f>Examples!$D$18-(Examples!$D$10+Examples!$D$11)*$A199-(Examples!$D$6*Examples!$D$7*Examples!$D$8*EXP(-Examples!$D$9*$A199)*(1-(Examples!$D$12*(1-EXP(-Examples!$D$13*$A199))/(1+EXP(MIN(700,MAX(-700,(Examples!$D$14*$A199-Examples!$D$15)/Examples!$D$16))))))+Examples!$D$17*$A199^2)</f>
        <v>1095531.3988193215</v>
      </c>
      <c r="E199" s="33">
        <f>(Examples!$D$6*Examples!$D$7*Examples!$D$8*EXP(-Examples!$D$9*$A199)*(1-(Examples!$D$12*(1-EXP(-Examples!$D$13*$A199))/(1+EXP(MIN(700,MAX(-700,(Examples!$D$14*$A199-Examples!$D$15)/Examples!$D$16))))))+Examples!$D$17*$A199^2)</f>
        <v>1315818.6011806785</v>
      </c>
      <c r="F199" s="33">
        <f>Examples!$E$18-(Examples!$E$10+Examples!$E$11)*$A199-(Examples!$E$6*Examples!$E$7*Examples!$E$8*EXP(-Examples!$E$9*$A199)*(1-(Examples!$E$12*(1-EXP(-Examples!$E$13*$A199))/(1+EXP(MIN(700,MAX(-700,(Examples!$E$14*$A199-Examples!$E$15)/Examples!$E$16))))))+Examples!$E$17*$A199^2)</f>
        <v>2401665.3976160353</v>
      </c>
      <c r="G199" s="33">
        <f>(Examples!$E$6*Examples!$E$7*Examples!$E$8*EXP(-Examples!$E$9*$A199)*(1-(Examples!$E$12*(1-EXP(-Examples!$E$13*$A199))/(1+EXP(MIN(700,MAX(-700,(Examples!$E$14*$A199-Examples!$E$15)/Examples!$E$16))))))+Examples!$E$17*$A199^2)</f>
        <v>430884.60238396481</v>
      </c>
      <c r="H199" s="33">
        <f>Examples!$F$18-(Examples!$F$10+Examples!$F$11)*$A199-(Examples!$F$6*Examples!$F$7*Examples!$F$8*EXP(-Examples!$F$9*$A199)*(1-(Examples!$F$12*(1-EXP(-Examples!$F$13*$A199))/(1+EXP(MIN(700,MAX(-700,(Examples!$F$14*$A199-Examples!$F$15)/Examples!$F$16))))))+Examples!$F$17*$A199^2)</f>
        <v>23416.636674537469</v>
      </c>
      <c r="I199" s="33">
        <f>(Examples!$F$6*Examples!$F$7*Examples!$F$8*EXP(-Examples!$F$9*$A199)*(1-(Examples!$F$12*(1-EXP(-Examples!$F$13*$A199))/(1+EXP(MIN(700,MAX(-700,(Examples!$F$14*$A199-Examples!$F$15)/Examples!$F$16))))))+Examples!$F$17*$A199^2)</f>
        <v>87183.363325462531</v>
      </c>
      <c r="J199" s="33">
        <f>Examples!$G$18-(Examples!$G$10+Examples!$G$11)*$A199-(Examples!$G$6*Examples!$G$7*Examples!$G$8*EXP(-Examples!$G$9*$A199)*(1-(Examples!$G$12*(1-EXP(-Examples!$G$13*$A199))/(1+EXP(MIN(700,MAX(-700,(Examples!$G$14*$A199-Examples!$G$15)/Examples!$G$16))))))+Examples!$G$17*$A199^2)</f>
        <v>703693.69195792684</v>
      </c>
      <c r="K199" s="33">
        <f>(Examples!$G$6*Examples!$G$7*Examples!$G$8*EXP(-Examples!$G$9*$A199)*(1-(Examples!$G$12*(1-EXP(-Examples!$G$13*$A199))/(1+EXP(MIN(700,MAX(-700,(Examples!$G$14*$A199-Examples!$G$15)/Examples!$G$16))))))+Examples!$G$17*$A199^2)</f>
        <v>697806.30804207316</v>
      </c>
      <c r="L199" s="33">
        <f>Examples!$H$18-(Examples!$H$10+Examples!$H$11)*$A199-(Examples!$H$6*Examples!$H$7*Examples!$H$8*EXP(-Examples!$H$9*$A199)*(1-(Examples!$H$12*(1-EXP(-Examples!$H$13*$A199))/(1+EXP(MIN(700,MAX(-700,(Examples!$H$14*$A199-Examples!$H$15)/Examples!$H$16))))))+Examples!$H$17*$A199^2)</f>
        <v>791907.4757954044</v>
      </c>
      <c r="M199" s="33">
        <f>(Examples!$H$6*Examples!$H$7*Examples!$H$8*EXP(-Examples!$H$9*$A199)*(1-(Examples!$H$12*(1-EXP(-Examples!$H$13*$A199))/(1+EXP(MIN(700,MAX(-700,(Examples!$H$14*$A199-Examples!$H$15)/Examples!$H$16))))))+Examples!$H$17*$A199^2)</f>
        <v>609592.5242045956</v>
      </c>
    </row>
    <row r="200" spans="1:13" x14ac:dyDescent="0.25">
      <c r="A200">
        <f>(200-2)/100</f>
        <v>1.98</v>
      </c>
      <c r="B200" s="33">
        <f>Examples!$C$18-(Examples!$C$10+Examples!$C$11)*$A200-(Examples!$C$6*Examples!$C$7*Examples!$C$8*EXP(-Examples!$C$9*$A200)*(1-(Examples!$C$12*(1-EXP(-Examples!$C$13*$A200))/(1+EXP(MIN(700,MAX(-700,(Examples!$C$14*$A200-Examples!$C$15)/Examples!$C$16))))))+Examples!$C$17*$A200^2)</f>
        <v>168928.27349745744</v>
      </c>
      <c r="C200" s="33">
        <f>(Examples!$C$6*Examples!$C$7*Examples!$C$8*EXP(-Examples!$C$9*$A200)*(1-(Examples!$C$12*(1-EXP(-Examples!$C$13*$A200))/(1+EXP(MIN(700,MAX(-700,(Examples!$C$14*$A200-Examples!$C$15)/Examples!$C$16))))))+Examples!$C$17*$A200^2)</f>
        <v>361771.72650254256</v>
      </c>
      <c r="D200" s="33">
        <f>Examples!$D$18-(Examples!$D$10+Examples!$D$11)*$A200-(Examples!$D$6*Examples!$D$7*Examples!$D$8*EXP(-Examples!$D$9*$A200)*(1-(Examples!$D$12*(1-EXP(-Examples!$D$13*$A200))/(1+EXP(MIN(700,MAX(-700,(Examples!$D$14*$A200-Examples!$D$15)/Examples!$D$16))))))+Examples!$D$17*$A200^2)</f>
        <v>1102461.167899559</v>
      </c>
      <c r="E200" s="33">
        <f>(Examples!$D$6*Examples!$D$7*Examples!$D$8*EXP(-Examples!$D$9*$A200)*(1-(Examples!$D$12*(1-EXP(-Examples!$D$13*$A200))/(1+EXP(MIN(700,MAX(-700,(Examples!$D$14*$A200-Examples!$D$15)/Examples!$D$16))))))+Examples!$D$17*$A200^2)</f>
        <v>1308438.832100441</v>
      </c>
      <c r="F200" s="33">
        <f>Examples!$E$18-(Examples!$E$10+Examples!$E$11)*$A200-(Examples!$E$6*Examples!$E$7*Examples!$E$8*EXP(-Examples!$E$9*$A200)*(1-(Examples!$E$12*(1-EXP(-Examples!$E$13*$A200))/(1+EXP(MIN(700,MAX(-700,(Examples!$E$14*$A200-Examples!$E$15)/Examples!$E$16))))))+Examples!$E$17*$A200^2)</f>
        <v>2403780.3492588704</v>
      </c>
      <c r="G200" s="33">
        <f>(Examples!$E$6*Examples!$E$7*Examples!$E$8*EXP(-Examples!$E$9*$A200)*(1-(Examples!$E$12*(1-EXP(-Examples!$E$13*$A200))/(1+EXP(MIN(700,MAX(-700,(Examples!$E$14*$A200-Examples!$E$15)/Examples!$E$16))))))+Examples!$E$17*$A200^2)</f>
        <v>427919.65074112976</v>
      </c>
      <c r="H200" s="33">
        <f>Examples!$F$18-(Examples!$F$10+Examples!$F$11)*$A200-(Examples!$F$6*Examples!$F$7*Examples!$F$8*EXP(-Examples!$F$9*$A200)*(1-(Examples!$F$12*(1-EXP(-Examples!$F$13*$A200))/(1+EXP(MIN(700,MAX(-700,(Examples!$F$14*$A200-Examples!$F$15)/Examples!$F$16))))))+Examples!$F$17*$A200^2)</f>
        <v>22451.169683656713</v>
      </c>
      <c r="I200" s="33">
        <f>(Examples!$F$6*Examples!$F$7*Examples!$F$8*EXP(-Examples!$F$9*$A200)*(1-(Examples!$F$12*(1-EXP(-Examples!$F$13*$A200))/(1+EXP(MIN(700,MAX(-700,(Examples!$F$14*$A200-Examples!$F$15)/Examples!$F$16))))))+Examples!$F$17*$A200^2)</f>
        <v>87948.830316343287</v>
      </c>
      <c r="J200" s="33">
        <f>Examples!$G$18-(Examples!$G$10+Examples!$G$11)*$A200-(Examples!$G$6*Examples!$G$7*Examples!$G$8*EXP(-Examples!$G$9*$A200)*(1-(Examples!$G$12*(1-EXP(-Examples!$G$13*$A200))/(1+EXP(MIN(700,MAX(-700,(Examples!$G$14*$A200-Examples!$G$15)/Examples!$G$16))))))+Examples!$G$17*$A200^2)</f>
        <v>704718.83861171897</v>
      </c>
      <c r="K200" s="33">
        <f>(Examples!$G$6*Examples!$G$7*Examples!$G$8*EXP(-Examples!$G$9*$A200)*(1-(Examples!$G$12*(1-EXP(-Examples!$G$13*$A200))/(1+EXP(MIN(700,MAX(-700,(Examples!$G$14*$A200-Examples!$G$15)/Examples!$G$16))))))+Examples!$G$17*$A200^2)</f>
        <v>696281.16138828103</v>
      </c>
      <c r="L200" s="33">
        <f>Examples!$H$18-(Examples!$H$10+Examples!$H$11)*$A200-(Examples!$H$6*Examples!$H$7*Examples!$H$8*EXP(-Examples!$H$9*$A200)*(1-(Examples!$H$12*(1-EXP(-Examples!$H$13*$A200))/(1+EXP(MIN(700,MAX(-700,(Examples!$H$14*$A200-Examples!$H$15)/Examples!$H$16))))))+Examples!$H$17*$A200^2)</f>
        <v>792241.52134238987</v>
      </c>
      <c r="M200" s="33">
        <f>(Examples!$H$6*Examples!$H$7*Examples!$H$8*EXP(-Examples!$H$9*$A200)*(1-(Examples!$H$12*(1-EXP(-Examples!$H$13*$A200))/(1+EXP(MIN(700,MAX(-700,(Examples!$H$14*$A200-Examples!$H$15)/Examples!$H$16))))))+Examples!$H$17*$A200^2)</f>
        <v>608758.47865761013</v>
      </c>
    </row>
    <row r="201" spans="1:13" x14ac:dyDescent="0.25">
      <c r="A201">
        <f>(201-2)/100</f>
        <v>1.99</v>
      </c>
      <c r="B201" s="33">
        <f>Examples!$C$18-(Examples!$C$10+Examples!$C$11)*$A201-(Examples!$C$6*Examples!$C$7*Examples!$C$8*EXP(-Examples!$C$9*$A201)*(1-(Examples!$C$12*(1-EXP(-Examples!$C$13*$A201))/(1+EXP(MIN(700,MAX(-700,(Examples!$C$14*$A201-Examples!$C$15)/Examples!$C$16))))))+Examples!$C$17*$A201^2)</f>
        <v>168291.10054819542</v>
      </c>
      <c r="C201" s="33">
        <f>(Examples!$C$6*Examples!$C$7*Examples!$C$8*EXP(-Examples!$C$9*$A201)*(1-(Examples!$C$12*(1-EXP(-Examples!$C$13*$A201))/(1+EXP(MIN(700,MAX(-700,(Examples!$C$14*$A201-Examples!$C$15)/Examples!$C$16))))))+Examples!$C$17*$A201^2)</f>
        <v>362058.89945180458</v>
      </c>
      <c r="D201" s="33">
        <f>Examples!$D$18-(Examples!$D$10+Examples!$D$11)*$A201-(Examples!$D$6*Examples!$D$7*Examples!$D$8*EXP(-Examples!$D$9*$A201)*(1-(Examples!$D$12*(1-EXP(-Examples!$D$13*$A201))/(1+EXP(MIN(700,MAX(-700,(Examples!$D$14*$A201-Examples!$D$15)/Examples!$D$16))))))+Examples!$D$17*$A201^2)</f>
        <v>1109307.7198992737</v>
      </c>
      <c r="E201" s="33">
        <f>(Examples!$D$6*Examples!$D$7*Examples!$D$8*EXP(-Examples!$D$9*$A201)*(1-(Examples!$D$12*(1-EXP(-Examples!$D$13*$A201))/(1+EXP(MIN(700,MAX(-700,(Examples!$D$14*$A201-Examples!$D$15)/Examples!$D$16))))))+Examples!$D$17*$A201^2)</f>
        <v>1301142.2801007263</v>
      </c>
      <c r="F201" s="33">
        <f>Examples!$E$18-(Examples!$E$10+Examples!$E$11)*$A201-(Examples!$E$6*Examples!$E$7*Examples!$E$8*EXP(-Examples!$E$9*$A201)*(1-(Examples!$E$12*(1-EXP(-Examples!$E$13*$A201))/(1+EXP(MIN(700,MAX(-700,(Examples!$E$14*$A201-Examples!$E$15)/Examples!$E$16))))))+Examples!$E$17*$A201^2)</f>
        <v>2405860.4767510751</v>
      </c>
      <c r="G201" s="33">
        <f>(Examples!$E$6*Examples!$E$7*Examples!$E$8*EXP(-Examples!$E$9*$A201)*(1-(Examples!$E$12*(1-EXP(-Examples!$E$13*$A201))/(1+EXP(MIN(700,MAX(-700,(Examples!$E$14*$A201-Examples!$E$15)/Examples!$E$16))))))+Examples!$E$17*$A201^2)</f>
        <v>424989.5232489247</v>
      </c>
      <c r="H201" s="33">
        <f>Examples!$F$18-(Examples!$F$10+Examples!$F$11)*$A201-(Examples!$F$6*Examples!$F$7*Examples!$F$8*EXP(-Examples!$F$9*$A201)*(1-(Examples!$F$12*(1-EXP(-Examples!$F$13*$A201))/(1+EXP(MIN(700,MAX(-700,(Examples!$F$14*$A201-Examples!$F$15)/Examples!$F$16))))))+Examples!$F$17*$A201^2)</f>
        <v>21481.761559999839</v>
      </c>
      <c r="I201" s="33">
        <f>(Examples!$F$6*Examples!$F$7*Examples!$F$8*EXP(-Examples!$F$9*$A201)*(1-(Examples!$F$12*(1-EXP(-Examples!$F$13*$A201))/(1+EXP(MIN(700,MAX(-700,(Examples!$F$14*$A201-Examples!$F$15)/Examples!$F$16))))))+Examples!$F$17*$A201^2)</f>
        <v>88718.238440000161</v>
      </c>
      <c r="J201" s="33">
        <f>Examples!$G$18-(Examples!$G$10+Examples!$G$11)*$A201-(Examples!$G$6*Examples!$G$7*Examples!$G$8*EXP(-Examples!$G$9*$A201)*(1-(Examples!$G$12*(1-EXP(-Examples!$G$13*$A201))/(1+EXP(MIN(700,MAX(-700,(Examples!$G$14*$A201-Examples!$G$15)/Examples!$G$16))))))+Examples!$G$17*$A201^2)</f>
        <v>705717.34399673191</v>
      </c>
      <c r="K201" s="33">
        <f>(Examples!$G$6*Examples!$G$7*Examples!$G$8*EXP(-Examples!$G$9*$A201)*(1-(Examples!$G$12*(1-EXP(-Examples!$G$13*$A201))/(1+EXP(MIN(700,MAX(-700,(Examples!$G$14*$A201-Examples!$G$15)/Examples!$G$16))))))+Examples!$G$17*$A201^2)</f>
        <v>694782.65600326809</v>
      </c>
      <c r="L201" s="33">
        <f>Examples!$H$18-(Examples!$H$10+Examples!$H$11)*$A201-(Examples!$H$6*Examples!$H$7*Examples!$H$8*EXP(-Examples!$H$9*$A201)*(1-(Examples!$H$12*(1-EXP(-Examples!$H$13*$A201))/(1+EXP(MIN(700,MAX(-700,(Examples!$H$14*$A201-Examples!$H$15)/Examples!$H$16))))))+Examples!$H$17*$A201^2)</f>
        <v>792507.26217728341</v>
      </c>
      <c r="M201" s="33">
        <f>(Examples!$H$6*Examples!$H$7*Examples!$H$8*EXP(-Examples!$H$9*$A201)*(1-(Examples!$H$12*(1-EXP(-Examples!$H$13*$A201))/(1+EXP(MIN(700,MAX(-700,(Examples!$H$14*$A201-Examples!$H$15)/Examples!$H$16))))))+Examples!$H$17*$A201^2)</f>
        <v>607992.73782271659</v>
      </c>
    </row>
    <row r="202" spans="1:13" x14ac:dyDescent="0.25">
      <c r="A202">
        <f>(202-2)/100</f>
        <v>2</v>
      </c>
      <c r="B202" s="33">
        <f>Examples!$C$18-(Examples!$C$10+Examples!$C$11)*$A202-(Examples!$C$6*Examples!$C$7*Examples!$C$8*EXP(-Examples!$C$9*$A202)*(1-(Examples!$C$12*(1-EXP(-Examples!$C$13*$A202))/(1+EXP(MIN(700,MAX(-700,(Examples!$C$14*$A202-Examples!$C$15)/Examples!$C$16))))))+Examples!$C$17*$A202^2)</f>
        <v>167658.16675108013</v>
      </c>
      <c r="C202" s="33">
        <f>(Examples!$C$6*Examples!$C$7*Examples!$C$8*EXP(-Examples!$C$9*$A202)*(1-(Examples!$C$12*(1-EXP(-Examples!$C$13*$A202))/(1+EXP(MIN(700,MAX(-700,(Examples!$C$14*$A202-Examples!$C$15)/Examples!$C$16))))))+Examples!$C$17*$A202^2)</f>
        <v>362341.83324891987</v>
      </c>
      <c r="D202" s="33">
        <f>Examples!$D$18-(Examples!$D$10+Examples!$D$11)*$A202-(Examples!$D$6*Examples!$D$7*Examples!$D$8*EXP(-Examples!$D$9*$A202)*(1-(Examples!$D$12*(1-EXP(-Examples!$D$13*$A202))/(1+EXP(MIN(700,MAX(-700,(Examples!$D$14*$A202-Examples!$D$15)/Examples!$D$16))))))+Examples!$D$17*$A202^2)</f>
        <v>1116071.7524587642</v>
      </c>
      <c r="E202" s="33">
        <f>(Examples!$D$6*Examples!$D$7*Examples!$D$8*EXP(-Examples!$D$9*$A202)*(1-(Examples!$D$12*(1-EXP(-Examples!$D$13*$A202))/(1+EXP(MIN(700,MAX(-700,(Examples!$D$14*$A202-Examples!$D$15)/Examples!$D$16))))))+Examples!$D$17*$A202^2)</f>
        <v>1293928.2475412358</v>
      </c>
      <c r="F202" s="33">
        <f>Examples!$E$18-(Examples!$E$10+Examples!$E$11)*$A202-(Examples!$E$6*Examples!$E$7*Examples!$E$8*EXP(-Examples!$E$9*$A202)*(1-(Examples!$E$12*(1-EXP(-Examples!$E$13*$A202))/(1+EXP(MIN(700,MAX(-700,(Examples!$E$14*$A202-Examples!$E$15)/Examples!$E$16))))))+Examples!$E$17*$A202^2)</f>
        <v>2407906.1677516643</v>
      </c>
      <c r="G202" s="33">
        <f>(Examples!$E$6*Examples!$E$7*Examples!$E$8*EXP(-Examples!$E$9*$A202)*(1-(Examples!$E$12*(1-EXP(-Examples!$E$13*$A202))/(1+EXP(MIN(700,MAX(-700,(Examples!$E$14*$A202-Examples!$E$15)/Examples!$E$16))))))+Examples!$E$17*$A202^2)</f>
        <v>422093.83224833559</v>
      </c>
      <c r="H202" s="33">
        <f>Examples!$F$18-(Examples!$F$10+Examples!$F$11)*$A202-(Examples!$F$6*Examples!$F$7*Examples!$F$8*EXP(-Examples!$F$9*$A202)*(1-(Examples!$F$12*(1-EXP(-Examples!$F$13*$A202))/(1+EXP(MIN(700,MAX(-700,(Examples!$F$14*$A202-Examples!$F$15)/Examples!$F$16))))))+Examples!$F$17*$A202^2)</f>
        <v>20508.408856530645</v>
      </c>
      <c r="I202" s="33">
        <f>(Examples!$F$6*Examples!$F$7*Examples!$F$8*EXP(-Examples!$F$9*$A202)*(1-(Examples!$F$12*(1-EXP(-Examples!$F$13*$A202))/(1+EXP(MIN(700,MAX(-700,(Examples!$F$14*$A202-Examples!$F$15)/Examples!$F$16))))))+Examples!$F$17*$A202^2)</f>
        <v>89491.591143469355</v>
      </c>
      <c r="J202" s="33">
        <f>Examples!$G$18-(Examples!$G$10+Examples!$G$11)*$A202-(Examples!$G$6*Examples!$G$7*Examples!$G$8*EXP(-Examples!$G$9*$A202)*(1-(Examples!$G$12*(1-EXP(-Examples!$G$13*$A202))/(1+EXP(MIN(700,MAX(-700,(Examples!$G$14*$A202-Examples!$G$15)/Examples!$G$16))))))+Examples!$G$17*$A202^2)</f>
        <v>706689.55262398755</v>
      </c>
      <c r="K202" s="33">
        <f>(Examples!$G$6*Examples!$G$7*Examples!$G$8*EXP(-Examples!$G$9*$A202)*(1-(Examples!$G$12*(1-EXP(-Examples!$G$13*$A202))/(1+EXP(MIN(700,MAX(-700,(Examples!$G$14*$A202-Examples!$G$15)/Examples!$G$16))))))+Examples!$G$17*$A202^2)</f>
        <v>693310.44737601245</v>
      </c>
      <c r="L202" s="33">
        <f>Examples!$H$18-(Examples!$H$10+Examples!$H$11)*$A202-(Examples!$H$6*Examples!$H$7*Examples!$H$8*EXP(-Examples!$H$9*$A202)*(1-(Examples!$H$12*(1-EXP(-Examples!$H$13*$A202))/(1+EXP(MIN(700,MAX(-700,(Examples!$H$14*$A202-Examples!$H$15)/Examples!$H$16))))))+Examples!$H$17*$A202^2)</f>
        <v>792704.67540732026</v>
      </c>
      <c r="M202" s="33">
        <f>(Examples!$H$6*Examples!$H$7*Examples!$H$8*EXP(-Examples!$H$9*$A202)*(1-(Examples!$H$12*(1-EXP(-Examples!$H$13*$A202))/(1+EXP(MIN(700,MAX(-700,(Examples!$H$14*$A202-Examples!$H$15)/Examples!$H$16))))))+Examples!$H$17*$A202^2)</f>
        <v>607295.32459267974</v>
      </c>
    </row>
    <row r="203" spans="1:13" x14ac:dyDescent="0.25">
      <c r="A203">
        <f>(203-2)/100</f>
        <v>2.0099999999999998</v>
      </c>
      <c r="B203" s="33">
        <f>Examples!$C$18-(Examples!$C$10+Examples!$C$11)*$A203-(Examples!$C$6*Examples!$C$7*Examples!$C$8*EXP(-Examples!$C$9*$A203)*(1-(Examples!$C$12*(1-EXP(-Examples!$C$13*$A203))/(1+EXP(MIN(700,MAX(-700,(Examples!$C$14*$A203-Examples!$C$15)/Examples!$C$16))))))+Examples!$C$17*$A203^2)</f>
        <v>167029.64169651869</v>
      </c>
      <c r="C203" s="33">
        <f>(Examples!$C$6*Examples!$C$7*Examples!$C$8*EXP(-Examples!$C$9*$A203)*(1-(Examples!$C$12*(1-EXP(-Examples!$C$13*$A203))/(1+EXP(MIN(700,MAX(-700,(Examples!$C$14*$A203-Examples!$C$15)/Examples!$C$16))))))+Examples!$C$17*$A203^2)</f>
        <v>362620.35830348131</v>
      </c>
      <c r="D203" s="33">
        <f>Examples!$D$18-(Examples!$D$10+Examples!$D$11)*$A203-(Examples!$D$6*Examples!$D$7*Examples!$D$8*EXP(-Examples!$D$9*$A203)*(1-(Examples!$D$12*(1-EXP(-Examples!$D$13*$A203))/(1+EXP(MIN(700,MAX(-700,(Examples!$D$14*$A203-Examples!$D$15)/Examples!$D$16))))))+Examples!$D$17*$A203^2)</f>
        <v>1122753.9572311938</v>
      </c>
      <c r="E203" s="33">
        <f>(Examples!$D$6*Examples!$D$7*Examples!$D$8*EXP(-Examples!$D$9*$A203)*(1-(Examples!$D$12*(1-EXP(-Examples!$D$13*$A203))/(1+EXP(MIN(700,MAX(-700,(Examples!$D$14*$A203-Examples!$D$15)/Examples!$D$16))))))+Examples!$D$17*$A203^2)</f>
        <v>1286796.0427688062</v>
      </c>
      <c r="F203" s="33">
        <f>Examples!$E$18-(Examples!$E$10+Examples!$E$11)*$A203-(Examples!$E$6*Examples!$E$7*Examples!$E$8*EXP(-Examples!$E$9*$A203)*(1-(Examples!$E$12*(1-EXP(-Examples!$E$13*$A203))/(1+EXP(MIN(700,MAX(-700,(Examples!$E$14*$A203-Examples!$E$15)/Examples!$E$16))))))+Examples!$E$17*$A203^2)</f>
        <v>2409917.8054998531</v>
      </c>
      <c r="G203" s="33">
        <f>(Examples!$E$6*Examples!$E$7*Examples!$E$8*EXP(-Examples!$E$9*$A203)*(1-(Examples!$E$12*(1-EXP(-Examples!$E$13*$A203))/(1+EXP(MIN(700,MAX(-700,(Examples!$E$14*$A203-Examples!$E$15)/Examples!$E$16))))))+Examples!$E$17*$A203^2)</f>
        <v>419232.19450014707</v>
      </c>
      <c r="H203" s="33">
        <f>Examples!$F$18-(Examples!$F$10+Examples!$F$11)*$A203-(Examples!$F$6*Examples!$F$7*Examples!$F$8*EXP(-Examples!$F$9*$A203)*(1-(Examples!$F$12*(1-EXP(-Examples!$F$13*$A203))/(1+EXP(MIN(700,MAX(-700,(Examples!$F$14*$A203-Examples!$F$15)/Examples!$F$16))))))+Examples!$F$17*$A203^2)</f>
        <v>19531.108147328152</v>
      </c>
      <c r="I203" s="33">
        <f>(Examples!$F$6*Examples!$F$7*Examples!$F$8*EXP(-Examples!$F$9*$A203)*(1-(Examples!$F$12*(1-EXP(-Examples!$F$13*$A203))/(1+EXP(MIN(700,MAX(-700,(Examples!$F$14*$A203-Examples!$F$15)/Examples!$F$16))))))+Examples!$F$17*$A203^2)</f>
        <v>90268.891852671848</v>
      </c>
      <c r="J203" s="33">
        <f>Examples!$G$18-(Examples!$G$10+Examples!$G$11)*$A203-(Examples!$G$6*Examples!$G$7*Examples!$G$8*EXP(-Examples!$G$9*$A203)*(1-(Examples!$G$12*(1-EXP(-Examples!$G$13*$A203))/(1+EXP(MIN(700,MAX(-700,(Examples!$G$14*$A203-Examples!$G$15)/Examples!$G$16))))))+Examples!$G$17*$A203^2)</f>
        <v>707635.80880748213</v>
      </c>
      <c r="K203" s="33">
        <f>(Examples!$G$6*Examples!$G$7*Examples!$G$8*EXP(-Examples!$G$9*$A203)*(1-(Examples!$G$12*(1-EXP(-Examples!$G$13*$A203))/(1+EXP(MIN(700,MAX(-700,(Examples!$G$14*$A203-Examples!$G$15)/Examples!$G$16))))))+Examples!$G$17*$A203^2)</f>
        <v>691864.19119251787</v>
      </c>
      <c r="L203" s="33">
        <f>Examples!$H$18-(Examples!$H$10+Examples!$H$11)*$A203-(Examples!$H$6*Examples!$H$7*Examples!$H$8*EXP(-Examples!$H$9*$A203)*(1-(Examples!$H$12*(1-EXP(-Examples!$H$13*$A203))/(1+EXP(MIN(700,MAX(-700,(Examples!$H$14*$A203-Examples!$H$15)/Examples!$H$16))))))+Examples!$H$17*$A203^2)</f>
        <v>792833.77279571025</v>
      </c>
      <c r="M203" s="33">
        <f>(Examples!$H$6*Examples!$H$7*Examples!$H$8*EXP(-Examples!$H$9*$A203)*(1-(Examples!$H$12*(1-EXP(-Examples!$H$13*$A203))/(1+EXP(MIN(700,MAX(-700,(Examples!$H$14*$A203-Examples!$H$15)/Examples!$H$16))))))+Examples!$H$17*$A203^2)</f>
        <v>606666.22720428975</v>
      </c>
    </row>
    <row r="204" spans="1:13" x14ac:dyDescent="0.25">
      <c r="A204">
        <f>(204-2)/100</f>
        <v>2.02</v>
      </c>
      <c r="B204" s="33">
        <f>Examples!$C$18-(Examples!$C$10+Examples!$C$11)*$A204-(Examples!$C$6*Examples!$C$7*Examples!$C$8*EXP(-Examples!$C$9*$A204)*(1-(Examples!$C$12*(1-EXP(-Examples!$C$13*$A204))/(1+EXP(MIN(700,MAX(-700,(Examples!$C$14*$A204-Examples!$C$15)/Examples!$C$16))))))+Examples!$C$17*$A204^2)</f>
        <v>166405.6771530055</v>
      </c>
      <c r="C204" s="33">
        <f>(Examples!$C$6*Examples!$C$7*Examples!$C$8*EXP(-Examples!$C$9*$A204)*(1-(Examples!$C$12*(1-EXP(-Examples!$C$13*$A204))/(1+EXP(MIN(700,MAX(-700,(Examples!$C$14*$A204-Examples!$C$15)/Examples!$C$16))))))+Examples!$C$17*$A204^2)</f>
        <v>362894.3228469945</v>
      </c>
      <c r="D204" s="33">
        <f>Examples!$D$18-(Examples!$D$10+Examples!$D$11)*$A204-(Examples!$D$6*Examples!$D$7*Examples!$D$8*EXP(-Examples!$D$9*$A204)*(1-(Examples!$D$12*(1-EXP(-Examples!$D$13*$A204))/(1+EXP(MIN(700,MAX(-700,(Examples!$D$14*$A204-Examples!$D$15)/Examples!$D$16))))))+Examples!$D$17*$A204^2)</f>
        <v>1129355.0199767377</v>
      </c>
      <c r="E204" s="33">
        <f>(Examples!$D$6*Examples!$D$7*Examples!$D$8*EXP(-Examples!$D$9*$A204)*(1-(Examples!$D$12*(1-EXP(-Examples!$D$13*$A204))/(1+EXP(MIN(700,MAX(-700,(Examples!$D$14*$A204-Examples!$D$15)/Examples!$D$16))))))+Examples!$D$17*$A204^2)</f>
        <v>1279744.9800232623</v>
      </c>
      <c r="F204" s="33">
        <f>Examples!$E$18-(Examples!$E$10+Examples!$E$11)*$A204-(Examples!$E$6*Examples!$E$7*Examples!$E$8*EXP(-Examples!$E$9*$A204)*(1-(Examples!$E$12*(1-EXP(-Examples!$E$13*$A204))/(1+EXP(MIN(700,MAX(-700,(Examples!$E$14*$A204-Examples!$E$15)/Examples!$E$16))))))+Examples!$E$17*$A204^2)</f>
        <v>2411895.7688677786</v>
      </c>
      <c r="G204" s="33">
        <f>(Examples!$E$6*Examples!$E$7*Examples!$E$8*EXP(-Examples!$E$9*$A204)*(1-(Examples!$E$12*(1-EXP(-Examples!$E$13*$A204))/(1+EXP(MIN(700,MAX(-700,(Examples!$E$14*$A204-Examples!$E$15)/Examples!$E$16))))))+Examples!$E$17*$A204^2)</f>
        <v>416404.23113222164</v>
      </c>
      <c r="H204" s="33">
        <f>Examples!$F$18-(Examples!$F$10+Examples!$F$11)*$A204-(Examples!$F$6*Examples!$F$7*Examples!$F$8*EXP(-Examples!$F$9*$A204)*(1-(Examples!$F$12*(1-EXP(-Examples!$F$13*$A204))/(1+EXP(MIN(700,MAX(-700,(Examples!$F$14*$A204-Examples!$F$15)/Examples!$F$16))))))+Examples!$F$17*$A204^2)</f>
        <v>18549.856033505741</v>
      </c>
      <c r="I204" s="33">
        <f>(Examples!$F$6*Examples!$F$7*Examples!$F$8*EXP(-Examples!$F$9*$A204)*(1-(Examples!$F$12*(1-EXP(-Examples!$F$13*$A204))/(1+EXP(MIN(700,MAX(-700,(Examples!$F$14*$A204-Examples!$F$15)/Examples!$F$16))))))+Examples!$F$17*$A204^2)</f>
        <v>91050.143966494259</v>
      </c>
      <c r="J204" s="33">
        <f>Examples!$G$18-(Examples!$G$10+Examples!$G$11)*$A204-(Examples!$G$6*Examples!$G$7*Examples!$G$8*EXP(-Examples!$G$9*$A204)*(1-(Examples!$G$12*(1-EXP(-Examples!$G$13*$A204))/(1+EXP(MIN(700,MAX(-700,(Examples!$G$14*$A204-Examples!$G$15)/Examples!$G$16))))))+Examples!$G$17*$A204^2)</f>
        <v>708556.45663498156</v>
      </c>
      <c r="K204" s="33">
        <f>(Examples!$G$6*Examples!$G$7*Examples!$G$8*EXP(-Examples!$G$9*$A204)*(1-(Examples!$G$12*(1-EXP(-Examples!$G$13*$A204))/(1+EXP(MIN(700,MAX(-700,(Examples!$G$14*$A204-Examples!$G$15)/Examples!$G$16))))))+Examples!$G$17*$A204^2)</f>
        <v>690443.54336501844</v>
      </c>
      <c r="L204" s="33">
        <f>Examples!$H$18-(Examples!$H$10+Examples!$H$11)*$A204-(Examples!$H$6*Examples!$H$7*Examples!$H$8*EXP(-Examples!$H$9*$A204)*(1-(Examples!$H$12*(1-EXP(-Examples!$H$13*$A204))/(1+EXP(MIN(700,MAX(-700,(Examples!$H$14*$A204-Examples!$H$15)/Examples!$H$16))))))+Examples!$H$17*$A204^2)</f>
        <v>792894.60265014868</v>
      </c>
      <c r="M204" s="33">
        <f>(Examples!$H$6*Examples!$H$7*Examples!$H$8*EXP(-Examples!$H$9*$A204)*(1-(Examples!$H$12*(1-EXP(-Examples!$H$13*$A204))/(1+EXP(MIN(700,MAX(-700,(Examples!$H$14*$A204-Examples!$H$15)/Examples!$H$16))))))+Examples!$H$17*$A204^2)</f>
        <v>606105.39734985132</v>
      </c>
    </row>
    <row r="205" spans="1:13" x14ac:dyDescent="0.25">
      <c r="A205">
        <f>(205-2)/100</f>
        <v>2.0299999999999998</v>
      </c>
      <c r="B205" s="33">
        <f>Examples!$C$18-(Examples!$C$10+Examples!$C$11)*$A205-(Examples!$C$6*Examples!$C$7*Examples!$C$8*EXP(-Examples!$C$9*$A205)*(1-(Examples!$C$12*(1-EXP(-Examples!$C$13*$A205))/(1+EXP(MIN(700,MAX(-700,(Examples!$C$14*$A205-Examples!$C$15)/Examples!$C$16))))))+Examples!$C$17*$A205^2)</f>
        <v>165786.40743009746</v>
      </c>
      <c r="C205" s="33">
        <f>(Examples!$C$6*Examples!$C$7*Examples!$C$8*EXP(-Examples!$C$9*$A205)*(1-(Examples!$C$12*(1-EXP(-Examples!$C$13*$A205))/(1+EXP(MIN(700,MAX(-700,(Examples!$C$14*$A205-Examples!$C$15)/Examples!$C$16))))))+Examples!$C$17*$A205^2)</f>
        <v>363163.59256990254</v>
      </c>
      <c r="D205" s="33">
        <f>Examples!$D$18-(Examples!$D$10+Examples!$D$11)*$A205-(Examples!$D$6*Examples!$D$7*Examples!$D$8*EXP(-Examples!$D$9*$A205)*(1-(Examples!$D$12*(1-EXP(-Examples!$D$13*$A205))/(1+EXP(MIN(700,MAX(-700,(Examples!$D$14*$A205-Examples!$D$15)/Examples!$D$16))))))+Examples!$D$17*$A205^2)</f>
        <v>1135875.620656166</v>
      </c>
      <c r="E205" s="33">
        <f>(Examples!$D$6*Examples!$D$7*Examples!$D$8*EXP(-Examples!$D$9*$A205)*(1-(Examples!$D$12*(1-EXP(-Examples!$D$13*$A205))/(1+EXP(MIN(700,MAX(-700,(Examples!$D$14*$A205-Examples!$D$15)/Examples!$D$16))))))+Examples!$D$17*$A205^2)</f>
        <v>1272774.379343834</v>
      </c>
      <c r="F205" s="33">
        <f>Examples!$E$18-(Examples!$E$10+Examples!$E$11)*$A205-(Examples!$E$6*Examples!$E$7*Examples!$E$8*EXP(-Examples!$E$9*$A205)*(1-(Examples!$E$12*(1-EXP(-Examples!$E$13*$A205))/(1+EXP(MIN(700,MAX(-700,(Examples!$E$14*$A205-Examples!$E$15)/Examples!$E$16))))))+Examples!$E$17*$A205^2)</f>
        <v>2413840.4324125946</v>
      </c>
      <c r="G205" s="33">
        <f>(Examples!$E$6*Examples!$E$7*Examples!$E$8*EXP(-Examples!$E$9*$A205)*(1-(Examples!$E$12*(1-EXP(-Examples!$E$13*$A205))/(1+EXP(MIN(700,MAX(-700,(Examples!$E$14*$A205-Examples!$E$15)/Examples!$E$16))))))+Examples!$E$17*$A205^2)</f>
        <v>413609.56758740533</v>
      </c>
      <c r="H205" s="33">
        <f>Examples!$F$18-(Examples!$F$10+Examples!$F$11)*$A205-(Examples!$F$6*Examples!$F$7*Examples!$F$8*EXP(-Examples!$F$9*$A205)*(1-(Examples!$F$12*(1-EXP(-Examples!$F$13*$A205))/(1+EXP(MIN(700,MAX(-700,(Examples!$F$14*$A205-Examples!$F$15)/Examples!$F$16))))))+Examples!$F$17*$A205^2)</f>
        <v>17564.649148609067</v>
      </c>
      <c r="I205" s="33">
        <f>(Examples!$F$6*Examples!$F$7*Examples!$F$8*EXP(-Examples!$F$9*$A205)*(1-(Examples!$F$12*(1-EXP(-Examples!$F$13*$A205))/(1+EXP(MIN(700,MAX(-700,(Examples!$F$14*$A205-Examples!$F$15)/Examples!$F$16))))))+Examples!$F$17*$A205^2)</f>
        <v>91835.350851390933</v>
      </c>
      <c r="J205" s="33">
        <f>Examples!$G$18-(Examples!$G$10+Examples!$G$11)*$A205-(Examples!$G$6*Examples!$G$7*Examples!$G$8*EXP(-Examples!$G$9*$A205)*(1-(Examples!$G$12*(1-EXP(-Examples!$G$13*$A205))/(1+EXP(MIN(700,MAX(-700,(Examples!$G$14*$A205-Examples!$G$15)/Examples!$G$16))))))+Examples!$G$17*$A205^2)</f>
        <v>709451.83993757039</v>
      </c>
      <c r="K205" s="33">
        <f>(Examples!$G$6*Examples!$G$7*Examples!$G$8*EXP(-Examples!$G$9*$A205)*(1-(Examples!$G$12*(1-EXP(-Examples!$G$13*$A205))/(1+EXP(MIN(700,MAX(-700,(Examples!$G$14*$A205-Examples!$G$15)/Examples!$G$16))))))+Examples!$G$17*$A205^2)</f>
        <v>689048.16006242961</v>
      </c>
      <c r="L205" s="33">
        <f>Examples!$H$18-(Examples!$H$10+Examples!$H$11)*$A205-(Examples!$H$6*Examples!$H$7*Examples!$H$8*EXP(-Examples!$H$9*$A205)*(1-(Examples!$H$12*(1-EXP(-Examples!$H$13*$A205))/(1+EXP(MIN(700,MAX(-700,(Examples!$H$14*$A205-Examples!$H$15)/Examples!$H$16))))))+Examples!$H$17*$A205^2)</f>
        <v>792887.25171001244</v>
      </c>
      <c r="M205" s="33">
        <f>(Examples!$H$6*Examples!$H$7*Examples!$H$8*EXP(-Examples!$H$9*$A205)*(1-(Examples!$H$12*(1-EXP(-Examples!$H$13*$A205))/(1+EXP(MIN(700,MAX(-700,(Examples!$H$14*$A205-Examples!$H$15)/Examples!$H$16))))))+Examples!$H$17*$A205^2)</f>
        <v>605612.74828998756</v>
      </c>
    </row>
    <row r="206" spans="1:13" x14ac:dyDescent="0.25">
      <c r="A206">
        <f>(206-2)/100</f>
        <v>2.04</v>
      </c>
      <c r="B206" s="33">
        <f>Examples!$C$18-(Examples!$C$10+Examples!$C$11)*$A206-(Examples!$C$6*Examples!$C$7*Examples!$C$8*EXP(-Examples!$C$9*$A206)*(1-(Examples!$C$12*(1-EXP(-Examples!$C$13*$A206))/(1+EXP(MIN(700,MAX(-700,(Examples!$C$14*$A206-Examples!$C$15)/Examples!$C$16))))))+Examples!$C$17*$A206^2)</f>
        <v>165171.94977679529</v>
      </c>
      <c r="C206" s="33">
        <f>(Examples!$C$6*Examples!$C$7*Examples!$C$8*EXP(-Examples!$C$9*$A206)*(1-(Examples!$C$12*(1-EXP(-Examples!$C$13*$A206))/(1+EXP(MIN(700,MAX(-700,(Examples!$C$14*$A206-Examples!$C$15)/Examples!$C$16))))))+Examples!$C$17*$A206^2)</f>
        <v>363428.05022320471</v>
      </c>
      <c r="D206" s="33">
        <f>Examples!$D$18-(Examples!$D$10+Examples!$D$11)*$A206-(Examples!$D$6*Examples!$D$7*Examples!$D$8*EXP(-Examples!$D$9*$A206)*(1-(Examples!$D$12*(1-EXP(-Examples!$D$13*$A206))/(1+EXP(MIN(700,MAX(-700,(Examples!$D$14*$A206-Examples!$D$15)/Examples!$D$16))))))+Examples!$D$17*$A206^2)</f>
        <v>1142316.4335238584</v>
      </c>
      <c r="E206" s="33">
        <f>(Examples!$D$6*Examples!$D$7*Examples!$D$8*EXP(-Examples!$D$9*$A206)*(1-(Examples!$D$12*(1-EXP(-Examples!$D$13*$A206))/(1+EXP(MIN(700,MAX(-700,(Examples!$D$14*$A206-Examples!$D$15)/Examples!$D$16))))))+Examples!$D$17*$A206^2)</f>
        <v>1265883.5664761416</v>
      </c>
      <c r="F206" s="33">
        <f>Examples!$E$18-(Examples!$E$10+Examples!$E$11)*$A206-(Examples!$E$6*Examples!$E$7*Examples!$E$8*EXP(-Examples!$E$9*$A206)*(1-(Examples!$E$12*(1-EXP(-Examples!$E$13*$A206))/(1+EXP(MIN(700,MAX(-700,(Examples!$E$14*$A206-Examples!$E$15)/Examples!$E$16))))))+Examples!$E$17*$A206^2)</f>
        <v>2415752.1664279485</v>
      </c>
      <c r="G206" s="33">
        <f>(Examples!$E$6*Examples!$E$7*Examples!$E$8*EXP(-Examples!$E$9*$A206)*(1-(Examples!$E$12*(1-EXP(-Examples!$E$13*$A206))/(1+EXP(MIN(700,MAX(-700,(Examples!$E$14*$A206-Examples!$E$15)/Examples!$E$16))))))+Examples!$E$17*$A206^2)</f>
        <v>410847.83357205126</v>
      </c>
      <c r="H206" s="33">
        <f>Examples!$F$18-(Examples!$F$10+Examples!$F$11)*$A206-(Examples!$F$6*Examples!$F$7*Examples!$F$8*EXP(-Examples!$F$9*$A206)*(1-(Examples!$F$12*(1-EXP(-Examples!$F$13*$A206))/(1+EXP(MIN(700,MAX(-700,(Examples!$F$14*$A206-Examples!$F$15)/Examples!$F$16))))))+Examples!$F$17*$A206^2)</f>
        <v>16575.484163516026</v>
      </c>
      <c r="I206" s="33">
        <f>(Examples!$F$6*Examples!$F$7*Examples!$F$8*EXP(-Examples!$F$9*$A206)*(1-(Examples!$F$12*(1-EXP(-Examples!$F$13*$A206))/(1+EXP(MIN(700,MAX(-700,(Examples!$F$14*$A206-Examples!$F$15)/Examples!$F$16))))))+Examples!$F$17*$A206^2)</f>
        <v>92624.515836483974</v>
      </c>
      <c r="J206" s="33">
        <f>Examples!$G$18-(Examples!$G$10+Examples!$G$11)*$A206-(Examples!$G$6*Examples!$G$7*Examples!$G$8*EXP(-Examples!$G$9*$A206)*(1-(Examples!$G$12*(1-EXP(-Examples!$G$13*$A206))/(1+EXP(MIN(700,MAX(-700,(Examples!$G$14*$A206-Examples!$G$15)/Examples!$G$16))))))+Examples!$G$17*$A206^2)</f>
        <v>710322.30225797254</v>
      </c>
      <c r="K206" s="33">
        <f>(Examples!$G$6*Examples!$G$7*Examples!$G$8*EXP(-Examples!$G$9*$A206)*(1-(Examples!$G$12*(1-EXP(-Examples!$G$13*$A206))/(1+EXP(MIN(700,MAX(-700,(Examples!$G$14*$A206-Examples!$G$15)/Examples!$G$16))))))+Examples!$G$17*$A206^2)</f>
        <v>687677.69774202746</v>
      </c>
      <c r="L206" s="33">
        <f>Examples!$H$18-(Examples!$H$10+Examples!$H$11)*$A206-(Examples!$H$6*Examples!$H$7*Examples!$H$8*EXP(-Examples!$H$9*$A206)*(1-(Examples!$H$12*(1-EXP(-Examples!$H$13*$A206))/(1+EXP(MIN(700,MAX(-700,(Examples!$H$14*$A206-Examples!$H$15)/Examples!$H$16))))))+Examples!$H$17*$A206^2)</f>
        <v>792811.84702545416</v>
      </c>
      <c r="M206" s="33">
        <f>(Examples!$H$6*Examples!$H$7*Examples!$H$8*EXP(-Examples!$H$9*$A206)*(1-(Examples!$H$12*(1-EXP(-Examples!$H$13*$A206))/(1+EXP(MIN(700,MAX(-700,(Examples!$H$14*$A206-Examples!$H$15)/Examples!$H$16))))))+Examples!$H$17*$A206^2)</f>
        <v>605188.15297454584</v>
      </c>
    </row>
    <row r="207" spans="1:13" x14ac:dyDescent="0.25">
      <c r="A207">
        <f>(207-2)/100</f>
        <v>2.0499999999999998</v>
      </c>
      <c r="B207" s="33">
        <f>Examples!$C$18-(Examples!$C$10+Examples!$C$11)*$A207-(Examples!$C$6*Examples!$C$7*Examples!$C$8*EXP(-Examples!$C$9*$A207)*(1-(Examples!$C$12*(1-EXP(-Examples!$C$13*$A207))/(1+EXP(MIN(700,MAX(-700,(Examples!$C$14*$A207-Examples!$C$15)/Examples!$C$16))))))+Examples!$C$17*$A207^2)</f>
        <v>164562.40481204662</v>
      </c>
      <c r="C207" s="33">
        <f>(Examples!$C$6*Examples!$C$7*Examples!$C$8*EXP(-Examples!$C$9*$A207)*(1-(Examples!$C$12*(1-EXP(-Examples!$C$13*$A207))/(1+EXP(MIN(700,MAX(-700,(Examples!$C$14*$A207-Examples!$C$15)/Examples!$C$16))))))+Examples!$C$17*$A207^2)</f>
        <v>363687.59518795338</v>
      </c>
      <c r="D207" s="33">
        <f>Examples!$D$18-(Examples!$D$10+Examples!$D$11)*$A207-(Examples!$D$6*Examples!$D$7*Examples!$D$8*EXP(-Examples!$D$9*$A207)*(1-(Examples!$D$12*(1-EXP(-Examples!$D$13*$A207))/(1+EXP(MIN(700,MAX(-700,(Examples!$D$14*$A207-Examples!$D$15)/Examples!$D$16))))))+Examples!$D$17*$A207^2)</f>
        <v>1148678.1272202497</v>
      </c>
      <c r="E207" s="33">
        <f>(Examples!$D$6*Examples!$D$7*Examples!$D$8*EXP(-Examples!$D$9*$A207)*(1-(Examples!$D$12*(1-EXP(-Examples!$D$13*$A207))/(1+EXP(MIN(700,MAX(-700,(Examples!$D$14*$A207-Examples!$D$15)/Examples!$D$16))))))+Examples!$D$17*$A207^2)</f>
        <v>1259071.8727797503</v>
      </c>
      <c r="F207" s="33">
        <f>Examples!$E$18-(Examples!$E$10+Examples!$E$11)*$A207-(Examples!$E$6*Examples!$E$7*Examples!$E$8*EXP(-Examples!$E$9*$A207)*(1-(Examples!$E$12*(1-EXP(-Examples!$E$13*$A207))/(1+EXP(MIN(700,MAX(-700,(Examples!$E$14*$A207-Examples!$E$15)/Examples!$E$16))))))+Examples!$E$17*$A207^2)</f>
        <v>2417631.3369948426</v>
      </c>
      <c r="G207" s="33">
        <f>(Examples!$E$6*Examples!$E$7*Examples!$E$8*EXP(-Examples!$E$9*$A207)*(1-(Examples!$E$12*(1-EXP(-Examples!$E$13*$A207))/(1+EXP(MIN(700,MAX(-700,(Examples!$E$14*$A207-Examples!$E$15)/Examples!$E$16))))))+Examples!$E$17*$A207^2)</f>
        <v>408118.66300515726</v>
      </c>
      <c r="H207" s="33">
        <f>Examples!$F$18-(Examples!$F$10+Examples!$F$11)*$A207-(Examples!$F$6*Examples!$F$7*Examples!$F$8*EXP(-Examples!$F$9*$A207)*(1-(Examples!$F$12*(1-EXP(-Examples!$F$13*$A207))/(1+EXP(MIN(700,MAX(-700,(Examples!$F$14*$A207-Examples!$F$15)/Examples!$F$16))))))+Examples!$F$17*$A207^2)</f>
        <v>15582.357790863898</v>
      </c>
      <c r="I207" s="33">
        <f>(Examples!$F$6*Examples!$F$7*Examples!$F$8*EXP(-Examples!$F$9*$A207)*(1-(Examples!$F$12*(1-EXP(-Examples!$F$13*$A207))/(1+EXP(MIN(700,MAX(-700,(Examples!$F$14*$A207-Examples!$F$15)/Examples!$F$16))))))+Examples!$F$17*$A207^2)</f>
        <v>93417.642209136102</v>
      </c>
      <c r="J207" s="33">
        <f>Examples!$G$18-(Examples!$G$10+Examples!$G$11)*$A207-(Examples!$G$6*Examples!$G$7*Examples!$G$8*EXP(-Examples!$G$9*$A207)*(1-(Examples!$G$12*(1-EXP(-Examples!$G$13*$A207))/(1+EXP(MIN(700,MAX(-700,(Examples!$G$14*$A207-Examples!$G$15)/Examples!$G$16))))))+Examples!$G$17*$A207^2)</f>
        <v>711168.18681766035</v>
      </c>
      <c r="K207" s="33">
        <f>(Examples!$G$6*Examples!$G$7*Examples!$G$8*EXP(-Examples!$G$9*$A207)*(1-(Examples!$G$12*(1-EXP(-Examples!$G$13*$A207))/(1+EXP(MIN(700,MAX(-700,(Examples!$G$14*$A207-Examples!$G$15)/Examples!$G$16))))))+Examples!$G$17*$A207^2)</f>
        <v>686331.81318233965</v>
      </c>
      <c r="L207" s="33">
        <f>Examples!$H$18-(Examples!$H$10+Examples!$H$11)*$A207-(Examples!$H$6*Examples!$H$7*Examples!$H$8*EXP(-Examples!$H$9*$A207)*(1-(Examples!$H$12*(1-EXP(-Examples!$H$13*$A207))/(1+EXP(MIN(700,MAX(-700,(Examples!$H$14*$A207-Examples!$H$15)/Examples!$H$16))))))+Examples!$H$17*$A207^2)</f>
        <v>792668.55782118801</v>
      </c>
      <c r="M207" s="33">
        <f>(Examples!$H$6*Examples!$H$7*Examples!$H$8*EXP(-Examples!$H$9*$A207)*(1-(Examples!$H$12*(1-EXP(-Examples!$H$13*$A207))/(1+EXP(MIN(700,MAX(-700,(Examples!$H$14*$A207-Examples!$H$15)/Examples!$H$16))))))+Examples!$H$17*$A207^2)</f>
        <v>604831.44217881199</v>
      </c>
    </row>
    <row r="208" spans="1:13" x14ac:dyDescent="0.25">
      <c r="A208">
        <f>(208-2)/100</f>
        <v>2.06</v>
      </c>
      <c r="B208" s="33">
        <f>Examples!$C$18-(Examples!$C$10+Examples!$C$11)*$A208-(Examples!$C$6*Examples!$C$7*Examples!$C$8*EXP(-Examples!$C$9*$A208)*(1-(Examples!$C$12*(1-EXP(-Examples!$C$13*$A208))/(1+EXP(MIN(700,MAX(-700,(Examples!$C$14*$A208-Examples!$C$15)/Examples!$C$16))))))+Examples!$C$17*$A208^2)</f>
        <v>163957.8569841003</v>
      </c>
      <c r="C208" s="33">
        <f>(Examples!$C$6*Examples!$C$7*Examples!$C$8*EXP(-Examples!$C$9*$A208)*(1-(Examples!$C$12*(1-EXP(-Examples!$C$13*$A208))/(1+EXP(MIN(700,MAX(-700,(Examples!$C$14*$A208-Examples!$C$15)/Examples!$C$16))))))+Examples!$C$17*$A208^2)</f>
        <v>363942.1430158997</v>
      </c>
      <c r="D208" s="33">
        <f>Examples!$D$18-(Examples!$D$10+Examples!$D$11)*$A208-(Examples!$D$6*Examples!$D$7*Examples!$D$8*EXP(-Examples!$D$9*$A208)*(1-(Examples!$D$12*(1-EXP(-Examples!$D$13*$A208))/(1+EXP(MIN(700,MAX(-700,(Examples!$D$14*$A208-Examples!$D$15)/Examples!$D$16))))))+Examples!$D$17*$A208^2)</f>
        <v>1154961.3648637158</v>
      </c>
      <c r="E208" s="33">
        <f>(Examples!$D$6*Examples!$D$7*Examples!$D$8*EXP(-Examples!$D$9*$A208)*(1-(Examples!$D$12*(1-EXP(-Examples!$D$13*$A208))/(1+EXP(MIN(700,MAX(-700,(Examples!$D$14*$A208-Examples!$D$15)/Examples!$D$16))))))+Examples!$D$17*$A208^2)</f>
        <v>1252338.6351362842</v>
      </c>
      <c r="F208" s="33">
        <f>Examples!$E$18-(Examples!$E$10+Examples!$E$11)*$A208-(Examples!$E$6*Examples!$E$7*Examples!$E$8*EXP(-Examples!$E$9*$A208)*(1-(Examples!$E$12*(1-EXP(-Examples!$E$13*$A208))/(1+EXP(MIN(700,MAX(-700,(Examples!$E$14*$A208-Examples!$E$15)/Examples!$E$16))))))+Examples!$E$17*$A208^2)</f>
        <v>2419478.3060318944</v>
      </c>
      <c r="G208" s="33">
        <f>(Examples!$E$6*Examples!$E$7*Examples!$E$8*EXP(-Examples!$E$9*$A208)*(1-(Examples!$E$12*(1-EXP(-Examples!$E$13*$A208))/(1+EXP(MIN(700,MAX(-700,(Examples!$E$14*$A208-Examples!$E$15)/Examples!$E$16))))))+Examples!$E$17*$A208^2)</f>
        <v>405421.69396810577</v>
      </c>
      <c r="H208" s="33">
        <f>Examples!$F$18-(Examples!$F$10+Examples!$F$11)*$A208-(Examples!$F$6*Examples!$F$7*Examples!$F$8*EXP(-Examples!$F$9*$A208)*(1-(Examples!$F$12*(1-EXP(-Examples!$F$13*$A208))/(1+EXP(MIN(700,MAX(-700,(Examples!$F$14*$A208-Examples!$F$15)/Examples!$F$16))))))+Examples!$F$17*$A208^2)</f>
        <v>14585.266789026282</v>
      </c>
      <c r="I208" s="33">
        <f>(Examples!$F$6*Examples!$F$7*Examples!$F$8*EXP(-Examples!$F$9*$A208)*(1-(Examples!$F$12*(1-EXP(-Examples!$F$13*$A208))/(1+EXP(MIN(700,MAX(-700,(Examples!$F$14*$A208-Examples!$F$15)/Examples!$F$16))))))+Examples!$F$17*$A208^2)</f>
        <v>94214.733210973718</v>
      </c>
      <c r="J208" s="33">
        <f>Examples!$G$18-(Examples!$G$10+Examples!$G$11)*$A208-(Examples!$G$6*Examples!$G$7*Examples!$G$8*EXP(-Examples!$G$9*$A208)*(1-(Examples!$G$12*(1-EXP(-Examples!$G$13*$A208))/(1+EXP(MIN(700,MAX(-700,(Examples!$G$14*$A208-Examples!$G$15)/Examples!$G$16))))))+Examples!$G$17*$A208^2)</f>
        <v>711989.83648277819</v>
      </c>
      <c r="K208" s="33">
        <f>(Examples!$G$6*Examples!$G$7*Examples!$G$8*EXP(-Examples!$G$9*$A208)*(1-(Examples!$G$12*(1-EXP(-Examples!$G$13*$A208))/(1+EXP(MIN(700,MAX(-700,(Examples!$G$14*$A208-Examples!$G$15)/Examples!$G$16))))))+Examples!$G$17*$A208^2)</f>
        <v>685010.16351722181</v>
      </c>
      <c r="L208" s="33">
        <f>Examples!$H$18-(Examples!$H$10+Examples!$H$11)*$A208-(Examples!$H$6*Examples!$H$7*Examples!$H$8*EXP(-Examples!$H$9*$A208)*(1-(Examples!$H$12*(1-EXP(-Examples!$H$13*$A208))/(1+EXP(MIN(700,MAX(-700,(Examples!$H$14*$A208-Examples!$H$15)/Examples!$H$16))))))+Examples!$H$17*$A208^2)</f>
        <v>792457.59733735933</v>
      </c>
      <c r="M208" s="33">
        <f>(Examples!$H$6*Examples!$H$7*Examples!$H$8*EXP(-Examples!$H$9*$A208)*(1-(Examples!$H$12*(1-EXP(-Examples!$H$13*$A208))/(1+EXP(MIN(700,MAX(-700,(Examples!$H$14*$A208-Examples!$H$15)/Examples!$H$16))))))+Examples!$H$17*$A208^2)</f>
        <v>604542.40266264067</v>
      </c>
    </row>
    <row r="209" spans="1:13" x14ac:dyDescent="0.25">
      <c r="A209">
        <f>(209-2)/100</f>
        <v>2.0699999999999998</v>
      </c>
      <c r="B209" s="33">
        <f>Examples!$C$18-(Examples!$C$10+Examples!$C$11)*$A209-(Examples!$C$6*Examples!$C$7*Examples!$C$8*EXP(-Examples!$C$9*$A209)*(1-(Examples!$C$12*(1-EXP(-Examples!$C$13*$A209))/(1+EXP(MIN(700,MAX(-700,(Examples!$C$14*$A209-Examples!$C$15)/Examples!$C$16))))))+Examples!$C$17*$A209^2)</f>
        <v>163358.37505545927</v>
      </c>
      <c r="C209" s="33">
        <f>(Examples!$C$6*Examples!$C$7*Examples!$C$8*EXP(-Examples!$C$9*$A209)*(1-(Examples!$C$12*(1-EXP(-Examples!$C$13*$A209))/(1+EXP(MIN(700,MAX(-700,(Examples!$C$14*$A209-Examples!$C$15)/Examples!$C$16))))))+Examples!$C$17*$A209^2)</f>
        <v>364191.62494454073</v>
      </c>
      <c r="D209" s="33">
        <f>Examples!$D$18-(Examples!$D$10+Examples!$D$11)*$A209-(Examples!$D$6*Examples!$D$7*Examples!$D$8*EXP(-Examples!$D$9*$A209)*(1-(Examples!$D$12*(1-EXP(-Examples!$D$13*$A209))/(1+EXP(MIN(700,MAX(-700,(Examples!$D$14*$A209-Examples!$D$15)/Examples!$D$16))))))+Examples!$D$17*$A209^2)</f>
        <v>1161166.8041418872</v>
      </c>
      <c r="E209" s="33">
        <f>(Examples!$D$6*Examples!$D$7*Examples!$D$8*EXP(-Examples!$D$9*$A209)*(1-(Examples!$D$12*(1-EXP(-Examples!$D$13*$A209))/(1+EXP(MIN(700,MAX(-700,(Examples!$D$14*$A209-Examples!$D$15)/Examples!$D$16))))))+Examples!$D$17*$A209^2)</f>
        <v>1245683.1958581128</v>
      </c>
      <c r="F209" s="33">
        <f>Examples!$E$18-(Examples!$E$10+Examples!$E$11)*$A209-(Examples!$E$6*Examples!$E$7*Examples!$E$8*EXP(-Examples!$E$9*$A209)*(1-(Examples!$E$12*(1-EXP(-Examples!$E$13*$A209))/(1+EXP(MIN(700,MAX(-700,(Examples!$E$14*$A209-Examples!$E$15)/Examples!$E$16))))))+Examples!$E$17*$A209^2)</f>
        <v>2421293.4313449971</v>
      </c>
      <c r="G209" s="33">
        <f>(Examples!$E$6*Examples!$E$7*Examples!$E$8*EXP(-Examples!$E$9*$A209)*(1-(Examples!$E$12*(1-EXP(-Examples!$E$13*$A209))/(1+EXP(MIN(700,MAX(-700,(Examples!$E$14*$A209-Examples!$E$15)/Examples!$E$16))))))+Examples!$E$17*$A209^2)</f>
        <v>402756.56865500269</v>
      </c>
      <c r="H209" s="33">
        <f>Examples!$F$18-(Examples!$F$10+Examples!$F$11)*$A209-(Examples!$F$6*Examples!$F$7*Examples!$F$8*EXP(-Examples!$F$9*$A209)*(1-(Examples!$F$12*(1-EXP(-Examples!$F$13*$A209))/(1+EXP(MIN(700,MAX(-700,(Examples!$F$14*$A209-Examples!$F$15)/Examples!$F$16))))))+Examples!$F$17*$A209^2)</f>
        <v>13584.20796566506</v>
      </c>
      <c r="I209" s="33">
        <f>(Examples!$F$6*Examples!$F$7*Examples!$F$8*EXP(-Examples!$F$9*$A209)*(1-(Examples!$F$12*(1-EXP(-Examples!$F$13*$A209))/(1+EXP(MIN(700,MAX(-700,(Examples!$F$14*$A209-Examples!$F$15)/Examples!$F$16))))))+Examples!$F$17*$A209^2)</f>
        <v>95015.79203433494</v>
      </c>
      <c r="J209" s="33">
        <f>Examples!$G$18-(Examples!$G$10+Examples!$G$11)*$A209-(Examples!$G$6*Examples!$G$7*Examples!$G$8*EXP(-Examples!$G$9*$A209)*(1-(Examples!$G$12*(1-EXP(-Examples!$G$13*$A209))/(1+EXP(MIN(700,MAX(-700,(Examples!$G$14*$A209-Examples!$G$15)/Examples!$G$16))))))+Examples!$G$17*$A209^2)</f>
        <v>712787.59372890391</v>
      </c>
      <c r="K209" s="33">
        <f>(Examples!$G$6*Examples!$G$7*Examples!$G$8*EXP(-Examples!$G$9*$A209)*(1-(Examples!$G$12*(1-EXP(-Examples!$G$13*$A209))/(1+EXP(MIN(700,MAX(-700,(Examples!$G$14*$A209-Examples!$G$15)/Examples!$G$16))))))+Examples!$G$17*$A209^2)</f>
        <v>683712.40627109609</v>
      </c>
      <c r="L209" s="33">
        <f>Examples!$H$18-(Examples!$H$10+Examples!$H$11)*$A209-(Examples!$H$6*Examples!$H$7*Examples!$H$8*EXP(-Examples!$H$9*$A209)*(1-(Examples!$H$12*(1-EXP(-Examples!$H$13*$A209))/(1+EXP(MIN(700,MAX(-700,(Examples!$H$14*$A209-Examples!$H$15)/Examples!$H$16))))))+Examples!$H$17*$A209^2)</f>
        <v>792179.22463950329</v>
      </c>
      <c r="M209" s="33">
        <f>(Examples!$H$6*Examples!$H$7*Examples!$H$8*EXP(-Examples!$H$9*$A209)*(1-(Examples!$H$12*(1-EXP(-Examples!$H$13*$A209))/(1+EXP(MIN(700,MAX(-700,(Examples!$H$14*$A209-Examples!$H$15)/Examples!$H$16))))))+Examples!$H$17*$A209^2)</f>
        <v>604320.77536049671</v>
      </c>
    </row>
    <row r="210" spans="1:13" x14ac:dyDescent="0.25">
      <c r="A210">
        <f>(210-2)/100</f>
        <v>2.08</v>
      </c>
      <c r="B210" s="33">
        <f>Examples!$C$18-(Examples!$C$10+Examples!$C$11)*$A210-(Examples!$C$6*Examples!$C$7*Examples!$C$8*EXP(-Examples!$C$9*$A210)*(1-(Examples!$C$12*(1-EXP(-Examples!$C$13*$A210))/(1+EXP(MIN(700,MAX(-700,(Examples!$C$14*$A210-Examples!$C$15)/Examples!$C$16))))))+Examples!$C$17*$A210^2)</f>
        <v>162764.01261023676</v>
      </c>
      <c r="C210" s="33">
        <f>(Examples!$C$6*Examples!$C$7*Examples!$C$8*EXP(-Examples!$C$9*$A210)*(1-(Examples!$C$12*(1-EXP(-Examples!$C$13*$A210))/(1+EXP(MIN(700,MAX(-700,(Examples!$C$14*$A210-Examples!$C$15)/Examples!$C$16))))))+Examples!$C$17*$A210^2)</f>
        <v>364435.98738976324</v>
      </c>
      <c r="D210" s="33">
        <f>Examples!$D$18-(Examples!$D$10+Examples!$D$11)*$A210-(Examples!$D$6*Examples!$D$7*Examples!$D$8*EXP(-Examples!$D$9*$A210)*(1-(Examples!$D$12*(1-EXP(-Examples!$D$13*$A210))/(1+EXP(MIN(700,MAX(-700,(Examples!$D$14*$A210-Examples!$D$15)/Examples!$D$16))))))+Examples!$D$17*$A210^2)</f>
        <v>1167295.0974024048</v>
      </c>
      <c r="E210" s="33">
        <f>(Examples!$D$6*Examples!$D$7*Examples!$D$8*EXP(-Examples!$D$9*$A210)*(1-(Examples!$D$12*(1-EXP(-Examples!$D$13*$A210))/(1+EXP(MIN(700,MAX(-700,(Examples!$D$14*$A210-Examples!$D$15)/Examples!$D$16))))))+Examples!$D$17*$A210^2)</f>
        <v>1239104.9025975952</v>
      </c>
      <c r="F210" s="33">
        <f>Examples!$E$18-(Examples!$E$10+Examples!$E$11)*$A210-(Examples!$E$6*Examples!$E$7*Examples!$E$8*EXP(-Examples!$E$9*$A210)*(1-(Examples!$E$12*(1-EXP(-Examples!$E$13*$A210))/(1+EXP(MIN(700,MAX(-700,(Examples!$E$14*$A210-Examples!$E$15)/Examples!$E$16))))))+Examples!$E$17*$A210^2)</f>
        <v>2423077.0666763941</v>
      </c>
      <c r="G210" s="33">
        <f>(Examples!$E$6*Examples!$E$7*Examples!$E$8*EXP(-Examples!$E$9*$A210)*(1-(Examples!$E$12*(1-EXP(-Examples!$E$13*$A210))/(1+EXP(MIN(700,MAX(-700,(Examples!$E$14*$A210-Examples!$E$15)/Examples!$E$16))))))+Examples!$E$17*$A210^2)</f>
        <v>400122.93332360574</v>
      </c>
      <c r="H210" s="33">
        <f>Examples!$F$18-(Examples!$F$10+Examples!$F$11)*$A210-(Examples!$F$6*Examples!$F$7*Examples!$F$8*EXP(-Examples!$F$9*$A210)*(1-(Examples!$F$12*(1-EXP(-Examples!$F$13*$A210))/(1+EXP(MIN(700,MAX(-700,(Examples!$F$14*$A210-Examples!$F$15)/Examples!$F$16))))))+Examples!$F$17*$A210^2)</f>
        <v>12579.17818088003</v>
      </c>
      <c r="I210" s="33">
        <f>(Examples!$F$6*Examples!$F$7*Examples!$F$8*EXP(-Examples!$F$9*$A210)*(1-(Examples!$F$12*(1-EXP(-Examples!$F$13*$A210))/(1+EXP(MIN(700,MAX(-700,(Examples!$F$14*$A210-Examples!$F$15)/Examples!$F$16))))))+Examples!$F$17*$A210^2)</f>
        <v>95820.82181911997</v>
      </c>
      <c r="J210" s="33">
        <f>Examples!$G$18-(Examples!$G$10+Examples!$G$11)*$A210-(Examples!$G$6*Examples!$G$7*Examples!$G$8*EXP(-Examples!$G$9*$A210)*(1-(Examples!$G$12*(1-EXP(-Examples!$G$13*$A210))/(1+EXP(MIN(700,MAX(-700,(Examples!$G$14*$A210-Examples!$G$15)/Examples!$G$16))))))+Examples!$G$17*$A210^2)</f>
        <v>713561.80060466577</v>
      </c>
      <c r="K210" s="33">
        <f>(Examples!$G$6*Examples!$G$7*Examples!$G$8*EXP(-Examples!$G$9*$A210)*(1-(Examples!$G$12*(1-EXP(-Examples!$G$13*$A210))/(1+EXP(MIN(700,MAX(-700,(Examples!$G$14*$A210-Examples!$G$15)/Examples!$G$16))))))+Examples!$G$17*$A210^2)</f>
        <v>682438.19939533423</v>
      </c>
      <c r="L210" s="33">
        <f>Examples!$H$18-(Examples!$H$10+Examples!$H$11)*$A210-(Examples!$H$6*Examples!$H$7*Examples!$H$8*EXP(-Examples!$H$9*$A210)*(1-(Examples!$H$12*(1-EXP(-Examples!$H$13*$A210))/(1+EXP(MIN(700,MAX(-700,(Examples!$H$14*$A210-Examples!$H$15)/Examples!$H$16))))))+Examples!$H$17*$A210^2)</f>
        <v>791833.74638922547</v>
      </c>
      <c r="M210" s="33">
        <f>(Examples!$H$6*Examples!$H$7*Examples!$H$8*EXP(-Examples!$H$9*$A210)*(1-(Examples!$H$12*(1-EXP(-Examples!$H$13*$A210))/(1+EXP(MIN(700,MAX(-700,(Examples!$H$14*$A210-Examples!$H$15)/Examples!$H$16))))))+Examples!$H$17*$A210^2)</f>
        <v>604166.25361077453</v>
      </c>
    </row>
    <row r="211" spans="1:13" x14ac:dyDescent="0.25">
      <c r="A211">
        <f>(211-2)/100</f>
        <v>2.09</v>
      </c>
      <c r="B211" s="33">
        <f>Examples!$C$18-(Examples!$C$10+Examples!$C$11)*$A211-(Examples!$C$6*Examples!$C$7*Examples!$C$8*EXP(-Examples!$C$9*$A211)*(1-(Examples!$C$12*(1-EXP(-Examples!$C$13*$A211))/(1+EXP(MIN(700,MAX(-700,(Examples!$C$14*$A211-Examples!$C$15)/Examples!$C$16))))))+Examples!$C$17*$A211^2)</f>
        <v>162174.80858077895</v>
      </c>
      <c r="C211" s="33">
        <f>(Examples!$C$6*Examples!$C$7*Examples!$C$8*EXP(-Examples!$C$9*$A211)*(1-(Examples!$C$12*(1-EXP(-Examples!$C$13*$A211))/(1+EXP(MIN(700,MAX(-700,(Examples!$C$14*$A211-Examples!$C$15)/Examples!$C$16))))))+Examples!$C$17*$A211^2)</f>
        <v>364675.19141922105</v>
      </c>
      <c r="D211" s="33">
        <f>Examples!$D$18-(Examples!$D$10+Examples!$D$11)*$A211-(Examples!$D$6*Examples!$D$7*Examples!$D$8*EXP(-Examples!$D$9*$A211)*(1-(Examples!$D$12*(1-EXP(-Examples!$D$13*$A211))/(1+EXP(MIN(700,MAX(-700,(Examples!$D$14*$A211-Examples!$D$15)/Examples!$D$16))))))+Examples!$D$17*$A211^2)</f>
        <v>1173346.8917431047</v>
      </c>
      <c r="E211" s="33">
        <f>(Examples!$D$6*Examples!$D$7*Examples!$D$8*EXP(-Examples!$D$9*$A211)*(1-(Examples!$D$12*(1-EXP(-Examples!$D$13*$A211))/(1+EXP(MIN(700,MAX(-700,(Examples!$D$14*$A211-Examples!$D$15)/Examples!$D$16))))))+Examples!$D$17*$A211^2)</f>
        <v>1232603.1082568953</v>
      </c>
      <c r="F211" s="33">
        <f>Examples!$E$18-(Examples!$E$10+Examples!$E$11)*$A211-(Examples!$E$6*Examples!$E$7*Examples!$E$8*EXP(-Examples!$E$9*$A211)*(1-(Examples!$E$12*(1-EXP(-Examples!$E$13*$A211))/(1+EXP(MIN(700,MAX(-700,(Examples!$E$14*$A211-Examples!$E$15)/Examples!$E$16))))))+Examples!$E$17*$A211^2)</f>
        <v>2424829.5617531626</v>
      </c>
      <c r="G211" s="33">
        <f>(Examples!$E$6*Examples!$E$7*Examples!$E$8*EXP(-Examples!$E$9*$A211)*(1-(Examples!$E$12*(1-EXP(-Examples!$E$13*$A211))/(1+EXP(MIN(700,MAX(-700,(Examples!$E$14*$A211-Examples!$E$15)/Examples!$E$16))))))+Examples!$E$17*$A211^2)</f>
        <v>397520.43824683741</v>
      </c>
      <c r="H211" s="33">
        <f>Examples!$F$18-(Examples!$F$10+Examples!$F$11)*$A211-(Examples!$F$6*Examples!$F$7*Examples!$F$8*EXP(-Examples!$F$9*$A211)*(1-(Examples!$F$12*(1-EXP(-Examples!$F$13*$A211))/(1+EXP(MIN(700,MAX(-700,(Examples!$F$14*$A211-Examples!$F$15)/Examples!$F$16))))))+Examples!$F$17*$A211^2)</f>
        <v>11570.17434998024</v>
      </c>
      <c r="I211" s="33">
        <f>(Examples!$F$6*Examples!$F$7*Examples!$F$8*EXP(-Examples!$F$9*$A211)*(1-(Examples!$F$12*(1-EXP(-Examples!$F$13*$A211))/(1+EXP(MIN(700,MAX(-700,(Examples!$F$14*$A211-Examples!$F$15)/Examples!$F$16))))))+Examples!$F$17*$A211^2)</f>
        <v>96629.82565001976</v>
      </c>
      <c r="J211" s="33">
        <f>Examples!$G$18-(Examples!$G$10+Examples!$G$11)*$A211-(Examples!$G$6*Examples!$G$7*Examples!$G$8*EXP(-Examples!$G$9*$A211)*(1-(Examples!$G$12*(1-EXP(-Examples!$G$13*$A211))/(1+EXP(MIN(700,MAX(-700,(Examples!$G$14*$A211-Examples!$G$15)/Examples!$G$16))))))+Examples!$G$17*$A211^2)</f>
        <v>714312.79869424854</v>
      </c>
      <c r="K211" s="33">
        <f>(Examples!$G$6*Examples!$G$7*Examples!$G$8*EXP(-Examples!$G$9*$A211)*(1-(Examples!$G$12*(1-EXP(-Examples!$G$13*$A211))/(1+EXP(MIN(700,MAX(-700,(Examples!$G$14*$A211-Examples!$G$15)/Examples!$G$16))))))+Examples!$G$17*$A211^2)</f>
        <v>681187.20130575146</v>
      </c>
      <c r="L211" s="33">
        <f>Examples!$H$18-(Examples!$H$10+Examples!$H$11)*$A211-(Examples!$H$6*Examples!$H$7*Examples!$H$8*EXP(-Examples!$H$9*$A211)*(1-(Examples!$H$12*(1-EXP(-Examples!$H$13*$A211))/(1+EXP(MIN(700,MAX(-700,(Examples!$H$14*$A211-Examples!$H$15)/Examples!$H$16))))))+Examples!$H$17*$A211^2)</f>
        <v>791421.51856690901</v>
      </c>
      <c r="M211" s="33">
        <f>(Examples!$H$6*Examples!$H$7*Examples!$H$8*EXP(-Examples!$H$9*$A211)*(1-(Examples!$H$12*(1-EXP(-Examples!$H$13*$A211))/(1+EXP(MIN(700,MAX(-700,(Examples!$H$14*$A211-Examples!$H$15)/Examples!$H$16))))))+Examples!$H$17*$A211^2)</f>
        <v>604078.48143309099</v>
      </c>
    </row>
    <row r="212" spans="1:13" x14ac:dyDescent="0.25">
      <c r="A212">
        <f>(212-2)/100</f>
        <v>2.1</v>
      </c>
      <c r="B212" s="33">
        <f>Examples!$C$18-(Examples!$C$10+Examples!$C$11)*$A212-(Examples!$C$6*Examples!$C$7*Examples!$C$8*EXP(-Examples!$C$9*$A212)*(1-(Examples!$C$12*(1-EXP(-Examples!$C$13*$A212))/(1+EXP(MIN(700,MAX(-700,(Examples!$C$14*$A212-Examples!$C$15)/Examples!$C$16))))))+Examples!$C$17*$A212^2)</f>
        <v>161590.78779050702</v>
      </c>
      <c r="C212" s="33">
        <f>(Examples!$C$6*Examples!$C$7*Examples!$C$8*EXP(-Examples!$C$9*$A212)*(1-(Examples!$C$12*(1-EXP(-Examples!$C$13*$A212))/(1+EXP(MIN(700,MAX(-700,(Examples!$C$14*$A212-Examples!$C$15)/Examples!$C$16))))))+Examples!$C$17*$A212^2)</f>
        <v>364909.21220949298</v>
      </c>
      <c r="D212" s="33">
        <f>Examples!$D$18-(Examples!$D$10+Examples!$D$11)*$A212-(Examples!$D$6*Examples!$D$7*Examples!$D$8*EXP(-Examples!$D$9*$A212)*(1-(Examples!$D$12*(1-EXP(-Examples!$D$13*$A212))/(1+EXP(MIN(700,MAX(-700,(Examples!$D$14*$A212-Examples!$D$15)/Examples!$D$16))))))+Examples!$D$17*$A212^2)</f>
        <v>1179322.8291016414</v>
      </c>
      <c r="E212" s="33">
        <f>(Examples!$D$6*Examples!$D$7*Examples!$D$8*EXP(-Examples!$D$9*$A212)*(1-(Examples!$D$12*(1-EXP(-Examples!$D$13*$A212))/(1+EXP(MIN(700,MAX(-700,(Examples!$D$14*$A212-Examples!$D$15)/Examples!$D$16))))))+Examples!$D$17*$A212^2)</f>
        <v>1226177.1708983586</v>
      </c>
      <c r="F212" s="33">
        <f>Examples!$E$18-(Examples!$E$10+Examples!$E$11)*$A212-(Examples!$E$6*Examples!$E$7*Examples!$E$8*EXP(-Examples!$E$9*$A212)*(1-(Examples!$E$12*(1-EXP(-Examples!$E$13*$A212))/(1+EXP(MIN(700,MAX(-700,(Examples!$E$14*$A212-Examples!$E$15)/Examples!$E$16))))))+Examples!$E$17*$A212^2)</f>
        <v>2426551.2623351268</v>
      </c>
      <c r="G212" s="33">
        <f>(Examples!$E$6*Examples!$E$7*Examples!$E$8*EXP(-Examples!$E$9*$A212)*(1-(Examples!$E$12*(1-EXP(-Examples!$E$13*$A212))/(1+EXP(MIN(700,MAX(-700,(Examples!$E$14*$A212-Examples!$E$15)/Examples!$E$16))))))+Examples!$E$17*$A212^2)</f>
        <v>394948.73766487342</v>
      </c>
      <c r="H212" s="33">
        <f>Examples!$F$18-(Examples!$F$10+Examples!$F$11)*$A212-(Examples!$F$6*Examples!$F$7*Examples!$F$8*EXP(-Examples!$F$9*$A212)*(1-(Examples!$F$12*(1-EXP(-Examples!$F$13*$A212))/(1+EXP(MIN(700,MAX(-700,(Examples!$F$14*$A212-Examples!$F$15)/Examples!$F$16))))))+Examples!$F$17*$A212^2)</f>
        <v>10557.193445898956</v>
      </c>
      <c r="I212" s="33">
        <f>(Examples!$F$6*Examples!$F$7*Examples!$F$8*EXP(-Examples!$F$9*$A212)*(1-(Examples!$F$12*(1-EXP(-Examples!$F$13*$A212))/(1+EXP(MIN(700,MAX(-700,(Examples!$F$14*$A212-Examples!$F$15)/Examples!$F$16))))))+Examples!$F$17*$A212^2)</f>
        <v>97442.806554101044</v>
      </c>
      <c r="J212" s="33">
        <f>Examples!$G$18-(Examples!$G$10+Examples!$G$11)*$A212-(Examples!$G$6*Examples!$G$7*Examples!$G$8*EXP(-Examples!$G$9*$A212)*(1-(Examples!$G$12*(1-EXP(-Examples!$G$13*$A212))/(1+EXP(MIN(700,MAX(-700,(Examples!$G$14*$A212-Examples!$G$15)/Examples!$G$16))))))+Examples!$G$17*$A212^2)</f>
        <v>715040.92907881131</v>
      </c>
      <c r="K212" s="33">
        <f>(Examples!$G$6*Examples!$G$7*Examples!$G$8*EXP(-Examples!$G$9*$A212)*(1-(Examples!$G$12*(1-EXP(-Examples!$G$13*$A212))/(1+EXP(MIN(700,MAX(-700,(Examples!$G$14*$A212-Examples!$G$15)/Examples!$G$16))))))+Examples!$G$17*$A212^2)</f>
        <v>679959.07092118869</v>
      </c>
      <c r="L212" s="33">
        <f>Examples!$H$18-(Examples!$H$10+Examples!$H$11)*$A212-(Examples!$H$6*Examples!$H$7*Examples!$H$8*EXP(-Examples!$H$9*$A212)*(1-(Examples!$H$12*(1-EXP(-Examples!$H$13*$A212))/(1+EXP(MIN(700,MAX(-700,(Examples!$H$14*$A212-Examples!$H$15)/Examples!$H$16))))))+Examples!$H$17*$A212^2)</f>
        <v>790942.94813743909</v>
      </c>
      <c r="M212" s="33">
        <f>(Examples!$H$6*Examples!$H$7*Examples!$H$8*EXP(-Examples!$H$9*$A212)*(1-(Examples!$H$12*(1-EXP(-Examples!$H$13*$A212))/(1+EXP(MIN(700,MAX(-700,(Examples!$H$14*$A212-Examples!$H$15)/Examples!$H$16))))))+Examples!$H$17*$A212^2)</f>
        <v>604057.05186256091</v>
      </c>
    </row>
    <row r="213" spans="1:13" x14ac:dyDescent="0.25">
      <c r="A213">
        <f>(213-2)/100</f>
        <v>2.11</v>
      </c>
      <c r="B213" s="33">
        <f>Examples!$C$18-(Examples!$C$10+Examples!$C$11)*$A213-(Examples!$C$6*Examples!$C$7*Examples!$C$8*EXP(-Examples!$C$9*$A213)*(1-(Examples!$C$12*(1-EXP(-Examples!$C$13*$A213))/(1+EXP(MIN(700,MAX(-700,(Examples!$C$14*$A213-Examples!$C$15)/Examples!$C$16))))))+Examples!$C$17*$A213^2)</f>
        <v>161011.96151002491</v>
      </c>
      <c r="C213" s="33">
        <f>(Examples!$C$6*Examples!$C$7*Examples!$C$8*EXP(-Examples!$C$9*$A213)*(1-(Examples!$C$12*(1-EXP(-Examples!$C$13*$A213))/(1+EXP(MIN(700,MAX(-700,(Examples!$C$14*$A213-Examples!$C$15)/Examples!$C$16))))))+Examples!$C$17*$A213^2)</f>
        <v>365138.03848997509</v>
      </c>
      <c r="D213" s="33">
        <f>Examples!$D$18-(Examples!$D$10+Examples!$D$11)*$A213-(Examples!$D$6*Examples!$D$7*Examples!$D$8*EXP(-Examples!$D$9*$A213)*(1-(Examples!$D$12*(1-EXP(-Examples!$D$13*$A213))/(1+EXP(MIN(700,MAX(-700,(Examples!$D$14*$A213-Examples!$D$15)/Examples!$D$16))))))+Examples!$D$17*$A213^2)</f>
        <v>1185223.5463445389</v>
      </c>
      <c r="E213" s="33">
        <f>(Examples!$D$6*Examples!$D$7*Examples!$D$8*EXP(-Examples!$D$9*$A213)*(1-(Examples!$D$12*(1-EXP(-Examples!$D$13*$A213))/(1+EXP(MIN(700,MAX(-700,(Examples!$D$14*$A213-Examples!$D$15)/Examples!$D$16))))))+Examples!$D$17*$A213^2)</f>
        <v>1219826.4536554611</v>
      </c>
      <c r="F213" s="33">
        <f>Examples!$E$18-(Examples!$E$10+Examples!$E$11)*$A213-(Examples!$E$6*Examples!$E$7*Examples!$E$8*EXP(-Examples!$E$9*$A213)*(1-(Examples!$E$12*(1-EXP(-Examples!$E$13*$A213))/(1+EXP(MIN(700,MAX(-700,(Examples!$E$14*$A213-Examples!$E$15)/Examples!$E$16))))))+Examples!$E$17*$A213^2)</f>
        <v>2428242.5102621969</v>
      </c>
      <c r="G213" s="33">
        <f>(Examples!$E$6*Examples!$E$7*Examples!$E$8*EXP(-Examples!$E$9*$A213)*(1-(Examples!$E$12*(1-EXP(-Examples!$E$13*$A213))/(1+EXP(MIN(700,MAX(-700,(Examples!$E$14*$A213-Examples!$E$15)/Examples!$E$16))))))+Examples!$E$17*$A213^2)</f>
        <v>392407.48973780288</v>
      </c>
      <c r="H213" s="33">
        <f>Examples!$F$18-(Examples!$F$10+Examples!$F$11)*$A213-(Examples!$F$6*Examples!$F$7*Examples!$F$8*EXP(-Examples!$F$9*$A213)*(1-(Examples!$F$12*(1-EXP(-Examples!$F$13*$A213))/(1+EXP(MIN(700,MAX(-700,(Examples!$F$14*$A213-Examples!$F$15)/Examples!$F$16))))))+Examples!$F$17*$A213^2)</f>
        <v>9540.23250127543</v>
      </c>
      <c r="I213" s="33">
        <f>(Examples!$F$6*Examples!$F$7*Examples!$F$8*EXP(-Examples!$F$9*$A213)*(1-(Examples!$F$12*(1-EXP(-Examples!$F$13*$A213))/(1+EXP(MIN(700,MAX(-700,(Examples!$F$14*$A213-Examples!$F$15)/Examples!$F$16))))))+Examples!$F$17*$A213^2)</f>
        <v>98259.76749872457</v>
      </c>
      <c r="J213" s="33">
        <f>Examples!$G$18-(Examples!$G$10+Examples!$G$11)*$A213-(Examples!$G$6*Examples!$G$7*Examples!$G$8*EXP(-Examples!$G$9*$A213)*(1-(Examples!$G$12*(1-EXP(-Examples!$G$13*$A213))/(1+EXP(MIN(700,MAX(-700,(Examples!$G$14*$A213-Examples!$G$15)/Examples!$G$16))))))+Examples!$G$17*$A213^2)</f>
        <v>715746.53229684476</v>
      </c>
      <c r="K213" s="33">
        <f>(Examples!$G$6*Examples!$G$7*Examples!$G$8*EXP(-Examples!$G$9*$A213)*(1-(Examples!$G$12*(1-EXP(-Examples!$G$13*$A213))/(1+EXP(MIN(700,MAX(-700,(Examples!$G$14*$A213-Examples!$G$15)/Examples!$G$16))))))+Examples!$G$17*$A213^2)</f>
        <v>678753.46770315524</v>
      </c>
      <c r="L213" s="33">
        <f>Examples!$H$18-(Examples!$H$10+Examples!$H$11)*$A213-(Examples!$H$6*Examples!$H$7*Examples!$H$8*EXP(-Examples!$H$9*$A213)*(1-(Examples!$H$12*(1-EXP(-Examples!$H$13*$A213))/(1+EXP(MIN(700,MAX(-700,(Examples!$H$14*$A213-Examples!$H$15)/Examples!$H$16))))))+Examples!$H$17*$A213^2)</f>
        <v>790398.49464966229</v>
      </c>
      <c r="M213" s="33">
        <f>(Examples!$H$6*Examples!$H$7*Examples!$H$8*EXP(-Examples!$H$9*$A213)*(1-(Examples!$H$12*(1-EXP(-Examples!$H$13*$A213))/(1+EXP(MIN(700,MAX(-700,(Examples!$H$14*$A213-Examples!$H$15)/Examples!$H$16))))))+Examples!$H$17*$A213^2)</f>
        <v>604101.50535033771</v>
      </c>
    </row>
    <row r="214" spans="1:13" x14ac:dyDescent="0.25">
      <c r="A214">
        <f>(214-2)/100</f>
        <v>2.12</v>
      </c>
      <c r="B214" s="33">
        <f>Examples!$C$18-(Examples!$C$10+Examples!$C$11)*$A214-(Examples!$C$6*Examples!$C$7*Examples!$C$8*EXP(-Examples!$C$9*$A214)*(1-(Examples!$C$12*(1-EXP(-Examples!$C$13*$A214))/(1+EXP(MIN(700,MAX(-700,(Examples!$C$14*$A214-Examples!$C$15)/Examples!$C$16))))))+Examples!$C$17*$A214^2)</f>
        <v>160438.32802365231</v>
      </c>
      <c r="C214" s="33">
        <f>(Examples!$C$6*Examples!$C$7*Examples!$C$8*EXP(-Examples!$C$9*$A214)*(1-(Examples!$C$12*(1-EXP(-Examples!$C$13*$A214))/(1+EXP(MIN(700,MAX(-700,(Examples!$C$14*$A214-Examples!$C$15)/Examples!$C$16))))))+Examples!$C$17*$A214^2)</f>
        <v>365361.67197634769</v>
      </c>
      <c r="D214" s="33">
        <f>Examples!$D$18-(Examples!$D$10+Examples!$D$11)*$A214-(Examples!$D$6*Examples!$D$7*Examples!$D$8*EXP(-Examples!$D$9*$A214)*(1-(Examples!$D$12*(1-EXP(-Examples!$D$13*$A214))/(1+EXP(MIN(700,MAX(-700,(Examples!$D$14*$A214-Examples!$D$15)/Examples!$D$16))))))+Examples!$D$17*$A214^2)</f>
        <v>1191049.6753556766</v>
      </c>
      <c r="E214" s="33">
        <f>(Examples!$D$6*Examples!$D$7*Examples!$D$8*EXP(-Examples!$D$9*$A214)*(1-(Examples!$D$12*(1-EXP(-Examples!$D$13*$A214))/(1+EXP(MIN(700,MAX(-700,(Examples!$D$14*$A214-Examples!$D$15)/Examples!$D$16))))))+Examples!$D$17*$A214^2)</f>
        <v>1213550.3246443234</v>
      </c>
      <c r="F214" s="33">
        <f>Examples!$E$18-(Examples!$E$10+Examples!$E$11)*$A214-(Examples!$E$6*Examples!$E$7*Examples!$E$8*EXP(-Examples!$E$9*$A214)*(1-(Examples!$E$12*(1-EXP(-Examples!$E$13*$A214))/(1+EXP(MIN(700,MAX(-700,(Examples!$E$14*$A214-Examples!$E$15)/Examples!$E$16))))))+Examples!$E$17*$A214^2)</f>
        <v>2429903.6435011509</v>
      </c>
      <c r="G214" s="33">
        <f>(Examples!$E$6*Examples!$E$7*Examples!$E$8*EXP(-Examples!$E$9*$A214)*(1-(Examples!$E$12*(1-EXP(-Examples!$E$13*$A214))/(1+EXP(MIN(700,MAX(-700,(Examples!$E$14*$A214-Examples!$E$15)/Examples!$E$16))))))+Examples!$E$17*$A214^2)</f>
        <v>389896.35649884894</v>
      </c>
      <c r="H214" s="33">
        <f>Examples!$F$18-(Examples!$F$10+Examples!$F$11)*$A214-(Examples!$F$6*Examples!$F$7*Examples!$F$8*EXP(-Examples!$F$9*$A214)*(1-(Examples!$F$12*(1-EXP(-Examples!$F$13*$A214))/(1+EXP(MIN(700,MAX(-700,(Examples!$F$14*$A214-Examples!$F$15)/Examples!$F$16))))))+Examples!$F$17*$A214^2)</f>
        <v>8519.2886102241318</v>
      </c>
      <c r="I214" s="33">
        <f>(Examples!$F$6*Examples!$F$7*Examples!$F$8*EXP(-Examples!$F$9*$A214)*(1-(Examples!$F$12*(1-EXP(-Examples!$F$13*$A214))/(1+EXP(MIN(700,MAX(-700,(Examples!$F$14*$A214-Examples!$F$15)/Examples!$F$16))))))+Examples!$F$17*$A214^2)</f>
        <v>99080.711389775868</v>
      </c>
      <c r="J214" s="33">
        <f>Examples!$G$18-(Examples!$G$10+Examples!$G$11)*$A214-(Examples!$G$6*Examples!$G$7*Examples!$G$8*EXP(-Examples!$G$9*$A214)*(1-(Examples!$G$12*(1-EXP(-Examples!$G$13*$A214))/(1+EXP(MIN(700,MAX(-700,(Examples!$G$14*$A214-Examples!$G$15)/Examples!$G$16))))))+Examples!$G$17*$A214^2)</f>
        <v>716429.94830349938</v>
      </c>
      <c r="K214" s="33">
        <f>(Examples!$G$6*Examples!$G$7*Examples!$G$8*EXP(-Examples!$G$9*$A214)*(1-(Examples!$G$12*(1-EXP(-Examples!$G$13*$A214))/(1+EXP(MIN(700,MAX(-700,(Examples!$G$14*$A214-Examples!$G$15)/Examples!$G$16))))))+Examples!$G$17*$A214^2)</f>
        <v>677570.05169650062</v>
      </c>
      <c r="L214" s="33">
        <f>Examples!$H$18-(Examples!$H$10+Examples!$H$11)*$A214-(Examples!$H$6*Examples!$H$7*Examples!$H$8*EXP(-Examples!$H$9*$A214)*(1-(Examples!$H$12*(1-EXP(-Examples!$H$13*$A214))/(1+EXP(MIN(700,MAX(-700,(Examples!$H$14*$A214-Examples!$H$15)/Examples!$H$16))))))+Examples!$H$17*$A214^2)</f>
        <v>789788.67176008492</v>
      </c>
      <c r="M214" s="33">
        <f>(Examples!$H$6*Examples!$H$7*Examples!$H$8*EXP(-Examples!$H$9*$A214)*(1-(Examples!$H$12*(1-EXP(-Examples!$H$13*$A214))/(1+EXP(MIN(700,MAX(-700,(Examples!$H$14*$A214-Examples!$H$15)/Examples!$H$16))))))+Examples!$H$17*$A214^2)</f>
        <v>604211.32823991508</v>
      </c>
    </row>
    <row r="215" spans="1:13" x14ac:dyDescent="0.25">
      <c r="A215">
        <f>(215-2)/100</f>
        <v>2.13</v>
      </c>
      <c r="B215" s="33">
        <f>Examples!$C$18-(Examples!$C$10+Examples!$C$11)*$A215-(Examples!$C$6*Examples!$C$7*Examples!$C$8*EXP(-Examples!$C$9*$A215)*(1-(Examples!$C$12*(1-EXP(-Examples!$C$13*$A215))/(1+EXP(MIN(700,MAX(-700,(Examples!$C$14*$A215-Examples!$C$15)/Examples!$C$16))))))+Examples!$C$17*$A215^2)</f>
        <v>159869.87320366275</v>
      </c>
      <c r="C215" s="33">
        <f>(Examples!$C$6*Examples!$C$7*Examples!$C$8*EXP(-Examples!$C$9*$A215)*(1-(Examples!$C$12*(1-EXP(-Examples!$C$13*$A215))/(1+EXP(MIN(700,MAX(-700,(Examples!$C$14*$A215-Examples!$C$15)/Examples!$C$16))))))+Examples!$C$17*$A215^2)</f>
        <v>365580.12679633725</v>
      </c>
      <c r="D215" s="33">
        <f>Examples!$D$18-(Examples!$D$10+Examples!$D$11)*$A215-(Examples!$D$6*Examples!$D$7*Examples!$D$8*EXP(-Examples!$D$9*$A215)*(1-(Examples!$D$12*(1-EXP(-Examples!$D$13*$A215))/(1+EXP(MIN(700,MAX(-700,(Examples!$D$14*$A215-Examples!$D$15)/Examples!$D$16))))))+Examples!$D$17*$A215^2)</f>
        <v>1196801.8431242018</v>
      </c>
      <c r="E215" s="33">
        <f>(Examples!$D$6*Examples!$D$7*Examples!$D$8*EXP(-Examples!$D$9*$A215)*(1-(Examples!$D$12*(1-EXP(-Examples!$D$13*$A215))/(1+EXP(MIN(700,MAX(-700,(Examples!$D$14*$A215-Examples!$D$15)/Examples!$D$16))))))+Examples!$D$17*$A215^2)</f>
        <v>1207348.1568757982</v>
      </c>
      <c r="F215" s="33">
        <f>Examples!$E$18-(Examples!$E$10+Examples!$E$11)*$A215-(Examples!$E$6*Examples!$E$7*Examples!$E$8*EXP(-Examples!$E$9*$A215)*(1-(Examples!$E$12*(1-EXP(-Examples!$E$13*$A215))/(1+EXP(MIN(700,MAX(-700,(Examples!$E$14*$A215-Examples!$E$15)/Examples!$E$16))))))+Examples!$E$17*$A215^2)</f>
        <v>2431534.9961918504</v>
      </c>
      <c r="G215" s="33">
        <f>(Examples!$E$6*Examples!$E$7*Examples!$E$8*EXP(-Examples!$E$9*$A215)*(1-(Examples!$E$12*(1-EXP(-Examples!$E$13*$A215))/(1+EXP(MIN(700,MAX(-700,(Examples!$E$14*$A215-Examples!$E$15)/Examples!$E$16))))))+Examples!$E$17*$A215^2)</f>
        <v>387415.00380814972</v>
      </c>
      <c r="H215" s="33">
        <f>Examples!$F$18-(Examples!$F$10+Examples!$F$11)*$A215-(Examples!$F$6*Examples!$F$7*Examples!$F$8*EXP(-Examples!$F$9*$A215)*(1-(Examples!$F$12*(1-EXP(-Examples!$F$13*$A215))/(1+EXP(MIN(700,MAX(-700,(Examples!$F$14*$A215-Examples!$F$15)/Examples!$F$16))))))+Examples!$F$17*$A215^2)</f>
        <v>7494.3589298130537</v>
      </c>
      <c r="I215" s="33">
        <f>(Examples!$F$6*Examples!$F$7*Examples!$F$8*EXP(-Examples!$F$9*$A215)*(1-(Examples!$F$12*(1-EXP(-Examples!$F$13*$A215))/(1+EXP(MIN(700,MAX(-700,(Examples!$F$14*$A215-Examples!$F$15)/Examples!$F$16))))))+Examples!$F$17*$A215^2)</f>
        <v>99905.641070186946</v>
      </c>
      <c r="J215" s="33">
        <f>Examples!$G$18-(Examples!$G$10+Examples!$G$11)*$A215-(Examples!$G$6*Examples!$G$7*Examples!$G$8*EXP(-Examples!$G$9*$A215)*(1-(Examples!$G$12*(1-EXP(-Examples!$G$13*$A215))/(1+EXP(MIN(700,MAX(-700,(Examples!$G$14*$A215-Examples!$G$15)/Examples!$G$16))))))+Examples!$G$17*$A215^2)</f>
        <v>717091.51642891311</v>
      </c>
      <c r="K215" s="33">
        <f>(Examples!$G$6*Examples!$G$7*Examples!$G$8*EXP(-Examples!$G$9*$A215)*(1-(Examples!$G$12*(1-EXP(-Examples!$G$13*$A215))/(1+EXP(MIN(700,MAX(-700,(Examples!$G$14*$A215-Examples!$G$15)/Examples!$G$16))))))+Examples!$G$17*$A215^2)</f>
        <v>676408.48357108689</v>
      </c>
      <c r="L215" s="33">
        <f>Examples!$H$18-(Examples!$H$10+Examples!$H$11)*$A215-(Examples!$H$6*Examples!$H$7*Examples!$H$8*EXP(-Examples!$H$9*$A215)*(1-(Examples!$H$12*(1-EXP(-Examples!$H$13*$A215))/(1+EXP(MIN(700,MAX(-700,(Examples!$H$14*$A215-Examples!$H$15)/Examples!$H$16))))))+Examples!$H$17*$A215^2)</f>
        <v>789114.04867110972</v>
      </c>
      <c r="M215" s="33">
        <f>(Examples!$H$6*Examples!$H$7*Examples!$H$8*EXP(-Examples!$H$9*$A215)*(1-(Examples!$H$12*(1-EXP(-Examples!$H$13*$A215))/(1+EXP(MIN(700,MAX(-700,(Examples!$H$14*$A215-Examples!$H$15)/Examples!$H$16))))))+Examples!$H$17*$A215^2)</f>
        <v>604385.95132889028</v>
      </c>
    </row>
    <row r="216" spans="1:13" x14ac:dyDescent="0.25">
      <c r="A216">
        <f>(216-2)/100</f>
        <v>2.14</v>
      </c>
      <c r="B216" s="33">
        <f>Examples!$C$18-(Examples!$C$10+Examples!$C$11)*$A216-(Examples!$C$6*Examples!$C$7*Examples!$C$8*EXP(-Examples!$C$9*$A216)*(1-(Examples!$C$12*(1-EXP(-Examples!$C$13*$A216))/(1+EXP(MIN(700,MAX(-700,(Examples!$C$14*$A216-Examples!$C$15)/Examples!$C$16))))))+Examples!$C$17*$A216^2)</f>
        <v>159306.57108963944</v>
      </c>
      <c r="C216" s="33">
        <f>(Examples!$C$6*Examples!$C$7*Examples!$C$8*EXP(-Examples!$C$9*$A216)*(1-(Examples!$C$12*(1-EXP(-Examples!$C$13*$A216))/(1+EXP(MIN(700,MAX(-700,(Examples!$C$14*$A216-Examples!$C$15)/Examples!$C$16))))))+Examples!$C$17*$A216^2)</f>
        <v>365793.42891036056</v>
      </c>
      <c r="D216" s="33">
        <f>Examples!$D$18-(Examples!$D$10+Examples!$D$11)*$A216-(Examples!$D$6*Examples!$D$7*Examples!$D$8*EXP(-Examples!$D$9*$A216)*(1-(Examples!$D$12*(1-EXP(-Examples!$D$13*$A216))/(1+EXP(MIN(700,MAX(-700,(Examples!$D$14*$A216-Examples!$D$15)/Examples!$D$16))))))+Examples!$D$17*$A216^2)</f>
        <v>1202480.6718318695</v>
      </c>
      <c r="E216" s="33">
        <f>(Examples!$D$6*Examples!$D$7*Examples!$D$8*EXP(-Examples!$D$9*$A216)*(1-(Examples!$D$12*(1-EXP(-Examples!$D$13*$A216))/(1+EXP(MIN(700,MAX(-700,(Examples!$D$14*$A216-Examples!$D$15)/Examples!$D$16))))))+Examples!$D$17*$A216^2)</f>
        <v>1201219.3281681305</v>
      </c>
      <c r="F216" s="33">
        <f>Examples!$E$18-(Examples!$E$10+Examples!$E$11)*$A216-(Examples!$E$6*Examples!$E$7*Examples!$E$8*EXP(-Examples!$E$9*$A216)*(1-(Examples!$E$12*(1-EXP(-Examples!$E$13*$A216))/(1+EXP(MIN(700,MAX(-700,(Examples!$E$14*$A216-Examples!$E$15)/Examples!$E$16))))))+Examples!$E$17*$A216^2)</f>
        <v>2433136.8986929134</v>
      </c>
      <c r="G216" s="33">
        <f>(Examples!$E$6*Examples!$E$7*Examples!$E$8*EXP(-Examples!$E$9*$A216)*(1-(Examples!$E$12*(1-EXP(-Examples!$E$13*$A216))/(1+EXP(MIN(700,MAX(-700,(Examples!$E$14*$A216-Examples!$E$15)/Examples!$E$16))))))+Examples!$E$17*$A216^2)</f>
        <v>384963.10130708641</v>
      </c>
      <c r="H216" s="33">
        <f>Examples!$F$18-(Examples!$F$10+Examples!$F$11)*$A216-(Examples!$F$6*Examples!$F$7*Examples!$F$8*EXP(-Examples!$F$9*$A216)*(1-(Examples!$F$12*(1-EXP(-Examples!$F$13*$A216))/(1+EXP(MIN(700,MAX(-700,(Examples!$F$14*$A216-Examples!$F$15)/Examples!$F$16))))))+Examples!$F$17*$A216^2)</f>
        <v>6465.4406812705856</v>
      </c>
      <c r="I216" s="33">
        <f>(Examples!$F$6*Examples!$F$7*Examples!$F$8*EXP(-Examples!$F$9*$A216)*(1-(Examples!$F$12*(1-EXP(-Examples!$F$13*$A216))/(1+EXP(MIN(700,MAX(-700,(Examples!$F$14*$A216-Examples!$F$15)/Examples!$F$16))))))+Examples!$F$17*$A216^2)</f>
        <v>100734.55931872941</v>
      </c>
      <c r="J216" s="33">
        <f>Examples!$G$18-(Examples!$G$10+Examples!$G$11)*$A216-(Examples!$G$6*Examples!$G$7*Examples!$G$8*EXP(-Examples!$G$9*$A216)*(1-(Examples!$G$12*(1-EXP(-Examples!$G$13*$A216))/(1+EXP(MIN(700,MAX(-700,(Examples!$G$14*$A216-Examples!$G$15)/Examples!$G$16))))))+Examples!$G$17*$A216^2)</f>
        <v>717731.57533557317</v>
      </c>
      <c r="K216" s="33">
        <f>(Examples!$G$6*Examples!$G$7*Examples!$G$8*EXP(-Examples!$G$9*$A216)*(1-(Examples!$G$12*(1-EXP(-Examples!$G$13*$A216))/(1+EXP(MIN(700,MAX(-700,(Examples!$G$14*$A216-Examples!$G$15)/Examples!$G$16))))))+Examples!$G$17*$A216^2)</f>
        <v>675268.42466442683</v>
      </c>
      <c r="L216" s="33">
        <f>Examples!$H$18-(Examples!$H$10+Examples!$H$11)*$A216-(Examples!$H$6*Examples!$H$7*Examples!$H$8*EXP(-Examples!$H$9*$A216)*(1-(Examples!$H$12*(1-EXP(-Examples!$H$13*$A216))/(1+EXP(MIN(700,MAX(-700,(Examples!$H$14*$A216-Examples!$H$15)/Examples!$H$16))))))+Examples!$H$17*$A216^2)</f>
        <v>788375.25147400238</v>
      </c>
      <c r="M216" s="33">
        <f>(Examples!$H$6*Examples!$H$7*Examples!$H$8*EXP(-Examples!$H$9*$A216)*(1-(Examples!$H$12*(1-EXP(-Examples!$H$13*$A216))/(1+EXP(MIN(700,MAX(-700,(Examples!$H$14*$A216-Examples!$H$15)/Examples!$H$16))))))+Examples!$H$17*$A216^2)</f>
        <v>604624.74852599762</v>
      </c>
    </row>
    <row r="217" spans="1:13" x14ac:dyDescent="0.25">
      <c r="A217">
        <f>(217-2)/100</f>
        <v>2.15</v>
      </c>
      <c r="B217" s="33">
        <f>Examples!$C$18-(Examples!$C$10+Examples!$C$11)*$A217-(Examples!$C$6*Examples!$C$7*Examples!$C$8*EXP(-Examples!$C$9*$A217)*(1-(Examples!$C$12*(1-EXP(-Examples!$C$13*$A217))/(1+EXP(MIN(700,MAX(-700,(Examples!$C$14*$A217-Examples!$C$15)/Examples!$C$16))))))+Examples!$C$17*$A217^2)</f>
        <v>158748.38447049691</v>
      </c>
      <c r="C217" s="33">
        <f>(Examples!$C$6*Examples!$C$7*Examples!$C$8*EXP(-Examples!$C$9*$A217)*(1-(Examples!$C$12*(1-EXP(-Examples!$C$13*$A217))/(1+EXP(MIN(700,MAX(-700,(Examples!$C$14*$A217-Examples!$C$15)/Examples!$C$16))))))+Examples!$C$17*$A217^2)</f>
        <v>366001.61552950309</v>
      </c>
      <c r="D217" s="33">
        <f>Examples!$D$18-(Examples!$D$10+Examples!$D$11)*$A217-(Examples!$D$6*Examples!$D$7*Examples!$D$8*EXP(-Examples!$D$9*$A217)*(1-(Examples!$D$12*(1-EXP(-Examples!$D$13*$A217))/(1+EXP(MIN(700,MAX(-700,(Examples!$D$14*$A217-Examples!$D$15)/Examples!$D$16))))))+Examples!$D$17*$A217^2)</f>
        <v>1208086.7789398045</v>
      </c>
      <c r="E217" s="33">
        <f>(Examples!$D$6*Examples!$D$7*Examples!$D$8*EXP(-Examples!$D$9*$A217)*(1-(Examples!$D$12*(1-EXP(-Examples!$D$13*$A217))/(1+EXP(MIN(700,MAX(-700,(Examples!$D$14*$A217-Examples!$D$15)/Examples!$D$16))))))+Examples!$D$17*$A217^2)</f>
        <v>1195163.2210601955</v>
      </c>
      <c r="F217" s="33">
        <f>Examples!$E$18-(Examples!$E$10+Examples!$E$11)*$A217-(Examples!$E$6*Examples!$E$7*Examples!$E$8*EXP(-Examples!$E$9*$A217)*(1-(Examples!$E$12*(1-EXP(-Examples!$E$13*$A217))/(1+EXP(MIN(700,MAX(-700,(Examples!$E$14*$A217-Examples!$E$15)/Examples!$E$16))))))+Examples!$E$17*$A217^2)</f>
        <v>2434709.6776268431</v>
      </c>
      <c r="G217" s="33">
        <f>(Examples!$E$6*Examples!$E$7*Examples!$E$8*EXP(-Examples!$E$9*$A217)*(1-(Examples!$E$12*(1-EXP(-Examples!$E$13*$A217))/(1+EXP(MIN(700,MAX(-700,(Examples!$E$14*$A217-Examples!$E$15)/Examples!$E$16))))))+Examples!$E$17*$A217^2)</f>
        <v>382540.32237315684</v>
      </c>
      <c r="H217" s="33">
        <f>Examples!$F$18-(Examples!$F$10+Examples!$F$11)*$A217-(Examples!$F$6*Examples!$F$7*Examples!$F$8*EXP(-Examples!$F$9*$A217)*(1-(Examples!$F$12*(1-EXP(-Examples!$F$13*$A217))/(1+EXP(MIN(700,MAX(-700,(Examples!$F$14*$A217-Examples!$F$15)/Examples!$F$16))))))+Examples!$F$17*$A217^2)</f>
        <v>5432.5311509412422</v>
      </c>
      <c r="I217" s="33">
        <f>(Examples!$F$6*Examples!$F$7*Examples!$F$8*EXP(-Examples!$F$9*$A217)*(1-(Examples!$F$12*(1-EXP(-Examples!$F$13*$A217))/(1+EXP(MIN(700,MAX(-700,(Examples!$F$14*$A217-Examples!$F$15)/Examples!$F$16))))))+Examples!$F$17*$A217^2)</f>
        <v>101567.46884905876</v>
      </c>
      <c r="J217" s="33">
        <f>Examples!$G$18-(Examples!$G$10+Examples!$G$11)*$A217-(Examples!$G$6*Examples!$G$7*Examples!$G$8*EXP(-Examples!$G$9*$A217)*(1-(Examples!$G$12*(1-EXP(-Examples!$G$13*$A217))/(1+EXP(MIN(700,MAX(-700,(Examples!$G$14*$A217-Examples!$G$15)/Examples!$G$16))))))+Examples!$G$17*$A217^2)</f>
        <v>718350.46297474136</v>
      </c>
      <c r="K217" s="33">
        <f>(Examples!$G$6*Examples!$G$7*Examples!$G$8*EXP(-Examples!$G$9*$A217)*(1-(Examples!$G$12*(1-EXP(-Examples!$G$13*$A217))/(1+EXP(MIN(700,MAX(-700,(Examples!$G$14*$A217-Examples!$G$15)/Examples!$G$16))))))+Examples!$G$17*$A217^2)</f>
        <v>674149.53702525864</v>
      </c>
      <c r="L217" s="33">
        <f>Examples!$H$18-(Examples!$H$10+Examples!$H$11)*$A217-(Examples!$H$6*Examples!$H$7*Examples!$H$8*EXP(-Examples!$H$9*$A217)*(1-(Examples!$H$12*(1-EXP(-Examples!$H$13*$A217))/(1+EXP(MIN(700,MAX(-700,(Examples!$H$14*$A217-Examples!$H$15)/Examples!$H$16))))))+Examples!$H$17*$A217^2)</f>
        <v>787572.96438668913</v>
      </c>
      <c r="M217" s="33">
        <f>(Examples!$H$6*Examples!$H$7*Examples!$H$8*EXP(-Examples!$H$9*$A217)*(1-(Examples!$H$12*(1-EXP(-Examples!$H$13*$A217))/(1+EXP(MIN(700,MAX(-700,(Examples!$H$14*$A217-Examples!$H$15)/Examples!$H$16))))))+Examples!$H$17*$A217^2)</f>
        <v>604927.03561331087</v>
      </c>
    </row>
    <row r="218" spans="1:13" x14ac:dyDescent="0.25">
      <c r="A218">
        <f>(218-2)/100</f>
        <v>2.16</v>
      </c>
      <c r="B218" s="33">
        <f>Examples!$C$18-(Examples!$C$10+Examples!$C$11)*$A218-(Examples!$C$6*Examples!$C$7*Examples!$C$8*EXP(-Examples!$C$9*$A218)*(1-(Examples!$C$12*(1-EXP(-Examples!$C$13*$A218))/(1+EXP(MIN(700,MAX(-700,(Examples!$C$14*$A218-Examples!$C$15)/Examples!$C$16))))))+Examples!$C$17*$A218^2)</f>
        <v>158195.2654668641</v>
      </c>
      <c r="C218" s="33">
        <f>(Examples!$C$6*Examples!$C$7*Examples!$C$8*EXP(-Examples!$C$9*$A218)*(1-(Examples!$C$12*(1-EXP(-Examples!$C$13*$A218))/(1+EXP(MIN(700,MAX(-700,(Examples!$C$14*$A218-Examples!$C$15)/Examples!$C$16))))))+Examples!$C$17*$A218^2)</f>
        <v>366204.7345331359</v>
      </c>
      <c r="D218" s="33">
        <f>Examples!$D$18-(Examples!$D$10+Examples!$D$11)*$A218-(Examples!$D$6*Examples!$D$7*Examples!$D$8*EXP(-Examples!$D$9*$A218)*(1-(Examples!$D$12*(1-EXP(-Examples!$D$13*$A218))/(1+EXP(MIN(700,MAX(-700,(Examples!$D$14*$A218-Examples!$D$15)/Examples!$D$16))))))+Examples!$D$17*$A218^2)</f>
        <v>1213620.777274682</v>
      </c>
      <c r="E218" s="33">
        <f>(Examples!$D$6*Examples!$D$7*Examples!$D$8*EXP(-Examples!$D$9*$A218)*(1-(Examples!$D$12*(1-EXP(-Examples!$D$13*$A218))/(1+EXP(MIN(700,MAX(-700,(Examples!$D$14*$A218-Examples!$D$15)/Examples!$D$16))))))+Examples!$D$17*$A218^2)</f>
        <v>1189179.222725318</v>
      </c>
      <c r="F218" s="33">
        <f>Examples!$E$18-(Examples!$E$10+Examples!$E$11)*$A218-(Examples!$E$6*Examples!$E$7*Examples!$E$8*EXP(-Examples!$E$9*$A218)*(1-(Examples!$E$12*(1-EXP(-Examples!$E$13*$A218))/(1+EXP(MIN(700,MAX(-700,(Examples!$E$14*$A218-Examples!$E$15)/Examples!$E$16))))))+Examples!$E$17*$A218^2)</f>
        <v>2436253.655924615</v>
      </c>
      <c r="G218" s="33">
        <f>(Examples!$E$6*Examples!$E$7*Examples!$E$8*EXP(-Examples!$E$9*$A218)*(1-(Examples!$E$12*(1-EXP(-Examples!$E$13*$A218))/(1+EXP(MIN(700,MAX(-700,(Examples!$E$14*$A218-Examples!$E$15)/Examples!$E$16))))))+Examples!$E$17*$A218^2)</f>
        <v>380146.34407538496</v>
      </c>
      <c r="H218" s="33">
        <f>Examples!$F$18-(Examples!$F$10+Examples!$F$11)*$A218-(Examples!$F$6*Examples!$F$7*Examples!$F$8*EXP(-Examples!$F$9*$A218)*(1-(Examples!$F$12*(1-EXP(-Examples!$F$13*$A218))/(1+EXP(MIN(700,MAX(-700,(Examples!$F$14*$A218-Examples!$F$15)/Examples!$F$16))))))+Examples!$F$17*$A218^2)</f>
        <v>4395.6276910075976</v>
      </c>
      <c r="I218" s="33">
        <f>(Examples!$F$6*Examples!$F$7*Examples!$F$8*EXP(-Examples!$F$9*$A218)*(1-(Examples!$F$12*(1-EXP(-Examples!$F$13*$A218))/(1+EXP(MIN(700,MAX(-700,(Examples!$F$14*$A218-Examples!$F$15)/Examples!$F$16))))))+Examples!$F$17*$A218^2)</f>
        <v>102404.3723089924</v>
      </c>
      <c r="J218" s="33">
        <f>Examples!$G$18-(Examples!$G$10+Examples!$G$11)*$A218-(Examples!$G$6*Examples!$G$7*Examples!$G$8*EXP(-Examples!$G$9*$A218)*(1-(Examples!$G$12*(1-EXP(-Examples!$G$13*$A218))/(1+EXP(MIN(700,MAX(-700,(Examples!$G$14*$A218-Examples!$G$15)/Examples!$G$16))))))+Examples!$G$17*$A218^2)</f>
        <v>718948.51654197869</v>
      </c>
      <c r="K218" s="33">
        <f>(Examples!$G$6*Examples!$G$7*Examples!$G$8*EXP(-Examples!$G$9*$A218)*(1-(Examples!$G$12*(1-EXP(-Examples!$G$13*$A218))/(1+EXP(MIN(700,MAX(-700,(Examples!$G$14*$A218-Examples!$G$15)/Examples!$G$16))))))+Examples!$G$17*$A218^2)</f>
        <v>673051.48345802131</v>
      </c>
      <c r="L218" s="33">
        <f>Examples!$H$18-(Examples!$H$10+Examples!$H$11)*$A218-(Examples!$H$6*Examples!$H$7*Examples!$H$8*EXP(-Examples!$H$9*$A218)*(1-(Examples!$H$12*(1-EXP(-Examples!$H$13*$A218))/(1+EXP(MIN(700,MAX(-700,(Examples!$H$14*$A218-Examples!$H$15)/Examples!$H$16))))))+Examples!$H$17*$A218^2)</f>
        <v>786707.93087648321</v>
      </c>
      <c r="M218" s="33">
        <f>(Examples!$H$6*Examples!$H$7*Examples!$H$8*EXP(-Examples!$H$9*$A218)*(1-(Examples!$H$12*(1-EXP(-Examples!$H$13*$A218))/(1+EXP(MIN(700,MAX(-700,(Examples!$H$14*$A218-Examples!$H$15)/Examples!$H$16))))))+Examples!$H$17*$A218^2)</f>
        <v>605292.06912351679</v>
      </c>
    </row>
    <row r="219" spans="1:13" x14ac:dyDescent="0.25">
      <c r="A219">
        <f>(219-2)/100</f>
        <v>2.17</v>
      </c>
      <c r="B219" s="33">
        <f>Examples!$C$18-(Examples!$C$10+Examples!$C$11)*$A219-(Examples!$C$6*Examples!$C$7*Examples!$C$8*EXP(-Examples!$C$9*$A219)*(1-(Examples!$C$12*(1-EXP(-Examples!$C$13*$A219))/(1+EXP(MIN(700,MAX(-700,(Examples!$C$14*$A219-Examples!$C$15)/Examples!$C$16))))))+Examples!$C$17*$A219^2)</f>
        <v>157647.1561116692</v>
      </c>
      <c r="C219" s="33">
        <f>(Examples!$C$6*Examples!$C$7*Examples!$C$8*EXP(-Examples!$C$9*$A219)*(1-(Examples!$C$12*(1-EXP(-Examples!$C$13*$A219))/(1+EXP(MIN(700,MAX(-700,(Examples!$C$14*$A219-Examples!$C$15)/Examples!$C$16))))))+Examples!$C$17*$A219^2)</f>
        <v>366402.8438883308</v>
      </c>
      <c r="D219" s="33">
        <f>Examples!$D$18-(Examples!$D$10+Examples!$D$11)*$A219-(Examples!$D$6*Examples!$D$7*Examples!$D$8*EXP(-Examples!$D$9*$A219)*(1-(Examples!$D$12*(1-EXP(-Examples!$D$13*$A219))/(1+EXP(MIN(700,MAX(-700,(Examples!$D$14*$A219-Examples!$D$15)/Examples!$D$16))))))+Examples!$D$17*$A219^2)</f>
        <v>1219083.2751143295</v>
      </c>
      <c r="E219" s="33">
        <f>(Examples!$D$6*Examples!$D$7*Examples!$D$8*EXP(-Examples!$D$9*$A219)*(1-(Examples!$D$12*(1-EXP(-Examples!$D$13*$A219))/(1+EXP(MIN(700,MAX(-700,(Examples!$D$14*$A219-Examples!$D$15)/Examples!$D$16))))))+Examples!$D$17*$A219^2)</f>
        <v>1183266.7248856705</v>
      </c>
      <c r="F219" s="33">
        <f>Examples!$E$18-(Examples!$E$10+Examples!$E$11)*$A219-(Examples!$E$6*Examples!$E$7*Examples!$E$8*EXP(-Examples!$E$9*$A219)*(1-(Examples!$E$12*(1-EXP(-Examples!$E$13*$A219))/(1+EXP(MIN(700,MAX(-700,(Examples!$E$14*$A219-Examples!$E$15)/Examples!$E$16))))))+Examples!$E$17*$A219^2)</f>
        <v>2437769.1528697358</v>
      </c>
      <c r="G219" s="33">
        <f>(Examples!$E$6*Examples!$E$7*Examples!$E$8*EXP(-Examples!$E$9*$A219)*(1-(Examples!$E$12*(1-EXP(-Examples!$E$13*$A219))/(1+EXP(MIN(700,MAX(-700,(Examples!$E$14*$A219-Examples!$E$15)/Examples!$E$16))))))+Examples!$E$17*$A219^2)</f>
        <v>377780.8471302641</v>
      </c>
      <c r="H219" s="33">
        <f>Examples!$F$18-(Examples!$F$10+Examples!$F$11)*$A219-(Examples!$F$6*Examples!$F$7*Examples!$F$8*EXP(-Examples!$F$9*$A219)*(1-(Examples!$F$12*(1-EXP(-Examples!$F$13*$A219))/(1+EXP(MIN(700,MAX(-700,(Examples!$F$14*$A219-Examples!$F$15)/Examples!$F$16))))))+Examples!$F$17*$A219^2)</f>
        <v>3354.7277199976379</v>
      </c>
      <c r="I219" s="33">
        <f>(Examples!$F$6*Examples!$F$7*Examples!$F$8*EXP(-Examples!$F$9*$A219)*(1-(Examples!$F$12*(1-EXP(-Examples!$F$13*$A219))/(1+EXP(MIN(700,MAX(-700,(Examples!$F$14*$A219-Examples!$F$15)/Examples!$F$16))))))+Examples!$F$17*$A219^2)</f>
        <v>103245.27228000236</v>
      </c>
      <c r="J219" s="33">
        <f>Examples!$G$18-(Examples!$G$10+Examples!$G$11)*$A219-(Examples!$G$6*Examples!$G$7*Examples!$G$8*EXP(-Examples!$G$9*$A219)*(1-(Examples!$G$12*(1-EXP(-Examples!$G$13*$A219))/(1+EXP(MIN(700,MAX(-700,(Examples!$G$14*$A219-Examples!$G$15)/Examples!$G$16))))))+Examples!$G$17*$A219^2)</f>
        <v>719526.07243180752</v>
      </c>
      <c r="K219" s="33">
        <f>(Examples!$G$6*Examples!$G$7*Examples!$G$8*EXP(-Examples!$G$9*$A219)*(1-(Examples!$G$12*(1-EXP(-Examples!$G$13*$A219))/(1+EXP(MIN(700,MAX(-700,(Examples!$G$14*$A219-Examples!$G$15)/Examples!$G$16))))))+Examples!$G$17*$A219^2)</f>
        <v>671973.92756819248</v>
      </c>
      <c r="L219" s="33">
        <f>Examples!$H$18-(Examples!$H$10+Examples!$H$11)*$A219-(Examples!$H$6*Examples!$H$7*Examples!$H$8*EXP(-Examples!$H$9*$A219)*(1-(Examples!$H$12*(1-EXP(-Examples!$H$13*$A219))/(1+EXP(MIN(700,MAX(-700,(Examples!$H$14*$A219-Examples!$H$15)/Examples!$H$16))))))+Examples!$H$17*$A219^2)</f>
        <v>785780.95465788944</v>
      </c>
      <c r="M219" s="33">
        <f>(Examples!$H$6*Examples!$H$7*Examples!$H$8*EXP(-Examples!$H$9*$A219)*(1-(Examples!$H$12*(1-EXP(-Examples!$H$13*$A219))/(1+EXP(MIN(700,MAX(-700,(Examples!$H$14*$A219-Examples!$H$15)/Examples!$H$16))))))+Examples!$H$17*$A219^2)</f>
        <v>605719.04534211056</v>
      </c>
    </row>
    <row r="220" spans="1:13" x14ac:dyDescent="0.25">
      <c r="A220">
        <f>(220-2)/100</f>
        <v>2.1800000000000002</v>
      </c>
      <c r="B220" s="33">
        <f>Examples!$C$18-(Examples!$C$10+Examples!$C$11)*$A220-(Examples!$C$6*Examples!$C$7*Examples!$C$8*EXP(-Examples!$C$9*$A220)*(1-(Examples!$C$12*(1-EXP(-Examples!$C$13*$A220))/(1+EXP(MIN(700,MAX(-700,(Examples!$C$14*$A220-Examples!$C$15)/Examples!$C$16))))))+Examples!$C$17*$A220^2)</f>
        <v>157103.98892692075</v>
      </c>
      <c r="C220" s="33">
        <f>(Examples!$C$6*Examples!$C$7*Examples!$C$8*EXP(-Examples!$C$9*$A220)*(1-(Examples!$C$12*(1-EXP(-Examples!$C$13*$A220))/(1+EXP(MIN(700,MAX(-700,(Examples!$C$14*$A220-Examples!$C$15)/Examples!$C$16))))))+Examples!$C$17*$A220^2)</f>
        <v>366596.01107307925</v>
      </c>
      <c r="D220" s="33">
        <f>Examples!$D$18-(Examples!$D$10+Examples!$D$11)*$A220-(Examples!$D$6*Examples!$D$7*Examples!$D$8*EXP(-Examples!$D$9*$A220)*(1-(Examples!$D$12*(1-EXP(-Examples!$D$13*$A220))/(1+EXP(MIN(700,MAX(-700,(Examples!$D$14*$A220-Examples!$D$15)/Examples!$D$16))))))+Examples!$D$17*$A220^2)</f>
        <v>1224474.8762727324</v>
      </c>
      <c r="E220" s="33">
        <f>(Examples!$D$6*Examples!$D$7*Examples!$D$8*EXP(-Examples!$D$9*$A220)*(1-(Examples!$D$12*(1-EXP(-Examples!$D$13*$A220))/(1+EXP(MIN(700,MAX(-700,(Examples!$D$14*$A220-Examples!$D$15)/Examples!$D$16))))))+Examples!$D$17*$A220^2)</f>
        <v>1177425.1237272676</v>
      </c>
      <c r="F220" s="33">
        <f>Examples!$E$18-(Examples!$E$10+Examples!$E$11)*$A220-(Examples!$E$6*Examples!$E$7*Examples!$E$8*EXP(-Examples!$E$9*$A220)*(1-(Examples!$E$12*(1-EXP(-Examples!$E$13*$A220))/(1+EXP(MIN(700,MAX(-700,(Examples!$E$14*$A220-Examples!$E$15)/Examples!$E$16))))))+Examples!$E$17*$A220^2)</f>
        <v>2439256.4841417787</v>
      </c>
      <c r="G220" s="33">
        <f>(Examples!$E$6*Examples!$E$7*Examples!$E$8*EXP(-Examples!$E$9*$A220)*(1-(Examples!$E$12*(1-EXP(-Examples!$E$13*$A220))/(1+EXP(MIN(700,MAX(-700,(Examples!$E$14*$A220-Examples!$E$15)/Examples!$E$16))))))+Examples!$E$17*$A220^2)</f>
        <v>375443.51585822145</v>
      </c>
      <c r="H220" s="33">
        <f>Examples!$F$18-(Examples!$F$10+Examples!$F$11)*$A220-(Examples!$F$6*Examples!$F$7*Examples!$F$8*EXP(-Examples!$F$9*$A220)*(1-(Examples!$F$12*(1-EXP(-Examples!$F$13*$A220))/(1+EXP(MIN(700,MAX(-700,(Examples!$F$14*$A220-Examples!$F$15)/Examples!$F$16))))))+Examples!$F$17*$A220^2)</f>
        <v>2309.8287230931746</v>
      </c>
      <c r="I220" s="33">
        <f>(Examples!$F$6*Examples!$F$7*Examples!$F$8*EXP(-Examples!$F$9*$A220)*(1-(Examples!$F$12*(1-EXP(-Examples!$F$13*$A220))/(1+EXP(MIN(700,MAX(-700,(Examples!$F$14*$A220-Examples!$F$15)/Examples!$F$16))))))+Examples!$F$17*$A220^2)</f>
        <v>104090.17127690683</v>
      </c>
      <c r="J220" s="33">
        <f>Examples!$G$18-(Examples!$G$10+Examples!$G$11)*$A220-(Examples!$G$6*Examples!$G$7*Examples!$G$8*EXP(-Examples!$G$9*$A220)*(1-(Examples!$G$12*(1-EXP(-Examples!$G$13*$A220))/(1+EXP(MIN(700,MAX(-700,(Examples!$G$14*$A220-Examples!$G$15)/Examples!$G$16))))))+Examples!$G$17*$A220^2)</f>
        <v>720083.46619154082</v>
      </c>
      <c r="K220" s="33">
        <f>(Examples!$G$6*Examples!$G$7*Examples!$G$8*EXP(-Examples!$G$9*$A220)*(1-(Examples!$G$12*(1-EXP(-Examples!$G$13*$A220))/(1+EXP(MIN(700,MAX(-700,(Examples!$G$14*$A220-Examples!$G$15)/Examples!$G$16))))))+Examples!$G$17*$A220^2)</f>
        <v>670916.53380845918</v>
      </c>
      <c r="L220" s="33">
        <f>Examples!$H$18-(Examples!$H$10+Examples!$H$11)*$A220-(Examples!$H$6*Examples!$H$7*Examples!$H$8*EXP(-Examples!$H$9*$A220)*(1-(Examples!$H$12*(1-EXP(-Examples!$H$13*$A220))/(1+EXP(MIN(700,MAX(-700,(Examples!$H$14*$A220-Examples!$H$15)/Examples!$H$16))))))+Examples!$H$17*$A220^2)</f>
        <v>784792.90055575594</v>
      </c>
      <c r="M220" s="33">
        <f>(Examples!$H$6*Examples!$H$7*Examples!$H$8*EXP(-Examples!$H$9*$A220)*(1-(Examples!$H$12*(1-EXP(-Examples!$H$13*$A220))/(1+EXP(MIN(700,MAX(-700,(Examples!$H$14*$A220-Examples!$H$15)/Examples!$H$16))))))+Examples!$H$17*$A220^2)</f>
        <v>606207.09944424406</v>
      </c>
    </row>
    <row r="221" spans="1:13" x14ac:dyDescent="0.25">
      <c r="A221">
        <f>(221-2)/100</f>
        <v>2.19</v>
      </c>
      <c r="B221" s="33">
        <f>Examples!$C$18-(Examples!$C$10+Examples!$C$11)*$A221-(Examples!$C$6*Examples!$C$7*Examples!$C$8*EXP(-Examples!$C$9*$A221)*(1-(Examples!$C$12*(1-EXP(-Examples!$C$13*$A221))/(1+EXP(MIN(700,MAX(-700,(Examples!$C$14*$A221-Examples!$C$15)/Examples!$C$16))))))+Examples!$C$17*$A221^2)</f>
        <v>156565.68749482796</v>
      </c>
      <c r="C221" s="33">
        <f>(Examples!$C$6*Examples!$C$7*Examples!$C$8*EXP(-Examples!$C$9*$A221)*(1-(Examples!$C$12*(1-EXP(-Examples!$C$13*$A221))/(1+EXP(MIN(700,MAX(-700,(Examples!$C$14*$A221-Examples!$C$15)/Examples!$C$16))))))+Examples!$C$17*$A221^2)</f>
        <v>366784.31250517204</v>
      </c>
      <c r="D221" s="33">
        <f>Examples!$D$18-(Examples!$D$10+Examples!$D$11)*$A221-(Examples!$D$6*Examples!$D$7*Examples!$D$8*EXP(-Examples!$D$9*$A221)*(1-(Examples!$D$12*(1-EXP(-Examples!$D$13*$A221))/(1+EXP(MIN(700,MAX(-700,(Examples!$D$14*$A221-Examples!$D$15)/Examples!$D$16))))))+Examples!$D$17*$A221^2)</f>
        <v>1229796.1801844526</v>
      </c>
      <c r="E221" s="33">
        <f>(Examples!$D$6*Examples!$D$7*Examples!$D$8*EXP(-Examples!$D$9*$A221)*(1-(Examples!$D$12*(1-EXP(-Examples!$D$13*$A221))/(1+EXP(MIN(700,MAX(-700,(Examples!$D$14*$A221-Examples!$D$15)/Examples!$D$16))))))+Examples!$D$17*$A221^2)</f>
        <v>1171653.8198155474</v>
      </c>
      <c r="F221" s="33">
        <f>Examples!$E$18-(Examples!$E$10+Examples!$E$11)*$A221-(Examples!$E$6*Examples!$E$7*Examples!$E$8*EXP(-Examples!$E$9*$A221)*(1-(Examples!$E$12*(1-EXP(-Examples!$E$13*$A221))/(1+EXP(MIN(700,MAX(-700,(Examples!$E$14*$A221-Examples!$E$15)/Examples!$E$16))))))+Examples!$E$17*$A221^2)</f>
        <v>2440715.9618593953</v>
      </c>
      <c r="G221" s="33">
        <f>(Examples!$E$6*Examples!$E$7*Examples!$E$8*EXP(-Examples!$E$9*$A221)*(1-(Examples!$E$12*(1-EXP(-Examples!$E$13*$A221))/(1+EXP(MIN(700,MAX(-700,(Examples!$E$14*$A221-Examples!$E$15)/Examples!$E$16))))))+Examples!$E$17*$A221^2)</f>
        <v>373134.03814060462</v>
      </c>
      <c r="H221" s="33">
        <f>Examples!$F$18-(Examples!$F$10+Examples!$F$11)*$A221-(Examples!$F$6*Examples!$F$7*Examples!$F$8*EXP(-Examples!$F$9*$A221)*(1-(Examples!$F$12*(1-EXP(-Examples!$F$13*$A221))/(1+EXP(MIN(700,MAX(-700,(Examples!$F$14*$A221-Examples!$F$15)/Examples!$F$16))))))+Examples!$F$17*$A221^2)</f>
        <v>1260.9282522565045</v>
      </c>
      <c r="I221" s="33">
        <f>(Examples!$F$6*Examples!$F$7*Examples!$F$8*EXP(-Examples!$F$9*$A221)*(1-(Examples!$F$12*(1-EXP(-Examples!$F$13*$A221))/(1+EXP(MIN(700,MAX(-700,(Examples!$F$14*$A221-Examples!$F$15)/Examples!$F$16))))))+Examples!$F$17*$A221^2)</f>
        <v>104939.0717477435</v>
      </c>
      <c r="J221" s="33">
        <f>Examples!$G$18-(Examples!$G$10+Examples!$G$11)*$A221-(Examples!$G$6*Examples!$G$7*Examples!$G$8*EXP(-Examples!$G$9*$A221)*(1-(Examples!$G$12*(1-EXP(-Examples!$G$13*$A221))/(1+EXP(MIN(700,MAX(-700,(Examples!$G$14*$A221-Examples!$G$15)/Examples!$G$16))))))+Examples!$G$17*$A221^2)</f>
        <v>720621.03247432353</v>
      </c>
      <c r="K221" s="33">
        <f>(Examples!$G$6*Examples!$G$7*Examples!$G$8*EXP(-Examples!$G$9*$A221)*(1-(Examples!$G$12*(1-EXP(-Examples!$G$13*$A221))/(1+EXP(MIN(700,MAX(-700,(Examples!$G$14*$A221-Examples!$G$15)/Examples!$G$16))))))+Examples!$G$17*$A221^2)</f>
        <v>669878.96752567647</v>
      </c>
      <c r="L221" s="33">
        <f>Examples!$H$18-(Examples!$H$10+Examples!$H$11)*$A221-(Examples!$H$6*Examples!$H$7*Examples!$H$8*EXP(-Examples!$H$9*$A221)*(1-(Examples!$H$12*(1-EXP(-Examples!$H$13*$A221))/(1+EXP(MIN(700,MAX(-700,(Examples!$H$14*$A221-Examples!$H$15)/Examples!$H$16))))))+Examples!$H$17*$A221^2)</f>
        <v>783744.69522424426</v>
      </c>
      <c r="M221" s="33">
        <f>(Examples!$H$6*Examples!$H$7*Examples!$H$8*EXP(-Examples!$H$9*$A221)*(1-(Examples!$H$12*(1-EXP(-Examples!$H$13*$A221))/(1+EXP(MIN(700,MAX(-700,(Examples!$H$14*$A221-Examples!$H$15)/Examples!$H$16))))))+Examples!$H$17*$A221^2)</f>
        <v>606755.30477575574</v>
      </c>
    </row>
    <row r="222" spans="1:13" x14ac:dyDescent="0.25">
      <c r="A222">
        <f>(222-2)/100</f>
        <v>2.2000000000000002</v>
      </c>
      <c r="B222" s="33">
        <f>Examples!$C$18-(Examples!$C$10+Examples!$C$11)*$A222-(Examples!$C$6*Examples!$C$7*Examples!$C$8*EXP(-Examples!$C$9*$A222)*(1-(Examples!$C$12*(1-EXP(-Examples!$C$13*$A222))/(1+EXP(MIN(700,MAX(-700,(Examples!$C$14*$A222-Examples!$C$15)/Examples!$C$16))))))+Examples!$C$17*$A222^2)</f>
        <v>156032.16702155984</v>
      </c>
      <c r="C222" s="33">
        <f>(Examples!$C$6*Examples!$C$7*Examples!$C$8*EXP(-Examples!$C$9*$A222)*(1-(Examples!$C$12*(1-EXP(-Examples!$C$13*$A222))/(1+EXP(MIN(700,MAX(-700,(Examples!$C$14*$A222-Examples!$C$15)/Examples!$C$16))))))+Examples!$C$17*$A222^2)</f>
        <v>366967.83297844016</v>
      </c>
      <c r="D222" s="33">
        <f>Examples!$D$18-(Examples!$D$10+Examples!$D$11)*$A222-(Examples!$D$6*Examples!$D$7*Examples!$D$8*EXP(-Examples!$D$9*$A222)*(1-(Examples!$D$12*(1-EXP(-Examples!$D$13*$A222))/(1+EXP(MIN(700,MAX(-700,(Examples!$D$14*$A222-Examples!$D$15)/Examples!$D$16))))))+Examples!$D$17*$A222^2)</f>
        <v>1235047.7819884452</v>
      </c>
      <c r="E222" s="33">
        <f>(Examples!$D$6*Examples!$D$7*Examples!$D$8*EXP(-Examples!$D$9*$A222)*(1-(Examples!$D$12*(1-EXP(-Examples!$D$13*$A222))/(1+EXP(MIN(700,MAX(-700,(Examples!$D$14*$A222-Examples!$D$15)/Examples!$D$16))))))+Examples!$D$17*$A222^2)</f>
        <v>1165952.2180115548</v>
      </c>
      <c r="F222" s="33">
        <f>Examples!$E$18-(Examples!$E$10+Examples!$E$11)*$A222-(Examples!$E$6*Examples!$E$7*Examples!$E$8*EXP(-Examples!$E$9*$A222)*(1-(Examples!$E$12*(1-EXP(-Examples!$E$13*$A222))/(1+EXP(MIN(700,MAX(-700,(Examples!$E$14*$A222-Examples!$E$15)/Examples!$E$16))))))+Examples!$E$17*$A222^2)</f>
        <v>2442147.8946228204</v>
      </c>
      <c r="G222" s="33">
        <f>(Examples!$E$6*Examples!$E$7*Examples!$E$8*EXP(-Examples!$E$9*$A222)*(1-(Examples!$E$12*(1-EXP(-Examples!$E$13*$A222))/(1+EXP(MIN(700,MAX(-700,(Examples!$E$14*$A222-Examples!$E$15)/Examples!$E$16))))))+Examples!$E$17*$A222^2)</f>
        <v>370852.10537717969</v>
      </c>
      <c r="H222" s="33">
        <f>Examples!$F$18-(Examples!$F$10+Examples!$F$11)*$A222-(Examples!$F$6*Examples!$F$7*Examples!$F$8*EXP(-Examples!$F$9*$A222)*(1-(Examples!$F$12*(1-EXP(-Examples!$F$13*$A222))/(1+EXP(MIN(700,MAX(-700,(Examples!$F$14*$A222-Examples!$F$15)/Examples!$F$16))))))+Examples!$F$17*$A222^2)</f>
        <v>208.02392618994054</v>
      </c>
      <c r="I222" s="33">
        <f>(Examples!$F$6*Examples!$F$7*Examples!$F$8*EXP(-Examples!$F$9*$A222)*(1-(Examples!$F$12*(1-EXP(-Examples!$F$13*$A222))/(1+EXP(MIN(700,MAX(-700,(Examples!$F$14*$A222-Examples!$F$15)/Examples!$F$16))))))+Examples!$F$17*$A222^2)</f>
        <v>105791.97607381006</v>
      </c>
      <c r="J222" s="33">
        <f>Examples!$G$18-(Examples!$G$10+Examples!$G$11)*$A222-(Examples!$G$6*Examples!$G$7*Examples!$G$8*EXP(-Examples!$G$9*$A222)*(1-(Examples!$G$12*(1-EXP(-Examples!$G$13*$A222))/(1+EXP(MIN(700,MAX(-700,(Examples!$G$14*$A222-Examples!$G$15)/Examples!$G$16))))))+Examples!$G$17*$A222^2)</f>
        <v>721139.10499141924</v>
      </c>
      <c r="K222" s="33">
        <f>(Examples!$G$6*Examples!$G$7*Examples!$G$8*EXP(-Examples!$G$9*$A222)*(1-(Examples!$G$12*(1-EXP(-Examples!$G$13*$A222))/(1+EXP(MIN(700,MAX(-700,(Examples!$G$14*$A222-Examples!$G$15)/Examples!$G$16))))))+Examples!$G$17*$A222^2)</f>
        <v>668860.89500858076</v>
      </c>
      <c r="L222" s="33">
        <f>Examples!$H$18-(Examples!$H$10+Examples!$H$11)*$A222-(Examples!$H$6*Examples!$H$7*Examples!$H$8*EXP(-Examples!$H$9*$A222)*(1-(Examples!$H$12*(1-EXP(-Examples!$H$13*$A222))/(1+EXP(MIN(700,MAX(-700,(Examples!$H$14*$A222-Examples!$H$15)/Examples!$H$16))))))+Examples!$H$17*$A222^2)</f>
        <v>782637.32771235786</v>
      </c>
      <c r="M222" s="33">
        <f>(Examples!$H$6*Examples!$H$7*Examples!$H$8*EXP(-Examples!$H$9*$A222)*(1-(Examples!$H$12*(1-EXP(-Examples!$H$13*$A222))/(1+EXP(MIN(700,MAX(-700,(Examples!$H$14*$A222-Examples!$H$15)/Examples!$H$16))))))+Examples!$H$17*$A222^2)</f>
        <v>607362.67228764214</v>
      </c>
    </row>
    <row r="223" spans="1:13" x14ac:dyDescent="0.25">
      <c r="A223">
        <f>(223-2)/100</f>
        <v>2.21</v>
      </c>
      <c r="B223" s="33">
        <f>Examples!$C$18-(Examples!$C$10+Examples!$C$11)*$A223-(Examples!$C$6*Examples!$C$7*Examples!$C$8*EXP(-Examples!$C$9*$A223)*(1-(Examples!$C$12*(1-EXP(-Examples!$C$13*$A223))/(1+EXP(MIN(700,MAX(-700,(Examples!$C$14*$A223-Examples!$C$15)/Examples!$C$16))))))+Examples!$C$17*$A223^2)</f>
        <v>155503.33489208744</v>
      </c>
      <c r="C223" s="33">
        <f>(Examples!$C$6*Examples!$C$7*Examples!$C$8*EXP(-Examples!$C$9*$A223)*(1-(Examples!$C$12*(1-EXP(-Examples!$C$13*$A223))/(1+EXP(MIN(700,MAX(-700,(Examples!$C$14*$A223-Examples!$C$15)/Examples!$C$16))))))+Examples!$C$17*$A223^2)</f>
        <v>367146.66510791256</v>
      </c>
      <c r="D223" s="33">
        <f>Examples!$D$18-(Examples!$D$10+Examples!$D$11)*$A223-(Examples!$D$6*Examples!$D$7*Examples!$D$8*EXP(-Examples!$D$9*$A223)*(1-(Examples!$D$12*(1-EXP(-Examples!$D$13*$A223))/(1+EXP(MIN(700,MAX(-700,(Examples!$D$14*$A223-Examples!$D$15)/Examples!$D$16))))))+Examples!$D$17*$A223^2)</f>
        <v>1240230.2726112718</v>
      </c>
      <c r="E223" s="33">
        <f>(Examples!$D$6*Examples!$D$7*Examples!$D$8*EXP(-Examples!$D$9*$A223)*(1-(Examples!$D$12*(1-EXP(-Examples!$D$13*$A223))/(1+EXP(MIN(700,MAX(-700,(Examples!$D$14*$A223-Examples!$D$15)/Examples!$D$16))))))+Examples!$D$17*$A223^2)</f>
        <v>1160319.7273887282</v>
      </c>
      <c r="F223" s="33">
        <f>Examples!$E$18-(Examples!$E$10+Examples!$E$11)*$A223-(Examples!$E$6*Examples!$E$7*Examples!$E$8*EXP(-Examples!$E$9*$A223)*(1-(Examples!$E$12*(1-EXP(-Examples!$E$13*$A223))/(1+EXP(MIN(700,MAX(-700,(Examples!$E$14*$A223-Examples!$E$15)/Examples!$E$16))))))+Examples!$E$17*$A223^2)</f>
        <v>2443552.5875558648</v>
      </c>
      <c r="G223" s="33">
        <f>(Examples!$E$6*Examples!$E$7*Examples!$E$8*EXP(-Examples!$E$9*$A223)*(1-(Examples!$E$12*(1-EXP(-Examples!$E$13*$A223))/(1+EXP(MIN(700,MAX(-700,(Examples!$E$14*$A223-Examples!$E$15)/Examples!$E$16))))))+Examples!$E$17*$A223^2)</f>
        <v>368597.41244413494</v>
      </c>
      <c r="H223" s="33">
        <f>Examples!$F$18-(Examples!$F$10+Examples!$F$11)*$A223-(Examples!$F$6*Examples!$F$7*Examples!$F$8*EXP(-Examples!$F$9*$A223)*(1-(Examples!$F$12*(1-EXP(-Examples!$F$13*$A223))/(1+EXP(MIN(700,MAX(-700,(Examples!$F$14*$A223-Examples!$F$15)/Examples!$F$16))))))+Examples!$F$17*$A223^2)</f>
        <v>-848.88656985663692</v>
      </c>
      <c r="I223" s="33">
        <f>(Examples!$F$6*Examples!$F$7*Examples!$F$8*EXP(-Examples!$F$9*$A223)*(1-(Examples!$F$12*(1-EXP(-Examples!$F$13*$A223))/(1+EXP(MIN(700,MAX(-700,(Examples!$F$14*$A223-Examples!$F$15)/Examples!$F$16))))))+Examples!$F$17*$A223^2)</f>
        <v>106648.88656985664</v>
      </c>
      <c r="J223" s="33">
        <f>Examples!$G$18-(Examples!$G$10+Examples!$G$11)*$A223-(Examples!$G$6*Examples!$G$7*Examples!$G$8*EXP(-Examples!$G$9*$A223)*(1-(Examples!$G$12*(1-EXP(-Examples!$G$13*$A223))/(1+EXP(MIN(700,MAX(-700,(Examples!$G$14*$A223-Examples!$G$15)/Examples!$G$16))))))+Examples!$G$17*$A223^2)</f>
        <v>721638.01646378369</v>
      </c>
      <c r="K223" s="33">
        <f>(Examples!$G$6*Examples!$G$7*Examples!$G$8*EXP(-Examples!$G$9*$A223)*(1-(Examples!$G$12*(1-EXP(-Examples!$G$13*$A223))/(1+EXP(MIN(700,MAX(-700,(Examples!$G$14*$A223-Examples!$G$15)/Examples!$G$16))))))+Examples!$G$17*$A223^2)</f>
        <v>667861.98353621631</v>
      </c>
      <c r="L223" s="33">
        <f>Examples!$H$18-(Examples!$H$10+Examples!$H$11)*$A223-(Examples!$H$6*Examples!$H$7*Examples!$H$8*EXP(-Examples!$H$9*$A223)*(1-(Examples!$H$12*(1-EXP(-Examples!$H$13*$A223))/(1+EXP(MIN(700,MAX(-700,(Examples!$H$14*$A223-Examples!$H$15)/Examples!$H$16))))))+Examples!$H$17*$A223^2)</f>
        <v>781471.84986712423</v>
      </c>
      <c r="M223" s="33">
        <f>(Examples!$H$6*Examples!$H$7*Examples!$H$8*EXP(-Examples!$H$9*$A223)*(1-(Examples!$H$12*(1-EXP(-Examples!$H$13*$A223))/(1+EXP(MIN(700,MAX(-700,(Examples!$H$14*$A223-Examples!$H$15)/Examples!$H$16))))))+Examples!$H$17*$A223^2)</f>
        <v>608028.15013287577</v>
      </c>
    </row>
    <row r="224" spans="1:13" x14ac:dyDescent="0.25">
      <c r="A224">
        <f>(224-2)/100</f>
        <v>2.2200000000000002</v>
      </c>
      <c r="B224" s="33">
        <f>Examples!$C$18-(Examples!$C$10+Examples!$C$11)*$A224-(Examples!$C$6*Examples!$C$7*Examples!$C$8*EXP(-Examples!$C$9*$A224)*(1-(Examples!$C$12*(1-EXP(-Examples!$C$13*$A224))/(1+EXP(MIN(700,MAX(-700,(Examples!$C$14*$A224-Examples!$C$15)/Examples!$C$16))))))+Examples!$C$17*$A224^2)</f>
        <v>154979.09121471003</v>
      </c>
      <c r="C224" s="33">
        <f>(Examples!$C$6*Examples!$C$7*Examples!$C$8*EXP(-Examples!$C$9*$A224)*(1-(Examples!$C$12*(1-EXP(-Examples!$C$13*$A224))/(1+EXP(MIN(700,MAX(-700,(Examples!$C$14*$A224-Examples!$C$15)/Examples!$C$16))))))+Examples!$C$17*$A224^2)</f>
        <v>367320.90878528997</v>
      </c>
      <c r="D224" s="33">
        <f>Examples!$D$18-(Examples!$D$10+Examples!$D$11)*$A224-(Examples!$D$6*Examples!$D$7*Examples!$D$8*EXP(-Examples!$D$9*$A224)*(1-(Examples!$D$12*(1-EXP(-Examples!$D$13*$A224))/(1+EXP(MIN(700,MAX(-700,(Examples!$D$14*$A224-Examples!$D$15)/Examples!$D$16))))))+Examples!$D$17*$A224^2)</f>
        <v>1245344.2388497049</v>
      </c>
      <c r="E224" s="33">
        <f>(Examples!$D$6*Examples!$D$7*Examples!$D$8*EXP(-Examples!$D$9*$A224)*(1-(Examples!$D$12*(1-EXP(-Examples!$D$13*$A224))/(1+EXP(MIN(700,MAX(-700,(Examples!$D$14*$A224-Examples!$D$15)/Examples!$D$16))))))+Examples!$D$17*$A224^2)</f>
        <v>1154755.7611502951</v>
      </c>
      <c r="F224" s="33">
        <f>Examples!$E$18-(Examples!$E$10+Examples!$E$11)*$A224-(Examples!$E$6*Examples!$E$7*Examples!$E$8*EXP(-Examples!$E$9*$A224)*(1-(Examples!$E$12*(1-EXP(-Examples!$E$13*$A224))/(1+EXP(MIN(700,MAX(-700,(Examples!$E$14*$A224-Examples!$E$15)/Examples!$E$16))))))+Examples!$E$17*$A224^2)</f>
        <v>2444930.3423474124</v>
      </c>
      <c r="G224" s="33">
        <f>(Examples!$E$6*Examples!$E$7*Examples!$E$8*EXP(-Examples!$E$9*$A224)*(1-(Examples!$E$12*(1-EXP(-Examples!$E$13*$A224))/(1+EXP(MIN(700,MAX(-700,(Examples!$E$14*$A224-Examples!$E$15)/Examples!$E$16))))))+Examples!$E$17*$A224^2)</f>
        <v>366369.65765258746</v>
      </c>
      <c r="H224" s="33">
        <f>Examples!$F$18-(Examples!$F$10+Examples!$F$11)*$A224-(Examples!$F$6*Examples!$F$7*Examples!$F$8*EXP(-Examples!$F$9*$A224)*(1-(Examples!$F$12*(1-EXP(-Examples!$F$13*$A224))/(1+EXP(MIN(700,MAX(-700,(Examples!$F$14*$A224-Examples!$F$15)/Examples!$F$16))))))+Examples!$F$17*$A224^2)</f>
        <v>-1909.8054844172293</v>
      </c>
      <c r="I224" s="33">
        <f>(Examples!$F$6*Examples!$F$7*Examples!$F$8*EXP(-Examples!$F$9*$A224)*(1-(Examples!$F$12*(1-EXP(-Examples!$F$13*$A224))/(1+EXP(MIN(700,MAX(-700,(Examples!$F$14*$A224-Examples!$F$15)/Examples!$F$16))))))+Examples!$F$17*$A224^2)</f>
        <v>107509.80548441723</v>
      </c>
      <c r="J224" s="33">
        <f>Examples!$G$18-(Examples!$G$10+Examples!$G$11)*$A224-(Examples!$G$6*Examples!$G$7*Examples!$G$8*EXP(-Examples!$G$9*$A224)*(1-(Examples!$G$12*(1-EXP(-Examples!$G$13*$A224))/(1+EXP(MIN(700,MAX(-700,(Examples!$G$14*$A224-Examples!$G$15)/Examples!$G$16))))))+Examples!$G$17*$A224^2)</f>
        <v>722118.09857296629</v>
      </c>
      <c r="K224" s="33">
        <f>(Examples!$G$6*Examples!$G$7*Examples!$G$8*EXP(-Examples!$G$9*$A224)*(1-(Examples!$G$12*(1-EXP(-Examples!$G$13*$A224))/(1+EXP(MIN(700,MAX(-700,(Examples!$G$14*$A224-Examples!$G$15)/Examples!$G$16))))))+Examples!$G$17*$A224^2)</f>
        <v>666881.90142703371</v>
      </c>
      <c r="L224" s="33">
        <f>Examples!$H$18-(Examples!$H$10+Examples!$H$11)*$A224-(Examples!$H$6*Examples!$H$7*Examples!$H$8*EXP(-Examples!$H$9*$A224)*(1-(Examples!$H$12*(1-EXP(-Examples!$H$13*$A224))/(1+EXP(MIN(700,MAX(-700,(Examples!$H$14*$A224-Examples!$H$15)/Examples!$H$16))))))+Examples!$H$17*$A224^2)</f>
        <v>780249.37656595861</v>
      </c>
      <c r="M224" s="33">
        <f>(Examples!$H$6*Examples!$H$7*Examples!$H$8*EXP(-Examples!$H$9*$A224)*(1-(Examples!$H$12*(1-EXP(-Examples!$H$13*$A224))/(1+EXP(MIN(700,MAX(-700,(Examples!$H$14*$A224-Examples!$H$15)/Examples!$H$16))))))+Examples!$H$17*$A224^2)</f>
        <v>608750.62343404139</v>
      </c>
    </row>
    <row r="225" spans="1:13" x14ac:dyDescent="0.25">
      <c r="A225">
        <f>(225-2)/100</f>
        <v>2.23</v>
      </c>
      <c r="B225" s="33">
        <f>Examples!$C$18-(Examples!$C$10+Examples!$C$11)*$A225-(Examples!$C$6*Examples!$C$7*Examples!$C$8*EXP(-Examples!$C$9*$A225)*(1-(Examples!$C$12*(1-EXP(-Examples!$C$13*$A225))/(1+EXP(MIN(700,MAX(-700,(Examples!$C$14*$A225-Examples!$C$15)/Examples!$C$16))))))+Examples!$C$17*$A225^2)</f>
        <v>154459.32935400354</v>
      </c>
      <c r="C225" s="33">
        <f>(Examples!$C$6*Examples!$C$7*Examples!$C$8*EXP(-Examples!$C$9*$A225)*(1-(Examples!$C$12*(1-EXP(-Examples!$C$13*$A225))/(1+EXP(MIN(700,MAX(-700,(Examples!$C$14*$A225-Examples!$C$15)/Examples!$C$16))))))+Examples!$C$17*$A225^2)</f>
        <v>367490.67064599646</v>
      </c>
      <c r="D225" s="33">
        <f>Examples!$D$18-(Examples!$D$10+Examples!$D$11)*$A225-(Examples!$D$6*Examples!$D$7*Examples!$D$8*EXP(-Examples!$D$9*$A225)*(1-(Examples!$D$12*(1-EXP(-Examples!$D$13*$A225))/(1+EXP(MIN(700,MAX(-700,(Examples!$D$14*$A225-Examples!$D$15)/Examples!$D$16))))))+Examples!$D$17*$A225^2)</f>
        <v>1250390.2634527129</v>
      </c>
      <c r="E225" s="33">
        <f>(Examples!$D$6*Examples!$D$7*Examples!$D$8*EXP(-Examples!$D$9*$A225)*(1-(Examples!$D$12*(1-EXP(-Examples!$D$13*$A225))/(1+EXP(MIN(700,MAX(-700,(Examples!$D$14*$A225-Examples!$D$15)/Examples!$D$16))))))+Examples!$D$17*$A225^2)</f>
        <v>1149259.7365472871</v>
      </c>
      <c r="F225" s="33">
        <f>Examples!$E$18-(Examples!$E$10+Examples!$E$11)*$A225-(Examples!$E$6*Examples!$E$7*Examples!$E$8*EXP(-Examples!$E$9*$A225)*(1-(Examples!$E$12*(1-EXP(-Examples!$E$13*$A225))/(1+EXP(MIN(700,MAX(-700,(Examples!$E$14*$A225-Examples!$E$15)/Examples!$E$16))))))+Examples!$E$17*$A225^2)</f>
        <v>2446281.4572924161</v>
      </c>
      <c r="G225" s="33">
        <f>(Examples!$E$6*Examples!$E$7*Examples!$E$8*EXP(-Examples!$E$9*$A225)*(1-(Examples!$E$12*(1-EXP(-Examples!$E$13*$A225))/(1+EXP(MIN(700,MAX(-700,(Examples!$E$14*$A225-Examples!$E$15)/Examples!$E$16))))))+Examples!$E$17*$A225^2)</f>
        <v>364168.54270758363</v>
      </c>
      <c r="H225" s="33">
        <f>Examples!$F$18-(Examples!$F$10+Examples!$F$11)*$A225-(Examples!$F$6*Examples!$F$7*Examples!$F$8*EXP(-Examples!$F$9*$A225)*(1-(Examples!$F$12*(1-EXP(-Examples!$F$13*$A225))/(1+EXP(MIN(700,MAX(-700,(Examples!$F$14*$A225-Examples!$F$15)/Examples!$F$16))))))+Examples!$F$17*$A225^2)</f>
        <v>-2974.7350002662715</v>
      </c>
      <c r="I225" s="33">
        <f>(Examples!$F$6*Examples!$F$7*Examples!$F$8*EXP(-Examples!$F$9*$A225)*(1-(Examples!$F$12*(1-EXP(-Examples!$F$13*$A225))/(1+EXP(MIN(700,MAX(-700,(Examples!$F$14*$A225-Examples!$F$15)/Examples!$F$16))))))+Examples!$F$17*$A225^2)</f>
        <v>108374.73500026627</v>
      </c>
      <c r="J225" s="33">
        <f>Examples!$G$18-(Examples!$G$10+Examples!$G$11)*$A225-(Examples!$G$6*Examples!$G$7*Examples!$G$8*EXP(-Examples!$G$9*$A225)*(1-(Examples!$G$12*(1-EXP(-Examples!$G$13*$A225))/(1+EXP(MIN(700,MAX(-700,(Examples!$G$14*$A225-Examples!$G$15)/Examples!$G$16))))))+Examples!$G$17*$A225^2)</f>
        <v>722579.68191137956</v>
      </c>
      <c r="K225" s="33">
        <f>(Examples!$G$6*Examples!$G$7*Examples!$G$8*EXP(-Examples!$G$9*$A225)*(1-(Examples!$G$12*(1-EXP(-Examples!$G$13*$A225))/(1+EXP(MIN(700,MAX(-700,(Examples!$G$14*$A225-Examples!$G$15)/Examples!$G$16))))))+Examples!$G$17*$A225^2)</f>
        <v>665920.31808862044</v>
      </c>
      <c r="L225" s="33">
        <f>Examples!$H$18-(Examples!$H$10+Examples!$H$11)*$A225-(Examples!$H$6*Examples!$H$7*Examples!$H$8*EXP(-Examples!$H$9*$A225)*(1-(Examples!$H$12*(1-EXP(-Examples!$H$13*$A225))/(1+EXP(MIN(700,MAX(-700,(Examples!$H$14*$A225-Examples!$H$15)/Examples!$H$16))))))+Examples!$H$17*$A225^2)</f>
        <v>778971.0857702553</v>
      </c>
      <c r="M225" s="33">
        <f>(Examples!$H$6*Examples!$H$7*Examples!$H$8*EXP(-Examples!$H$9*$A225)*(1-(Examples!$H$12*(1-EXP(-Examples!$H$13*$A225))/(1+EXP(MIN(700,MAX(-700,(Examples!$H$14*$A225-Examples!$H$15)/Examples!$H$16))))))+Examples!$H$17*$A225^2)</f>
        <v>609528.9142297447</v>
      </c>
    </row>
    <row r="226" spans="1:13" x14ac:dyDescent="0.25">
      <c r="A226">
        <f>(226-2)/100</f>
        <v>2.2400000000000002</v>
      </c>
      <c r="B226" s="33">
        <f>Examples!$C$18-(Examples!$C$10+Examples!$C$11)*$A226-(Examples!$C$6*Examples!$C$7*Examples!$C$8*EXP(-Examples!$C$9*$A226)*(1-(Examples!$C$12*(1-EXP(-Examples!$C$13*$A226))/(1+EXP(MIN(700,MAX(-700,(Examples!$C$14*$A226-Examples!$C$15)/Examples!$C$16))))))+Examples!$C$17*$A226^2)</f>
        <v>153943.93645107717</v>
      </c>
      <c r="C226" s="33">
        <f>(Examples!$C$6*Examples!$C$7*Examples!$C$8*EXP(-Examples!$C$9*$A226)*(1-(Examples!$C$12*(1-EXP(-Examples!$C$13*$A226))/(1+EXP(MIN(700,MAX(-700,(Examples!$C$14*$A226-Examples!$C$15)/Examples!$C$16))))))+Examples!$C$17*$A226^2)</f>
        <v>367656.06354892283</v>
      </c>
      <c r="D226" s="33">
        <f>Examples!$D$18-(Examples!$D$10+Examples!$D$11)*$A226-(Examples!$D$6*Examples!$D$7*Examples!$D$8*EXP(-Examples!$D$9*$A226)*(1-(Examples!$D$12*(1-EXP(-Examples!$D$13*$A226))/(1+EXP(MIN(700,MAX(-700,(Examples!$D$14*$A226-Examples!$D$15)/Examples!$D$16))))))+Examples!$D$17*$A226^2)</f>
        <v>1255368.9252028209</v>
      </c>
      <c r="E226" s="33">
        <f>(Examples!$D$6*Examples!$D$7*Examples!$D$8*EXP(-Examples!$D$9*$A226)*(1-(Examples!$D$12*(1-EXP(-Examples!$D$13*$A226))/(1+EXP(MIN(700,MAX(-700,(Examples!$D$14*$A226-Examples!$D$15)/Examples!$D$16))))))+Examples!$D$17*$A226^2)</f>
        <v>1143831.0747971791</v>
      </c>
      <c r="F226" s="33">
        <f>Examples!$E$18-(Examples!$E$10+Examples!$E$11)*$A226-(Examples!$E$6*Examples!$E$7*Examples!$E$8*EXP(-Examples!$E$9*$A226)*(1-(Examples!$E$12*(1-EXP(-Examples!$E$13*$A226))/(1+EXP(MIN(700,MAX(-700,(Examples!$E$14*$A226-Examples!$E$15)/Examples!$E$16))))))+Examples!$E$17*$A226^2)</f>
        <v>2447606.2273324113</v>
      </c>
      <c r="G226" s="33">
        <f>(Examples!$E$6*Examples!$E$7*Examples!$E$8*EXP(-Examples!$E$9*$A226)*(1-(Examples!$E$12*(1-EXP(-Examples!$E$13*$A226))/(1+EXP(MIN(700,MAX(-700,(Examples!$E$14*$A226-Examples!$E$15)/Examples!$E$16))))))+Examples!$E$17*$A226^2)</f>
        <v>361993.77266758855</v>
      </c>
      <c r="H226" s="33">
        <f>Examples!$F$18-(Examples!$F$10+Examples!$F$11)*$A226-(Examples!$F$6*Examples!$F$7*Examples!$F$8*EXP(-Examples!$F$9*$A226)*(1-(Examples!$F$12*(1-EXP(-Examples!$F$13*$A226))/(1+EXP(MIN(700,MAX(-700,(Examples!$F$14*$A226-Examples!$F$15)/Examples!$F$16))))))+Examples!$F$17*$A226^2)</f>
        <v>-4043.6772349890962</v>
      </c>
      <c r="I226" s="33">
        <f>(Examples!$F$6*Examples!$F$7*Examples!$F$8*EXP(-Examples!$F$9*$A226)*(1-(Examples!$F$12*(1-EXP(-Examples!$F$13*$A226))/(1+EXP(MIN(700,MAX(-700,(Examples!$F$14*$A226-Examples!$F$15)/Examples!$F$16))))))+Examples!$F$17*$A226^2)</f>
        <v>109243.6772349891</v>
      </c>
      <c r="J226" s="33">
        <f>Examples!$G$18-(Examples!$G$10+Examples!$G$11)*$A226-(Examples!$G$6*Examples!$G$7*Examples!$G$8*EXP(-Examples!$G$9*$A226)*(1-(Examples!$G$12*(1-EXP(-Examples!$G$13*$A226))/(1+EXP(MIN(700,MAX(-700,(Examples!$G$14*$A226-Examples!$G$15)/Examples!$G$16))))))+Examples!$G$17*$A226^2)</f>
        <v>723023.09593197866</v>
      </c>
      <c r="K226" s="33">
        <f>(Examples!$G$6*Examples!$G$7*Examples!$G$8*EXP(-Examples!$G$9*$A226)*(1-(Examples!$G$12*(1-EXP(-Examples!$G$13*$A226))/(1+EXP(MIN(700,MAX(-700,(Examples!$G$14*$A226-Examples!$G$15)/Examples!$G$16))))))+Examples!$G$17*$A226^2)</f>
        <v>664976.90406802134</v>
      </c>
      <c r="L226" s="33">
        <f>Examples!$H$18-(Examples!$H$10+Examples!$H$11)*$A226-(Examples!$H$6*Examples!$H$7*Examples!$H$8*EXP(-Examples!$H$9*$A226)*(1-(Examples!$H$12*(1-EXP(-Examples!$H$13*$A226))/(1+EXP(MIN(700,MAX(-700,(Examples!$H$14*$A226-Examples!$H$15)/Examples!$H$16))))))+Examples!$H$17*$A226^2)</f>
        <v>777638.21839285176</v>
      </c>
      <c r="M226" s="33">
        <f>(Examples!$H$6*Examples!$H$7*Examples!$H$8*EXP(-Examples!$H$9*$A226)*(1-(Examples!$H$12*(1-EXP(-Examples!$H$13*$A226))/(1+EXP(MIN(700,MAX(-700,(Examples!$H$14*$A226-Examples!$H$15)/Examples!$H$16))))))+Examples!$H$17*$A226^2)</f>
        <v>610361.78160714824</v>
      </c>
    </row>
    <row r="227" spans="1:13" x14ac:dyDescent="0.25">
      <c r="A227">
        <f>(227-2)/100</f>
        <v>2.25</v>
      </c>
      <c r="B227" s="33">
        <f>Examples!$C$18-(Examples!$C$10+Examples!$C$11)*$A227-(Examples!$C$6*Examples!$C$7*Examples!$C$8*EXP(-Examples!$C$9*$A227)*(1-(Examples!$C$12*(1-EXP(-Examples!$C$13*$A227))/(1+EXP(MIN(700,MAX(-700,(Examples!$C$14*$A227-Examples!$C$15)/Examples!$C$16))))))+Examples!$C$17*$A227^2)</f>
        <v>153432.79393015878</v>
      </c>
      <c r="C227" s="33">
        <f>(Examples!$C$6*Examples!$C$7*Examples!$C$8*EXP(-Examples!$C$9*$A227)*(1-(Examples!$C$12*(1-EXP(-Examples!$C$13*$A227))/(1+EXP(MIN(700,MAX(-700,(Examples!$C$14*$A227-Examples!$C$15)/Examples!$C$16))))))+Examples!$C$17*$A227^2)</f>
        <v>367817.20606984122</v>
      </c>
      <c r="D227" s="33">
        <f>Examples!$D$18-(Examples!$D$10+Examples!$D$11)*$A227-(Examples!$D$6*Examples!$D$7*Examples!$D$8*EXP(-Examples!$D$9*$A227)*(1-(Examples!$D$12*(1-EXP(-Examples!$D$13*$A227))/(1+EXP(MIN(700,MAX(-700,(Examples!$D$14*$A227-Examples!$D$15)/Examples!$D$16))))))+Examples!$D$17*$A227^2)</f>
        <v>1260280.798996842</v>
      </c>
      <c r="E227" s="33">
        <f>(Examples!$D$6*Examples!$D$7*Examples!$D$8*EXP(-Examples!$D$9*$A227)*(1-(Examples!$D$12*(1-EXP(-Examples!$D$13*$A227))/(1+EXP(MIN(700,MAX(-700,(Examples!$D$14*$A227-Examples!$D$15)/Examples!$D$16))))))+Examples!$D$17*$A227^2)</f>
        <v>1138469.201003158</v>
      </c>
      <c r="F227" s="33">
        <f>Examples!$E$18-(Examples!$E$10+Examples!$E$11)*$A227-(Examples!$E$6*Examples!$E$7*Examples!$E$8*EXP(-Examples!$E$9*$A227)*(1-(Examples!$E$12*(1-EXP(-Examples!$E$13*$A227))/(1+EXP(MIN(700,MAX(-700,(Examples!$E$14*$A227-Examples!$E$15)/Examples!$E$16))))))+Examples!$E$17*$A227^2)</f>
        <v>2448904.9440955394</v>
      </c>
      <c r="G227" s="33">
        <f>(Examples!$E$6*Examples!$E$7*Examples!$E$8*EXP(-Examples!$E$9*$A227)*(1-(Examples!$E$12*(1-EXP(-Examples!$E$13*$A227))/(1+EXP(MIN(700,MAX(-700,(Examples!$E$14*$A227-Examples!$E$15)/Examples!$E$16))))))+Examples!$E$17*$A227^2)</f>
        <v>359845.05590446061</v>
      </c>
      <c r="H227" s="33">
        <f>Examples!$F$18-(Examples!$F$10+Examples!$F$11)*$A227-(Examples!$F$6*Examples!$F$7*Examples!$F$8*EXP(-Examples!$F$9*$A227)*(1-(Examples!$F$12*(1-EXP(-Examples!$F$13*$A227))/(1+EXP(MIN(700,MAX(-700,(Examples!$F$14*$A227-Examples!$F$15)/Examples!$F$16))))))+Examples!$F$17*$A227^2)</f>
        <v>-5116.6342416538682</v>
      </c>
      <c r="I227" s="33">
        <f>(Examples!$F$6*Examples!$F$7*Examples!$F$8*EXP(-Examples!$F$9*$A227)*(1-(Examples!$F$12*(1-EXP(-Examples!$F$13*$A227))/(1+EXP(MIN(700,MAX(-700,(Examples!$F$14*$A227-Examples!$F$15)/Examples!$F$16))))))+Examples!$F$17*$A227^2)</f>
        <v>110116.63424165387</v>
      </c>
      <c r="J227" s="33">
        <f>Examples!$G$18-(Examples!$G$10+Examples!$G$11)*$A227-(Examples!$G$6*Examples!$G$7*Examples!$G$8*EXP(-Examples!$G$9*$A227)*(1-(Examples!$G$12*(1-EXP(-Examples!$G$13*$A227))/(1+EXP(MIN(700,MAX(-700,(Examples!$G$14*$A227-Examples!$G$15)/Examples!$G$16))))))+Examples!$G$17*$A227^2)</f>
        <v>723448.66889739677</v>
      </c>
      <c r="K227" s="33">
        <f>(Examples!$G$6*Examples!$G$7*Examples!$G$8*EXP(-Examples!$G$9*$A227)*(1-(Examples!$G$12*(1-EXP(-Examples!$G$13*$A227))/(1+EXP(MIN(700,MAX(-700,(Examples!$G$14*$A227-Examples!$G$15)/Examples!$G$16))))))+Examples!$G$17*$A227^2)</f>
        <v>664051.33110260323</v>
      </c>
      <c r="L227" s="33">
        <f>Examples!$H$18-(Examples!$H$10+Examples!$H$11)*$A227-(Examples!$H$6*Examples!$H$7*Examples!$H$8*EXP(-Examples!$H$9*$A227)*(1-(Examples!$H$12*(1-EXP(-Examples!$H$13*$A227))/(1+EXP(MIN(700,MAX(-700,(Examples!$H$14*$A227-Examples!$H$15)/Examples!$H$16))))))+Examples!$H$17*$A227^2)</f>
        <v>776252.07797269383</v>
      </c>
      <c r="M227" s="33">
        <f>(Examples!$H$6*Examples!$H$7*Examples!$H$8*EXP(-Examples!$H$9*$A227)*(1-(Examples!$H$12*(1-EXP(-Examples!$H$13*$A227))/(1+EXP(MIN(700,MAX(-700,(Examples!$H$14*$A227-Examples!$H$15)/Examples!$H$16))))))+Examples!$H$17*$A227^2)</f>
        <v>611247.92202730617</v>
      </c>
    </row>
    <row r="228" spans="1:13" x14ac:dyDescent="0.25">
      <c r="A228">
        <f>(228-2)/100</f>
        <v>2.2599999999999998</v>
      </c>
      <c r="B228" s="33">
        <f>Examples!$C$18-(Examples!$C$10+Examples!$C$11)*$A228-(Examples!$C$6*Examples!$C$7*Examples!$C$8*EXP(-Examples!$C$9*$A228)*(1-(Examples!$C$12*(1-EXP(-Examples!$C$13*$A228))/(1+EXP(MIN(700,MAX(-700,(Examples!$C$14*$A228-Examples!$C$15)/Examples!$C$16))))))+Examples!$C$17*$A228^2)</f>
        <v>152925.77799066051</v>
      </c>
      <c r="C228" s="33">
        <f>(Examples!$C$6*Examples!$C$7*Examples!$C$8*EXP(-Examples!$C$9*$A228)*(1-(Examples!$C$12*(1-EXP(-Examples!$C$13*$A228))/(1+EXP(MIN(700,MAX(-700,(Examples!$C$14*$A228-Examples!$C$15)/Examples!$C$16))))))+Examples!$C$17*$A228^2)</f>
        <v>367974.22200933949</v>
      </c>
      <c r="D228" s="33">
        <f>Examples!$D$18-(Examples!$D$10+Examples!$D$11)*$A228-(Examples!$D$6*Examples!$D$7*Examples!$D$8*EXP(-Examples!$D$9*$A228)*(1-(Examples!$D$12*(1-EXP(-Examples!$D$13*$A228))/(1+EXP(MIN(700,MAX(-700,(Examples!$D$14*$A228-Examples!$D$15)/Examples!$D$16))))))+Examples!$D$17*$A228^2)</f>
        <v>1265126.4559259682</v>
      </c>
      <c r="E228" s="33">
        <f>(Examples!$D$6*Examples!$D$7*Examples!$D$8*EXP(-Examples!$D$9*$A228)*(1-(Examples!$D$12*(1-EXP(-Examples!$D$13*$A228))/(1+EXP(MIN(700,MAX(-700,(Examples!$D$14*$A228-Examples!$D$15)/Examples!$D$16))))))+Examples!$D$17*$A228^2)</f>
        <v>1133173.5440740318</v>
      </c>
      <c r="F228" s="33">
        <f>Examples!$E$18-(Examples!$E$10+Examples!$E$11)*$A228-(Examples!$E$6*Examples!$E$7*Examples!$E$8*EXP(-Examples!$E$9*$A228)*(1-(Examples!$E$12*(1-EXP(-Examples!$E$13*$A228))/(1+EXP(MIN(700,MAX(-700,(Examples!$E$14*$A228-Examples!$E$15)/Examples!$E$16))))))+Examples!$E$17*$A228^2)</f>
        <v>2450177.8959360984</v>
      </c>
      <c r="G228" s="33">
        <f>(Examples!$E$6*Examples!$E$7*Examples!$E$8*EXP(-Examples!$E$9*$A228)*(1-(Examples!$E$12*(1-EXP(-Examples!$E$13*$A228))/(1+EXP(MIN(700,MAX(-700,(Examples!$E$14*$A228-Examples!$E$15)/Examples!$E$16))))))+Examples!$E$17*$A228^2)</f>
        <v>357722.1040639017</v>
      </c>
      <c r="H228" s="33">
        <f>Examples!$F$18-(Examples!$F$10+Examples!$F$11)*$A228-(Examples!$F$6*Examples!$F$7*Examples!$F$8*EXP(-Examples!$F$9*$A228)*(1-(Examples!$F$12*(1-EXP(-Examples!$F$13*$A228))/(1+EXP(MIN(700,MAX(-700,(Examples!$F$14*$A228-Examples!$F$15)/Examples!$F$16))))))+Examples!$F$17*$A228^2)</f>
        <v>-6193.6080095751822</v>
      </c>
      <c r="I228" s="33">
        <f>(Examples!$F$6*Examples!$F$7*Examples!$F$8*EXP(-Examples!$F$9*$A228)*(1-(Examples!$F$12*(1-EXP(-Examples!$F$13*$A228))/(1+EXP(MIN(700,MAX(-700,(Examples!$F$14*$A228-Examples!$F$15)/Examples!$F$16))))))+Examples!$F$17*$A228^2)</f>
        <v>110993.60800957518</v>
      </c>
      <c r="J228" s="33">
        <f>Examples!$G$18-(Examples!$G$10+Examples!$G$11)*$A228-(Examples!$G$6*Examples!$G$7*Examples!$G$8*EXP(-Examples!$G$9*$A228)*(1-(Examples!$G$12*(1-EXP(-Examples!$G$13*$A228))/(1+EXP(MIN(700,MAX(-700,(Examples!$G$14*$A228-Examples!$G$15)/Examples!$G$16))))))+Examples!$G$17*$A228^2)</f>
        <v>723856.72782857646</v>
      </c>
      <c r="K228" s="33">
        <f>(Examples!$G$6*Examples!$G$7*Examples!$G$8*EXP(-Examples!$G$9*$A228)*(1-(Examples!$G$12*(1-EXP(-Examples!$G$13*$A228))/(1+EXP(MIN(700,MAX(-700,(Examples!$G$14*$A228-Examples!$G$15)/Examples!$G$16))))))+Examples!$G$17*$A228^2)</f>
        <v>663143.27217142354</v>
      </c>
      <c r="L228" s="33">
        <f>Examples!$H$18-(Examples!$H$10+Examples!$H$11)*$A228-(Examples!$H$6*Examples!$H$7*Examples!$H$8*EXP(-Examples!$H$9*$A228)*(1-(Examples!$H$12*(1-EXP(-Examples!$H$13*$A228))/(1+EXP(MIN(700,MAX(-700,(Examples!$H$14*$A228-Examples!$H$15)/Examples!$H$16))))))+Examples!$H$17*$A228^2)</f>
        <v>774814.03015079047</v>
      </c>
      <c r="M228" s="33">
        <f>(Examples!$H$6*Examples!$H$7*Examples!$H$8*EXP(-Examples!$H$9*$A228)*(1-(Examples!$H$12*(1-EXP(-Examples!$H$13*$A228))/(1+EXP(MIN(700,MAX(-700,(Examples!$H$14*$A228-Examples!$H$15)/Examples!$H$16))))))+Examples!$H$17*$A228^2)</f>
        <v>612185.96984920953</v>
      </c>
    </row>
    <row r="229" spans="1:13" x14ac:dyDescent="0.25">
      <c r="A229">
        <f>(229-2)/100</f>
        <v>2.27</v>
      </c>
      <c r="B229" s="33">
        <f>Examples!$C$18-(Examples!$C$10+Examples!$C$11)*$A229-(Examples!$C$6*Examples!$C$7*Examples!$C$8*EXP(-Examples!$C$9*$A229)*(1-(Examples!$C$12*(1-EXP(-Examples!$C$13*$A229))/(1+EXP(MIN(700,MAX(-700,(Examples!$C$14*$A229-Examples!$C$15)/Examples!$C$16))))))+Examples!$C$17*$A229^2)</f>
        <v>152422.76008400461</v>
      </c>
      <c r="C229" s="33">
        <f>(Examples!$C$6*Examples!$C$7*Examples!$C$8*EXP(-Examples!$C$9*$A229)*(1-(Examples!$C$12*(1-EXP(-Examples!$C$13*$A229))/(1+EXP(MIN(700,MAX(-700,(Examples!$C$14*$A229-Examples!$C$15)/Examples!$C$16))))))+Examples!$C$17*$A229^2)</f>
        <v>368127.23991599539</v>
      </c>
      <c r="D229" s="33">
        <f>Examples!$D$18-(Examples!$D$10+Examples!$D$11)*$A229-(Examples!$D$6*Examples!$D$7*Examples!$D$8*EXP(-Examples!$D$9*$A229)*(1-(Examples!$D$12*(1-EXP(-Examples!$D$13*$A229))/(1+EXP(MIN(700,MAX(-700,(Examples!$D$14*$A229-Examples!$D$15)/Examples!$D$16))))))+Examples!$D$17*$A229^2)</f>
        <v>1269906.4633552083</v>
      </c>
      <c r="E229" s="33">
        <f>(Examples!$D$6*Examples!$D$7*Examples!$D$8*EXP(-Examples!$D$9*$A229)*(1-(Examples!$D$12*(1-EXP(-Examples!$D$13*$A229))/(1+EXP(MIN(700,MAX(-700,(Examples!$D$14*$A229-Examples!$D$15)/Examples!$D$16))))))+Examples!$D$17*$A229^2)</f>
        <v>1127943.5366447917</v>
      </c>
      <c r="F229" s="33">
        <f>Examples!$E$18-(Examples!$E$10+Examples!$E$11)*$A229-(Examples!$E$6*Examples!$E$7*Examples!$E$8*EXP(-Examples!$E$9*$A229)*(1-(Examples!$E$12*(1-EXP(-Examples!$E$13*$A229))/(1+EXP(MIN(700,MAX(-700,(Examples!$E$14*$A229-Examples!$E$15)/Examples!$E$16))))))+Examples!$E$17*$A229^2)</f>
        <v>2451425.3679736177</v>
      </c>
      <c r="G229" s="33">
        <f>(Examples!$E$6*Examples!$E$7*Examples!$E$8*EXP(-Examples!$E$9*$A229)*(1-(Examples!$E$12*(1-EXP(-Examples!$E$13*$A229))/(1+EXP(MIN(700,MAX(-700,(Examples!$E$14*$A229-Examples!$E$15)/Examples!$E$16))))))+Examples!$E$17*$A229^2)</f>
        <v>355624.63202638231</v>
      </c>
      <c r="H229" s="33">
        <f>Examples!$F$18-(Examples!$F$10+Examples!$F$11)*$A229-(Examples!$F$6*Examples!$F$7*Examples!$F$8*EXP(-Examples!$F$9*$A229)*(1-(Examples!$F$12*(1-EXP(-Examples!$F$13*$A229))/(1+EXP(MIN(700,MAX(-700,(Examples!$F$14*$A229-Examples!$F$15)/Examples!$F$16))))))+Examples!$F$17*$A229^2)</f>
        <v>-7274.6004651585536</v>
      </c>
      <c r="I229" s="33">
        <f>(Examples!$F$6*Examples!$F$7*Examples!$F$8*EXP(-Examples!$F$9*$A229)*(1-(Examples!$F$12*(1-EXP(-Examples!$F$13*$A229))/(1+EXP(MIN(700,MAX(-700,(Examples!$F$14*$A229-Examples!$F$15)/Examples!$F$16))))))+Examples!$F$17*$A229^2)</f>
        <v>111874.60046515855</v>
      </c>
      <c r="J229" s="33">
        <f>Examples!$G$18-(Examples!$G$10+Examples!$G$11)*$A229-(Examples!$G$6*Examples!$G$7*Examples!$G$8*EXP(-Examples!$G$9*$A229)*(1-(Examples!$G$12*(1-EXP(-Examples!$G$13*$A229))/(1+EXP(MIN(700,MAX(-700,(Examples!$G$14*$A229-Examples!$G$15)/Examples!$G$16))))))+Examples!$G$17*$A229^2)</f>
        <v>724247.59845294326</v>
      </c>
      <c r="K229" s="33">
        <f>(Examples!$G$6*Examples!$G$7*Examples!$G$8*EXP(-Examples!$G$9*$A229)*(1-(Examples!$G$12*(1-EXP(-Examples!$G$13*$A229))/(1+EXP(MIN(700,MAX(-700,(Examples!$G$14*$A229-Examples!$G$15)/Examples!$G$16))))))+Examples!$G$17*$A229^2)</f>
        <v>662252.40154705674</v>
      </c>
      <c r="L229" s="33">
        <f>Examples!$H$18-(Examples!$H$10+Examples!$H$11)*$A229-(Examples!$H$6*Examples!$H$7*Examples!$H$8*EXP(-Examples!$H$9*$A229)*(1-(Examples!$H$12*(1-EXP(-Examples!$H$13*$A229))/(1+EXP(MIN(700,MAX(-700,(Examples!$H$14*$A229-Examples!$H$15)/Examples!$H$16))))))+Examples!$H$17*$A229^2)</f>
        <v>773325.50194239512</v>
      </c>
      <c r="M229" s="33">
        <f>(Examples!$H$6*Examples!$H$7*Examples!$H$8*EXP(-Examples!$H$9*$A229)*(1-(Examples!$H$12*(1-EXP(-Examples!$H$13*$A229))/(1+EXP(MIN(700,MAX(-700,(Examples!$H$14*$A229-Examples!$H$15)/Examples!$H$16))))))+Examples!$H$17*$A229^2)</f>
        <v>613174.49805760488</v>
      </c>
    </row>
    <row r="230" spans="1:13" x14ac:dyDescent="0.25">
      <c r="A230">
        <f>(230-2)/100</f>
        <v>2.2799999999999998</v>
      </c>
      <c r="B230" s="33">
        <f>Examples!$C$18-(Examples!$C$10+Examples!$C$11)*$A230-(Examples!$C$6*Examples!$C$7*Examples!$C$8*EXP(-Examples!$C$9*$A230)*(1-(Examples!$C$12*(1-EXP(-Examples!$C$13*$A230))/(1+EXP(MIN(700,MAX(-700,(Examples!$C$14*$A230-Examples!$C$15)/Examples!$C$16))))))+Examples!$C$17*$A230^2)</f>
        <v>151923.60737460689</v>
      </c>
      <c r="C230" s="33">
        <f>(Examples!$C$6*Examples!$C$7*Examples!$C$8*EXP(-Examples!$C$9*$A230)*(1-(Examples!$C$12*(1-EXP(-Examples!$C$13*$A230))/(1+EXP(MIN(700,MAX(-700,(Examples!$C$14*$A230-Examples!$C$15)/Examples!$C$16))))))+Examples!$C$17*$A230^2)</f>
        <v>368276.39262539311</v>
      </c>
      <c r="D230" s="33">
        <f>Examples!$D$18-(Examples!$D$10+Examples!$D$11)*$A230-(Examples!$D$6*Examples!$D$7*Examples!$D$8*EXP(-Examples!$D$9*$A230)*(1-(Examples!$D$12*(1-EXP(-Examples!$D$13*$A230))/(1+EXP(MIN(700,MAX(-700,(Examples!$D$14*$A230-Examples!$D$15)/Examples!$D$16))))))+Examples!$D$17*$A230^2)</f>
        <v>1274621.3850021777</v>
      </c>
      <c r="E230" s="33">
        <f>(Examples!$D$6*Examples!$D$7*Examples!$D$8*EXP(-Examples!$D$9*$A230)*(1-(Examples!$D$12*(1-EXP(-Examples!$D$13*$A230))/(1+EXP(MIN(700,MAX(-700,(Examples!$D$14*$A230-Examples!$D$15)/Examples!$D$16))))))+Examples!$D$17*$A230^2)</f>
        <v>1122778.6149978223</v>
      </c>
      <c r="F230" s="33">
        <f>Examples!$E$18-(Examples!$E$10+Examples!$E$11)*$A230-(Examples!$E$6*Examples!$E$7*Examples!$E$8*EXP(-Examples!$E$9*$A230)*(1-(Examples!$E$12*(1-EXP(-Examples!$E$13*$A230))/(1+EXP(MIN(700,MAX(-700,(Examples!$E$14*$A230-Examples!$E$15)/Examples!$E$16))))))+Examples!$E$17*$A230^2)</f>
        <v>2452647.6421314687</v>
      </c>
      <c r="G230" s="33">
        <f>(Examples!$E$6*Examples!$E$7*Examples!$E$8*EXP(-Examples!$E$9*$A230)*(1-(Examples!$E$12*(1-EXP(-Examples!$E$13*$A230))/(1+EXP(MIN(700,MAX(-700,(Examples!$E$14*$A230-Examples!$E$15)/Examples!$E$16))))))+Examples!$E$17*$A230^2)</f>
        <v>353552.35786853143</v>
      </c>
      <c r="H230" s="33">
        <f>Examples!$F$18-(Examples!$F$10+Examples!$F$11)*$A230-(Examples!$F$6*Examples!$F$7*Examples!$F$8*EXP(-Examples!$F$9*$A230)*(1-(Examples!$F$12*(1-EXP(-Examples!$F$13*$A230))/(1+EXP(MIN(700,MAX(-700,(Examples!$F$14*$A230-Examples!$F$15)/Examples!$F$16))))))+Examples!$F$17*$A230^2)</f>
        <v>-8359.6134728165052</v>
      </c>
      <c r="I230" s="33">
        <f>(Examples!$F$6*Examples!$F$7*Examples!$F$8*EXP(-Examples!$F$9*$A230)*(1-(Examples!$F$12*(1-EXP(-Examples!$F$13*$A230))/(1+EXP(MIN(700,MAX(-700,(Examples!$F$14*$A230-Examples!$F$15)/Examples!$F$16))))))+Examples!$F$17*$A230^2)</f>
        <v>112759.61347281651</v>
      </c>
      <c r="J230" s="33">
        <f>Examples!$G$18-(Examples!$G$10+Examples!$G$11)*$A230-(Examples!$G$6*Examples!$G$7*Examples!$G$8*EXP(-Examples!$G$9*$A230)*(1-(Examples!$G$12*(1-EXP(-Examples!$G$13*$A230))/(1+EXP(MIN(700,MAX(-700,(Examples!$G$14*$A230-Examples!$G$15)/Examples!$G$16))))))+Examples!$G$17*$A230^2)</f>
        <v>724621.60515216971</v>
      </c>
      <c r="K230" s="33">
        <f>(Examples!$G$6*Examples!$G$7*Examples!$G$8*EXP(-Examples!$G$9*$A230)*(1-(Examples!$G$12*(1-EXP(-Examples!$G$13*$A230))/(1+EXP(MIN(700,MAX(-700,(Examples!$G$14*$A230-Examples!$G$15)/Examples!$G$16))))))+Examples!$G$17*$A230^2)</f>
        <v>661378.39484783029</v>
      </c>
      <c r="L230" s="33">
        <f>Examples!$H$18-(Examples!$H$10+Examples!$H$11)*$A230-(Examples!$H$6*Examples!$H$7*Examples!$H$8*EXP(-Examples!$H$9*$A230)*(1-(Examples!$H$12*(1-EXP(-Examples!$H$13*$A230))/(1+EXP(MIN(700,MAX(-700,(Examples!$H$14*$A230-Examples!$H$15)/Examples!$H$16))))))+Examples!$H$17*$A230^2)</f>
        <v>771787.98080126871</v>
      </c>
      <c r="M230" s="33">
        <f>(Examples!$H$6*Examples!$H$7*Examples!$H$8*EXP(-Examples!$H$9*$A230)*(1-(Examples!$H$12*(1-EXP(-Examples!$H$13*$A230))/(1+EXP(MIN(700,MAX(-700,(Examples!$H$14*$A230-Examples!$H$15)/Examples!$H$16))))))+Examples!$H$17*$A230^2)</f>
        <v>614212.01919873129</v>
      </c>
    </row>
    <row r="231" spans="1:13" x14ac:dyDescent="0.25">
      <c r="A231">
        <f>(231-2)/100</f>
        <v>2.29</v>
      </c>
      <c r="B231" s="33">
        <f>Examples!$C$18-(Examples!$C$10+Examples!$C$11)*$A231-(Examples!$C$6*Examples!$C$7*Examples!$C$8*EXP(-Examples!$C$9*$A231)*(1-(Examples!$C$12*(1-EXP(-Examples!$C$13*$A231))/(1+EXP(MIN(700,MAX(-700,(Examples!$C$14*$A231-Examples!$C$15)/Examples!$C$16))))))+Examples!$C$17*$A231^2)</f>
        <v>151428.18318453088</v>
      </c>
      <c r="C231" s="33">
        <f>(Examples!$C$6*Examples!$C$7*Examples!$C$8*EXP(-Examples!$C$9*$A231)*(1-(Examples!$C$12*(1-EXP(-Examples!$C$13*$A231))/(1+EXP(MIN(700,MAX(-700,(Examples!$C$14*$A231-Examples!$C$15)/Examples!$C$16))))))+Examples!$C$17*$A231^2)</f>
        <v>368421.81681546912</v>
      </c>
      <c r="D231" s="33">
        <f>Examples!$D$18-(Examples!$D$10+Examples!$D$11)*$A231-(Examples!$D$6*Examples!$D$7*Examples!$D$8*EXP(-Examples!$D$9*$A231)*(1-(Examples!$D$12*(1-EXP(-Examples!$D$13*$A231))/(1+EXP(MIN(700,MAX(-700,(Examples!$D$14*$A231-Examples!$D$15)/Examples!$D$16))))))+Examples!$D$17*$A231^2)</f>
        <v>1279271.7810152103</v>
      </c>
      <c r="E231" s="33">
        <f>(Examples!$D$6*Examples!$D$7*Examples!$D$8*EXP(-Examples!$D$9*$A231)*(1-(Examples!$D$12*(1-EXP(-Examples!$D$13*$A231))/(1+EXP(MIN(700,MAX(-700,(Examples!$D$14*$A231-Examples!$D$15)/Examples!$D$16))))))+Examples!$D$17*$A231^2)</f>
        <v>1117678.2189847897</v>
      </c>
      <c r="F231" s="33">
        <f>Examples!$E$18-(Examples!$E$10+Examples!$E$11)*$A231-(Examples!$E$6*Examples!$E$7*Examples!$E$8*EXP(-Examples!$E$9*$A231)*(1-(Examples!$E$12*(1-EXP(-Examples!$E$13*$A231))/(1+EXP(MIN(700,MAX(-700,(Examples!$E$14*$A231-Examples!$E$15)/Examples!$E$16))))))+Examples!$E$17*$A231^2)</f>
        <v>2453844.9971750104</v>
      </c>
      <c r="G231" s="33">
        <f>(Examples!$E$6*Examples!$E$7*Examples!$E$8*EXP(-Examples!$E$9*$A231)*(1-(Examples!$E$12*(1-EXP(-Examples!$E$13*$A231))/(1+EXP(MIN(700,MAX(-700,(Examples!$E$14*$A231-Examples!$E$15)/Examples!$E$16))))))+Examples!$E$17*$A231^2)</f>
        <v>351505.00282498944</v>
      </c>
      <c r="H231" s="33">
        <f>Examples!$F$18-(Examples!$F$10+Examples!$F$11)*$A231-(Examples!$F$6*Examples!$F$7*Examples!$F$8*EXP(-Examples!$F$9*$A231)*(1-(Examples!$F$12*(1-EXP(-Examples!$F$13*$A231))/(1+EXP(MIN(700,MAX(-700,(Examples!$F$14*$A231-Examples!$F$15)/Examples!$F$16))))))+Examples!$F$17*$A231^2)</f>
        <v>-9448.6488359482319</v>
      </c>
      <c r="I231" s="33">
        <f>(Examples!$F$6*Examples!$F$7*Examples!$F$8*EXP(-Examples!$F$9*$A231)*(1-(Examples!$F$12*(1-EXP(-Examples!$F$13*$A231))/(1+EXP(MIN(700,MAX(-700,(Examples!$F$14*$A231-Examples!$F$15)/Examples!$F$16))))))+Examples!$F$17*$A231^2)</f>
        <v>113648.64883594823</v>
      </c>
      <c r="J231" s="33">
        <f>Examples!$G$18-(Examples!$G$10+Examples!$G$11)*$A231-(Examples!$G$6*Examples!$G$7*Examples!$G$8*EXP(-Examples!$G$9*$A231)*(1-(Examples!$G$12*(1-EXP(-Examples!$G$13*$A231))/(1+EXP(MIN(700,MAX(-700,(Examples!$G$14*$A231-Examples!$G$15)/Examples!$G$16))))))+Examples!$G$17*$A231^2)</f>
        <v>724979.07090956927</v>
      </c>
      <c r="K231" s="33">
        <f>(Examples!$G$6*Examples!$G$7*Examples!$G$8*EXP(-Examples!$G$9*$A231)*(1-(Examples!$G$12*(1-EXP(-Examples!$G$13*$A231))/(1+EXP(MIN(700,MAX(-700,(Examples!$G$14*$A231-Examples!$G$15)/Examples!$G$16))))))+Examples!$G$17*$A231^2)</f>
        <v>660520.92909043073</v>
      </c>
      <c r="L231" s="33">
        <f>Examples!$H$18-(Examples!$H$10+Examples!$H$11)*$A231-(Examples!$H$6*Examples!$H$7*Examples!$H$8*EXP(-Examples!$H$9*$A231)*(1-(Examples!$H$12*(1-EXP(-Examples!$H$13*$A231))/(1+EXP(MIN(700,MAX(-700,(Examples!$H$14*$A231-Examples!$H$15)/Examples!$H$16))))))+Examples!$H$17*$A231^2)</f>
        <v>770203.01347285847</v>
      </c>
      <c r="M231" s="33">
        <f>(Examples!$H$6*Examples!$H$7*Examples!$H$8*EXP(-Examples!$H$9*$A231)*(1-(Examples!$H$12*(1-EXP(-Examples!$H$13*$A231))/(1+EXP(MIN(700,MAX(-700,(Examples!$H$14*$A231-Examples!$H$15)/Examples!$H$16))))))+Examples!$H$17*$A231^2)</f>
        <v>615296.98652714153</v>
      </c>
    </row>
    <row r="232" spans="1:13" x14ac:dyDescent="0.25">
      <c r="A232">
        <f>(232-2)/100</f>
        <v>2.2999999999999998</v>
      </c>
      <c r="B232" s="33">
        <f>Examples!$C$18-(Examples!$C$10+Examples!$C$11)*$A232-(Examples!$C$6*Examples!$C$7*Examples!$C$8*EXP(-Examples!$C$9*$A232)*(1-(Examples!$C$12*(1-EXP(-Examples!$C$13*$A232))/(1+EXP(MIN(700,MAX(-700,(Examples!$C$14*$A232-Examples!$C$15)/Examples!$C$16))))))+Examples!$C$17*$A232^2)</f>
        <v>150936.34742143145</v>
      </c>
      <c r="C232" s="33">
        <f>(Examples!$C$6*Examples!$C$7*Examples!$C$8*EXP(-Examples!$C$9*$A232)*(1-(Examples!$C$12*(1-EXP(-Examples!$C$13*$A232))/(1+EXP(MIN(700,MAX(-700,(Examples!$C$14*$A232-Examples!$C$15)/Examples!$C$16))))))+Examples!$C$17*$A232^2)</f>
        <v>368563.65257856855</v>
      </c>
      <c r="D232" s="33">
        <f>Examples!$D$18-(Examples!$D$10+Examples!$D$11)*$A232-(Examples!$D$6*Examples!$D$7*Examples!$D$8*EXP(-Examples!$D$9*$A232)*(1-(Examples!$D$12*(1-EXP(-Examples!$D$13*$A232))/(1+EXP(MIN(700,MAX(-700,(Examples!$D$14*$A232-Examples!$D$15)/Examples!$D$16))))))+Examples!$D$17*$A232^2)</f>
        <v>1283858.2080508058</v>
      </c>
      <c r="E232" s="33">
        <f>(Examples!$D$6*Examples!$D$7*Examples!$D$8*EXP(-Examples!$D$9*$A232)*(1-(Examples!$D$12*(1-EXP(-Examples!$D$13*$A232))/(1+EXP(MIN(700,MAX(-700,(Examples!$D$14*$A232-Examples!$D$15)/Examples!$D$16))))))+Examples!$D$17*$A232^2)</f>
        <v>1112641.7919491942</v>
      </c>
      <c r="F232" s="33">
        <f>Examples!$E$18-(Examples!$E$10+Examples!$E$11)*$A232-(Examples!$E$6*Examples!$E$7*Examples!$E$8*EXP(-Examples!$E$9*$A232)*(1-(Examples!$E$12*(1-EXP(-Examples!$E$13*$A232))/(1+EXP(MIN(700,MAX(-700,(Examples!$E$14*$A232-Examples!$E$15)/Examples!$E$16))))))+Examples!$E$17*$A232^2)</f>
        <v>2455017.7087492831</v>
      </c>
      <c r="G232" s="33">
        <f>(Examples!$E$6*Examples!$E$7*Examples!$E$8*EXP(-Examples!$E$9*$A232)*(1-(Examples!$E$12*(1-EXP(-Examples!$E$13*$A232))/(1+EXP(MIN(700,MAX(-700,(Examples!$E$14*$A232-Examples!$E$15)/Examples!$E$16))))))+Examples!$E$17*$A232^2)</f>
        <v>349482.29125071689</v>
      </c>
      <c r="H232" s="33">
        <f>Examples!$F$18-(Examples!$F$10+Examples!$F$11)*$A232-(Examples!$F$6*Examples!$F$7*Examples!$F$8*EXP(-Examples!$F$9*$A232)*(1-(Examples!$F$12*(1-EXP(-Examples!$F$13*$A232))/(1+EXP(MIN(700,MAX(-700,(Examples!$F$14*$A232-Examples!$F$15)/Examples!$F$16))))))+Examples!$F$17*$A232^2)</f>
        <v>-10541.708297973368</v>
      </c>
      <c r="I232" s="33">
        <f>(Examples!$F$6*Examples!$F$7*Examples!$F$8*EXP(-Examples!$F$9*$A232)*(1-(Examples!$F$12*(1-EXP(-Examples!$F$13*$A232))/(1+EXP(MIN(700,MAX(-700,(Examples!$F$14*$A232-Examples!$F$15)/Examples!$F$16))))))+Examples!$F$17*$A232^2)</f>
        <v>114541.70829797337</v>
      </c>
      <c r="J232" s="33">
        <f>Examples!$G$18-(Examples!$G$10+Examples!$G$11)*$A232-(Examples!$G$6*Examples!$G$7*Examples!$G$8*EXP(-Examples!$G$9*$A232)*(1-(Examples!$G$12*(1-EXP(-Examples!$G$13*$A232))/(1+EXP(MIN(700,MAX(-700,(Examples!$G$14*$A232-Examples!$G$15)/Examples!$G$16))))))+Examples!$G$17*$A232^2)</f>
        <v>725320.31725717417</v>
      </c>
      <c r="K232" s="33">
        <f>(Examples!$G$6*Examples!$G$7*Examples!$G$8*EXP(-Examples!$G$9*$A232)*(1-(Examples!$G$12*(1-EXP(-Examples!$G$13*$A232))/(1+EXP(MIN(700,MAX(-700,(Examples!$G$14*$A232-Examples!$G$15)/Examples!$G$16))))))+Examples!$G$17*$A232^2)</f>
        <v>659679.68274282583</v>
      </c>
      <c r="L232" s="33">
        <f>Examples!$H$18-(Examples!$H$10+Examples!$H$11)*$A232-(Examples!$H$6*Examples!$H$7*Examples!$H$8*EXP(-Examples!$H$9*$A232)*(1-(Examples!$H$12*(1-EXP(-Examples!$H$13*$A232))/(1+EXP(MIN(700,MAX(-700,(Examples!$H$14*$A232-Examples!$H$15)/Examples!$H$16))))))+Examples!$H$17*$A232^2)</f>
        <v>768572.20463430427</v>
      </c>
      <c r="M232" s="33">
        <f>(Examples!$H$6*Examples!$H$7*Examples!$H$8*EXP(-Examples!$H$9*$A232)*(1-(Examples!$H$12*(1-EXP(-Examples!$H$13*$A232))/(1+EXP(MIN(700,MAX(-700,(Examples!$H$14*$A232-Examples!$H$15)/Examples!$H$16))))))+Examples!$H$17*$A232^2)</f>
        <v>616427.79536569573</v>
      </c>
    </row>
    <row r="233" spans="1:13" x14ac:dyDescent="0.25">
      <c r="A233">
        <f>(233-2)/100</f>
        <v>2.31</v>
      </c>
      <c r="B233" s="33">
        <f>Examples!$C$18-(Examples!$C$10+Examples!$C$11)*$A233-(Examples!$C$6*Examples!$C$7*Examples!$C$8*EXP(-Examples!$C$9*$A233)*(1-(Examples!$C$12*(1-EXP(-Examples!$C$13*$A233))/(1+EXP(MIN(700,MAX(-700,(Examples!$C$14*$A233-Examples!$C$15)/Examples!$C$16))))))+Examples!$C$17*$A233^2)</f>
        <v>150447.95698950638</v>
      </c>
      <c r="C233" s="33">
        <f>(Examples!$C$6*Examples!$C$7*Examples!$C$8*EXP(-Examples!$C$9*$A233)*(1-(Examples!$C$12*(1-EXP(-Examples!$C$13*$A233))/(1+EXP(MIN(700,MAX(-700,(Examples!$C$14*$A233-Examples!$C$15)/Examples!$C$16))))))+Examples!$C$17*$A233^2)</f>
        <v>368702.04301049362</v>
      </c>
      <c r="D233" s="33">
        <f>Examples!$D$18-(Examples!$D$10+Examples!$D$11)*$A233-(Examples!$D$6*Examples!$D$7*Examples!$D$8*EXP(-Examples!$D$9*$A233)*(1-(Examples!$D$12*(1-EXP(-Examples!$D$13*$A233))/(1+EXP(MIN(700,MAX(-700,(Examples!$D$14*$A233-Examples!$D$15)/Examples!$D$16))))))+Examples!$D$17*$A233^2)</f>
        <v>1288381.2193503771</v>
      </c>
      <c r="E233" s="33">
        <f>(Examples!$D$6*Examples!$D$7*Examples!$D$8*EXP(-Examples!$D$9*$A233)*(1-(Examples!$D$12*(1-EXP(-Examples!$D$13*$A233))/(1+EXP(MIN(700,MAX(-700,(Examples!$D$14*$A233-Examples!$D$15)/Examples!$D$16))))))+Examples!$D$17*$A233^2)</f>
        <v>1107668.7806496229</v>
      </c>
      <c r="F233" s="33">
        <f>Examples!$E$18-(Examples!$E$10+Examples!$E$11)*$A233-(Examples!$E$6*Examples!$E$7*Examples!$E$8*EXP(-Examples!$E$9*$A233)*(1-(Examples!$E$12*(1-EXP(-Examples!$E$13*$A233))/(1+EXP(MIN(700,MAX(-700,(Examples!$E$14*$A233-Examples!$E$15)/Examples!$E$16))))))+Examples!$E$17*$A233^2)</f>
        <v>2456166.0494162473</v>
      </c>
      <c r="G233" s="33">
        <f>(Examples!$E$6*Examples!$E$7*Examples!$E$8*EXP(-Examples!$E$9*$A233)*(1-(Examples!$E$12*(1-EXP(-Examples!$E$13*$A233))/(1+EXP(MIN(700,MAX(-700,(Examples!$E$14*$A233-Examples!$E$15)/Examples!$E$16))))))+Examples!$E$17*$A233^2)</f>
        <v>347483.95058375277</v>
      </c>
      <c r="H233" s="33">
        <f>Examples!$F$18-(Examples!$F$10+Examples!$F$11)*$A233-(Examples!$F$6*Examples!$F$7*Examples!$F$8*EXP(-Examples!$F$9*$A233)*(1-(Examples!$F$12*(1-EXP(-Examples!$F$13*$A233))/(1+EXP(MIN(700,MAX(-700,(Examples!$F$14*$A233-Examples!$F$15)/Examples!$F$16))))))+Examples!$F$17*$A233^2)</f>
        <v>-11638.793543413936</v>
      </c>
      <c r="I233" s="33">
        <f>(Examples!$F$6*Examples!$F$7*Examples!$F$8*EXP(-Examples!$F$9*$A233)*(1-(Examples!$F$12*(1-EXP(-Examples!$F$13*$A233))/(1+EXP(MIN(700,MAX(-700,(Examples!$F$14*$A233-Examples!$F$15)/Examples!$F$16))))))+Examples!$F$17*$A233^2)</f>
        <v>115438.79354341394</v>
      </c>
      <c r="J233" s="33">
        <f>Examples!$G$18-(Examples!$G$10+Examples!$G$11)*$A233-(Examples!$G$6*Examples!$G$7*Examples!$G$8*EXP(-Examples!$G$9*$A233)*(1-(Examples!$G$12*(1-EXP(-Examples!$G$13*$A233))/(1+EXP(MIN(700,MAX(-700,(Examples!$G$14*$A233-Examples!$G$15)/Examples!$G$16))))))+Examples!$G$17*$A233^2)</f>
        <v>725645.66422253696</v>
      </c>
      <c r="K233" s="33">
        <f>(Examples!$G$6*Examples!$G$7*Examples!$G$8*EXP(-Examples!$G$9*$A233)*(1-(Examples!$G$12*(1-EXP(-Examples!$G$13*$A233))/(1+EXP(MIN(700,MAX(-700,(Examples!$G$14*$A233-Examples!$G$15)/Examples!$G$16))))))+Examples!$G$17*$A233^2)</f>
        <v>658854.33577746304</v>
      </c>
      <c r="L233" s="33">
        <f>Examples!$H$18-(Examples!$H$10+Examples!$H$11)*$A233-(Examples!$H$6*Examples!$H$7*Examples!$H$8*EXP(-Examples!$H$9*$A233)*(1-(Examples!$H$12*(1-EXP(-Examples!$H$13*$A233))/(1+EXP(MIN(700,MAX(-700,(Examples!$H$14*$A233-Examples!$H$15)/Examples!$H$16))))))+Examples!$H$17*$A233^2)</f>
        <v>766897.2153202747</v>
      </c>
      <c r="M233" s="33">
        <f>(Examples!$H$6*Examples!$H$7*Examples!$H$8*EXP(-Examples!$H$9*$A233)*(1-(Examples!$H$12*(1-EXP(-Examples!$H$13*$A233))/(1+EXP(MIN(700,MAX(-700,(Examples!$H$14*$A233-Examples!$H$15)/Examples!$H$16))))))+Examples!$H$17*$A233^2)</f>
        <v>617602.7846797253</v>
      </c>
    </row>
    <row r="234" spans="1:13" x14ac:dyDescent="0.25">
      <c r="A234">
        <f>(234-2)/100</f>
        <v>2.3199999999999998</v>
      </c>
      <c r="B234" s="33">
        <f>Examples!$C$18-(Examples!$C$10+Examples!$C$11)*$A234-(Examples!$C$6*Examples!$C$7*Examples!$C$8*EXP(-Examples!$C$9*$A234)*(1-(Examples!$C$12*(1-EXP(-Examples!$C$13*$A234))/(1+EXP(MIN(700,MAX(-700,(Examples!$C$14*$A234-Examples!$C$15)/Examples!$C$16))))))+Examples!$C$17*$A234^2)</f>
        <v>149962.86618327105</v>
      </c>
      <c r="C234" s="33">
        <f>(Examples!$C$6*Examples!$C$7*Examples!$C$8*EXP(-Examples!$C$9*$A234)*(1-(Examples!$C$12*(1-EXP(-Examples!$C$13*$A234))/(1+EXP(MIN(700,MAX(-700,(Examples!$C$14*$A234-Examples!$C$15)/Examples!$C$16))))))+Examples!$C$17*$A234^2)</f>
        <v>368837.13381672895</v>
      </c>
      <c r="D234" s="33">
        <f>Examples!$D$18-(Examples!$D$10+Examples!$D$11)*$A234-(Examples!$D$6*Examples!$D$7*Examples!$D$8*EXP(-Examples!$D$9*$A234)*(1-(Examples!$D$12*(1-EXP(-Examples!$D$13*$A234))/(1+EXP(MIN(700,MAX(-700,(Examples!$D$14*$A234-Examples!$D$15)/Examples!$D$16))))))+Examples!$D$17*$A234^2)</f>
        <v>1292841.3648163097</v>
      </c>
      <c r="E234" s="33">
        <f>(Examples!$D$6*Examples!$D$7*Examples!$D$8*EXP(-Examples!$D$9*$A234)*(1-(Examples!$D$12*(1-EXP(-Examples!$D$13*$A234))/(1+EXP(MIN(700,MAX(-700,(Examples!$D$14*$A234-Examples!$D$15)/Examples!$D$16))))))+Examples!$D$17*$A234^2)</f>
        <v>1102758.6351836903</v>
      </c>
      <c r="F234" s="33">
        <f>Examples!$E$18-(Examples!$E$10+Examples!$E$11)*$A234-(Examples!$E$6*Examples!$E$7*Examples!$E$8*EXP(-Examples!$E$9*$A234)*(1-(Examples!$E$12*(1-EXP(-Examples!$E$13*$A234))/(1+EXP(MIN(700,MAX(-700,(Examples!$E$14*$A234-Examples!$E$15)/Examples!$E$16))))))+Examples!$E$17*$A234^2)</f>
        <v>2457290.2886915794</v>
      </c>
      <c r="G234" s="33">
        <f>(Examples!$E$6*Examples!$E$7*Examples!$E$8*EXP(-Examples!$E$9*$A234)*(1-(Examples!$E$12*(1-EXP(-Examples!$E$13*$A234))/(1+EXP(MIN(700,MAX(-700,(Examples!$E$14*$A234-Examples!$E$15)/Examples!$E$16))))))+Examples!$E$17*$A234^2)</f>
        <v>345509.71130842058</v>
      </c>
      <c r="H234" s="33">
        <f>Examples!$F$18-(Examples!$F$10+Examples!$F$11)*$A234-(Examples!$F$6*Examples!$F$7*Examples!$F$8*EXP(-Examples!$F$9*$A234)*(1-(Examples!$F$12*(1-EXP(-Examples!$F$13*$A234))/(1+EXP(MIN(700,MAX(-700,(Examples!$F$14*$A234-Examples!$F$15)/Examples!$F$16))))))+Examples!$F$17*$A234^2)</f>
        <v>-12739.906199015735</v>
      </c>
      <c r="I234" s="33">
        <f>(Examples!$F$6*Examples!$F$7*Examples!$F$8*EXP(-Examples!$F$9*$A234)*(1-(Examples!$F$12*(1-EXP(-Examples!$F$13*$A234))/(1+EXP(MIN(700,MAX(-700,(Examples!$F$14*$A234-Examples!$F$15)/Examples!$F$16))))))+Examples!$F$17*$A234^2)</f>
        <v>116339.90619901574</v>
      </c>
      <c r="J234" s="33">
        <f>Examples!$G$18-(Examples!$G$10+Examples!$G$11)*$A234-(Examples!$G$6*Examples!$G$7*Examples!$G$8*EXP(-Examples!$G$9*$A234)*(1-(Examples!$G$12*(1-EXP(-Examples!$G$13*$A234))/(1+EXP(MIN(700,MAX(-700,(Examples!$G$14*$A234-Examples!$G$15)/Examples!$G$16))))))+Examples!$G$17*$A234^2)</f>
        <v>725955.43027530937</v>
      </c>
      <c r="K234" s="33">
        <f>(Examples!$G$6*Examples!$G$7*Examples!$G$8*EXP(-Examples!$G$9*$A234)*(1-(Examples!$G$12*(1-EXP(-Examples!$G$13*$A234))/(1+EXP(MIN(700,MAX(-700,(Examples!$G$14*$A234-Examples!$G$15)/Examples!$G$16))))))+Examples!$G$17*$A234^2)</f>
        <v>658044.56972469063</v>
      </c>
      <c r="L234" s="33">
        <f>Examples!$H$18-(Examples!$H$10+Examples!$H$11)*$A234-(Examples!$H$6*Examples!$H$7*Examples!$H$8*EXP(-Examples!$H$9*$A234)*(1-(Examples!$H$12*(1-EXP(-Examples!$H$13*$A234))/(1+EXP(MIN(700,MAX(-700,(Examples!$H$14*$A234-Examples!$H$15)/Examples!$H$16))))))+Examples!$H$17*$A234^2)</f>
        <v>765179.76113482926</v>
      </c>
      <c r="M234" s="33">
        <f>(Examples!$H$6*Examples!$H$7*Examples!$H$8*EXP(-Examples!$H$9*$A234)*(1-(Examples!$H$12*(1-EXP(-Examples!$H$13*$A234))/(1+EXP(MIN(700,MAX(-700,(Examples!$H$14*$A234-Examples!$H$15)/Examples!$H$16))))))+Examples!$H$17*$A234^2)</f>
        <v>618820.23886517074</v>
      </c>
    </row>
    <row r="235" spans="1:13" x14ac:dyDescent="0.25">
      <c r="A235">
        <f>(235-2)/100</f>
        <v>2.33</v>
      </c>
      <c r="B235" s="33">
        <f>Examples!$C$18-(Examples!$C$10+Examples!$C$11)*$A235-(Examples!$C$6*Examples!$C$7*Examples!$C$8*EXP(-Examples!$C$9*$A235)*(1-(Examples!$C$12*(1-EXP(-Examples!$C$13*$A235))/(1+EXP(MIN(700,MAX(-700,(Examples!$C$14*$A235-Examples!$C$15)/Examples!$C$16))))))+Examples!$C$17*$A235^2)</f>
        <v>149480.9270640522</v>
      </c>
      <c r="C235" s="33">
        <f>(Examples!$C$6*Examples!$C$7*Examples!$C$8*EXP(-Examples!$C$9*$A235)*(1-(Examples!$C$12*(1-EXP(-Examples!$C$13*$A235))/(1+EXP(MIN(700,MAX(-700,(Examples!$C$14*$A235-Examples!$C$15)/Examples!$C$16))))))+Examples!$C$17*$A235^2)</f>
        <v>368969.0729359478</v>
      </c>
      <c r="D235" s="33">
        <f>Examples!$D$18-(Examples!$D$10+Examples!$D$11)*$A235-(Examples!$D$6*Examples!$D$7*Examples!$D$8*EXP(-Examples!$D$9*$A235)*(1-(Examples!$D$12*(1-EXP(-Examples!$D$13*$A235))/(1+EXP(MIN(700,MAX(-700,(Examples!$D$14*$A235-Examples!$D$15)/Examples!$D$16))))))+Examples!$D$17*$A235^2)</f>
        <v>1297239.1910873079</v>
      </c>
      <c r="E235" s="33">
        <f>(Examples!$D$6*Examples!$D$7*Examples!$D$8*EXP(-Examples!$D$9*$A235)*(1-(Examples!$D$12*(1-EXP(-Examples!$D$13*$A235))/(1+EXP(MIN(700,MAX(-700,(Examples!$D$14*$A235-Examples!$D$15)/Examples!$D$16))))))+Examples!$D$17*$A235^2)</f>
        <v>1097910.8089126921</v>
      </c>
      <c r="F235" s="33">
        <f>Examples!$E$18-(Examples!$E$10+Examples!$E$11)*$A235-(Examples!$E$6*Examples!$E$7*Examples!$E$8*EXP(-Examples!$E$9*$A235)*(1-(Examples!$E$12*(1-EXP(-Examples!$E$13*$A235))/(1+EXP(MIN(700,MAX(-700,(Examples!$E$14*$A235-Examples!$E$15)/Examples!$E$16))))))+Examples!$E$17*$A235^2)</f>
        <v>2458390.6930810264</v>
      </c>
      <c r="G235" s="33">
        <f>(Examples!$E$6*Examples!$E$7*Examples!$E$8*EXP(-Examples!$E$9*$A235)*(1-(Examples!$E$12*(1-EXP(-Examples!$E$13*$A235))/(1+EXP(MIN(700,MAX(-700,(Examples!$E$14*$A235-Examples!$E$15)/Examples!$E$16))))))+Examples!$E$17*$A235^2)</f>
        <v>343559.30691897345</v>
      </c>
      <c r="H235" s="33">
        <f>Examples!$F$18-(Examples!$F$10+Examples!$F$11)*$A235-(Examples!$F$6*Examples!$F$7*Examples!$F$8*EXP(-Examples!$F$9*$A235)*(1-(Examples!$F$12*(1-EXP(-Examples!$F$13*$A235))/(1+EXP(MIN(700,MAX(-700,(Examples!$F$14*$A235-Examples!$F$15)/Examples!$F$16))))))+Examples!$F$17*$A235^2)</f>
        <v>-13845.047834904268</v>
      </c>
      <c r="I235" s="33">
        <f>(Examples!$F$6*Examples!$F$7*Examples!$F$8*EXP(-Examples!$F$9*$A235)*(1-(Examples!$F$12*(1-EXP(-Examples!$F$13*$A235))/(1+EXP(MIN(700,MAX(-700,(Examples!$F$14*$A235-Examples!$F$15)/Examples!$F$16))))))+Examples!$F$17*$A235^2)</f>
        <v>117245.04783490427</v>
      </c>
      <c r="J235" s="33">
        <f>Examples!$G$18-(Examples!$G$10+Examples!$G$11)*$A235-(Examples!$G$6*Examples!$G$7*Examples!$G$8*EXP(-Examples!$G$9*$A235)*(1-(Examples!$G$12*(1-EXP(-Examples!$G$13*$A235))/(1+EXP(MIN(700,MAX(-700,(Examples!$G$14*$A235-Examples!$G$15)/Examples!$G$16))))))+Examples!$G$17*$A235^2)</f>
        <v>726249.93227364367</v>
      </c>
      <c r="K235" s="33">
        <f>(Examples!$G$6*Examples!$G$7*Examples!$G$8*EXP(-Examples!$G$9*$A235)*(1-(Examples!$G$12*(1-EXP(-Examples!$G$13*$A235))/(1+EXP(MIN(700,MAX(-700,(Examples!$G$14*$A235-Examples!$G$15)/Examples!$G$16))))))+Examples!$G$17*$A235^2)</f>
        <v>657250.06772635633</v>
      </c>
      <c r="L235" s="33">
        <f>Examples!$H$18-(Examples!$H$10+Examples!$H$11)*$A235-(Examples!$H$6*Examples!$H$7*Examples!$H$8*EXP(-Examples!$H$9*$A235)*(1-(Examples!$H$12*(1-EXP(-Examples!$H$13*$A235))/(1+EXP(MIN(700,MAX(-700,(Examples!$H$14*$A235-Examples!$H$15)/Examples!$H$16))))))+Examples!$H$17*$A235^2)</f>
        <v>763421.61025069293</v>
      </c>
      <c r="M235" s="33">
        <f>(Examples!$H$6*Examples!$H$7*Examples!$H$8*EXP(-Examples!$H$9*$A235)*(1-(Examples!$H$12*(1-EXP(-Examples!$H$13*$A235))/(1+EXP(MIN(700,MAX(-700,(Examples!$H$14*$A235-Examples!$H$15)/Examples!$H$16))))))+Examples!$H$17*$A235^2)</f>
        <v>620078.38974930707</v>
      </c>
    </row>
    <row r="236" spans="1:13" x14ac:dyDescent="0.25">
      <c r="A236">
        <f>(236-2)/100</f>
        <v>2.34</v>
      </c>
      <c r="B236" s="33">
        <f>Examples!$C$18-(Examples!$C$10+Examples!$C$11)*$A236-(Examples!$C$6*Examples!$C$7*Examples!$C$8*EXP(-Examples!$C$9*$A236)*(1-(Examples!$C$12*(1-EXP(-Examples!$C$13*$A236))/(1+EXP(MIN(700,MAX(-700,(Examples!$C$14*$A236-Examples!$C$15)/Examples!$C$16))))))+Examples!$C$17*$A236^2)</f>
        <v>149001.98981918365</v>
      </c>
      <c r="C236" s="33">
        <f>(Examples!$C$6*Examples!$C$7*Examples!$C$8*EXP(-Examples!$C$9*$A236)*(1-(Examples!$C$12*(1-EXP(-Examples!$C$13*$A236))/(1+EXP(MIN(700,MAX(-700,(Examples!$C$14*$A236-Examples!$C$15)/Examples!$C$16))))))+Examples!$C$17*$A236^2)</f>
        <v>369098.01018081635</v>
      </c>
      <c r="D236" s="33">
        <f>Examples!$D$18-(Examples!$D$10+Examples!$D$11)*$A236-(Examples!$D$6*Examples!$D$7*Examples!$D$8*EXP(-Examples!$D$9*$A236)*(1-(Examples!$D$12*(1-EXP(-Examples!$D$13*$A236))/(1+EXP(MIN(700,MAX(-700,(Examples!$D$14*$A236-Examples!$D$15)/Examples!$D$16))))))+Examples!$D$17*$A236^2)</f>
        <v>1301575.2416130186</v>
      </c>
      <c r="E236" s="33">
        <f>(Examples!$D$6*Examples!$D$7*Examples!$D$8*EXP(-Examples!$D$9*$A236)*(1-(Examples!$D$12*(1-EXP(-Examples!$D$13*$A236))/(1+EXP(MIN(700,MAX(-700,(Examples!$D$14*$A236-Examples!$D$15)/Examples!$D$16))))))+Examples!$D$17*$A236^2)</f>
        <v>1093124.7583869814</v>
      </c>
      <c r="F236" s="33">
        <f>Examples!$E$18-(Examples!$E$10+Examples!$E$11)*$A236-(Examples!$E$6*Examples!$E$7*Examples!$E$8*EXP(-Examples!$E$9*$A236)*(1-(Examples!$E$12*(1-EXP(-Examples!$E$13*$A236))/(1+EXP(MIN(700,MAX(-700,(Examples!$E$14*$A236-Examples!$E$15)/Examples!$E$16))))))+Examples!$E$17*$A236^2)</f>
        <v>2459467.5261163251</v>
      </c>
      <c r="G236" s="33">
        <f>(Examples!$E$6*Examples!$E$7*Examples!$E$8*EXP(-Examples!$E$9*$A236)*(1-(Examples!$E$12*(1-EXP(-Examples!$E$13*$A236))/(1+EXP(MIN(700,MAX(-700,(Examples!$E$14*$A236-Examples!$E$15)/Examples!$E$16))))))+Examples!$E$17*$A236^2)</f>
        <v>341632.473883675</v>
      </c>
      <c r="H236" s="33">
        <f>Examples!$F$18-(Examples!$F$10+Examples!$F$11)*$A236-(Examples!$F$6*Examples!$F$7*Examples!$F$8*EXP(-Examples!$F$9*$A236)*(1-(Examples!$F$12*(1-EXP(-Examples!$F$13*$A236))/(1+EXP(MIN(700,MAX(-700,(Examples!$F$14*$A236-Examples!$F$15)/Examples!$F$16))))))+Examples!$F$17*$A236^2)</f>
        <v>-14954.219965767945</v>
      </c>
      <c r="I236" s="33">
        <f>(Examples!$F$6*Examples!$F$7*Examples!$F$8*EXP(-Examples!$F$9*$A236)*(1-(Examples!$F$12*(1-EXP(-Examples!$F$13*$A236))/(1+EXP(MIN(700,MAX(-700,(Examples!$F$14*$A236-Examples!$F$15)/Examples!$F$16))))))+Examples!$F$17*$A236^2)</f>
        <v>118154.21996576794</v>
      </c>
      <c r="J236" s="33">
        <f>Examples!$G$18-(Examples!$G$10+Examples!$G$11)*$A236-(Examples!$G$6*Examples!$G$7*Examples!$G$8*EXP(-Examples!$G$9*$A236)*(1-(Examples!$G$12*(1-EXP(-Examples!$G$13*$A236))/(1+EXP(MIN(700,MAX(-700,(Examples!$G$14*$A236-Examples!$G$15)/Examples!$G$16))))))+Examples!$G$17*$A236^2)</f>
        <v>726529.48541046353</v>
      </c>
      <c r="K236" s="33">
        <f>(Examples!$G$6*Examples!$G$7*Examples!$G$8*EXP(-Examples!$G$9*$A236)*(1-(Examples!$G$12*(1-EXP(-Examples!$G$13*$A236))/(1+EXP(MIN(700,MAX(-700,(Examples!$G$14*$A236-Examples!$G$15)/Examples!$G$16))))))+Examples!$G$17*$A236^2)</f>
        <v>656470.51458953647</v>
      </c>
      <c r="L236" s="33">
        <f>Examples!$H$18-(Examples!$H$10+Examples!$H$11)*$A236-(Examples!$H$6*Examples!$H$7*Examples!$H$8*EXP(-Examples!$H$9*$A236)*(1-(Examples!$H$12*(1-EXP(-Examples!$H$13*$A236))/(1+EXP(MIN(700,MAX(-700,(Examples!$H$14*$A236-Examples!$H$15)/Examples!$H$16))))))+Examples!$H$17*$A236^2)</f>
        <v>761624.58119859535</v>
      </c>
      <c r="M236" s="33">
        <f>(Examples!$H$6*Examples!$H$7*Examples!$H$8*EXP(-Examples!$H$9*$A236)*(1-(Examples!$H$12*(1-EXP(-Examples!$H$13*$A236))/(1+EXP(MIN(700,MAX(-700,(Examples!$H$14*$A236-Examples!$H$15)/Examples!$H$16))))))+Examples!$H$17*$A236^2)</f>
        <v>621375.41880140465</v>
      </c>
    </row>
    <row r="237" spans="1:13" x14ac:dyDescent="0.25">
      <c r="A237">
        <f>(237-2)/100</f>
        <v>2.35</v>
      </c>
      <c r="B237" s="33">
        <f>Examples!$C$18-(Examples!$C$10+Examples!$C$11)*$A237-(Examples!$C$6*Examples!$C$7*Examples!$C$8*EXP(-Examples!$C$9*$A237)*(1-(Examples!$C$12*(1-EXP(-Examples!$C$13*$A237))/(1+EXP(MIN(700,MAX(-700,(Examples!$C$14*$A237-Examples!$C$15)/Examples!$C$16))))))+Examples!$C$17*$A237^2)</f>
        <v>148525.90310395282</v>
      </c>
      <c r="C237" s="33">
        <f>(Examples!$C$6*Examples!$C$7*Examples!$C$8*EXP(-Examples!$C$9*$A237)*(1-(Examples!$C$12*(1-EXP(-Examples!$C$13*$A237))/(1+EXP(MIN(700,MAX(-700,(Examples!$C$14*$A237-Examples!$C$15)/Examples!$C$16))))))+Examples!$C$17*$A237^2)</f>
        <v>369224.09689604718</v>
      </c>
      <c r="D237" s="33">
        <f>Examples!$D$18-(Examples!$D$10+Examples!$D$11)*$A237-(Examples!$D$6*Examples!$D$7*Examples!$D$8*EXP(-Examples!$D$9*$A237)*(1-(Examples!$D$12*(1-EXP(-Examples!$D$13*$A237))/(1+EXP(MIN(700,MAX(-700,(Examples!$D$14*$A237-Examples!$D$15)/Examples!$D$16))))))+Examples!$D$17*$A237^2)</f>
        <v>1305850.0567279251</v>
      </c>
      <c r="E237" s="33">
        <f>(Examples!$D$6*Examples!$D$7*Examples!$D$8*EXP(-Examples!$D$9*$A237)*(1-(Examples!$D$12*(1-EXP(-Examples!$D$13*$A237))/(1+EXP(MIN(700,MAX(-700,(Examples!$D$14*$A237-Examples!$D$15)/Examples!$D$16))))))+Examples!$D$17*$A237^2)</f>
        <v>1088399.9432720749</v>
      </c>
      <c r="F237" s="33">
        <f>Examples!$E$18-(Examples!$E$10+Examples!$E$11)*$A237-(Examples!$E$6*Examples!$E$7*Examples!$E$8*EXP(-Examples!$E$9*$A237)*(1-(Examples!$E$12*(1-EXP(-Examples!$E$13*$A237))/(1+EXP(MIN(700,MAX(-700,(Examples!$E$14*$A237-Examples!$E$15)/Examples!$E$16))))))+Examples!$E$17*$A237^2)</f>
        <v>2460521.0483906893</v>
      </c>
      <c r="G237" s="33">
        <f>(Examples!$E$6*Examples!$E$7*Examples!$E$8*EXP(-Examples!$E$9*$A237)*(1-(Examples!$E$12*(1-EXP(-Examples!$E$13*$A237))/(1+EXP(MIN(700,MAX(-700,(Examples!$E$14*$A237-Examples!$E$15)/Examples!$E$16))))))+Examples!$E$17*$A237^2)</f>
        <v>339728.95160931064</v>
      </c>
      <c r="H237" s="33">
        <f>Examples!$F$18-(Examples!$F$10+Examples!$F$11)*$A237-(Examples!$F$6*Examples!$F$7*Examples!$F$8*EXP(-Examples!$F$9*$A237)*(1-(Examples!$F$12*(1-EXP(-Examples!$F$13*$A237))/(1+EXP(MIN(700,MAX(-700,(Examples!$F$14*$A237-Examples!$F$15)/Examples!$F$16))))))+Examples!$F$17*$A237^2)</f>
        <v>-16067.424052064234</v>
      </c>
      <c r="I237" s="33">
        <f>(Examples!$F$6*Examples!$F$7*Examples!$F$8*EXP(-Examples!$F$9*$A237)*(1-(Examples!$F$12*(1-EXP(-Examples!$F$13*$A237))/(1+EXP(MIN(700,MAX(-700,(Examples!$F$14*$A237-Examples!$F$15)/Examples!$F$16))))))+Examples!$F$17*$A237^2)</f>
        <v>119067.42405206423</v>
      </c>
      <c r="J237" s="33">
        <f>Examples!$G$18-(Examples!$G$10+Examples!$G$11)*$A237-(Examples!$G$6*Examples!$G$7*Examples!$G$8*EXP(-Examples!$G$9*$A237)*(1-(Examples!$G$12*(1-EXP(-Examples!$G$13*$A237))/(1+EXP(MIN(700,MAX(-700,(Examples!$G$14*$A237-Examples!$G$15)/Examples!$G$16))))))+Examples!$G$17*$A237^2)</f>
        <v>726794.40315965679</v>
      </c>
      <c r="K237" s="33">
        <f>(Examples!$G$6*Examples!$G$7*Examples!$G$8*EXP(-Examples!$G$9*$A237)*(1-(Examples!$G$12*(1-EXP(-Examples!$G$13*$A237))/(1+EXP(MIN(700,MAX(-700,(Examples!$G$14*$A237-Examples!$G$15)/Examples!$G$16))))))+Examples!$G$17*$A237^2)</f>
        <v>655705.59684034321</v>
      </c>
      <c r="L237" s="33">
        <f>Examples!$H$18-(Examples!$H$10+Examples!$H$11)*$A237-(Examples!$H$6*Examples!$H$7*Examples!$H$8*EXP(-Examples!$H$9*$A237)*(1-(Examples!$H$12*(1-EXP(-Examples!$H$13*$A237))/(1+EXP(MIN(700,MAX(-700,(Examples!$H$14*$A237-Examples!$H$15)/Examples!$H$16))))))+Examples!$H$17*$A237^2)</f>
        <v>759790.54045058845</v>
      </c>
      <c r="M237" s="33">
        <f>(Examples!$H$6*Examples!$H$7*Examples!$H$8*EXP(-Examples!$H$9*$A237)*(1-(Examples!$H$12*(1-EXP(-Examples!$H$13*$A237))/(1+EXP(MIN(700,MAX(-700,(Examples!$H$14*$A237-Examples!$H$15)/Examples!$H$16))))))+Examples!$H$17*$A237^2)</f>
        <v>622709.45954941155</v>
      </c>
    </row>
    <row r="238" spans="1:13" x14ac:dyDescent="0.25">
      <c r="A238">
        <f>(238-2)/100</f>
        <v>2.36</v>
      </c>
      <c r="B238" s="33">
        <f>Examples!$C$18-(Examples!$C$10+Examples!$C$11)*$A238-(Examples!$C$6*Examples!$C$7*Examples!$C$8*EXP(-Examples!$C$9*$A238)*(1-(Examples!$C$12*(1-EXP(-Examples!$C$13*$A238))/(1+EXP(MIN(700,MAX(-700,(Examples!$C$14*$A238-Examples!$C$15)/Examples!$C$16))))))+Examples!$C$17*$A238^2)</f>
        <v>148052.51436642016</v>
      </c>
      <c r="C238" s="33">
        <f>(Examples!$C$6*Examples!$C$7*Examples!$C$8*EXP(-Examples!$C$9*$A238)*(1-(Examples!$C$12*(1-EXP(-Examples!$C$13*$A238))/(1+EXP(MIN(700,MAX(-700,(Examples!$C$14*$A238-Examples!$C$15)/Examples!$C$16))))))+Examples!$C$17*$A238^2)</f>
        <v>369347.48563357984</v>
      </c>
      <c r="D238" s="33">
        <f>Examples!$D$18-(Examples!$D$10+Examples!$D$11)*$A238-(Examples!$D$6*Examples!$D$7*Examples!$D$8*EXP(-Examples!$D$9*$A238)*(1-(Examples!$D$12*(1-EXP(-Examples!$D$13*$A238))/(1+EXP(MIN(700,MAX(-700,(Examples!$D$14*$A238-Examples!$D$15)/Examples!$D$16))))))+Examples!$D$17*$A238^2)</f>
        <v>1310064.1737244923</v>
      </c>
      <c r="E238" s="33">
        <f>(Examples!$D$6*Examples!$D$7*Examples!$D$8*EXP(-Examples!$D$9*$A238)*(1-(Examples!$D$12*(1-EXP(-Examples!$D$13*$A238))/(1+EXP(MIN(700,MAX(-700,(Examples!$D$14*$A238-Examples!$D$15)/Examples!$D$16))))))+Examples!$D$17*$A238^2)</f>
        <v>1083735.8262755077</v>
      </c>
      <c r="F238" s="33">
        <f>Examples!$E$18-(Examples!$E$10+Examples!$E$11)*$A238-(Examples!$E$6*Examples!$E$7*Examples!$E$8*EXP(-Examples!$E$9*$A238)*(1-(Examples!$E$12*(1-EXP(-Examples!$E$13*$A238))/(1+EXP(MIN(700,MAX(-700,(Examples!$E$14*$A238-Examples!$E$15)/Examples!$E$16))))))+Examples!$E$17*$A238^2)</f>
        <v>2461551.5175938755</v>
      </c>
      <c r="G238" s="33">
        <f>(Examples!$E$6*Examples!$E$7*Examples!$E$8*EXP(-Examples!$E$9*$A238)*(1-(Examples!$E$12*(1-EXP(-Examples!$E$13*$A238))/(1+EXP(MIN(700,MAX(-700,(Examples!$E$14*$A238-Examples!$E$15)/Examples!$E$16))))))+Examples!$E$17*$A238^2)</f>
        <v>337848.4824061243</v>
      </c>
      <c r="H238" s="33">
        <f>Examples!$F$18-(Examples!$F$10+Examples!$F$11)*$A238-(Examples!$F$6*Examples!$F$7*Examples!$F$8*EXP(-Examples!$F$9*$A238)*(1-(Examples!$F$12*(1-EXP(-Examples!$F$13*$A238))/(1+EXP(MIN(700,MAX(-700,(Examples!$F$14*$A238-Examples!$F$15)/Examples!$F$16))))))+Examples!$F$17*$A238^2)</f>
        <v>-17184.661501242401</v>
      </c>
      <c r="I238" s="33">
        <f>(Examples!$F$6*Examples!$F$7*Examples!$F$8*EXP(-Examples!$F$9*$A238)*(1-(Examples!$F$12*(1-EXP(-Examples!$F$13*$A238))/(1+EXP(MIN(700,MAX(-700,(Examples!$F$14*$A238-Examples!$F$15)/Examples!$F$16))))))+Examples!$F$17*$A238^2)</f>
        <v>119984.6615012424</v>
      </c>
      <c r="J238" s="33">
        <f>Examples!$G$18-(Examples!$G$10+Examples!$G$11)*$A238-(Examples!$G$6*Examples!$G$7*Examples!$G$8*EXP(-Examples!$G$9*$A238)*(1-(Examples!$G$12*(1-EXP(-Examples!$G$13*$A238))/(1+EXP(MIN(700,MAX(-700,(Examples!$G$14*$A238-Examples!$G$15)/Examples!$G$16))))))+Examples!$G$17*$A238^2)</f>
        <v>727044.99722223403</v>
      </c>
      <c r="K238" s="33">
        <f>(Examples!$G$6*Examples!$G$7*Examples!$G$8*EXP(-Examples!$G$9*$A238)*(1-(Examples!$G$12*(1-EXP(-Examples!$G$13*$A238))/(1+EXP(MIN(700,MAX(-700,(Examples!$G$14*$A238-Examples!$G$15)/Examples!$G$16))))))+Examples!$G$17*$A238^2)</f>
        <v>654955.00277776597</v>
      </c>
      <c r="L238" s="33">
        <f>Examples!$H$18-(Examples!$H$10+Examples!$H$11)*$A238-(Examples!$H$6*Examples!$H$7*Examples!$H$8*EXP(-Examples!$H$9*$A238)*(1-(Examples!$H$12*(1-EXP(-Examples!$H$13*$A238))/(1+EXP(MIN(700,MAX(-700,(Examples!$H$14*$A238-Examples!$H$15)/Examples!$H$16))))))+Examples!$H$17*$A238^2)</f>
        <v>757921.39980254986</v>
      </c>
      <c r="M238" s="33">
        <f>(Examples!$H$6*Examples!$H$7*Examples!$H$8*EXP(-Examples!$H$9*$A238)*(1-(Examples!$H$12*(1-EXP(-Examples!$H$13*$A238))/(1+EXP(MIN(700,MAX(-700,(Examples!$H$14*$A238-Examples!$H$15)/Examples!$H$16))))))+Examples!$H$17*$A238^2)</f>
        <v>624078.60019745014</v>
      </c>
    </row>
    <row r="239" spans="1:13" x14ac:dyDescent="0.25">
      <c r="A239">
        <f>(239-2)/100</f>
        <v>2.37</v>
      </c>
      <c r="B239" s="33">
        <f>Examples!$C$18-(Examples!$C$10+Examples!$C$11)*$A239-(Examples!$C$6*Examples!$C$7*Examples!$C$8*EXP(-Examples!$C$9*$A239)*(1-(Examples!$C$12*(1-EXP(-Examples!$C$13*$A239))/(1+EXP(MIN(700,MAX(-700,(Examples!$C$14*$A239-Examples!$C$15)/Examples!$C$16))))))+Examples!$C$17*$A239^2)</f>
        <v>147581.67015528848</v>
      </c>
      <c r="C239" s="33">
        <f>(Examples!$C$6*Examples!$C$7*Examples!$C$8*EXP(-Examples!$C$9*$A239)*(1-(Examples!$C$12*(1-EXP(-Examples!$C$13*$A239))/(1+EXP(MIN(700,MAX(-700,(Examples!$C$14*$A239-Examples!$C$15)/Examples!$C$16))))))+Examples!$C$17*$A239^2)</f>
        <v>369468.32984471152</v>
      </c>
      <c r="D239" s="33">
        <f>Examples!$D$18-(Examples!$D$10+Examples!$D$11)*$A239-(Examples!$D$6*Examples!$D$7*Examples!$D$8*EXP(-Examples!$D$9*$A239)*(1-(Examples!$D$12*(1-EXP(-Examples!$D$13*$A239))/(1+EXP(MIN(700,MAX(-700,(Examples!$D$14*$A239-Examples!$D$15)/Examples!$D$16))))))+Examples!$D$17*$A239^2)</f>
        <v>1314218.1269255534</v>
      </c>
      <c r="E239" s="33">
        <f>(Examples!$D$6*Examples!$D$7*Examples!$D$8*EXP(-Examples!$D$9*$A239)*(1-(Examples!$D$12*(1-EXP(-Examples!$D$13*$A239))/(1+EXP(MIN(700,MAX(-700,(Examples!$D$14*$A239-Examples!$D$15)/Examples!$D$16))))))+Examples!$D$17*$A239^2)</f>
        <v>1079131.8730744466</v>
      </c>
      <c r="F239" s="33">
        <f>Examples!$E$18-(Examples!$E$10+Examples!$E$11)*$A239-(Examples!$E$6*Examples!$E$7*Examples!$E$8*EXP(-Examples!$E$9*$A239)*(1-(Examples!$E$12*(1-EXP(-Examples!$E$13*$A239))/(1+EXP(MIN(700,MAX(-700,(Examples!$E$14*$A239-Examples!$E$15)/Examples!$E$16))))))+Examples!$E$17*$A239^2)</f>
        <v>2462559.1885468247</v>
      </c>
      <c r="G239" s="33">
        <f>(Examples!$E$6*Examples!$E$7*Examples!$E$8*EXP(-Examples!$E$9*$A239)*(1-(Examples!$E$12*(1-EXP(-Examples!$E$13*$A239))/(1+EXP(MIN(700,MAX(-700,(Examples!$E$14*$A239-Examples!$E$15)/Examples!$E$16))))))+Examples!$E$17*$A239^2)</f>
        <v>335990.81145317544</v>
      </c>
      <c r="H239" s="33">
        <f>Examples!$F$18-(Examples!$F$10+Examples!$F$11)*$A239-(Examples!$F$6*Examples!$F$7*Examples!$F$8*EXP(-Examples!$F$9*$A239)*(1-(Examples!$F$12*(1-EXP(-Examples!$F$13*$A239))/(1+EXP(MIN(700,MAX(-700,(Examples!$F$14*$A239-Examples!$F$15)/Examples!$F$16))))))+Examples!$F$17*$A239^2)</f>
        <v>-18305.933668979647</v>
      </c>
      <c r="I239" s="33">
        <f>(Examples!$F$6*Examples!$F$7*Examples!$F$8*EXP(-Examples!$F$9*$A239)*(1-(Examples!$F$12*(1-EXP(-Examples!$F$13*$A239))/(1+EXP(MIN(700,MAX(-700,(Examples!$F$14*$A239-Examples!$F$15)/Examples!$F$16))))))+Examples!$F$17*$A239^2)</f>
        <v>120905.93366897965</v>
      </c>
      <c r="J239" s="33">
        <f>Examples!$G$18-(Examples!$G$10+Examples!$G$11)*$A239-(Examples!$G$6*Examples!$G$7*Examples!$G$8*EXP(-Examples!$G$9*$A239)*(1-(Examples!$G$12*(1-EXP(-Examples!$G$13*$A239))/(1+EXP(MIN(700,MAX(-700,(Examples!$G$14*$A239-Examples!$G$15)/Examples!$G$16))))))+Examples!$G$17*$A239^2)</f>
        <v>727281.57747250795</v>
      </c>
      <c r="K239" s="33">
        <f>(Examples!$G$6*Examples!$G$7*Examples!$G$8*EXP(-Examples!$G$9*$A239)*(1-(Examples!$G$12*(1-EXP(-Examples!$G$13*$A239))/(1+EXP(MIN(700,MAX(-700,(Examples!$G$14*$A239-Examples!$G$15)/Examples!$G$16))))))+Examples!$G$17*$A239^2)</f>
        <v>654218.42252749205</v>
      </c>
      <c r="L239" s="33">
        <f>Examples!$H$18-(Examples!$H$10+Examples!$H$11)*$A239-(Examples!$H$6*Examples!$H$7*Examples!$H$8*EXP(-Examples!$H$9*$A239)*(1-(Examples!$H$12*(1-EXP(-Examples!$H$13*$A239))/(1+EXP(MIN(700,MAX(-700,(Examples!$H$14*$A239-Examples!$H$15)/Examples!$H$16))))))+Examples!$H$17*$A239^2)</f>
        <v>756019.11356236786</v>
      </c>
      <c r="M239" s="33">
        <f>(Examples!$H$6*Examples!$H$7*Examples!$H$8*EXP(-Examples!$H$9*$A239)*(1-(Examples!$H$12*(1-EXP(-Examples!$H$13*$A239))/(1+EXP(MIN(700,MAX(-700,(Examples!$H$14*$A239-Examples!$H$15)/Examples!$H$16))))))+Examples!$H$17*$A239^2)</f>
        <v>625480.88643763214</v>
      </c>
    </row>
    <row r="240" spans="1:13" x14ac:dyDescent="0.25">
      <c r="A240">
        <f>(240-2)/100</f>
        <v>2.38</v>
      </c>
      <c r="B240" s="33">
        <f>Examples!$C$18-(Examples!$C$10+Examples!$C$11)*$A240-(Examples!$C$6*Examples!$C$7*Examples!$C$8*EXP(-Examples!$C$9*$A240)*(1-(Examples!$C$12*(1-EXP(-Examples!$C$13*$A240))/(1+EXP(MIN(700,MAX(-700,(Examples!$C$14*$A240-Examples!$C$15)/Examples!$C$16))))))+Examples!$C$17*$A240^2)</f>
        <v>147113.21641105699</v>
      </c>
      <c r="C240" s="33">
        <f>(Examples!$C$6*Examples!$C$7*Examples!$C$8*EXP(-Examples!$C$9*$A240)*(1-(Examples!$C$12*(1-EXP(-Examples!$C$13*$A240))/(1+EXP(MIN(700,MAX(-700,(Examples!$C$14*$A240-Examples!$C$15)/Examples!$C$16))))))+Examples!$C$17*$A240^2)</f>
        <v>369586.78358894301</v>
      </c>
      <c r="D240" s="33">
        <f>Examples!$D$18-(Examples!$D$10+Examples!$D$11)*$A240-(Examples!$D$6*Examples!$D$7*Examples!$D$8*EXP(-Examples!$D$9*$A240)*(1-(Examples!$D$12*(1-EXP(-Examples!$D$13*$A240))/(1+EXP(MIN(700,MAX(-700,(Examples!$D$14*$A240-Examples!$D$15)/Examples!$D$16))))))+Examples!$D$17*$A240^2)</f>
        <v>1318312.447755924</v>
      </c>
      <c r="E240" s="33">
        <f>(Examples!$D$6*Examples!$D$7*Examples!$D$8*EXP(-Examples!$D$9*$A240)*(1-(Examples!$D$12*(1-EXP(-Examples!$D$13*$A240))/(1+EXP(MIN(700,MAX(-700,(Examples!$D$14*$A240-Examples!$D$15)/Examples!$D$16))))))+Examples!$D$17*$A240^2)</f>
        <v>1074587.552244076</v>
      </c>
      <c r="F240" s="33">
        <f>Examples!$E$18-(Examples!$E$10+Examples!$E$11)*$A240-(Examples!$E$6*Examples!$E$7*Examples!$E$8*EXP(-Examples!$E$9*$A240)*(1-(Examples!$E$12*(1-EXP(-Examples!$E$13*$A240))/(1+EXP(MIN(700,MAX(-700,(Examples!$E$14*$A240-Examples!$E$15)/Examples!$E$16))))))+Examples!$E$17*$A240^2)</f>
        <v>2463544.3132358878</v>
      </c>
      <c r="G240" s="33">
        <f>(Examples!$E$6*Examples!$E$7*Examples!$E$8*EXP(-Examples!$E$9*$A240)*(1-(Examples!$E$12*(1-EXP(-Examples!$E$13*$A240))/(1+EXP(MIN(700,MAX(-700,(Examples!$E$14*$A240-Examples!$E$15)/Examples!$E$16))))))+Examples!$E$17*$A240^2)</f>
        <v>334155.68676411203</v>
      </c>
      <c r="H240" s="33">
        <f>Examples!$F$18-(Examples!$F$10+Examples!$F$11)*$A240-(Examples!$F$6*Examples!$F$7*Examples!$F$8*EXP(-Examples!$F$9*$A240)*(1-(Examples!$F$12*(1-EXP(-Examples!$F$13*$A240))/(1+EXP(MIN(700,MAX(-700,(Examples!$F$14*$A240-Examples!$F$15)/Examples!$F$16))))))+Examples!$F$17*$A240^2)</f>
        <v>-19431.241860424983</v>
      </c>
      <c r="I240" s="33">
        <f>(Examples!$F$6*Examples!$F$7*Examples!$F$8*EXP(-Examples!$F$9*$A240)*(1-(Examples!$F$12*(1-EXP(-Examples!$F$13*$A240))/(1+EXP(MIN(700,MAX(-700,(Examples!$F$14*$A240-Examples!$F$15)/Examples!$F$16))))))+Examples!$F$17*$A240^2)</f>
        <v>121831.24186042498</v>
      </c>
      <c r="J240" s="33">
        <f>Examples!$G$18-(Examples!$G$10+Examples!$G$11)*$A240-(Examples!$G$6*Examples!$G$7*Examples!$G$8*EXP(-Examples!$G$9*$A240)*(1-(Examples!$G$12*(1-EXP(-Examples!$G$13*$A240))/(1+EXP(MIN(700,MAX(-700,(Examples!$G$14*$A240-Examples!$G$15)/Examples!$G$16))))))+Examples!$G$17*$A240^2)</f>
        <v>727504.45190433552</v>
      </c>
      <c r="K240" s="33">
        <f>(Examples!$G$6*Examples!$G$7*Examples!$G$8*EXP(-Examples!$G$9*$A240)*(1-(Examples!$G$12*(1-EXP(-Examples!$G$13*$A240))/(1+EXP(MIN(700,MAX(-700,(Examples!$G$14*$A240-Examples!$G$15)/Examples!$G$16))))))+Examples!$G$17*$A240^2)</f>
        <v>653495.54809566448</v>
      </c>
      <c r="L240" s="33">
        <f>Examples!$H$18-(Examples!$H$10+Examples!$H$11)*$A240-(Examples!$H$6*Examples!$H$7*Examples!$H$8*EXP(-Examples!$H$9*$A240)*(1-(Examples!$H$12*(1-EXP(-Examples!$H$13*$A240))/(1+EXP(MIN(700,MAX(-700,(Examples!$H$14*$A240-Examples!$H$15)/Examples!$H$16))))))+Examples!$H$17*$A240^2)</f>
        <v>754085.67555158504</v>
      </c>
      <c r="M240" s="33">
        <f>(Examples!$H$6*Examples!$H$7*Examples!$H$8*EXP(-Examples!$H$9*$A240)*(1-(Examples!$H$12*(1-EXP(-Examples!$H$13*$A240))/(1+EXP(MIN(700,MAX(-700,(Examples!$H$14*$A240-Examples!$H$15)/Examples!$H$16))))))+Examples!$H$17*$A240^2)</f>
        <v>626914.32444841496</v>
      </c>
    </row>
    <row r="241" spans="1:13" x14ac:dyDescent="0.25">
      <c r="A241">
        <f>(241-2)/100</f>
        <v>2.39</v>
      </c>
      <c r="B241" s="33">
        <f>Examples!$C$18-(Examples!$C$10+Examples!$C$11)*$A241-(Examples!$C$6*Examples!$C$7*Examples!$C$8*EXP(-Examples!$C$9*$A241)*(1-(Examples!$C$12*(1-EXP(-Examples!$C$13*$A241))/(1+EXP(MIN(700,MAX(-700,(Examples!$C$14*$A241-Examples!$C$15)/Examples!$C$16))))))+Examples!$C$17*$A241^2)</f>
        <v>146646.99874074169</v>
      </c>
      <c r="C241" s="33">
        <f>(Examples!$C$6*Examples!$C$7*Examples!$C$8*EXP(-Examples!$C$9*$A241)*(1-(Examples!$C$12*(1-EXP(-Examples!$C$13*$A241))/(1+EXP(MIN(700,MAX(-700,(Examples!$C$14*$A241-Examples!$C$15)/Examples!$C$16))))))+Examples!$C$17*$A241^2)</f>
        <v>369703.00125925831</v>
      </c>
      <c r="D241" s="33">
        <f>Examples!$D$18-(Examples!$D$10+Examples!$D$11)*$A241-(Examples!$D$6*Examples!$D$7*Examples!$D$8*EXP(-Examples!$D$9*$A241)*(1-(Examples!$D$12*(1-EXP(-Examples!$D$13*$A241))/(1+EXP(MIN(700,MAX(-700,(Examples!$D$14*$A241-Examples!$D$15)/Examples!$D$16))))))+Examples!$D$17*$A241^2)</f>
        <v>1322347.6648132305</v>
      </c>
      <c r="E241" s="33">
        <f>(Examples!$D$6*Examples!$D$7*Examples!$D$8*EXP(-Examples!$D$9*$A241)*(1-(Examples!$D$12*(1-EXP(-Examples!$D$13*$A241))/(1+EXP(MIN(700,MAX(-700,(Examples!$D$14*$A241-Examples!$D$15)/Examples!$D$16))))))+Examples!$D$17*$A241^2)</f>
        <v>1070102.3351867695</v>
      </c>
      <c r="F241" s="33">
        <f>Examples!$E$18-(Examples!$E$10+Examples!$E$11)*$A241-(Examples!$E$6*Examples!$E$7*Examples!$E$8*EXP(-Examples!$E$9*$A241)*(1-(Examples!$E$12*(1-EXP(-Examples!$E$13*$A241))/(1+EXP(MIN(700,MAX(-700,(Examples!$E$14*$A241-Examples!$E$15)/Examples!$E$16))))))+Examples!$E$17*$A241^2)</f>
        <v>2464507.1408466464</v>
      </c>
      <c r="G241" s="33">
        <f>(Examples!$E$6*Examples!$E$7*Examples!$E$8*EXP(-Examples!$E$9*$A241)*(1-(Examples!$E$12*(1-EXP(-Examples!$E$13*$A241))/(1+EXP(MIN(700,MAX(-700,(Examples!$E$14*$A241-Examples!$E$15)/Examples!$E$16))))))+Examples!$E$17*$A241^2)</f>
        <v>332342.85915335349</v>
      </c>
      <c r="H241" s="33">
        <f>Examples!$F$18-(Examples!$F$10+Examples!$F$11)*$A241-(Examples!$F$6*Examples!$F$7*Examples!$F$8*EXP(-Examples!$F$9*$A241)*(1-(Examples!$F$12*(1-EXP(-Examples!$F$13*$A241))/(1+EXP(MIN(700,MAX(-700,(Examples!$F$14*$A241-Examples!$F$15)/Examples!$F$16))))))+Examples!$F$17*$A241^2)</f>
        <v>-20560.587331448085</v>
      </c>
      <c r="I241" s="33">
        <f>(Examples!$F$6*Examples!$F$7*Examples!$F$8*EXP(-Examples!$F$9*$A241)*(1-(Examples!$F$12*(1-EXP(-Examples!$F$13*$A241))/(1+EXP(MIN(700,MAX(-700,(Examples!$F$14*$A241-Examples!$F$15)/Examples!$F$16))))))+Examples!$F$17*$A241^2)</f>
        <v>122760.58733144809</v>
      </c>
      <c r="J241" s="33">
        <f>Examples!$G$18-(Examples!$G$10+Examples!$G$11)*$A241-(Examples!$G$6*Examples!$G$7*Examples!$G$8*EXP(-Examples!$G$9*$A241)*(1-(Examples!$G$12*(1-EXP(-Examples!$G$13*$A241))/(1+EXP(MIN(700,MAX(-700,(Examples!$G$14*$A241-Examples!$G$15)/Examples!$G$16))))))+Examples!$G$17*$A241^2)</f>
        <v>727713.92657747981</v>
      </c>
      <c r="K241" s="33">
        <f>(Examples!$G$6*Examples!$G$7*Examples!$G$8*EXP(-Examples!$G$9*$A241)*(1-(Examples!$G$12*(1-EXP(-Examples!$G$13*$A241))/(1+EXP(MIN(700,MAX(-700,(Examples!$G$14*$A241-Examples!$G$15)/Examples!$G$16))))))+Examples!$G$17*$A241^2)</f>
        <v>652786.07342252019</v>
      </c>
      <c r="L241" s="33">
        <f>Examples!$H$18-(Examples!$H$10+Examples!$H$11)*$A241-(Examples!$H$6*Examples!$H$7*Examples!$H$8*EXP(-Examples!$H$9*$A241)*(1-(Examples!$H$12*(1-EXP(-Examples!$H$13*$A241))/(1+EXP(MIN(700,MAX(-700,(Examples!$H$14*$A241-Examples!$H$15)/Examples!$H$16))))))+Examples!$H$17*$A241^2)</f>
        <v>752123.11592954409</v>
      </c>
      <c r="M241" s="33">
        <f>(Examples!$H$6*Examples!$H$7*Examples!$H$8*EXP(-Examples!$H$9*$A241)*(1-(Examples!$H$12*(1-EXP(-Examples!$H$13*$A241))/(1+EXP(MIN(700,MAX(-700,(Examples!$H$14*$A241-Examples!$H$15)/Examples!$H$16))))))+Examples!$H$17*$A241^2)</f>
        <v>628376.88407045591</v>
      </c>
    </row>
    <row r="242" spans="1:13" x14ac:dyDescent="0.25">
      <c r="A242">
        <f>(242-2)/100</f>
        <v>2.4</v>
      </c>
      <c r="B242" s="33">
        <f>Examples!$C$18-(Examples!$C$10+Examples!$C$11)*$A242-(Examples!$C$6*Examples!$C$7*Examples!$C$8*EXP(-Examples!$C$9*$A242)*(1-(Examples!$C$12*(1-EXP(-Examples!$C$13*$A242))/(1+EXP(MIN(700,MAX(-700,(Examples!$C$14*$A242-Examples!$C$15)/Examples!$C$16))))))+Examples!$C$17*$A242^2)</f>
        <v>146182.86267648608</v>
      </c>
      <c r="C242" s="33">
        <f>(Examples!$C$6*Examples!$C$7*Examples!$C$8*EXP(-Examples!$C$9*$A242)*(1-(Examples!$C$12*(1-EXP(-Examples!$C$13*$A242))/(1+EXP(MIN(700,MAX(-700,(Examples!$C$14*$A242-Examples!$C$15)/Examples!$C$16))))))+Examples!$C$17*$A242^2)</f>
        <v>369817.13732351392</v>
      </c>
      <c r="D242" s="33">
        <f>Examples!$D$18-(Examples!$D$10+Examples!$D$11)*$A242-(Examples!$D$6*Examples!$D$7*Examples!$D$8*EXP(-Examples!$D$9*$A242)*(1-(Examples!$D$12*(1-EXP(-Examples!$D$13*$A242))/(1+EXP(MIN(700,MAX(-700,(Examples!$D$14*$A242-Examples!$D$15)/Examples!$D$16))))))+Examples!$D$17*$A242^2)</f>
        <v>1326324.3039379357</v>
      </c>
      <c r="E242" s="33">
        <f>(Examples!$D$6*Examples!$D$7*Examples!$D$8*EXP(-Examples!$D$9*$A242)*(1-(Examples!$D$12*(1-EXP(-Examples!$D$13*$A242))/(1+EXP(MIN(700,MAX(-700,(Examples!$D$14*$A242-Examples!$D$15)/Examples!$D$16))))))+Examples!$D$17*$A242^2)</f>
        <v>1065675.6960620643</v>
      </c>
      <c r="F242" s="33">
        <f>Examples!$E$18-(Examples!$E$10+Examples!$E$11)*$A242-(Examples!$E$6*Examples!$E$7*Examples!$E$8*EXP(-Examples!$E$9*$A242)*(1-(Examples!$E$12*(1-EXP(-Examples!$E$13*$A242))/(1+EXP(MIN(700,MAX(-700,(Examples!$E$14*$A242-Examples!$E$15)/Examples!$E$16))))))+Examples!$E$17*$A242^2)</f>
        <v>2465447.9177973182</v>
      </c>
      <c r="G242" s="33">
        <f>(Examples!$E$6*Examples!$E$7*Examples!$E$8*EXP(-Examples!$E$9*$A242)*(1-(Examples!$E$12*(1-EXP(-Examples!$E$13*$A242))/(1+EXP(MIN(700,MAX(-700,(Examples!$E$14*$A242-Examples!$E$15)/Examples!$E$16))))))+Examples!$E$17*$A242^2)</f>
        <v>330552.08220268186</v>
      </c>
      <c r="H242" s="33">
        <f>Examples!$F$18-(Examples!$F$10+Examples!$F$11)*$A242-(Examples!$F$6*Examples!$F$7*Examples!$F$8*EXP(-Examples!$F$9*$A242)*(1-(Examples!$F$12*(1-EXP(-Examples!$F$13*$A242))/(1+EXP(MIN(700,MAX(-700,(Examples!$F$14*$A242-Examples!$F$15)/Examples!$F$16))))))+Examples!$F$17*$A242^2)</f>
        <v>-21693.971289888999</v>
      </c>
      <c r="I242" s="33">
        <f>(Examples!$F$6*Examples!$F$7*Examples!$F$8*EXP(-Examples!$F$9*$A242)*(1-(Examples!$F$12*(1-EXP(-Examples!$F$13*$A242))/(1+EXP(MIN(700,MAX(-700,(Examples!$F$14*$A242-Examples!$F$15)/Examples!$F$16))))))+Examples!$F$17*$A242^2)</f>
        <v>123693.971289889</v>
      </c>
      <c r="J242" s="33">
        <f>Examples!$G$18-(Examples!$G$10+Examples!$G$11)*$A242-(Examples!$G$6*Examples!$G$7*Examples!$G$8*EXP(-Examples!$G$9*$A242)*(1-(Examples!$G$12*(1-EXP(-Examples!$G$13*$A242))/(1+EXP(MIN(700,MAX(-700,(Examples!$G$14*$A242-Examples!$G$15)/Examples!$G$16))))))+Examples!$G$17*$A242^2)</f>
        <v>727910.30556413415</v>
      </c>
      <c r="K242" s="33">
        <f>(Examples!$G$6*Examples!$G$7*Examples!$G$8*EXP(-Examples!$G$9*$A242)*(1-(Examples!$G$12*(1-EXP(-Examples!$G$13*$A242))/(1+EXP(MIN(700,MAX(-700,(Examples!$G$14*$A242-Examples!$G$15)/Examples!$G$16))))))+Examples!$G$17*$A242^2)</f>
        <v>652089.69443586585</v>
      </c>
      <c r="L242" s="33">
        <f>Examples!$H$18-(Examples!$H$10+Examples!$H$11)*$A242-(Examples!$H$6*Examples!$H$7*Examples!$H$8*EXP(-Examples!$H$9*$A242)*(1-(Examples!$H$12*(1-EXP(-Examples!$H$13*$A242))/(1+EXP(MIN(700,MAX(-700,(Examples!$H$14*$A242-Examples!$H$15)/Examples!$H$16))))))+Examples!$H$17*$A242^2)</f>
        <v>750133.49785029923</v>
      </c>
      <c r="M242" s="33">
        <f>(Examples!$H$6*Examples!$H$7*Examples!$H$8*EXP(-Examples!$H$9*$A242)*(1-(Examples!$H$12*(1-EXP(-Examples!$H$13*$A242))/(1+EXP(MIN(700,MAX(-700,(Examples!$H$14*$A242-Examples!$H$15)/Examples!$H$16))))))+Examples!$H$17*$A242^2)</f>
        <v>629866.50214970077</v>
      </c>
    </row>
    <row r="243" spans="1:13" x14ac:dyDescent="0.25">
      <c r="A243">
        <f>(243-2)/100</f>
        <v>2.41</v>
      </c>
      <c r="B243" s="33">
        <f>Examples!$C$18-(Examples!$C$10+Examples!$C$11)*$A243-(Examples!$C$6*Examples!$C$7*Examples!$C$8*EXP(-Examples!$C$9*$A243)*(1-(Examples!$C$12*(1-EXP(-Examples!$C$13*$A243))/(1+EXP(MIN(700,MAX(-700,(Examples!$C$14*$A243-Examples!$C$15)/Examples!$C$16))))))+Examples!$C$17*$A243^2)</f>
        <v>145720.65391842526</v>
      </c>
      <c r="C243" s="33">
        <f>(Examples!$C$6*Examples!$C$7*Examples!$C$8*EXP(-Examples!$C$9*$A243)*(1-(Examples!$C$12*(1-EXP(-Examples!$C$13*$A243))/(1+EXP(MIN(700,MAX(-700,(Examples!$C$14*$A243-Examples!$C$15)/Examples!$C$16))))))+Examples!$C$17*$A243^2)</f>
        <v>369929.34608157474</v>
      </c>
      <c r="D243" s="33">
        <f>Examples!$D$18-(Examples!$D$10+Examples!$D$11)*$A243-(Examples!$D$6*Examples!$D$7*Examples!$D$8*EXP(-Examples!$D$9*$A243)*(1-(Examples!$D$12*(1-EXP(-Examples!$D$13*$A243))/(1+EXP(MIN(700,MAX(-700,(Examples!$D$14*$A243-Examples!$D$15)/Examples!$D$16))))))+Examples!$D$17*$A243^2)</f>
        <v>1330242.8882825479</v>
      </c>
      <c r="E243" s="33">
        <f>(Examples!$D$6*Examples!$D$7*Examples!$D$8*EXP(-Examples!$D$9*$A243)*(1-(Examples!$D$12*(1-EXP(-Examples!$D$13*$A243))/(1+EXP(MIN(700,MAX(-700,(Examples!$D$14*$A243-Examples!$D$15)/Examples!$D$16))))))+Examples!$D$17*$A243^2)</f>
        <v>1061307.1117174521</v>
      </c>
      <c r="F243" s="33">
        <f>Examples!$E$18-(Examples!$E$10+Examples!$E$11)*$A243-(Examples!$E$6*Examples!$E$7*Examples!$E$8*EXP(-Examples!$E$9*$A243)*(1-(Examples!$E$12*(1-EXP(-Examples!$E$13*$A243))/(1+EXP(MIN(700,MAX(-700,(Examples!$E$14*$A243-Examples!$E$15)/Examples!$E$16))))))+Examples!$E$17*$A243^2)</f>
        <v>2466366.8877717694</v>
      </c>
      <c r="G243" s="33">
        <f>(Examples!$E$6*Examples!$E$7*Examples!$E$8*EXP(-Examples!$E$9*$A243)*(1-(Examples!$E$12*(1-EXP(-Examples!$E$13*$A243))/(1+EXP(MIN(700,MAX(-700,(Examples!$E$14*$A243-Examples!$E$15)/Examples!$E$16))))))+Examples!$E$17*$A243^2)</f>
        <v>328783.11222823069</v>
      </c>
      <c r="H243" s="33">
        <f>Examples!$F$18-(Examples!$F$10+Examples!$F$11)*$A243-(Examples!$F$6*Examples!$F$7*Examples!$F$8*EXP(-Examples!$F$9*$A243)*(1-(Examples!$F$12*(1-EXP(-Examples!$F$13*$A243))/(1+EXP(MIN(700,MAX(-700,(Examples!$F$14*$A243-Examples!$F$15)/Examples!$F$16))))))+Examples!$F$17*$A243^2)</f>
        <v>-22831.394896805839</v>
      </c>
      <c r="I243" s="33">
        <f>(Examples!$F$6*Examples!$F$7*Examples!$F$8*EXP(-Examples!$F$9*$A243)*(1-(Examples!$F$12*(1-EXP(-Examples!$F$13*$A243))/(1+EXP(MIN(700,MAX(-700,(Examples!$F$14*$A243-Examples!$F$15)/Examples!$F$16))))))+Examples!$F$17*$A243^2)</f>
        <v>124631.39489680584</v>
      </c>
      <c r="J243" s="33">
        <f>Examples!$G$18-(Examples!$G$10+Examples!$G$11)*$A243-(Examples!$G$6*Examples!$G$7*Examples!$G$8*EXP(-Examples!$G$9*$A243)*(1-(Examples!$G$12*(1-EXP(-Examples!$G$13*$A243))/(1+EXP(MIN(700,MAX(-700,(Examples!$G$14*$A243-Examples!$G$15)/Examples!$G$16))))))+Examples!$G$17*$A243^2)</f>
        <v>728093.89089566155</v>
      </c>
      <c r="K243" s="33">
        <f>(Examples!$G$6*Examples!$G$7*Examples!$G$8*EXP(-Examples!$G$9*$A243)*(1-(Examples!$G$12*(1-EXP(-Examples!$G$13*$A243))/(1+EXP(MIN(700,MAX(-700,(Examples!$G$14*$A243-Examples!$G$15)/Examples!$G$16))))))+Examples!$G$17*$A243^2)</f>
        <v>651406.10910433845</v>
      </c>
      <c r="L243" s="33">
        <f>Examples!$H$18-(Examples!$H$10+Examples!$H$11)*$A243-(Examples!$H$6*Examples!$H$7*Examples!$H$8*EXP(-Examples!$H$9*$A243)*(1-(Examples!$H$12*(1-EXP(-Examples!$H$13*$A243))/(1+EXP(MIN(700,MAX(-700,(Examples!$H$14*$A243-Examples!$H$15)/Examples!$H$16))))))+Examples!$H$17*$A243^2)</f>
        <v>748118.91396374803</v>
      </c>
      <c r="M243" s="33">
        <f>(Examples!$H$6*Examples!$H$7*Examples!$H$8*EXP(-Examples!$H$9*$A243)*(1-(Examples!$H$12*(1-EXP(-Examples!$H$13*$A243))/(1+EXP(MIN(700,MAX(-700,(Examples!$H$14*$A243-Examples!$H$15)/Examples!$H$16))))))+Examples!$H$17*$A243^2)</f>
        <v>631381.08603625197</v>
      </c>
    </row>
    <row r="244" spans="1:13" x14ac:dyDescent="0.25">
      <c r="A244">
        <f>(244-2)/100</f>
        <v>2.42</v>
      </c>
      <c r="B244" s="33">
        <f>Examples!$C$18-(Examples!$C$10+Examples!$C$11)*$A244-(Examples!$C$6*Examples!$C$7*Examples!$C$8*EXP(-Examples!$C$9*$A244)*(1-(Examples!$C$12*(1-EXP(-Examples!$C$13*$A244))/(1+EXP(MIN(700,MAX(-700,(Examples!$C$14*$A244-Examples!$C$15)/Examples!$C$16))))))+Examples!$C$17*$A244^2)</f>
        <v>145260.21856219548</v>
      </c>
      <c r="C244" s="33">
        <f>(Examples!$C$6*Examples!$C$7*Examples!$C$8*EXP(-Examples!$C$9*$A244)*(1-(Examples!$C$12*(1-EXP(-Examples!$C$13*$A244))/(1+EXP(MIN(700,MAX(-700,(Examples!$C$14*$A244-Examples!$C$15)/Examples!$C$16))))))+Examples!$C$17*$A244^2)</f>
        <v>370039.78143780452</v>
      </c>
      <c r="D244" s="33">
        <f>Examples!$D$18-(Examples!$D$10+Examples!$D$11)*$A244-(Examples!$D$6*Examples!$D$7*Examples!$D$8*EXP(-Examples!$D$9*$A244)*(1-(Examples!$D$12*(1-EXP(-Examples!$D$13*$A244))/(1+EXP(MIN(700,MAX(-700,(Examples!$D$14*$A244-Examples!$D$15)/Examples!$D$16))))))+Examples!$D$17*$A244^2)</f>
        <v>1334103.9383800016</v>
      </c>
      <c r="E244" s="33">
        <f>(Examples!$D$6*Examples!$D$7*Examples!$D$8*EXP(-Examples!$D$9*$A244)*(1-(Examples!$D$12*(1-EXP(-Examples!$D$13*$A244))/(1+EXP(MIN(700,MAX(-700,(Examples!$D$14*$A244-Examples!$D$15)/Examples!$D$16))))))+Examples!$D$17*$A244^2)</f>
        <v>1056996.0616199984</v>
      </c>
      <c r="F244" s="33">
        <f>Examples!$E$18-(Examples!$E$10+Examples!$E$11)*$A244-(Examples!$E$6*Examples!$E$7*Examples!$E$8*EXP(-Examples!$E$9*$A244)*(1-(Examples!$E$12*(1-EXP(-Examples!$E$13*$A244))/(1+EXP(MIN(700,MAX(-700,(Examples!$E$14*$A244-Examples!$E$15)/Examples!$E$16))))))+Examples!$E$17*$A244^2)</f>
        <v>2467264.2917521242</v>
      </c>
      <c r="G244" s="33">
        <f>(Examples!$E$6*Examples!$E$7*Examples!$E$8*EXP(-Examples!$E$9*$A244)*(1-(Examples!$E$12*(1-EXP(-Examples!$E$13*$A244))/(1+EXP(MIN(700,MAX(-700,(Examples!$E$14*$A244-Examples!$E$15)/Examples!$E$16))))))+Examples!$E$17*$A244^2)</f>
        <v>327035.70824787562</v>
      </c>
      <c r="H244" s="33">
        <f>Examples!$F$18-(Examples!$F$10+Examples!$F$11)*$A244-(Examples!$F$6*Examples!$F$7*Examples!$F$8*EXP(-Examples!$F$9*$A244)*(1-(Examples!$F$12*(1-EXP(-Examples!$F$13*$A244))/(1+EXP(MIN(700,MAX(-700,(Examples!$F$14*$A244-Examples!$F$15)/Examples!$F$16))))))+Examples!$F$17*$A244^2)</f>
        <v>-23972.859267717082</v>
      </c>
      <c r="I244" s="33">
        <f>(Examples!$F$6*Examples!$F$7*Examples!$F$8*EXP(-Examples!$F$9*$A244)*(1-(Examples!$F$12*(1-EXP(-Examples!$F$13*$A244))/(1+EXP(MIN(700,MAX(-700,(Examples!$F$14*$A244-Examples!$F$15)/Examples!$F$16))))))+Examples!$F$17*$A244^2)</f>
        <v>125572.85926771708</v>
      </c>
      <c r="J244" s="33">
        <f>Examples!$G$18-(Examples!$G$10+Examples!$G$11)*$A244-(Examples!$G$6*Examples!$G$7*Examples!$G$8*EXP(-Examples!$G$9*$A244)*(1-(Examples!$G$12*(1-EXP(-Examples!$G$13*$A244))/(1+EXP(MIN(700,MAX(-700,(Examples!$G$14*$A244-Examples!$G$15)/Examples!$G$16))))))+Examples!$G$17*$A244^2)</f>
        <v>728264.98250959639</v>
      </c>
      <c r="K244" s="33">
        <f>(Examples!$G$6*Examples!$G$7*Examples!$G$8*EXP(-Examples!$G$9*$A244)*(1-(Examples!$G$12*(1-EXP(-Examples!$G$13*$A244))/(1+EXP(MIN(700,MAX(-700,(Examples!$G$14*$A244-Examples!$G$15)/Examples!$G$16))))))+Examples!$G$17*$A244^2)</f>
        <v>650735.01749040361</v>
      </c>
      <c r="L244" s="33">
        <f>Examples!$H$18-(Examples!$H$10+Examples!$H$11)*$A244-(Examples!$H$6*Examples!$H$7*Examples!$H$8*EXP(-Examples!$H$9*$A244)*(1-(Examples!$H$12*(1-EXP(-Examples!$H$13*$A244))/(1+EXP(MIN(700,MAX(-700,(Examples!$H$14*$A244-Examples!$H$15)/Examples!$H$16))))))+Examples!$H$17*$A244^2)</f>
        <v>746081.48277355894</v>
      </c>
      <c r="M244" s="33">
        <f>(Examples!$H$6*Examples!$H$7*Examples!$H$8*EXP(-Examples!$H$9*$A244)*(1-(Examples!$H$12*(1-EXP(-Examples!$H$13*$A244))/(1+EXP(MIN(700,MAX(-700,(Examples!$H$14*$A244-Examples!$H$15)/Examples!$H$16))))))+Examples!$H$17*$A244^2)</f>
        <v>632918.51722644106</v>
      </c>
    </row>
    <row r="245" spans="1:13" x14ac:dyDescent="0.25">
      <c r="A245">
        <f>(245-2)/100</f>
        <v>2.4300000000000002</v>
      </c>
      <c r="B245" s="33">
        <f>Examples!$C$18-(Examples!$C$10+Examples!$C$11)*$A245-(Examples!$C$6*Examples!$C$7*Examples!$C$8*EXP(-Examples!$C$9*$A245)*(1-(Examples!$C$12*(1-EXP(-Examples!$C$13*$A245))/(1+EXP(MIN(700,MAX(-700,(Examples!$C$14*$A245-Examples!$C$15)/Examples!$C$16))))))+Examples!$C$17*$A245^2)</f>
        <v>144801.40331151319</v>
      </c>
      <c r="C245" s="33">
        <f>(Examples!$C$6*Examples!$C$7*Examples!$C$8*EXP(-Examples!$C$9*$A245)*(1-(Examples!$C$12*(1-EXP(-Examples!$C$13*$A245))/(1+EXP(MIN(700,MAX(-700,(Examples!$C$14*$A245-Examples!$C$15)/Examples!$C$16))))))+Examples!$C$17*$A245^2)</f>
        <v>370148.59668848681</v>
      </c>
      <c r="D245" s="33">
        <f>Examples!$D$18-(Examples!$D$10+Examples!$D$11)*$A245-(Examples!$D$6*Examples!$D$7*Examples!$D$8*EXP(-Examples!$D$9*$A245)*(1-(Examples!$D$12*(1-EXP(-Examples!$D$13*$A245))/(1+EXP(MIN(700,MAX(-700,(Examples!$D$14*$A245-Examples!$D$15)/Examples!$D$16))))))+Examples!$D$17*$A245^2)</f>
        <v>1337907.9722111884</v>
      </c>
      <c r="E245" s="33">
        <f>(Examples!$D$6*Examples!$D$7*Examples!$D$8*EXP(-Examples!$D$9*$A245)*(1-(Examples!$D$12*(1-EXP(-Examples!$D$13*$A245))/(1+EXP(MIN(700,MAX(-700,(Examples!$D$14*$A245-Examples!$D$15)/Examples!$D$16))))))+Examples!$D$17*$A245^2)</f>
        <v>1052742.0277888116</v>
      </c>
      <c r="F245" s="33">
        <f>Examples!$E$18-(Examples!$E$10+Examples!$E$11)*$A245-(Examples!$E$6*Examples!$E$7*Examples!$E$8*EXP(-Examples!$E$9*$A245)*(1-(Examples!$E$12*(1-EXP(-Examples!$E$13*$A245))/(1+EXP(MIN(700,MAX(-700,(Examples!$E$14*$A245-Examples!$E$15)/Examples!$E$16))))))+Examples!$E$17*$A245^2)</f>
        <v>2468140.3680509878</v>
      </c>
      <c r="G245" s="33">
        <f>(Examples!$E$6*Examples!$E$7*Examples!$E$8*EXP(-Examples!$E$9*$A245)*(1-(Examples!$E$12*(1-EXP(-Examples!$E$13*$A245))/(1+EXP(MIN(700,MAX(-700,(Examples!$E$14*$A245-Examples!$E$15)/Examples!$E$16))))))+Examples!$E$17*$A245^2)</f>
        <v>325309.63194901234</v>
      </c>
      <c r="H245" s="33">
        <f>Examples!$F$18-(Examples!$F$10+Examples!$F$11)*$A245-(Examples!$F$6*Examples!$F$7*Examples!$F$8*EXP(-Examples!$F$9*$A245)*(1-(Examples!$F$12*(1-EXP(-Examples!$F$13*$A245))/(1+EXP(MIN(700,MAX(-700,(Examples!$F$14*$A245-Examples!$F$15)/Examples!$F$16))))))+Examples!$F$17*$A245^2)</f>
        <v>-25118.365473836719</v>
      </c>
      <c r="I245" s="33">
        <f>(Examples!$F$6*Examples!$F$7*Examples!$F$8*EXP(-Examples!$F$9*$A245)*(1-(Examples!$F$12*(1-EXP(-Examples!$F$13*$A245))/(1+EXP(MIN(700,MAX(-700,(Examples!$F$14*$A245-Examples!$F$15)/Examples!$F$16))))))+Examples!$F$17*$A245^2)</f>
        <v>126518.36547383672</v>
      </c>
      <c r="J245" s="33">
        <f>Examples!$G$18-(Examples!$G$10+Examples!$G$11)*$A245-(Examples!$G$6*Examples!$G$7*Examples!$G$8*EXP(-Examples!$G$9*$A245)*(1-(Examples!$G$12*(1-EXP(-Examples!$G$13*$A245))/(1+EXP(MIN(700,MAX(-700,(Examples!$G$14*$A245-Examples!$G$15)/Examples!$G$16))))))+Examples!$G$17*$A245^2)</f>
        <v>728423.87819695997</v>
      </c>
      <c r="K245" s="33">
        <f>(Examples!$G$6*Examples!$G$7*Examples!$G$8*EXP(-Examples!$G$9*$A245)*(1-(Examples!$G$12*(1-EXP(-Examples!$G$13*$A245))/(1+EXP(MIN(700,MAX(-700,(Examples!$G$14*$A245-Examples!$G$15)/Examples!$G$16))))))+Examples!$G$17*$A245^2)</f>
        <v>650076.12180304003</v>
      </c>
      <c r="L245" s="33">
        <f>Examples!$H$18-(Examples!$H$10+Examples!$H$11)*$A245-(Examples!$H$6*Examples!$H$7*Examples!$H$8*EXP(-Examples!$H$9*$A245)*(1-(Examples!$H$12*(1-EXP(-Examples!$H$13*$A245))/(1+EXP(MIN(700,MAX(-700,(Examples!$H$14*$A245-Examples!$H$15)/Examples!$H$16))))))+Examples!$H$17*$A245^2)</f>
        <v>744023.34486552887</v>
      </c>
      <c r="M245" s="33">
        <f>(Examples!$H$6*Examples!$H$7*Examples!$H$8*EXP(-Examples!$H$9*$A245)*(1-(Examples!$H$12*(1-EXP(-Examples!$H$13*$A245))/(1+EXP(MIN(700,MAX(-700,(Examples!$H$14*$A245-Examples!$H$15)/Examples!$H$16))))))+Examples!$H$17*$A245^2)</f>
        <v>634476.65513447113</v>
      </c>
    </row>
    <row r="246" spans="1:13" x14ac:dyDescent="0.25">
      <c r="A246">
        <f>(246-2)/100</f>
        <v>2.44</v>
      </c>
      <c r="B246" s="33">
        <f>Examples!$C$18-(Examples!$C$10+Examples!$C$11)*$A246-(Examples!$C$6*Examples!$C$7*Examples!$C$8*EXP(-Examples!$C$9*$A246)*(1-(Examples!$C$12*(1-EXP(-Examples!$C$13*$A246))/(1+EXP(MIN(700,MAX(-700,(Examples!$C$14*$A246-Examples!$C$15)/Examples!$C$16))))))+Examples!$C$17*$A246^2)</f>
        <v>144344.05567626713</v>
      </c>
      <c r="C246" s="33">
        <f>(Examples!$C$6*Examples!$C$7*Examples!$C$8*EXP(-Examples!$C$9*$A246)*(1-(Examples!$C$12*(1-EXP(-Examples!$C$13*$A246))/(1+EXP(MIN(700,MAX(-700,(Examples!$C$14*$A246-Examples!$C$15)/Examples!$C$16))))))+Examples!$C$17*$A246^2)</f>
        <v>370255.94432373287</v>
      </c>
      <c r="D246" s="33">
        <f>Examples!$D$18-(Examples!$D$10+Examples!$D$11)*$A246-(Examples!$D$6*Examples!$D$7*Examples!$D$8*EXP(-Examples!$D$9*$A246)*(1-(Examples!$D$12*(1-EXP(-Examples!$D$13*$A246))/(1+EXP(MIN(700,MAX(-700,(Examples!$D$14*$A246-Examples!$D$15)/Examples!$D$16))))))+Examples!$D$17*$A246^2)</f>
        <v>1341655.5052716252</v>
      </c>
      <c r="E246" s="33">
        <f>(Examples!$D$6*Examples!$D$7*Examples!$D$8*EXP(-Examples!$D$9*$A246)*(1-(Examples!$D$12*(1-EXP(-Examples!$D$13*$A246))/(1+EXP(MIN(700,MAX(-700,(Examples!$D$14*$A246-Examples!$D$15)/Examples!$D$16))))))+Examples!$D$17*$A246^2)</f>
        <v>1048544.4947283749</v>
      </c>
      <c r="F246" s="33">
        <f>Examples!$E$18-(Examples!$E$10+Examples!$E$11)*$A246-(Examples!$E$6*Examples!$E$7*Examples!$E$8*EXP(-Examples!$E$9*$A246)*(1-(Examples!$E$12*(1-EXP(-Examples!$E$13*$A246))/(1+EXP(MIN(700,MAX(-700,(Examples!$E$14*$A246-Examples!$E$15)/Examples!$E$16))))))+Examples!$E$17*$A246^2)</f>
        <v>2468995.3523432743</v>
      </c>
      <c r="G246" s="33">
        <f>(Examples!$E$6*Examples!$E$7*Examples!$E$8*EXP(-Examples!$E$9*$A246)*(1-(Examples!$E$12*(1-EXP(-Examples!$E$13*$A246))/(1+EXP(MIN(700,MAX(-700,(Examples!$E$14*$A246-Examples!$E$15)/Examples!$E$16))))))+Examples!$E$17*$A246^2)</f>
        <v>323604.64765672595</v>
      </c>
      <c r="H246" s="33">
        <f>Examples!$F$18-(Examples!$F$10+Examples!$F$11)*$A246-(Examples!$F$6*Examples!$F$7*Examples!$F$8*EXP(-Examples!$F$9*$A246)*(1-(Examples!$F$12*(1-EXP(-Examples!$F$13*$A246))/(1+EXP(MIN(700,MAX(-700,(Examples!$F$14*$A246-Examples!$F$15)/Examples!$F$16))))))+Examples!$F$17*$A246^2)</f>
        <v>-26267.914543298903</v>
      </c>
      <c r="I246" s="33">
        <f>(Examples!$F$6*Examples!$F$7*Examples!$F$8*EXP(-Examples!$F$9*$A246)*(1-(Examples!$F$12*(1-EXP(-Examples!$F$13*$A246))/(1+EXP(MIN(700,MAX(-700,(Examples!$F$14*$A246-Examples!$F$15)/Examples!$F$16))))))+Examples!$F$17*$A246^2)</f>
        <v>127467.9145432989</v>
      </c>
      <c r="J246" s="33">
        <f>Examples!$G$18-(Examples!$G$10+Examples!$G$11)*$A246-(Examples!$G$6*Examples!$G$7*Examples!$G$8*EXP(-Examples!$G$9*$A246)*(1-(Examples!$G$12*(1-EXP(-Examples!$G$13*$A246))/(1+EXP(MIN(700,MAX(-700,(Examples!$G$14*$A246-Examples!$G$15)/Examples!$G$16))))))+Examples!$G$17*$A246^2)</f>
        <v>728570.87354993343</v>
      </c>
      <c r="K246" s="33">
        <f>(Examples!$G$6*Examples!$G$7*Examples!$G$8*EXP(-Examples!$G$9*$A246)*(1-(Examples!$G$12*(1-EXP(-Examples!$G$13*$A246))/(1+EXP(MIN(700,MAX(-700,(Examples!$G$14*$A246-Examples!$G$15)/Examples!$G$16))))))+Examples!$G$17*$A246^2)</f>
        <v>649429.12645006657</v>
      </c>
      <c r="L246" s="33">
        <f>Examples!$H$18-(Examples!$H$10+Examples!$H$11)*$A246-(Examples!$H$6*Examples!$H$7*Examples!$H$8*EXP(-Examples!$H$9*$A246)*(1-(Examples!$H$12*(1-EXP(-Examples!$H$13*$A246))/(1+EXP(MIN(700,MAX(-700,(Examples!$H$14*$A246-Examples!$H$15)/Examples!$H$16))))))+Examples!$H$17*$A246^2)</f>
        <v>741946.65902097896</v>
      </c>
      <c r="M246" s="33">
        <f>(Examples!$H$6*Examples!$H$7*Examples!$H$8*EXP(-Examples!$H$9*$A246)*(1-(Examples!$H$12*(1-EXP(-Examples!$H$13*$A246))/(1+EXP(MIN(700,MAX(-700,(Examples!$H$14*$A246-Examples!$H$15)/Examples!$H$16))))))+Examples!$H$17*$A246^2)</f>
        <v>636053.34097902104</v>
      </c>
    </row>
    <row r="247" spans="1:13" x14ac:dyDescent="0.25">
      <c r="A247">
        <f>(247-2)/100</f>
        <v>2.4500000000000002</v>
      </c>
      <c r="B247" s="33">
        <f>Examples!$C$18-(Examples!$C$10+Examples!$C$11)*$A247-(Examples!$C$6*Examples!$C$7*Examples!$C$8*EXP(-Examples!$C$9*$A247)*(1-(Examples!$C$12*(1-EXP(-Examples!$C$13*$A247))/(1+EXP(MIN(700,MAX(-700,(Examples!$C$14*$A247-Examples!$C$15)/Examples!$C$16))))))+Examples!$C$17*$A247^2)</f>
        <v>143888.02415658574</v>
      </c>
      <c r="C247" s="33">
        <f>(Examples!$C$6*Examples!$C$7*Examples!$C$8*EXP(-Examples!$C$9*$A247)*(1-(Examples!$C$12*(1-EXP(-Examples!$C$13*$A247))/(1+EXP(MIN(700,MAX(-700,(Examples!$C$14*$A247-Examples!$C$15)/Examples!$C$16))))))+Examples!$C$17*$A247^2)</f>
        <v>370361.97584341426</v>
      </c>
      <c r="D247" s="33">
        <f>Examples!$D$18-(Examples!$D$10+Examples!$D$11)*$A247-(Examples!$D$6*Examples!$D$7*Examples!$D$8*EXP(-Examples!$D$9*$A247)*(1-(Examples!$D$12*(1-EXP(-Examples!$D$13*$A247))/(1+EXP(MIN(700,MAX(-700,(Examples!$D$14*$A247-Examples!$D$15)/Examples!$D$16))))))+Examples!$D$17*$A247^2)</f>
        <v>1345347.0506372438</v>
      </c>
      <c r="E247" s="33">
        <f>(Examples!$D$6*Examples!$D$7*Examples!$D$8*EXP(-Examples!$D$9*$A247)*(1-(Examples!$D$12*(1-EXP(-Examples!$D$13*$A247))/(1+EXP(MIN(700,MAX(-700,(Examples!$D$14*$A247-Examples!$D$15)/Examples!$D$16))))))+Examples!$D$17*$A247^2)</f>
        <v>1044402.9493627563</v>
      </c>
      <c r="F247" s="33">
        <f>Examples!$E$18-(Examples!$E$10+Examples!$E$11)*$A247-(Examples!$E$6*Examples!$E$7*Examples!$E$8*EXP(-Examples!$E$9*$A247)*(1-(Examples!$E$12*(1-EXP(-Examples!$E$13*$A247))/(1+EXP(MIN(700,MAX(-700,(Examples!$E$14*$A247-Examples!$E$15)/Examples!$E$16))))))+Examples!$E$17*$A247^2)</f>
        <v>2469829.4776976593</v>
      </c>
      <c r="G247" s="33">
        <f>(Examples!$E$6*Examples!$E$7*Examples!$E$8*EXP(-Examples!$E$9*$A247)*(1-(Examples!$E$12*(1-EXP(-Examples!$E$13*$A247))/(1+EXP(MIN(700,MAX(-700,(Examples!$E$14*$A247-Examples!$E$15)/Examples!$E$16))))))+Examples!$E$17*$A247^2)</f>
        <v>321920.52230234095</v>
      </c>
      <c r="H247" s="33">
        <f>Examples!$F$18-(Examples!$F$10+Examples!$F$11)*$A247-(Examples!$F$6*Examples!$F$7*Examples!$F$8*EXP(-Examples!$F$9*$A247)*(1-(Examples!$F$12*(1-EXP(-Examples!$F$13*$A247))/(1+EXP(MIN(700,MAX(-700,(Examples!$F$14*$A247-Examples!$F$15)/Examples!$F$16))))))+Examples!$F$17*$A247^2)</f>
        <v>-27421.507462371053</v>
      </c>
      <c r="I247" s="33">
        <f>(Examples!$F$6*Examples!$F$7*Examples!$F$8*EXP(-Examples!$F$9*$A247)*(1-(Examples!$F$12*(1-EXP(-Examples!$F$13*$A247))/(1+EXP(MIN(700,MAX(-700,(Examples!$F$14*$A247-Examples!$F$15)/Examples!$F$16))))))+Examples!$F$17*$A247^2)</f>
        <v>128421.50746237105</v>
      </c>
      <c r="J247" s="33">
        <f>Examples!$G$18-(Examples!$G$10+Examples!$G$11)*$A247-(Examples!$G$6*Examples!$G$7*Examples!$G$8*EXP(-Examples!$G$9*$A247)*(1-(Examples!$G$12*(1-EXP(-Examples!$G$13*$A247))/(1+EXP(MIN(700,MAX(-700,(Examples!$G$14*$A247-Examples!$G$15)/Examples!$G$16))))))+Examples!$G$17*$A247^2)</f>
        <v>728706.26190994179</v>
      </c>
      <c r="K247" s="33">
        <f>(Examples!$G$6*Examples!$G$7*Examples!$G$8*EXP(-Examples!$G$9*$A247)*(1-(Examples!$G$12*(1-EXP(-Examples!$G$13*$A247))/(1+EXP(MIN(700,MAX(-700,(Examples!$G$14*$A247-Examples!$G$15)/Examples!$G$16))))))+Examples!$G$17*$A247^2)</f>
        <v>648793.73809005821</v>
      </c>
      <c r="L247" s="33">
        <f>Examples!$H$18-(Examples!$H$10+Examples!$H$11)*$A247-(Examples!$H$6*Examples!$H$7*Examples!$H$8*EXP(-Examples!$H$9*$A247)*(1-(Examples!$H$12*(1-EXP(-Examples!$H$13*$A247))/(1+EXP(MIN(700,MAX(-700,(Examples!$H$14*$A247-Examples!$H$15)/Examples!$H$16))))))+Examples!$H$17*$A247^2)</f>
        <v>739853.59823067999</v>
      </c>
      <c r="M247" s="33">
        <f>(Examples!$H$6*Examples!$H$7*Examples!$H$8*EXP(-Examples!$H$9*$A247)*(1-(Examples!$H$12*(1-EXP(-Examples!$H$13*$A247))/(1+EXP(MIN(700,MAX(-700,(Examples!$H$14*$A247-Examples!$H$15)/Examples!$H$16))))))+Examples!$H$17*$A247^2)</f>
        <v>637646.40176932001</v>
      </c>
    </row>
    <row r="248" spans="1:13" x14ac:dyDescent="0.25">
      <c r="A248">
        <f>(248-2)/100</f>
        <v>2.46</v>
      </c>
      <c r="B248" s="33">
        <f>Examples!$C$18-(Examples!$C$10+Examples!$C$11)*$A248-(Examples!$C$6*Examples!$C$7*Examples!$C$8*EXP(-Examples!$C$9*$A248)*(1-(Examples!$C$12*(1-EXP(-Examples!$C$13*$A248))/(1+EXP(MIN(700,MAX(-700,(Examples!$C$14*$A248-Examples!$C$15)/Examples!$C$16))))))+Examples!$C$17*$A248^2)</f>
        <v>143433.15841336129</v>
      </c>
      <c r="C248" s="33">
        <f>(Examples!$C$6*Examples!$C$7*Examples!$C$8*EXP(-Examples!$C$9*$A248)*(1-(Examples!$C$12*(1-EXP(-Examples!$C$13*$A248))/(1+EXP(MIN(700,MAX(-700,(Examples!$C$14*$A248-Examples!$C$15)/Examples!$C$16))))))+Examples!$C$17*$A248^2)</f>
        <v>370466.84158663871</v>
      </c>
      <c r="D248" s="33">
        <f>Examples!$D$18-(Examples!$D$10+Examples!$D$11)*$A248-(Examples!$D$6*Examples!$D$7*Examples!$D$8*EXP(-Examples!$D$9*$A248)*(1-(Examples!$D$12*(1-EXP(-Examples!$D$13*$A248))/(1+EXP(MIN(700,MAX(-700,(Examples!$D$14*$A248-Examples!$D$15)/Examples!$D$16))))))+Examples!$D$17*$A248^2)</f>
        <v>1348983.1190292845</v>
      </c>
      <c r="E248" s="33">
        <f>(Examples!$D$6*Examples!$D$7*Examples!$D$8*EXP(-Examples!$D$9*$A248)*(1-(Examples!$D$12*(1-EXP(-Examples!$D$13*$A248))/(1+EXP(MIN(700,MAX(-700,(Examples!$D$14*$A248-Examples!$D$15)/Examples!$D$16))))))+Examples!$D$17*$A248^2)</f>
        <v>1040316.8809707154</v>
      </c>
      <c r="F248" s="33">
        <f>Examples!$E$18-(Examples!$E$10+Examples!$E$11)*$A248-(Examples!$E$6*Examples!$E$7*Examples!$E$8*EXP(-Examples!$E$9*$A248)*(1-(Examples!$E$12*(1-EXP(-Examples!$E$13*$A248))/(1+EXP(MIN(700,MAX(-700,(Examples!$E$14*$A248-Examples!$E$15)/Examples!$E$16))))))+Examples!$E$17*$A248^2)</f>
        <v>2470642.9746076469</v>
      </c>
      <c r="G248" s="33">
        <f>(Examples!$E$6*Examples!$E$7*Examples!$E$8*EXP(-Examples!$E$9*$A248)*(1-(Examples!$E$12*(1-EXP(-Examples!$E$13*$A248))/(1+EXP(MIN(700,MAX(-700,(Examples!$E$14*$A248-Examples!$E$15)/Examples!$E$16))))))+Examples!$E$17*$A248^2)</f>
        <v>320257.02539235319</v>
      </c>
      <c r="H248" s="33">
        <f>Examples!$F$18-(Examples!$F$10+Examples!$F$11)*$A248-(Examples!$F$6*Examples!$F$7*Examples!$F$8*EXP(-Examples!$F$9*$A248)*(1-(Examples!$F$12*(1-EXP(-Examples!$F$13*$A248))/(1+EXP(MIN(700,MAX(-700,(Examples!$F$14*$A248-Examples!$F$15)/Examples!$F$16))))))+Examples!$F$17*$A248^2)</f>
        <v>-28579.14517665247</v>
      </c>
      <c r="I248" s="33">
        <f>(Examples!$F$6*Examples!$F$7*Examples!$F$8*EXP(-Examples!$F$9*$A248)*(1-(Examples!$F$12*(1-EXP(-Examples!$F$13*$A248))/(1+EXP(MIN(700,MAX(-700,(Examples!$F$14*$A248-Examples!$F$15)/Examples!$F$16))))))+Examples!$F$17*$A248^2)</f>
        <v>129379.14517665247</v>
      </c>
      <c r="J248" s="33">
        <f>Examples!$G$18-(Examples!$G$10+Examples!$G$11)*$A248-(Examples!$G$6*Examples!$G$7*Examples!$G$8*EXP(-Examples!$G$9*$A248)*(1-(Examples!$G$12*(1-EXP(-Examples!$G$13*$A248))/(1+EXP(MIN(700,MAX(-700,(Examples!$G$14*$A248-Examples!$G$15)/Examples!$G$16))))))+Examples!$G$17*$A248^2)</f>
        <v>728830.33431619348</v>
      </c>
      <c r="K248" s="33">
        <f>(Examples!$G$6*Examples!$G$7*Examples!$G$8*EXP(-Examples!$G$9*$A248)*(1-(Examples!$G$12*(1-EXP(-Examples!$G$13*$A248))/(1+EXP(MIN(700,MAX(-700,(Examples!$G$14*$A248-Examples!$G$15)/Examples!$G$16))))))+Examples!$G$17*$A248^2)</f>
        <v>648169.66568380652</v>
      </c>
      <c r="L248" s="33">
        <f>Examples!$H$18-(Examples!$H$10+Examples!$H$11)*$A248-(Examples!$H$6*Examples!$H$7*Examples!$H$8*EXP(-Examples!$H$9*$A248)*(1-(Examples!$H$12*(1-EXP(-Examples!$H$13*$A248))/(1+EXP(MIN(700,MAX(-700,(Examples!$H$14*$A248-Examples!$H$15)/Examples!$H$16))))))+Examples!$H$17*$A248^2)</f>
        <v>737746.34562558366</v>
      </c>
      <c r="M248" s="33">
        <f>(Examples!$H$6*Examples!$H$7*Examples!$H$8*EXP(-Examples!$H$9*$A248)*(1-(Examples!$H$12*(1-EXP(-Examples!$H$13*$A248))/(1+EXP(MIN(700,MAX(-700,(Examples!$H$14*$A248-Examples!$H$15)/Examples!$H$16))))))+Examples!$H$17*$A248^2)</f>
        <v>639253.65437441634</v>
      </c>
    </row>
    <row r="249" spans="1:13" x14ac:dyDescent="0.25">
      <c r="A249">
        <f>(249-2)/100</f>
        <v>2.4700000000000002</v>
      </c>
      <c r="B249" s="33">
        <f>Examples!$C$18-(Examples!$C$10+Examples!$C$11)*$A249-(Examples!$C$6*Examples!$C$7*Examples!$C$8*EXP(-Examples!$C$9*$A249)*(1-(Examples!$C$12*(1-EXP(-Examples!$C$13*$A249))/(1+EXP(MIN(700,MAX(-700,(Examples!$C$14*$A249-Examples!$C$15)/Examples!$C$16))))))+Examples!$C$17*$A249^2)</f>
        <v>142979.30942571751</v>
      </c>
      <c r="C249" s="33">
        <f>(Examples!$C$6*Examples!$C$7*Examples!$C$8*EXP(-Examples!$C$9*$A249)*(1-(Examples!$C$12*(1-EXP(-Examples!$C$13*$A249))/(1+EXP(MIN(700,MAX(-700,(Examples!$C$14*$A249-Examples!$C$15)/Examples!$C$16))))))+Examples!$C$17*$A249^2)</f>
        <v>370570.69057428249</v>
      </c>
      <c r="D249" s="33">
        <f>Examples!$D$18-(Examples!$D$10+Examples!$D$11)*$A249-(Examples!$D$6*Examples!$D$7*Examples!$D$8*EXP(-Examples!$D$9*$A249)*(1-(Examples!$D$12*(1-EXP(-Examples!$D$13*$A249))/(1+EXP(MIN(700,MAX(-700,(Examples!$D$14*$A249-Examples!$D$15)/Examples!$D$16))))))+Examples!$D$17*$A249^2)</f>
        <v>1352564.2188782739</v>
      </c>
      <c r="E249" s="33">
        <f>(Examples!$D$6*Examples!$D$7*Examples!$D$8*EXP(-Examples!$D$9*$A249)*(1-(Examples!$D$12*(1-EXP(-Examples!$D$13*$A249))/(1+EXP(MIN(700,MAX(-700,(Examples!$D$14*$A249-Examples!$D$15)/Examples!$D$16))))))+Examples!$D$17*$A249^2)</f>
        <v>1036285.781121726</v>
      </c>
      <c r="F249" s="33">
        <f>Examples!$E$18-(Examples!$E$10+Examples!$E$11)*$A249-(Examples!$E$6*Examples!$E$7*Examples!$E$8*EXP(-Examples!$E$9*$A249)*(1-(Examples!$E$12*(1-EXP(-Examples!$E$13*$A249))/(1+EXP(MIN(700,MAX(-700,(Examples!$E$14*$A249-Examples!$E$15)/Examples!$E$16))))))+Examples!$E$17*$A249^2)</f>
        <v>2471436.0710222675</v>
      </c>
      <c r="G249" s="33">
        <f>(Examples!$E$6*Examples!$E$7*Examples!$E$8*EXP(-Examples!$E$9*$A249)*(1-(Examples!$E$12*(1-EXP(-Examples!$E$13*$A249))/(1+EXP(MIN(700,MAX(-700,(Examples!$E$14*$A249-Examples!$E$15)/Examples!$E$16))))))+Examples!$E$17*$A249^2)</f>
        <v>318613.92897773266</v>
      </c>
      <c r="H249" s="33">
        <f>Examples!$F$18-(Examples!$F$10+Examples!$F$11)*$A249-(Examples!$F$6*Examples!$F$7*Examples!$F$8*EXP(-Examples!$F$9*$A249)*(1-(Examples!$F$12*(1-EXP(-Examples!$F$13*$A249))/(1+EXP(MIN(700,MAX(-700,(Examples!$F$14*$A249-Examples!$F$15)/Examples!$F$16))))))+Examples!$F$17*$A249^2)</f>
        <v>-29740.828592258069</v>
      </c>
      <c r="I249" s="33">
        <f>(Examples!$F$6*Examples!$F$7*Examples!$F$8*EXP(-Examples!$F$9*$A249)*(1-(Examples!$F$12*(1-EXP(-Examples!$F$13*$A249))/(1+EXP(MIN(700,MAX(-700,(Examples!$F$14*$A249-Examples!$F$15)/Examples!$F$16))))))+Examples!$F$17*$A249^2)</f>
        <v>130340.82859225807</v>
      </c>
      <c r="J249" s="33">
        <f>Examples!$G$18-(Examples!$G$10+Examples!$G$11)*$A249-(Examples!$G$6*Examples!$G$7*Examples!$G$8*EXP(-Examples!$G$9*$A249)*(1-(Examples!$G$12*(1-EXP(-Examples!$G$13*$A249))/(1+EXP(MIN(700,MAX(-700,(Examples!$G$14*$A249-Examples!$G$15)/Examples!$G$16))))))+Examples!$G$17*$A249^2)</f>
        <v>728943.37945472309</v>
      </c>
      <c r="K249" s="33">
        <f>(Examples!$G$6*Examples!$G$7*Examples!$G$8*EXP(-Examples!$G$9*$A249)*(1-(Examples!$G$12*(1-EXP(-Examples!$G$13*$A249))/(1+EXP(MIN(700,MAX(-700,(Examples!$G$14*$A249-Examples!$G$15)/Examples!$G$16))))))+Examples!$G$17*$A249^2)</f>
        <v>647556.62054527691</v>
      </c>
      <c r="L249" s="33">
        <f>Examples!$H$18-(Examples!$H$10+Examples!$H$11)*$A249-(Examples!$H$6*Examples!$H$7*Examples!$H$8*EXP(-Examples!$H$9*$A249)*(1-(Examples!$H$12*(1-EXP(-Examples!$H$13*$A249))/(1+EXP(MIN(700,MAX(-700,(Examples!$H$14*$A249-Examples!$H$15)/Examples!$H$16))))))+Examples!$H$17*$A249^2)</f>
        <v>735627.09034130536</v>
      </c>
      <c r="M249" s="33">
        <f>(Examples!$H$6*Examples!$H$7*Examples!$H$8*EXP(-Examples!$H$9*$A249)*(1-(Examples!$H$12*(1-EXP(-Examples!$H$13*$A249))/(1+EXP(MIN(700,MAX(-700,(Examples!$H$14*$A249-Examples!$H$15)/Examples!$H$16))))))+Examples!$H$17*$A249^2)</f>
        <v>640872.90965869464</v>
      </c>
    </row>
    <row r="250" spans="1:13" x14ac:dyDescent="0.25">
      <c r="A250">
        <f>(250-2)/100</f>
        <v>2.48</v>
      </c>
      <c r="B250" s="33">
        <f>Examples!$C$18-(Examples!$C$10+Examples!$C$11)*$A250-(Examples!$C$6*Examples!$C$7*Examples!$C$8*EXP(-Examples!$C$9*$A250)*(1-(Examples!$C$12*(1-EXP(-Examples!$C$13*$A250))/(1+EXP(MIN(700,MAX(-700,(Examples!$C$14*$A250-Examples!$C$15)/Examples!$C$16))))))+Examples!$C$17*$A250^2)</f>
        <v>142526.32963592117</v>
      </c>
      <c r="C250" s="33">
        <f>(Examples!$C$6*Examples!$C$7*Examples!$C$8*EXP(-Examples!$C$9*$A250)*(1-(Examples!$C$12*(1-EXP(-Examples!$C$13*$A250))/(1+EXP(MIN(700,MAX(-700,(Examples!$C$14*$A250-Examples!$C$15)/Examples!$C$16))))))+Examples!$C$17*$A250^2)</f>
        <v>370673.67036407883</v>
      </c>
      <c r="D250" s="33">
        <f>Examples!$D$18-(Examples!$D$10+Examples!$D$11)*$A250-(Examples!$D$6*Examples!$D$7*Examples!$D$8*EXP(-Examples!$D$9*$A250)*(1-(Examples!$D$12*(1-EXP(-Examples!$D$13*$A250))/(1+EXP(MIN(700,MAX(-700,(Examples!$D$14*$A250-Examples!$D$15)/Examples!$D$16))))))+Examples!$D$17*$A250^2)</f>
        <v>1356090.8563870725</v>
      </c>
      <c r="E250" s="33">
        <f>(Examples!$D$6*Examples!$D$7*Examples!$D$8*EXP(-Examples!$D$9*$A250)*(1-(Examples!$D$12*(1-EXP(-Examples!$D$13*$A250))/(1+EXP(MIN(700,MAX(-700,(Examples!$D$14*$A250-Examples!$D$15)/Examples!$D$16))))))+Examples!$D$17*$A250^2)</f>
        <v>1032309.1436129275</v>
      </c>
      <c r="F250" s="33">
        <f>Examples!$E$18-(Examples!$E$10+Examples!$E$11)*$A250-(Examples!$E$6*Examples!$E$7*Examples!$E$8*EXP(-Examples!$E$9*$A250)*(1-(Examples!$E$12*(1-EXP(-Examples!$E$13*$A250))/(1+EXP(MIN(700,MAX(-700,(Examples!$E$14*$A250-Examples!$E$15)/Examples!$E$16))))))+Examples!$E$17*$A250^2)</f>
        <v>2472208.9923764002</v>
      </c>
      <c r="G250" s="33">
        <f>(Examples!$E$6*Examples!$E$7*Examples!$E$8*EXP(-Examples!$E$9*$A250)*(1-(Examples!$E$12*(1-EXP(-Examples!$E$13*$A250))/(1+EXP(MIN(700,MAX(-700,(Examples!$E$14*$A250-Examples!$E$15)/Examples!$E$16))))))+Examples!$E$17*$A250^2)</f>
        <v>316991.00762359967</v>
      </c>
      <c r="H250" s="33">
        <f>Examples!$F$18-(Examples!$F$10+Examples!$F$11)*$A250-(Examples!$F$6*Examples!$F$7*Examples!$F$8*EXP(-Examples!$F$9*$A250)*(1-(Examples!$F$12*(1-EXP(-Examples!$F$13*$A250))/(1+EXP(MIN(700,MAX(-700,(Examples!$F$14*$A250-Examples!$F$15)/Examples!$F$16))))))+Examples!$F$17*$A250^2)</f>
        <v>-30906.558576984273</v>
      </c>
      <c r="I250" s="33">
        <f>(Examples!$F$6*Examples!$F$7*Examples!$F$8*EXP(-Examples!$F$9*$A250)*(1-(Examples!$F$12*(1-EXP(-Examples!$F$13*$A250))/(1+EXP(MIN(700,MAX(-700,(Examples!$F$14*$A250-Examples!$F$15)/Examples!$F$16))))))+Examples!$F$17*$A250^2)</f>
        <v>131306.55857698427</v>
      </c>
      <c r="J250" s="33">
        <f>Examples!$G$18-(Examples!$G$10+Examples!$G$11)*$A250-(Examples!$G$6*Examples!$G$7*Examples!$G$8*EXP(-Examples!$G$9*$A250)*(1-(Examples!$G$12*(1-EXP(-Examples!$G$13*$A250))/(1+EXP(MIN(700,MAX(-700,(Examples!$G$14*$A250-Examples!$G$15)/Examples!$G$16))))))+Examples!$G$17*$A250^2)</f>
        <v>729045.68360798515</v>
      </c>
      <c r="K250" s="33">
        <f>(Examples!$G$6*Examples!$G$7*Examples!$G$8*EXP(-Examples!$G$9*$A250)*(1-(Examples!$G$12*(1-EXP(-Examples!$G$13*$A250))/(1+EXP(MIN(700,MAX(-700,(Examples!$G$14*$A250-Examples!$G$15)/Examples!$G$16))))))+Examples!$G$17*$A250^2)</f>
        <v>646954.31639201485</v>
      </c>
      <c r="L250" s="33">
        <f>Examples!$H$18-(Examples!$H$10+Examples!$H$11)*$A250-(Examples!$H$6*Examples!$H$7*Examples!$H$8*EXP(-Examples!$H$9*$A250)*(1-(Examples!$H$12*(1-EXP(-Examples!$H$13*$A250))/(1+EXP(MIN(700,MAX(-700,(Examples!$H$14*$A250-Examples!$H$15)/Examples!$H$16))))))+Examples!$H$17*$A250^2)</f>
        <v>733498.0233338594</v>
      </c>
      <c r="M250" s="33">
        <f>(Examples!$H$6*Examples!$H$7*Examples!$H$8*EXP(-Examples!$H$9*$A250)*(1-(Examples!$H$12*(1-EXP(-Examples!$H$13*$A250))/(1+EXP(MIN(700,MAX(-700,(Examples!$H$14*$A250-Examples!$H$15)/Examples!$H$16))))))+Examples!$H$17*$A250^2)</f>
        <v>642501.9766661406</v>
      </c>
    </row>
    <row r="251" spans="1:13" x14ac:dyDescent="0.25">
      <c r="A251">
        <f>(251-2)/100</f>
        <v>2.4900000000000002</v>
      </c>
      <c r="B251" s="33">
        <f>Examples!$C$18-(Examples!$C$10+Examples!$C$11)*$A251-(Examples!$C$6*Examples!$C$7*Examples!$C$8*EXP(-Examples!$C$9*$A251)*(1-(Examples!$C$12*(1-EXP(-Examples!$C$13*$A251))/(1+EXP(MIN(700,MAX(-700,(Examples!$C$14*$A251-Examples!$C$15)/Examples!$C$16))))))+Examples!$C$17*$A251^2)</f>
        <v>142074.07308223931</v>
      </c>
      <c r="C251" s="33">
        <f>(Examples!$C$6*Examples!$C$7*Examples!$C$8*EXP(-Examples!$C$9*$A251)*(1-(Examples!$C$12*(1-EXP(-Examples!$C$13*$A251))/(1+EXP(MIN(700,MAX(-700,(Examples!$C$14*$A251-Examples!$C$15)/Examples!$C$16))))))+Examples!$C$17*$A251^2)</f>
        <v>370775.92691776069</v>
      </c>
      <c r="D251" s="33">
        <f>Examples!$D$18-(Examples!$D$10+Examples!$D$11)*$A251-(Examples!$D$6*Examples!$D$7*Examples!$D$8*EXP(-Examples!$D$9*$A251)*(1-(Examples!$D$12*(1-EXP(-Examples!$D$13*$A251))/(1+EXP(MIN(700,MAX(-700,(Examples!$D$14*$A251-Examples!$D$15)/Examples!$D$16))))))+Examples!$D$17*$A251^2)</f>
        <v>1359563.5355929737</v>
      </c>
      <c r="E251" s="33">
        <f>(Examples!$D$6*Examples!$D$7*Examples!$D$8*EXP(-Examples!$D$9*$A251)*(1-(Examples!$D$12*(1-EXP(-Examples!$D$13*$A251))/(1+EXP(MIN(700,MAX(-700,(Examples!$D$14*$A251-Examples!$D$15)/Examples!$D$16))))))+Examples!$D$17*$A251^2)</f>
        <v>1028386.4644070262</v>
      </c>
      <c r="F251" s="33">
        <f>Examples!$E$18-(Examples!$E$10+Examples!$E$11)*$A251-(Examples!$E$6*Examples!$E$7*Examples!$E$8*EXP(-Examples!$E$9*$A251)*(1-(Examples!$E$12*(1-EXP(-Examples!$E$13*$A251))/(1+EXP(MIN(700,MAX(-700,(Examples!$E$14*$A251-Examples!$E$15)/Examples!$E$16))))))+Examples!$E$17*$A251^2)</f>
        <v>2472961.9616207345</v>
      </c>
      <c r="G251" s="33">
        <f>(Examples!$E$6*Examples!$E$7*Examples!$E$8*EXP(-Examples!$E$9*$A251)*(1-(Examples!$E$12*(1-EXP(-Examples!$E$13*$A251))/(1+EXP(MIN(700,MAX(-700,(Examples!$E$14*$A251-Examples!$E$15)/Examples!$E$16))))))+Examples!$E$17*$A251^2)</f>
        <v>315388.03837926564</v>
      </c>
      <c r="H251" s="33">
        <f>Examples!$F$18-(Examples!$F$10+Examples!$F$11)*$A251-(Examples!$F$6*Examples!$F$7*Examples!$F$8*EXP(-Examples!$F$9*$A251)*(1-(Examples!$F$12*(1-EXP(-Examples!$F$13*$A251))/(1+EXP(MIN(700,MAX(-700,(Examples!$F$14*$A251-Examples!$F$15)/Examples!$F$16))))))+Examples!$F$17*$A251^2)</f>
        <v>-32076.335961457575</v>
      </c>
      <c r="I251" s="33">
        <f>(Examples!$F$6*Examples!$F$7*Examples!$F$8*EXP(-Examples!$F$9*$A251)*(1-(Examples!$F$12*(1-EXP(-Examples!$F$13*$A251))/(1+EXP(MIN(700,MAX(-700,(Examples!$F$14*$A251-Examples!$F$15)/Examples!$F$16))))))+Examples!$F$17*$A251^2)</f>
        <v>132276.33596145757</v>
      </c>
      <c r="J251" s="33">
        <f>Examples!$G$18-(Examples!$G$10+Examples!$G$11)*$A251-(Examples!$G$6*Examples!$G$7*Examples!$G$8*EXP(-Examples!$G$9*$A251)*(1-(Examples!$G$12*(1-EXP(-Examples!$G$13*$A251))/(1+EXP(MIN(700,MAX(-700,(Examples!$G$14*$A251-Examples!$G$15)/Examples!$G$16))))))+Examples!$G$17*$A251^2)</f>
        <v>729137.5306050455</v>
      </c>
      <c r="K251" s="33">
        <f>(Examples!$G$6*Examples!$G$7*Examples!$G$8*EXP(-Examples!$G$9*$A251)*(1-(Examples!$G$12*(1-EXP(-Examples!$G$13*$A251))/(1+EXP(MIN(700,MAX(-700,(Examples!$G$14*$A251-Examples!$G$15)/Examples!$G$16))))))+Examples!$G$17*$A251^2)</f>
        <v>646362.4693949545</v>
      </c>
      <c r="L251" s="33">
        <f>Examples!$H$18-(Examples!$H$10+Examples!$H$11)*$A251-(Examples!$H$6*Examples!$H$7*Examples!$H$8*EXP(-Examples!$H$9*$A251)*(1-(Examples!$H$12*(1-EXP(-Examples!$H$13*$A251))/(1+EXP(MIN(700,MAX(-700,(Examples!$H$14*$A251-Examples!$H$15)/Examples!$H$16))))))+Examples!$H$17*$A251^2)</f>
        <v>731361.333164574</v>
      </c>
      <c r="M251" s="33">
        <f>(Examples!$H$6*Examples!$H$7*Examples!$H$8*EXP(-Examples!$H$9*$A251)*(1-(Examples!$H$12*(1-EXP(-Examples!$H$13*$A251))/(1+EXP(MIN(700,MAX(-700,(Examples!$H$14*$A251-Examples!$H$15)/Examples!$H$16))))))+Examples!$H$17*$A251^2)</f>
        <v>644138.666835426</v>
      </c>
    </row>
    <row r="252" spans="1:13" x14ac:dyDescent="0.25">
      <c r="A252">
        <f>(252-2)/100</f>
        <v>2.5</v>
      </c>
      <c r="B252" s="33">
        <f>Examples!$C$18-(Examples!$C$10+Examples!$C$11)*$A252-(Examples!$C$6*Examples!$C$7*Examples!$C$8*EXP(-Examples!$C$9*$A252)*(1-(Examples!$C$12*(1-EXP(-Examples!$C$13*$A252))/(1+EXP(MIN(700,MAX(-700,(Examples!$C$14*$A252-Examples!$C$15)/Examples!$C$16))))))+Examples!$C$17*$A252^2)</f>
        <v>141622.39552024781</v>
      </c>
      <c r="C252" s="33">
        <f>(Examples!$C$6*Examples!$C$7*Examples!$C$8*EXP(-Examples!$C$9*$A252)*(1-(Examples!$C$12*(1-EXP(-Examples!$C$13*$A252))/(1+EXP(MIN(700,MAX(-700,(Examples!$C$14*$A252-Examples!$C$15)/Examples!$C$16))))))+Examples!$C$17*$A252^2)</f>
        <v>370877.60447975219</v>
      </c>
      <c r="D252" s="33">
        <f>Examples!$D$18-(Examples!$D$10+Examples!$D$11)*$A252-(Examples!$D$6*Examples!$D$7*Examples!$D$8*EXP(-Examples!$D$9*$A252)*(1-(Examples!$D$12*(1-EXP(-Examples!$D$13*$A252))/(1+EXP(MIN(700,MAX(-700,(Examples!$D$14*$A252-Examples!$D$15)/Examples!$D$16))))))+Examples!$D$17*$A252^2)</f>
        <v>1362982.7584288383</v>
      </c>
      <c r="E252" s="33">
        <f>(Examples!$D$6*Examples!$D$7*Examples!$D$8*EXP(-Examples!$D$9*$A252)*(1-(Examples!$D$12*(1-EXP(-Examples!$D$13*$A252))/(1+EXP(MIN(700,MAX(-700,(Examples!$D$14*$A252-Examples!$D$15)/Examples!$D$16))))))+Examples!$D$17*$A252^2)</f>
        <v>1024517.2415711617</v>
      </c>
      <c r="F252" s="33">
        <f>Examples!$E$18-(Examples!$E$10+Examples!$E$11)*$A252-(Examples!$E$6*Examples!$E$7*Examples!$E$8*EXP(-Examples!$E$9*$A252)*(1-(Examples!$E$12*(1-EXP(-Examples!$E$13*$A252))/(1+EXP(MIN(700,MAX(-700,(Examples!$E$14*$A252-Examples!$E$15)/Examples!$E$16))))))+Examples!$E$17*$A252^2)</f>
        <v>2473695.1992513645</v>
      </c>
      <c r="G252" s="33">
        <f>(Examples!$E$6*Examples!$E$7*Examples!$E$8*EXP(-Examples!$E$9*$A252)*(1-(Examples!$E$12*(1-EXP(-Examples!$E$13*$A252))/(1+EXP(MIN(700,MAX(-700,(Examples!$E$14*$A252-Examples!$E$15)/Examples!$E$16))))))+Examples!$E$17*$A252^2)</f>
        <v>313804.80074863537</v>
      </c>
      <c r="H252" s="33">
        <f>Examples!$F$18-(Examples!$F$10+Examples!$F$11)*$A252-(Examples!$F$6*Examples!$F$7*Examples!$F$8*EXP(-Examples!$F$9*$A252)*(1-(Examples!$F$12*(1-EXP(-Examples!$F$13*$A252))/(1+EXP(MIN(700,MAX(-700,(Examples!$F$14*$A252-Examples!$F$15)/Examples!$F$16))))))+Examples!$F$17*$A252^2)</f>
        <v>-33250.161540262838</v>
      </c>
      <c r="I252" s="33">
        <f>(Examples!$F$6*Examples!$F$7*Examples!$F$8*EXP(-Examples!$F$9*$A252)*(1-(Examples!$F$12*(1-EXP(-Examples!$F$13*$A252))/(1+EXP(MIN(700,MAX(-700,(Examples!$F$14*$A252-Examples!$F$15)/Examples!$F$16))))))+Examples!$F$17*$A252^2)</f>
        <v>133250.16154026284</v>
      </c>
      <c r="J252" s="33">
        <f>Examples!$G$18-(Examples!$G$10+Examples!$G$11)*$A252-(Examples!$G$6*Examples!$G$7*Examples!$G$8*EXP(-Examples!$G$9*$A252)*(1-(Examples!$G$12*(1-EXP(-Examples!$G$13*$A252))/(1+EXP(MIN(700,MAX(-700,(Examples!$G$14*$A252-Examples!$G$15)/Examples!$G$16))))))+Examples!$G$17*$A252^2)</f>
        <v>729219.20177241426</v>
      </c>
      <c r="K252" s="33">
        <f>(Examples!$G$6*Examples!$G$7*Examples!$G$8*EXP(-Examples!$G$9*$A252)*(1-(Examples!$G$12*(1-EXP(-Examples!$G$13*$A252))/(1+EXP(MIN(700,MAX(-700,(Examples!$G$14*$A252-Examples!$G$15)/Examples!$G$16))))))+Examples!$G$17*$A252^2)</f>
        <v>645780.79822758574</v>
      </c>
      <c r="L252" s="33">
        <f>Examples!$H$18-(Examples!$H$10+Examples!$H$11)*$A252-(Examples!$H$6*Examples!$H$7*Examples!$H$8*EXP(-Examples!$H$9*$A252)*(1-(Examples!$H$12*(1-EXP(-Examples!$H$13*$A252))/(1+EXP(MIN(700,MAX(-700,(Examples!$H$14*$A252-Examples!$H$15)/Examples!$H$16))))))+Examples!$H$17*$A252^2)</f>
        <v>729219.20177241426</v>
      </c>
      <c r="M252" s="33">
        <f>(Examples!$H$6*Examples!$H$7*Examples!$H$8*EXP(-Examples!$H$9*$A252)*(1-(Examples!$H$12*(1-EXP(-Examples!$H$13*$A252))/(1+EXP(MIN(700,MAX(-700,(Examples!$H$14*$A252-Examples!$H$15)/Examples!$H$16))))))+Examples!$H$17*$A252^2)</f>
        <v>645780.79822758574</v>
      </c>
    </row>
    <row r="253" spans="1:13" x14ac:dyDescent="0.25">
      <c r="A253">
        <f>(253-2)/100</f>
        <v>2.5099999999999998</v>
      </c>
      <c r="B253" s="33">
        <f>Examples!$C$18-(Examples!$C$10+Examples!$C$11)*$A253-(Examples!$C$6*Examples!$C$7*Examples!$C$8*EXP(-Examples!$C$9*$A253)*(1-(Examples!$C$12*(1-EXP(-Examples!$C$13*$A253))/(1+EXP(MIN(700,MAX(-700,(Examples!$C$14*$A253-Examples!$C$15)/Examples!$C$16))))))+Examples!$C$17*$A253^2)</f>
        <v>141171.15453309647</v>
      </c>
      <c r="C253" s="33">
        <f>(Examples!$C$6*Examples!$C$7*Examples!$C$8*EXP(-Examples!$C$9*$A253)*(1-(Examples!$C$12*(1-EXP(-Examples!$C$13*$A253))/(1+EXP(MIN(700,MAX(-700,(Examples!$C$14*$A253-Examples!$C$15)/Examples!$C$16))))))+Examples!$C$17*$A253^2)</f>
        <v>370978.84546690353</v>
      </c>
      <c r="D253" s="33">
        <f>Examples!$D$18-(Examples!$D$10+Examples!$D$11)*$A253-(Examples!$D$6*Examples!$D$7*Examples!$D$8*EXP(-Examples!$D$9*$A253)*(1-(Examples!$D$12*(1-EXP(-Examples!$D$13*$A253))/(1+EXP(MIN(700,MAX(-700,(Examples!$D$14*$A253-Examples!$D$15)/Examples!$D$16))))))+Examples!$D$17*$A253^2)</f>
        <v>1366349.0247832336</v>
      </c>
      <c r="E253" s="33">
        <f>(Examples!$D$6*Examples!$D$7*Examples!$D$8*EXP(-Examples!$D$9*$A253)*(1-(Examples!$D$12*(1-EXP(-Examples!$D$13*$A253))/(1+EXP(MIN(700,MAX(-700,(Examples!$D$14*$A253-Examples!$D$15)/Examples!$D$16))))))+Examples!$D$17*$A253^2)</f>
        <v>1020700.9752167665</v>
      </c>
      <c r="F253" s="33">
        <f>Examples!$E$18-(Examples!$E$10+Examples!$E$11)*$A253-(Examples!$E$6*Examples!$E$7*Examples!$E$8*EXP(-Examples!$E$9*$A253)*(1-(Examples!$E$12*(1-EXP(-Examples!$E$13*$A253))/(1+EXP(MIN(700,MAX(-700,(Examples!$E$14*$A253-Examples!$E$15)/Examples!$E$16))))))+Examples!$E$17*$A253^2)</f>
        <v>2474408.9233390321</v>
      </c>
      <c r="G253" s="33">
        <f>(Examples!$E$6*Examples!$E$7*Examples!$E$8*EXP(-Examples!$E$9*$A253)*(1-(Examples!$E$12*(1-EXP(-Examples!$E$13*$A253))/(1+EXP(MIN(700,MAX(-700,(Examples!$E$14*$A253-Examples!$E$15)/Examples!$E$16))))))+Examples!$E$17*$A253^2)</f>
        <v>312241.07666096807</v>
      </c>
      <c r="H253" s="33">
        <f>Examples!$F$18-(Examples!$F$10+Examples!$F$11)*$A253-(Examples!$F$6*Examples!$F$7*Examples!$F$8*EXP(-Examples!$F$9*$A253)*(1-(Examples!$F$12*(1-EXP(-Examples!$F$13*$A253))/(1+EXP(MIN(700,MAX(-700,(Examples!$F$14*$A253-Examples!$F$15)/Examples!$F$16))))))+Examples!$F$17*$A253^2)</f>
        <v>-34428.036073052033</v>
      </c>
      <c r="I253" s="33">
        <f>(Examples!$F$6*Examples!$F$7*Examples!$F$8*EXP(-Examples!$F$9*$A253)*(1-(Examples!$F$12*(1-EXP(-Examples!$F$13*$A253))/(1+EXP(MIN(700,MAX(-700,(Examples!$F$14*$A253-Examples!$F$15)/Examples!$F$16))))))+Examples!$F$17*$A253^2)</f>
        <v>134228.03607305203</v>
      </c>
      <c r="J253" s="33">
        <f>Examples!$G$18-(Examples!$G$10+Examples!$G$11)*$A253-(Examples!$G$6*Examples!$G$7*Examples!$G$8*EXP(-Examples!$G$9*$A253)*(1-(Examples!$G$12*(1-EXP(-Examples!$G$13*$A253))/(1+EXP(MIN(700,MAX(-700,(Examples!$G$14*$A253-Examples!$G$15)/Examples!$G$16))))))+Examples!$G$17*$A253^2)</f>
        <v>729290.97588556563</v>
      </c>
      <c r="K253" s="33">
        <f>(Examples!$G$6*Examples!$G$7*Examples!$G$8*EXP(-Examples!$G$9*$A253)*(1-(Examples!$G$12*(1-EXP(-Examples!$G$13*$A253))/(1+EXP(MIN(700,MAX(-700,(Examples!$G$14*$A253-Examples!$G$15)/Examples!$G$16))))))+Examples!$G$17*$A253^2)</f>
        <v>645209.02411443437</v>
      </c>
      <c r="L253" s="33">
        <f>Examples!$H$18-(Examples!$H$10+Examples!$H$11)*$A253-(Examples!$H$6*Examples!$H$7*Examples!$H$8*EXP(-Examples!$H$9*$A253)*(1-(Examples!$H$12*(1-EXP(-Examples!$H$13*$A253))/(1+EXP(MIN(700,MAX(-700,(Examples!$H$14*$A253-Examples!$H$15)/Examples!$H$16))))))+Examples!$H$17*$A253^2)</f>
        <v>727073.80025210278</v>
      </c>
      <c r="M253" s="33">
        <f>(Examples!$H$6*Examples!$H$7*Examples!$H$8*EXP(-Examples!$H$9*$A253)*(1-(Examples!$H$12*(1-EXP(-Examples!$H$13*$A253))/(1+EXP(MIN(700,MAX(-700,(Examples!$H$14*$A253-Examples!$H$15)/Examples!$H$16))))))+Examples!$H$17*$A253^2)</f>
        <v>647426.19974789722</v>
      </c>
    </row>
    <row r="254" spans="1:13" x14ac:dyDescent="0.25">
      <c r="A254">
        <f>(254-2)/100</f>
        <v>2.52</v>
      </c>
      <c r="B254" s="33">
        <f>Examples!$C$18-(Examples!$C$10+Examples!$C$11)*$A254-(Examples!$C$6*Examples!$C$7*Examples!$C$8*EXP(-Examples!$C$9*$A254)*(1-(Examples!$C$12*(1-EXP(-Examples!$C$13*$A254))/(1+EXP(MIN(700,MAX(-700,(Examples!$C$14*$A254-Examples!$C$15)/Examples!$C$16))))))+Examples!$C$17*$A254^2)</f>
        <v>140720.20963123441</v>
      </c>
      <c r="C254" s="33">
        <f>(Examples!$C$6*Examples!$C$7*Examples!$C$8*EXP(-Examples!$C$9*$A254)*(1-(Examples!$C$12*(1-EXP(-Examples!$C$13*$A254))/(1+EXP(MIN(700,MAX(-700,(Examples!$C$14*$A254-Examples!$C$15)/Examples!$C$16))))))+Examples!$C$17*$A254^2)</f>
        <v>371079.79036876559</v>
      </c>
      <c r="D254" s="33">
        <f>Examples!$D$18-(Examples!$D$10+Examples!$D$11)*$A254-(Examples!$D$6*Examples!$D$7*Examples!$D$8*EXP(-Examples!$D$9*$A254)*(1-(Examples!$D$12*(1-EXP(-Examples!$D$13*$A254))/(1+EXP(MIN(700,MAX(-700,(Examples!$D$14*$A254-Examples!$D$15)/Examples!$D$16))))))+Examples!$D$17*$A254^2)</f>
        <v>1369662.83255958</v>
      </c>
      <c r="E254" s="33">
        <f>(Examples!$D$6*Examples!$D$7*Examples!$D$8*EXP(-Examples!$D$9*$A254)*(1-(Examples!$D$12*(1-EXP(-Examples!$D$13*$A254))/(1+EXP(MIN(700,MAX(-700,(Examples!$D$14*$A254-Examples!$D$15)/Examples!$D$16))))))+Examples!$D$17*$A254^2)</f>
        <v>1016937.1674404199</v>
      </c>
      <c r="F254" s="33">
        <f>Examples!$E$18-(Examples!$E$10+Examples!$E$11)*$A254-(Examples!$E$6*Examples!$E$7*Examples!$E$8*EXP(-Examples!$E$9*$A254)*(1-(Examples!$E$12*(1-EXP(-Examples!$E$13*$A254))/(1+EXP(MIN(700,MAX(-700,(Examples!$E$14*$A254-Examples!$E$15)/Examples!$E$16))))))+Examples!$E$17*$A254^2)</f>
        <v>2475103.3495580079</v>
      </c>
      <c r="G254" s="33">
        <f>(Examples!$E$6*Examples!$E$7*Examples!$E$8*EXP(-Examples!$E$9*$A254)*(1-(Examples!$E$12*(1-EXP(-Examples!$E$13*$A254))/(1+EXP(MIN(700,MAX(-700,(Examples!$E$14*$A254-Examples!$E$15)/Examples!$E$16))))))+Examples!$E$17*$A254^2)</f>
        <v>310696.65044199186</v>
      </c>
      <c r="H254" s="33">
        <f>Examples!$F$18-(Examples!$F$10+Examples!$F$11)*$A254-(Examples!$F$6*Examples!$F$7*Examples!$F$8*EXP(-Examples!$F$9*$A254)*(1-(Examples!$F$12*(1-EXP(-Examples!$F$13*$A254))/(1+EXP(MIN(700,MAX(-700,(Examples!$F$14*$A254-Examples!$F$15)/Examples!$F$16))))))+Examples!$F$17*$A254^2)</f>
        <v>-35609.960285631561</v>
      </c>
      <c r="I254" s="33">
        <f>(Examples!$F$6*Examples!$F$7*Examples!$F$8*EXP(-Examples!$F$9*$A254)*(1-(Examples!$F$12*(1-EXP(-Examples!$F$13*$A254))/(1+EXP(MIN(700,MAX(-700,(Examples!$F$14*$A254-Examples!$F$15)/Examples!$F$16))))))+Examples!$F$17*$A254^2)</f>
        <v>135209.96028563156</v>
      </c>
      <c r="J254" s="33">
        <f>Examples!$G$18-(Examples!$G$10+Examples!$G$11)*$A254-(Examples!$G$6*Examples!$G$7*Examples!$G$8*EXP(-Examples!$G$9*$A254)*(1-(Examples!$G$12*(1-EXP(-Examples!$G$13*$A254))/(1+EXP(MIN(700,MAX(-700,(Examples!$G$14*$A254-Examples!$G$15)/Examples!$G$16))))))+Examples!$G$17*$A254^2)</f>
        <v>729353.12912119215</v>
      </c>
      <c r="K254" s="33">
        <f>(Examples!$G$6*Examples!$G$7*Examples!$G$8*EXP(-Examples!$G$9*$A254)*(1-(Examples!$G$12*(1-EXP(-Examples!$G$13*$A254))/(1+EXP(MIN(700,MAX(-700,(Examples!$G$14*$A254-Examples!$G$15)/Examples!$G$16))))))+Examples!$G$17*$A254^2)</f>
        <v>644646.87087880785</v>
      </c>
      <c r="L254" s="33">
        <f>Examples!$H$18-(Examples!$H$10+Examples!$H$11)*$A254-(Examples!$H$6*Examples!$H$7*Examples!$H$8*EXP(-Examples!$H$9*$A254)*(1-(Examples!$H$12*(1-EXP(-Examples!$H$13*$A254))/(1+EXP(MIN(700,MAX(-700,(Examples!$H$14*$A254-Examples!$H$15)/Examples!$H$16))))))+Examples!$H$17*$A254^2)</f>
        <v>724927.28465645644</v>
      </c>
      <c r="M254" s="33">
        <f>(Examples!$H$6*Examples!$H$7*Examples!$H$8*EXP(-Examples!$H$9*$A254)*(1-(Examples!$H$12*(1-EXP(-Examples!$H$13*$A254))/(1+EXP(MIN(700,MAX(-700,(Examples!$H$14*$A254-Examples!$H$15)/Examples!$H$16))))))+Examples!$H$17*$A254^2)</f>
        <v>649072.71534354356</v>
      </c>
    </row>
    <row r="255" spans="1:13" x14ac:dyDescent="0.25">
      <c r="A255">
        <f>(255-2)/100</f>
        <v>2.5299999999999998</v>
      </c>
      <c r="B255" s="33">
        <f>Examples!$C$18-(Examples!$C$10+Examples!$C$11)*$A255-(Examples!$C$6*Examples!$C$7*Examples!$C$8*EXP(-Examples!$C$9*$A255)*(1-(Examples!$C$12*(1-EXP(-Examples!$C$13*$A255))/(1+EXP(MIN(700,MAX(-700,(Examples!$C$14*$A255-Examples!$C$15)/Examples!$C$16))))))+Examples!$C$17*$A255^2)</f>
        <v>140269.42234209226</v>
      </c>
      <c r="C255" s="33">
        <f>(Examples!$C$6*Examples!$C$7*Examples!$C$8*EXP(-Examples!$C$9*$A255)*(1-(Examples!$C$12*(1-EXP(-Examples!$C$13*$A255))/(1+EXP(MIN(700,MAX(-700,(Examples!$C$14*$A255-Examples!$C$15)/Examples!$C$16))))))+Examples!$C$17*$A255^2)</f>
        <v>371180.57765790774</v>
      </c>
      <c r="D255" s="33">
        <f>Examples!$D$18-(Examples!$D$10+Examples!$D$11)*$A255-(Examples!$D$6*Examples!$D$7*Examples!$D$8*EXP(-Examples!$D$9*$A255)*(1-(Examples!$D$12*(1-EXP(-Examples!$D$13*$A255))/(1+EXP(MIN(700,MAX(-700,(Examples!$D$14*$A255-Examples!$D$15)/Examples!$D$16))))))+Examples!$D$17*$A255^2)</f>
        <v>1372924.6777342658</v>
      </c>
      <c r="E255" s="33">
        <f>(Examples!$D$6*Examples!$D$7*Examples!$D$8*EXP(-Examples!$D$9*$A255)*(1-(Examples!$D$12*(1-EXP(-Examples!$D$13*$A255))/(1+EXP(MIN(700,MAX(-700,(Examples!$D$14*$A255-Examples!$D$15)/Examples!$D$16))))))+Examples!$D$17*$A255^2)</f>
        <v>1013225.3222657342</v>
      </c>
      <c r="F255" s="33">
        <f>Examples!$E$18-(Examples!$E$10+Examples!$E$11)*$A255-(Examples!$E$6*Examples!$E$7*Examples!$E$8*EXP(-Examples!$E$9*$A255)*(1-(Examples!$E$12*(1-EXP(-Examples!$E$13*$A255))/(1+EXP(MIN(700,MAX(-700,(Examples!$E$14*$A255-Examples!$E$15)/Examples!$E$16))))))+Examples!$E$17*$A255^2)</f>
        <v>2475778.6912146332</v>
      </c>
      <c r="G255" s="33">
        <f>(Examples!$E$6*Examples!$E$7*Examples!$E$8*EXP(-Examples!$E$9*$A255)*(1-(Examples!$E$12*(1-EXP(-Examples!$E$13*$A255))/(1+EXP(MIN(700,MAX(-700,(Examples!$E$14*$A255-Examples!$E$15)/Examples!$E$16))))))+Examples!$E$17*$A255^2)</f>
        <v>309171.30878536677</v>
      </c>
      <c r="H255" s="33">
        <f>Examples!$F$18-(Examples!$F$10+Examples!$F$11)*$A255-(Examples!$F$6*Examples!$F$7*Examples!$F$8*EXP(-Examples!$F$9*$A255)*(1-(Examples!$F$12*(1-EXP(-Examples!$F$13*$A255))/(1+EXP(MIN(700,MAX(-700,(Examples!$F$14*$A255-Examples!$F$15)/Examples!$F$16))))))+Examples!$F$17*$A255^2)</f>
        <v>-36795.934871027537</v>
      </c>
      <c r="I255" s="33">
        <f>(Examples!$F$6*Examples!$F$7*Examples!$F$8*EXP(-Examples!$F$9*$A255)*(1-(Examples!$F$12*(1-EXP(-Examples!$F$13*$A255))/(1+EXP(MIN(700,MAX(-700,(Examples!$F$14*$A255-Examples!$F$15)/Examples!$F$16))))))+Examples!$F$17*$A255^2)</f>
        <v>136195.93487102754</v>
      </c>
      <c r="J255" s="33">
        <f>Examples!$G$18-(Examples!$G$10+Examples!$G$11)*$A255-(Examples!$G$6*Examples!$G$7*Examples!$G$8*EXP(-Examples!$G$9*$A255)*(1-(Examples!$G$12*(1-EXP(-Examples!$G$13*$A255))/(1+EXP(MIN(700,MAX(-700,(Examples!$G$14*$A255-Examples!$G$15)/Examples!$G$16))))))+Examples!$G$17*$A255^2)</f>
        <v>729405.93501022994</v>
      </c>
      <c r="K255" s="33">
        <f>(Examples!$G$6*Examples!$G$7*Examples!$G$8*EXP(-Examples!$G$9*$A255)*(1-(Examples!$G$12*(1-EXP(-Examples!$G$13*$A255))/(1+EXP(MIN(700,MAX(-700,(Examples!$G$14*$A255-Examples!$G$15)/Examples!$G$16))))))+Examples!$G$17*$A255^2)</f>
        <v>644094.06498977006</v>
      </c>
      <c r="L255" s="33">
        <f>Examples!$H$18-(Examples!$H$10+Examples!$H$11)*$A255-(Examples!$H$6*Examples!$H$7*Examples!$H$8*EXP(-Examples!$H$9*$A255)*(1-(Examples!$H$12*(1-EXP(-Examples!$H$13*$A255))/(1+EXP(MIN(700,MAX(-700,(Examples!$H$14*$A255-Examples!$H$15)/Examples!$H$16))))))+Examples!$H$17*$A255^2)</f>
        <v>722781.79184124887</v>
      </c>
      <c r="M255" s="33">
        <f>(Examples!$H$6*Examples!$H$7*Examples!$H$8*EXP(-Examples!$H$9*$A255)*(1-(Examples!$H$12*(1-EXP(-Examples!$H$13*$A255))/(1+EXP(MIN(700,MAX(-700,(Examples!$H$14*$A255-Examples!$H$15)/Examples!$H$16))))))+Examples!$H$17*$A255^2)</f>
        <v>650718.20815875113</v>
      </c>
    </row>
    <row r="256" spans="1:13" x14ac:dyDescent="0.25">
      <c r="A256">
        <f>(256-2)/100</f>
        <v>2.54</v>
      </c>
      <c r="B256" s="33">
        <f>Examples!$C$18-(Examples!$C$10+Examples!$C$11)*$A256-(Examples!$C$6*Examples!$C$7*Examples!$C$8*EXP(-Examples!$C$9*$A256)*(1-(Examples!$C$12*(1-EXP(-Examples!$C$13*$A256))/(1+EXP(MIN(700,MAX(-700,(Examples!$C$14*$A256-Examples!$C$15)/Examples!$C$16))))))+Examples!$C$17*$A256^2)</f>
        <v>139818.65629021585</v>
      </c>
      <c r="C256" s="33">
        <f>(Examples!$C$6*Examples!$C$7*Examples!$C$8*EXP(-Examples!$C$9*$A256)*(1-(Examples!$C$12*(1-EXP(-Examples!$C$13*$A256))/(1+EXP(MIN(700,MAX(-700,(Examples!$C$14*$A256-Examples!$C$15)/Examples!$C$16))))))+Examples!$C$17*$A256^2)</f>
        <v>371281.34370978415</v>
      </c>
      <c r="D256" s="33">
        <f>Examples!$D$18-(Examples!$D$10+Examples!$D$11)*$A256-(Examples!$D$6*Examples!$D$7*Examples!$D$8*EXP(-Examples!$D$9*$A256)*(1-(Examples!$D$12*(1-EXP(-Examples!$D$13*$A256))/(1+EXP(MIN(700,MAX(-700,(Examples!$D$14*$A256-Examples!$D$15)/Examples!$D$16))))))+Examples!$D$17*$A256^2)</f>
        <v>1376135.0544137224</v>
      </c>
      <c r="E256" s="33">
        <f>(Examples!$D$6*Examples!$D$7*Examples!$D$8*EXP(-Examples!$D$9*$A256)*(1-(Examples!$D$12*(1-EXP(-Examples!$D$13*$A256))/(1+EXP(MIN(700,MAX(-700,(Examples!$D$14*$A256-Examples!$D$15)/Examples!$D$16))))))+Examples!$D$17*$A256^2)</f>
        <v>1009564.9455862778</v>
      </c>
      <c r="F256" s="33">
        <f>Examples!$E$18-(Examples!$E$10+Examples!$E$11)*$A256-(Examples!$E$6*Examples!$E$7*Examples!$E$8*EXP(-Examples!$E$9*$A256)*(1-(Examples!$E$12*(1-EXP(-Examples!$E$13*$A256))/(1+EXP(MIN(700,MAX(-700,(Examples!$E$14*$A256-Examples!$E$15)/Examples!$E$16))))))+Examples!$E$17*$A256^2)</f>
        <v>2476435.1592755052</v>
      </c>
      <c r="G256" s="33">
        <f>(Examples!$E$6*Examples!$E$7*Examples!$E$8*EXP(-Examples!$E$9*$A256)*(1-(Examples!$E$12*(1-EXP(-Examples!$E$13*$A256))/(1+EXP(MIN(700,MAX(-700,(Examples!$E$14*$A256-Examples!$E$15)/Examples!$E$16))))))+Examples!$E$17*$A256^2)</f>
        <v>307664.84072449472</v>
      </c>
      <c r="H256" s="33">
        <f>Examples!$F$18-(Examples!$F$10+Examples!$F$11)*$A256-(Examples!$F$6*Examples!$F$7*Examples!$F$8*EXP(-Examples!$F$9*$A256)*(1-(Examples!$F$12*(1-EXP(-Examples!$F$13*$A256))/(1+EXP(MIN(700,MAX(-700,(Examples!$F$14*$A256-Examples!$F$15)/Examples!$F$16))))))+Examples!$F$17*$A256^2)</f>
        <v>-37985.960490529542</v>
      </c>
      <c r="I256" s="33">
        <f>(Examples!$F$6*Examples!$F$7*Examples!$F$8*EXP(-Examples!$F$9*$A256)*(1-(Examples!$F$12*(1-EXP(-Examples!$F$13*$A256))/(1+EXP(MIN(700,MAX(-700,(Examples!$F$14*$A256-Examples!$F$15)/Examples!$F$16))))))+Examples!$F$17*$A256^2)</f>
        <v>137185.96049052954</v>
      </c>
      <c r="J256" s="33">
        <f>Examples!$G$18-(Examples!$G$10+Examples!$G$11)*$A256-(Examples!$G$6*Examples!$G$7*Examples!$G$8*EXP(-Examples!$G$9*$A256)*(1-(Examples!$G$12*(1-EXP(-Examples!$G$13*$A256))/(1+EXP(MIN(700,MAX(-700,(Examples!$G$14*$A256-Examples!$G$15)/Examples!$G$16))))))+Examples!$G$17*$A256^2)</f>
        <v>729449.66439170588</v>
      </c>
      <c r="K256" s="33">
        <f>(Examples!$G$6*Examples!$G$7*Examples!$G$8*EXP(-Examples!$G$9*$A256)*(1-(Examples!$G$12*(1-EXP(-Examples!$G$13*$A256))/(1+EXP(MIN(700,MAX(-700,(Examples!$G$14*$A256-Examples!$G$15)/Examples!$G$16))))))+Examples!$G$17*$A256^2)</f>
        <v>643550.33560829412</v>
      </c>
      <c r="L256" s="33">
        <f>Examples!$H$18-(Examples!$H$10+Examples!$H$11)*$A256-(Examples!$H$6*Examples!$H$7*Examples!$H$8*EXP(-Examples!$H$9*$A256)*(1-(Examples!$H$12*(1-EXP(-Examples!$H$13*$A256))/(1+EXP(MIN(700,MAX(-700,(Examples!$H$14*$A256-Examples!$H$15)/Examples!$H$16))))))+Examples!$H$17*$A256^2)</f>
        <v>720639.43537065759</v>
      </c>
      <c r="M256" s="33">
        <f>(Examples!$H$6*Examples!$H$7*Examples!$H$8*EXP(-Examples!$H$9*$A256)*(1-(Examples!$H$12*(1-EXP(-Examples!$H$13*$A256))/(1+EXP(MIN(700,MAX(-700,(Examples!$H$14*$A256-Examples!$H$15)/Examples!$H$16))))))+Examples!$H$17*$A256^2)</f>
        <v>652360.56462934241</v>
      </c>
    </row>
    <row r="257" spans="1:13" x14ac:dyDescent="0.25">
      <c r="A257">
        <f>(257-2)/100</f>
        <v>2.5499999999999998</v>
      </c>
      <c r="B257" s="33">
        <f>Examples!$C$18-(Examples!$C$10+Examples!$C$11)*$A257-(Examples!$C$6*Examples!$C$7*Examples!$C$8*EXP(-Examples!$C$9*$A257)*(1-(Examples!$C$12*(1-EXP(-Examples!$C$13*$A257))/(1+EXP(MIN(700,MAX(-700,(Examples!$C$14*$A257-Examples!$C$15)/Examples!$C$16))))))+Examples!$C$17*$A257^2)</f>
        <v>139367.77726833342</v>
      </c>
      <c r="C257" s="33">
        <f>(Examples!$C$6*Examples!$C$7*Examples!$C$8*EXP(-Examples!$C$9*$A257)*(1-(Examples!$C$12*(1-EXP(-Examples!$C$13*$A257))/(1+EXP(MIN(700,MAX(-700,(Examples!$C$14*$A257-Examples!$C$15)/Examples!$C$16))))))+Examples!$C$17*$A257^2)</f>
        <v>371382.22273166658</v>
      </c>
      <c r="D257" s="33">
        <f>Examples!$D$18-(Examples!$D$10+Examples!$D$11)*$A257-(Examples!$D$6*Examples!$D$7*Examples!$D$8*EXP(-Examples!$D$9*$A257)*(1-(Examples!$D$12*(1-EXP(-Examples!$D$13*$A257))/(1+EXP(MIN(700,MAX(-700,(Examples!$D$14*$A257-Examples!$D$15)/Examples!$D$16))))))+Examples!$D$17*$A257^2)</f>
        <v>1379294.4548904332</v>
      </c>
      <c r="E257" s="33">
        <f>(Examples!$D$6*Examples!$D$7*Examples!$D$8*EXP(-Examples!$D$9*$A257)*(1-(Examples!$D$12*(1-EXP(-Examples!$D$13*$A257))/(1+EXP(MIN(700,MAX(-700,(Examples!$D$14*$A257-Examples!$D$15)/Examples!$D$16))))))+Examples!$D$17*$A257^2)</f>
        <v>1005955.5451095669</v>
      </c>
      <c r="F257" s="33">
        <f>Examples!$E$18-(Examples!$E$10+Examples!$E$11)*$A257-(Examples!$E$6*Examples!$E$7*Examples!$E$8*EXP(-Examples!$E$9*$A257)*(1-(Examples!$E$12*(1-EXP(-Examples!$E$13*$A257))/(1+EXP(MIN(700,MAX(-700,(Examples!$E$14*$A257-Examples!$E$15)/Examples!$E$16))))))+Examples!$E$17*$A257^2)</f>
        <v>2477072.96239533</v>
      </c>
      <c r="G257" s="33">
        <f>(Examples!$E$6*Examples!$E$7*Examples!$E$8*EXP(-Examples!$E$9*$A257)*(1-(Examples!$E$12*(1-EXP(-Examples!$E$13*$A257))/(1+EXP(MIN(700,MAX(-700,(Examples!$E$14*$A257-Examples!$E$15)/Examples!$E$16))))))+Examples!$E$17*$A257^2)</f>
        <v>306177.03760467021</v>
      </c>
      <c r="H257" s="33">
        <f>Examples!$F$18-(Examples!$F$10+Examples!$F$11)*$A257-(Examples!$F$6*Examples!$F$7*Examples!$F$8*EXP(-Examples!$F$9*$A257)*(1-(Examples!$F$12*(1-EXP(-Examples!$F$13*$A257))/(1+EXP(MIN(700,MAX(-700,(Examples!$F$14*$A257-Examples!$F$15)/Examples!$F$16))))))+Examples!$F$17*$A257^2)</f>
        <v>-39180.037774710858</v>
      </c>
      <c r="I257" s="33">
        <f>(Examples!$F$6*Examples!$F$7*Examples!$F$8*EXP(-Examples!$F$9*$A257)*(1-(Examples!$F$12*(1-EXP(-Examples!$F$13*$A257))/(1+EXP(MIN(700,MAX(-700,(Examples!$F$14*$A257-Examples!$F$15)/Examples!$F$16))))))+Examples!$F$17*$A257^2)</f>
        <v>138180.03777471086</v>
      </c>
      <c r="J257" s="33">
        <f>Examples!$G$18-(Examples!$G$10+Examples!$G$11)*$A257-(Examples!$G$6*Examples!$G$7*Examples!$G$8*EXP(-Examples!$G$9*$A257)*(1-(Examples!$G$12*(1-EXP(-Examples!$G$13*$A257))/(1+EXP(MIN(700,MAX(-700,(Examples!$G$14*$A257-Examples!$G$15)/Examples!$G$16))))))+Examples!$G$17*$A257^2)</f>
        <v>729484.58536744129</v>
      </c>
      <c r="K257" s="33">
        <f>(Examples!$G$6*Examples!$G$7*Examples!$G$8*EXP(-Examples!$G$9*$A257)*(1-(Examples!$G$12*(1-EXP(-Examples!$G$13*$A257))/(1+EXP(MIN(700,MAX(-700,(Examples!$G$14*$A257-Examples!$G$15)/Examples!$G$16))))))+Examples!$G$17*$A257^2)</f>
        <v>643015.41463255871</v>
      </c>
      <c r="L257" s="33">
        <f>Examples!$H$18-(Examples!$H$10+Examples!$H$11)*$A257-(Examples!$H$6*Examples!$H$7*Examples!$H$8*EXP(-Examples!$H$9*$A257)*(1-(Examples!$H$12*(1-EXP(-Examples!$H$13*$A257))/(1+EXP(MIN(700,MAX(-700,(Examples!$H$14*$A257-Examples!$H$15)/Examples!$H$16))))))+Examples!$H$17*$A257^2)</f>
        <v>718502.30150098074</v>
      </c>
      <c r="M257" s="33">
        <f>(Examples!$H$6*Examples!$H$7*Examples!$H$8*EXP(-Examples!$H$9*$A257)*(1-(Examples!$H$12*(1-EXP(-Examples!$H$13*$A257))/(1+EXP(MIN(700,MAX(-700,(Examples!$H$14*$A257-Examples!$H$15)/Examples!$H$16))))))+Examples!$H$17*$A257^2)</f>
        <v>653997.69849901926</v>
      </c>
    </row>
    <row r="258" spans="1:13" x14ac:dyDescent="0.25">
      <c r="A258">
        <f>(258-2)/100</f>
        <v>2.56</v>
      </c>
      <c r="B258" s="33">
        <f>Examples!$C$18-(Examples!$C$10+Examples!$C$11)*$A258-(Examples!$C$6*Examples!$C$7*Examples!$C$8*EXP(-Examples!$C$9*$A258)*(1-(Examples!$C$12*(1-EXP(-Examples!$C$13*$A258))/(1+EXP(MIN(700,MAX(-700,(Examples!$C$14*$A258-Examples!$C$15)/Examples!$C$16))))))+Examples!$C$17*$A258^2)</f>
        <v>138916.653299834</v>
      </c>
      <c r="C258" s="33">
        <f>(Examples!$C$6*Examples!$C$7*Examples!$C$8*EXP(-Examples!$C$9*$A258)*(1-(Examples!$C$12*(1-EXP(-Examples!$C$13*$A258))/(1+EXP(MIN(700,MAX(-700,(Examples!$C$14*$A258-Examples!$C$15)/Examples!$C$16))))))+Examples!$C$17*$A258^2)</f>
        <v>371483.346700166</v>
      </c>
      <c r="D258" s="33">
        <f>Examples!$D$18-(Examples!$D$10+Examples!$D$11)*$A258-(Examples!$D$6*Examples!$D$7*Examples!$D$8*EXP(-Examples!$D$9*$A258)*(1-(Examples!$D$12*(1-EXP(-Examples!$D$13*$A258))/(1+EXP(MIN(700,MAX(-700,(Examples!$D$14*$A258-Examples!$D$15)/Examples!$D$16))))))+Examples!$D$17*$A258^2)</f>
        <v>1382403.3696978635</v>
      </c>
      <c r="E258" s="33">
        <f>(Examples!$D$6*Examples!$D$7*Examples!$D$8*EXP(-Examples!$D$9*$A258)*(1-(Examples!$D$12*(1-EXP(-Examples!$D$13*$A258))/(1+EXP(MIN(700,MAX(-700,(Examples!$D$14*$A258-Examples!$D$15)/Examples!$D$16))))))+Examples!$D$17*$A258^2)</f>
        <v>1002396.6303021365</v>
      </c>
      <c r="F258" s="33">
        <f>Examples!$E$18-(Examples!$E$10+Examples!$E$11)*$A258-(Examples!$E$6*Examples!$E$7*Examples!$E$8*EXP(-Examples!$E$9*$A258)*(1-(Examples!$E$12*(1-EXP(-Examples!$E$13*$A258))/(1+EXP(MIN(700,MAX(-700,(Examples!$E$14*$A258-Examples!$E$15)/Examples!$E$16))))))+Examples!$E$17*$A258^2)</f>
        <v>2477692.3069444308</v>
      </c>
      <c r="G258" s="33">
        <f>(Examples!$E$6*Examples!$E$7*Examples!$E$8*EXP(-Examples!$E$9*$A258)*(1-(Examples!$E$12*(1-EXP(-Examples!$E$13*$A258))/(1+EXP(MIN(700,MAX(-700,(Examples!$E$14*$A258-Examples!$E$15)/Examples!$E$16))))))+Examples!$E$17*$A258^2)</f>
        <v>304707.69305556943</v>
      </c>
      <c r="H258" s="33">
        <f>Examples!$F$18-(Examples!$F$10+Examples!$F$11)*$A258-(Examples!$F$6*Examples!$F$7*Examples!$F$8*EXP(-Examples!$F$9*$A258)*(1-(Examples!$F$12*(1-EXP(-Examples!$F$13*$A258))/(1+EXP(MIN(700,MAX(-700,(Examples!$F$14*$A258-Examples!$F$15)/Examples!$F$16))))))+Examples!$F$17*$A258^2)</f>
        <v>-40378.167324426264</v>
      </c>
      <c r="I258" s="33">
        <f>(Examples!$F$6*Examples!$F$7*Examples!$F$8*EXP(-Examples!$F$9*$A258)*(1-(Examples!$F$12*(1-EXP(-Examples!$F$13*$A258))/(1+EXP(MIN(700,MAX(-700,(Examples!$F$14*$A258-Examples!$F$15)/Examples!$F$16))))))+Examples!$F$17*$A258^2)</f>
        <v>139178.16732442626</v>
      </c>
      <c r="J258" s="33">
        <f>Examples!$G$18-(Examples!$G$10+Examples!$G$11)*$A258-(Examples!$G$6*Examples!$G$7*Examples!$G$8*EXP(-Examples!$G$9*$A258)*(1-(Examples!$G$12*(1-EXP(-Examples!$G$13*$A258))/(1+EXP(MIN(700,MAX(-700,(Examples!$G$14*$A258-Examples!$G$15)/Examples!$G$16))))))+Examples!$G$17*$A258^2)</f>
        <v>729510.96325765573</v>
      </c>
      <c r="K258" s="33">
        <f>(Examples!$G$6*Examples!$G$7*Examples!$G$8*EXP(-Examples!$G$9*$A258)*(1-(Examples!$G$12*(1-EXP(-Examples!$G$13*$A258))/(1+EXP(MIN(700,MAX(-700,(Examples!$G$14*$A258-Examples!$G$15)/Examples!$G$16))))))+Examples!$G$17*$A258^2)</f>
        <v>642489.03674234427</v>
      </c>
      <c r="L258" s="33">
        <f>Examples!$H$18-(Examples!$H$10+Examples!$H$11)*$A258-(Examples!$H$6*Examples!$H$7*Examples!$H$8*EXP(-Examples!$H$9*$A258)*(1-(Examples!$H$12*(1-EXP(-Examples!$H$13*$A258))/(1+EXP(MIN(700,MAX(-700,(Examples!$H$14*$A258-Examples!$H$15)/Examples!$H$16))))))+Examples!$H$17*$A258^2)</f>
        <v>716372.44525978889</v>
      </c>
      <c r="M258" s="33">
        <f>(Examples!$H$6*Examples!$H$7*Examples!$H$8*EXP(-Examples!$H$9*$A258)*(1-(Examples!$H$12*(1-EXP(-Examples!$H$13*$A258))/(1+EXP(MIN(700,MAX(-700,(Examples!$H$14*$A258-Examples!$H$15)/Examples!$H$16))))))+Examples!$H$17*$A258^2)</f>
        <v>655627.55474021111</v>
      </c>
    </row>
    <row r="259" spans="1:13" x14ac:dyDescent="0.25">
      <c r="A259">
        <f>(259-2)/100</f>
        <v>2.57</v>
      </c>
      <c r="B259" s="33">
        <f>Examples!$C$18-(Examples!$C$10+Examples!$C$11)*$A259-(Examples!$C$6*Examples!$C$7*Examples!$C$8*EXP(-Examples!$C$9*$A259)*(1-(Examples!$C$12*(1-EXP(-Examples!$C$13*$A259))/(1+EXP(MIN(700,MAX(-700,(Examples!$C$14*$A259-Examples!$C$15)/Examples!$C$16))))))+Examples!$C$17*$A259^2)</f>
        <v>138465.15469312074</v>
      </c>
      <c r="C259" s="33">
        <f>(Examples!$C$6*Examples!$C$7*Examples!$C$8*EXP(-Examples!$C$9*$A259)*(1-(Examples!$C$12*(1-EXP(-Examples!$C$13*$A259))/(1+EXP(MIN(700,MAX(-700,(Examples!$C$14*$A259-Examples!$C$15)/Examples!$C$16))))))+Examples!$C$17*$A259^2)</f>
        <v>371584.84530687926</v>
      </c>
      <c r="D259" s="33">
        <f>Examples!$D$18-(Examples!$D$10+Examples!$D$11)*$A259-(Examples!$D$6*Examples!$D$7*Examples!$D$8*EXP(-Examples!$D$9*$A259)*(1-(Examples!$D$12*(1-EXP(-Examples!$D$13*$A259))/(1+EXP(MIN(700,MAX(-700,(Examples!$D$14*$A259-Examples!$D$15)/Examples!$D$16))))))+Examples!$D$17*$A259^2)</f>
        <v>1385462.2876642877</v>
      </c>
      <c r="E259" s="33">
        <f>(Examples!$D$6*Examples!$D$7*Examples!$D$8*EXP(-Examples!$D$9*$A259)*(1-(Examples!$D$12*(1-EXP(-Examples!$D$13*$A259))/(1+EXP(MIN(700,MAX(-700,(Examples!$D$14*$A259-Examples!$D$15)/Examples!$D$16))))))+Examples!$D$17*$A259^2)</f>
        <v>998887.71233571239</v>
      </c>
      <c r="F259" s="33">
        <f>Examples!$E$18-(Examples!$E$10+Examples!$E$11)*$A259-(Examples!$E$6*Examples!$E$7*Examples!$E$8*EXP(-Examples!$E$9*$A259)*(1-(Examples!$E$12*(1-EXP(-Examples!$E$13*$A259))/(1+EXP(MIN(700,MAX(-700,(Examples!$E$14*$A259-Examples!$E$15)/Examples!$E$16))))))+Examples!$E$17*$A259^2)</f>
        <v>2478293.397035927</v>
      </c>
      <c r="G259" s="33">
        <f>(Examples!$E$6*Examples!$E$7*Examples!$E$8*EXP(-Examples!$E$9*$A259)*(1-(Examples!$E$12*(1-EXP(-Examples!$E$13*$A259))/(1+EXP(MIN(700,MAX(-700,(Examples!$E$14*$A259-Examples!$E$15)/Examples!$E$16))))))+Examples!$E$17*$A259^2)</f>
        <v>303256.60296407284</v>
      </c>
      <c r="H259" s="33">
        <f>Examples!$F$18-(Examples!$F$10+Examples!$F$11)*$A259-(Examples!$F$6*Examples!$F$7*Examples!$F$8*EXP(-Examples!$F$9*$A259)*(1-(Examples!$F$12*(1-EXP(-Examples!$F$13*$A259))/(1+EXP(MIN(700,MAX(-700,(Examples!$F$14*$A259-Examples!$F$15)/Examples!$F$16))))))+Examples!$F$17*$A259^2)</f>
        <v>-41580.349711786053</v>
      </c>
      <c r="I259" s="33">
        <f>(Examples!$F$6*Examples!$F$7*Examples!$F$8*EXP(-Examples!$F$9*$A259)*(1-(Examples!$F$12*(1-EXP(-Examples!$F$13*$A259))/(1+EXP(MIN(700,MAX(-700,(Examples!$F$14*$A259-Examples!$F$15)/Examples!$F$16))))))+Examples!$F$17*$A259^2)</f>
        <v>140180.34971178605</v>
      </c>
      <c r="J259" s="33">
        <f>Examples!$G$18-(Examples!$G$10+Examples!$G$11)*$A259-(Examples!$G$6*Examples!$G$7*Examples!$G$8*EXP(-Examples!$G$9*$A259)*(1-(Examples!$G$12*(1-EXP(-Examples!$G$13*$A259))/(1+EXP(MIN(700,MAX(-700,(Examples!$G$14*$A259-Examples!$G$15)/Examples!$G$16))))))+Examples!$G$17*$A259^2)</f>
        <v>729529.06055751233</v>
      </c>
      <c r="K259" s="33">
        <f>(Examples!$G$6*Examples!$G$7*Examples!$G$8*EXP(-Examples!$G$9*$A259)*(1-(Examples!$G$12*(1-EXP(-Examples!$G$13*$A259))/(1+EXP(MIN(700,MAX(-700,(Examples!$G$14*$A259-Examples!$G$15)/Examples!$G$16))))))+Examples!$G$17*$A259^2)</f>
        <v>641970.93944248767</v>
      </c>
      <c r="L259" s="33">
        <f>Examples!$H$18-(Examples!$H$10+Examples!$H$11)*$A259-(Examples!$H$6*Examples!$H$7*Examples!$H$8*EXP(-Examples!$H$9*$A259)*(1-(Examples!$H$12*(1-EXP(-Examples!$H$13*$A259))/(1+EXP(MIN(700,MAX(-700,(Examples!$H$14*$A259-Examples!$H$15)/Examples!$H$16))))))+Examples!$H$17*$A259^2)</f>
        <v>714251.88663704915</v>
      </c>
      <c r="M259" s="33">
        <f>(Examples!$H$6*Examples!$H$7*Examples!$H$8*EXP(-Examples!$H$9*$A259)*(1-(Examples!$H$12*(1-EXP(-Examples!$H$13*$A259))/(1+EXP(MIN(700,MAX(-700,(Examples!$H$14*$A259-Examples!$H$15)/Examples!$H$16))))))+Examples!$H$17*$A259^2)</f>
        <v>657248.11336295085</v>
      </c>
    </row>
    <row r="260" spans="1:13" x14ac:dyDescent="0.25">
      <c r="A260">
        <f>(260-2)/100</f>
        <v>2.58</v>
      </c>
      <c r="B260" s="33">
        <f>Examples!$C$18-(Examples!$C$10+Examples!$C$11)*$A260-(Examples!$C$6*Examples!$C$7*Examples!$C$8*EXP(-Examples!$C$9*$A260)*(1-(Examples!$C$12*(1-EXP(-Examples!$C$13*$A260))/(1+EXP(MIN(700,MAX(-700,(Examples!$C$14*$A260-Examples!$C$15)/Examples!$C$16))))))+Examples!$C$17*$A260^2)</f>
        <v>138013.15408829303</v>
      </c>
      <c r="C260" s="33">
        <f>(Examples!$C$6*Examples!$C$7*Examples!$C$8*EXP(-Examples!$C$9*$A260)*(1-(Examples!$C$12*(1-EXP(-Examples!$C$13*$A260))/(1+EXP(MIN(700,MAX(-700,(Examples!$C$14*$A260-Examples!$C$15)/Examples!$C$16))))))+Examples!$C$17*$A260^2)</f>
        <v>371686.84591170697</v>
      </c>
      <c r="D260" s="33">
        <f>Examples!$D$18-(Examples!$D$10+Examples!$D$11)*$A260-(Examples!$D$6*Examples!$D$7*Examples!$D$8*EXP(-Examples!$D$9*$A260)*(1-(Examples!$D$12*(1-EXP(-Examples!$D$13*$A260))/(1+EXP(MIN(700,MAX(-700,(Examples!$D$14*$A260-Examples!$D$15)/Examples!$D$16))))))+Examples!$D$17*$A260^2)</f>
        <v>1388471.6959654926</v>
      </c>
      <c r="E260" s="33">
        <f>(Examples!$D$6*Examples!$D$7*Examples!$D$8*EXP(-Examples!$D$9*$A260)*(1-(Examples!$D$12*(1-EXP(-Examples!$D$13*$A260))/(1+EXP(MIN(700,MAX(-700,(Examples!$D$14*$A260-Examples!$D$15)/Examples!$D$16))))))+Examples!$D$17*$A260^2)</f>
        <v>995428.30403450748</v>
      </c>
      <c r="F260" s="33">
        <f>Examples!$E$18-(Examples!$E$10+Examples!$E$11)*$A260-(Examples!$E$6*Examples!$E$7*Examples!$E$8*EXP(-Examples!$E$9*$A260)*(1-(Examples!$E$12*(1-EXP(-Examples!$E$13*$A260))/(1+EXP(MIN(700,MAX(-700,(Examples!$E$14*$A260-Examples!$E$15)/Examples!$E$16))))))+Examples!$E$17*$A260^2)</f>
        <v>2478876.434552582</v>
      </c>
      <c r="G260" s="33">
        <f>(Examples!$E$6*Examples!$E$7*Examples!$E$8*EXP(-Examples!$E$9*$A260)*(1-(Examples!$E$12*(1-EXP(-Examples!$E$13*$A260))/(1+EXP(MIN(700,MAX(-700,(Examples!$E$14*$A260-Examples!$E$15)/Examples!$E$16))))))+Examples!$E$17*$A260^2)</f>
        <v>301823.56544741825</v>
      </c>
      <c r="H260" s="33">
        <f>Examples!$F$18-(Examples!$F$10+Examples!$F$11)*$A260-(Examples!$F$6*Examples!$F$7*Examples!$F$8*EXP(-Examples!$F$9*$A260)*(1-(Examples!$F$12*(1-EXP(-Examples!$F$13*$A260))/(1+EXP(MIN(700,MAX(-700,(Examples!$F$14*$A260-Examples!$F$15)/Examples!$F$16))))))+Examples!$F$17*$A260^2)</f>
        <v>-42786.585481107119</v>
      </c>
      <c r="I260" s="33">
        <f>(Examples!$F$6*Examples!$F$7*Examples!$F$8*EXP(-Examples!$F$9*$A260)*(1-(Examples!$F$12*(1-EXP(-Examples!$F$13*$A260))/(1+EXP(MIN(700,MAX(-700,(Examples!$F$14*$A260-Examples!$F$15)/Examples!$F$16))))))+Examples!$F$17*$A260^2)</f>
        <v>141186.58548110712</v>
      </c>
      <c r="J260" s="33">
        <f>Examples!$G$18-(Examples!$G$10+Examples!$G$11)*$A260-(Examples!$G$6*Examples!$G$7*Examples!$G$8*EXP(-Examples!$G$9*$A260)*(1-(Examples!$G$12*(1-EXP(-Examples!$G$13*$A260))/(1+EXP(MIN(700,MAX(-700,(Examples!$G$14*$A260-Examples!$G$15)/Examples!$G$16))))))+Examples!$G$17*$A260^2)</f>
        <v>729539.13689463923</v>
      </c>
      <c r="K260" s="33">
        <f>(Examples!$G$6*Examples!$G$7*Examples!$G$8*EXP(-Examples!$G$9*$A260)*(1-(Examples!$G$12*(1-EXP(-Examples!$G$13*$A260))/(1+EXP(MIN(700,MAX(-700,(Examples!$G$14*$A260-Examples!$G$15)/Examples!$G$16))))))+Examples!$G$17*$A260^2)</f>
        <v>641460.86310536077</v>
      </c>
      <c r="L260" s="33">
        <f>Examples!$H$18-(Examples!$H$10+Examples!$H$11)*$A260-(Examples!$H$6*Examples!$H$7*Examples!$H$8*EXP(-Examples!$H$9*$A260)*(1-(Examples!$H$12*(1-EXP(-Examples!$H$13*$A260))/(1+EXP(MIN(700,MAX(-700,(Examples!$H$14*$A260-Examples!$H$15)/Examples!$H$16))))))+Examples!$H$17*$A260^2)</f>
        <v>712142.60690399655</v>
      </c>
      <c r="M260" s="33">
        <f>(Examples!$H$6*Examples!$H$7*Examples!$H$8*EXP(-Examples!$H$9*$A260)*(1-(Examples!$H$12*(1-EXP(-Examples!$H$13*$A260))/(1+EXP(MIN(700,MAX(-700,(Examples!$H$14*$A260-Examples!$H$15)/Examples!$H$16))))))+Examples!$H$17*$A260^2)</f>
        <v>658857.39309600345</v>
      </c>
    </row>
    <row r="261" spans="1:13" x14ac:dyDescent="0.25">
      <c r="A261">
        <f>(261-2)/100</f>
        <v>2.59</v>
      </c>
      <c r="B261" s="33">
        <f>Examples!$C$18-(Examples!$C$10+Examples!$C$11)*$A261-(Examples!$C$6*Examples!$C$7*Examples!$C$8*EXP(-Examples!$C$9*$A261)*(1-(Examples!$C$12*(1-EXP(-Examples!$C$13*$A261))/(1+EXP(MIN(700,MAX(-700,(Examples!$C$14*$A261-Examples!$C$15)/Examples!$C$16))))))+Examples!$C$17*$A261^2)</f>
        <v>137560.5264965992</v>
      </c>
      <c r="C261" s="33">
        <f>(Examples!$C$6*Examples!$C$7*Examples!$C$8*EXP(-Examples!$C$9*$A261)*(1-(Examples!$C$12*(1-EXP(-Examples!$C$13*$A261))/(1+EXP(MIN(700,MAX(-700,(Examples!$C$14*$A261-Examples!$C$15)/Examples!$C$16))))))+Examples!$C$17*$A261^2)</f>
        <v>371789.4735034008</v>
      </c>
      <c r="D261" s="33">
        <f>Examples!$D$18-(Examples!$D$10+Examples!$D$11)*$A261-(Examples!$D$6*Examples!$D$7*Examples!$D$8*EXP(-Examples!$D$9*$A261)*(1-(Examples!$D$12*(1-EXP(-Examples!$D$13*$A261))/(1+EXP(MIN(700,MAX(-700,(Examples!$D$14*$A261-Examples!$D$15)/Examples!$D$16))))))+Examples!$D$17*$A261^2)</f>
        <v>1391432.0801763337</v>
      </c>
      <c r="E261" s="33">
        <f>(Examples!$D$6*Examples!$D$7*Examples!$D$8*EXP(-Examples!$D$9*$A261)*(1-(Examples!$D$12*(1-EXP(-Examples!$D$13*$A261))/(1+EXP(MIN(700,MAX(-700,(Examples!$D$14*$A261-Examples!$D$15)/Examples!$D$16))))))+Examples!$D$17*$A261^2)</f>
        <v>992017.91982366634</v>
      </c>
      <c r="F261" s="33">
        <f>Examples!$E$18-(Examples!$E$10+Examples!$E$11)*$A261-(Examples!$E$6*Examples!$E$7*Examples!$E$8*EXP(-Examples!$E$9*$A261)*(1-(Examples!$E$12*(1-EXP(-Examples!$E$13*$A261))/(1+EXP(MIN(700,MAX(-700,(Examples!$E$14*$A261-Examples!$E$15)/Examples!$E$16))))))+Examples!$E$17*$A261^2)</f>
        <v>2479441.61917332</v>
      </c>
      <c r="G261" s="33">
        <f>(Examples!$E$6*Examples!$E$7*Examples!$E$8*EXP(-Examples!$E$9*$A261)*(1-(Examples!$E$12*(1-EXP(-Examples!$E$13*$A261))/(1+EXP(MIN(700,MAX(-700,(Examples!$E$14*$A261-Examples!$E$15)/Examples!$E$16))))))+Examples!$E$17*$A261^2)</f>
        <v>300408.38082667982</v>
      </c>
      <c r="H261" s="33">
        <f>Examples!$F$18-(Examples!$F$10+Examples!$F$11)*$A261-(Examples!$F$6*Examples!$F$7*Examples!$F$8*EXP(-Examples!$F$9*$A261)*(1-(Examples!$F$12*(1-EXP(-Examples!$F$13*$A261))/(1+EXP(MIN(700,MAX(-700,(Examples!$F$14*$A261-Examples!$F$15)/Examples!$F$16))))))+Examples!$F$17*$A261^2)</f>
        <v>-43996.875149839791</v>
      </c>
      <c r="I261" s="33">
        <f>(Examples!$F$6*Examples!$F$7*Examples!$F$8*EXP(-Examples!$F$9*$A261)*(1-(Examples!$F$12*(1-EXP(-Examples!$F$13*$A261))/(1+EXP(MIN(700,MAX(-700,(Examples!$F$14*$A261-Examples!$F$15)/Examples!$F$16))))))+Examples!$F$17*$A261^2)</f>
        <v>142196.87514983979</v>
      </c>
      <c r="J261" s="33">
        <f>Examples!$G$18-(Examples!$G$10+Examples!$G$11)*$A261-(Examples!$G$6*Examples!$G$7*Examples!$G$8*EXP(-Examples!$G$9*$A261)*(1-(Examples!$G$12*(1-EXP(-Examples!$G$13*$A261))/(1+EXP(MIN(700,MAX(-700,(Examples!$G$14*$A261-Examples!$G$15)/Examples!$G$16))))))+Examples!$G$17*$A261^2)</f>
        <v>729541.44898766768</v>
      </c>
      <c r="K261" s="33">
        <f>(Examples!$G$6*Examples!$G$7*Examples!$G$8*EXP(-Examples!$G$9*$A261)*(1-(Examples!$G$12*(1-EXP(-Examples!$G$13*$A261))/(1+EXP(MIN(700,MAX(-700,(Examples!$G$14*$A261-Examples!$G$15)/Examples!$G$16))))))+Examples!$G$17*$A261^2)</f>
        <v>640958.55101233232</v>
      </c>
      <c r="L261" s="33">
        <f>Examples!$H$18-(Examples!$H$10+Examples!$H$11)*$A261-(Examples!$H$6*Examples!$H$7*Examples!$H$8*EXP(-Examples!$H$9*$A261)*(1-(Examples!$H$12*(1-EXP(-Examples!$H$13*$A261))/(1+EXP(MIN(700,MAX(-700,(Examples!$H$14*$A261-Examples!$H$15)/Examples!$H$16))))))+Examples!$H$17*$A261^2)</f>
        <v>710046.54507466569</v>
      </c>
      <c r="M261" s="33">
        <f>(Examples!$H$6*Examples!$H$7*Examples!$H$8*EXP(-Examples!$H$9*$A261)*(1-(Examples!$H$12*(1-EXP(-Examples!$H$13*$A261))/(1+EXP(MIN(700,MAX(-700,(Examples!$H$14*$A261-Examples!$H$15)/Examples!$H$16))))))+Examples!$H$17*$A261^2)</f>
        <v>660453.45492533431</v>
      </c>
    </row>
    <row r="262" spans="1:13" x14ac:dyDescent="0.25">
      <c r="A262">
        <f>(262-2)/100</f>
        <v>2.6</v>
      </c>
      <c r="B262" s="33">
        <f>Examples!$C$18-(Examples!$C$10+Examples!$C$11)*$A262-(Examples!$C$6*Examples!$C$7*Examples!$C$8*EXP(-Examples!$C$9*$A262)*(1-(Examples!$C$12*(1-EXP(-Examples!$C$13*$A262))/(1+EXP(MIN(700,MAX(-700,(Examples!$C$14*$A262-Examples!$C$15)/Examples!$C$16))))))+Examples!$C$17*$A262^2)</f>
        <v>137107.14933308965</v>
      </c>
      <c r="C262" s="33">
        <f>(Examples!$C$6*Examples!$C$7*Examples!$C$8*EXP(-Examples!$C$9*$A262)*(1-(Examples!$C$12*(1-EXP(-Examples!$C$13*$A262))/(1+EXP(MIN(700,MAX(-700,(Examples!$C$14*$A262-Examples!$C$15)/Examples!$C$16))))))+Examples!$C$17*$A262^2)</f>
        <v>371892.85066691035</v>
      </c>
      <c r="D262" s="33">
        <f>Examples!$D$18-(Examples!$D$10+Examples!$D$11)*$A262-(Examples!$D$6*Examples!$D$7*Examples!$D$8*EXP(-Examples!$D$9*$A262)*(1-(Examples!$D$12*(1-EXP(-Examples!$D$13*$A262))/(1+EXP(MIN(700,MAX(-700,(Examples!$D$14*$A262-Examples!$D$15)/Examples!$D$16))))))+Examples!$D$17*$A262^2)</f>
        <v>1394343.9243211369</v>
      </c>
      <c r="E262" s="33">
        <f>(Examples!$D$6*Examples!$D$7*Examples!$D$8*EXP(-Examples!$D$9*$A262)*(1-(Examples!$D$12*(1-EXP(-Examples!$D$13*$A262))/(1+EXP(MIN(700,MAX(-700,(Examples!$D$14*$A262-Examples!$D$15)/Examples!$D$16))))))+Examples!$D$17*$A262^2)</f>
        <v>988656.0756788631</v>
      </c>
      <c r="F262" s="33">
        <f>Examples!$E$18-(Examples!$E$10+Examples!$E$11)*$A262-(Examples!$E$6*Examples!$E$7*Examples!$E$8*EXP(-Examples!$E$9*$A262)*(1-(Examples!$E$12*(1-EXP(-Examples!$E$13*$A262))/(1+EXP(MIN(700,MAX(-700,(Examples!$E$14*$A262-Examples!$E$15)/Examples!$E$16))))))+Examples!$E$17*$A262^2)</f>
        <v>2479989.1483994294</v>
      </c>
      <c r="G262" s="33">
        <f>(Examples!$E$6*Examples!$E$7*Examples!$E$8*EXP(-Examples!$E$9*$A262)*(1-(Examples!$E$12*(1-EXP(-Examples!$E$13*$A262))/(1+EXP(MIN(700,MAX(-700,(Examples!$E$14*$A262-Examples!$E$15)/Examples!$E$16))))))+Examples!$E$17*$A262^2)</f>
        <v>299010.85160057066</v>
      </c>
      <c r="H262" s="33">
        <f>Examples!$F$18-(Examples!$F$10+Examples!$F$11)*$A262-(Examples!$F$6*Examples!$F$7*Examples!$F$8*EXP(-Examples!$F$9*$A262)*(1-(Examples!$F$12*(1-EXP(-Examples!$F$13*$A262))/(1+EXP(MIN(700,MAX(-700,(Examples!$F$14*$A262-Examples!$F$15)/Examples!$F$16))))))+Examples!$F$17*$A262^2)</f>
        <v>-45211.219209472183</v>
      </c>
      <c r="I262" s="33">
        <f>(Examples!$F$6*Examples!$F$7*Examples!$F$8*EXP(-Examples!$F$9*$A262)*(1-(Examples!$F$12*(1-EXP(-Examples!$F$13*$A262))/(1+EXP(MIN(700,MAX(-700,(Examples!$F$14*$A262-Examples!$F$15)/Examples!$F$16))))))+Examples!$F$17*$A262^2)</f>
        <v>143211.21920947218</v>
      </c>
      <c r="J262" s="33">
        <f>Examples!$G$18-(Examples!$G$10+Examples!$G$11)*$A262-(Examples!$G$6*Examples!$G$7*Examples!$G$8*EXP(-Examples!$G$9*$A262)*(1-(Examples!$G$12*(1-EXP(-Examples!$G$13*$A262))/(1+EXP(MIN(700,MAX(-700,(Examples!$G$14*$A262-Examples!$G$15)/Examples!$G$16))))))+Examples!$G$17*$A262^2)</f>
        <v>729536.25060582242</v>
      </c>
      <c r="K262" s="33">
        <f>(Examples!$G$6*Examples!$G$7*Examples!$G$8*EXP(-Examples!$G$9*$A262)*(1-(Examples!$G$12*(1-EXP(-Examples!$G$13*$A262))/(1+EXP(MIN(700,MAX(-700,(Examples!$G$14*$A262-Examples!$G$15)/Examples!$G$16))))))+Examples!$G$17*$A262^2)</f>
        <v>640463.74939417758</v>
      </c>
      <c r="L262" s="33">
        <f>Examples!$H$18-(Examples!$H$10+Examples!$H$11)*$A262-(Examples!$H$6*Examples!$H$7*Examples!$H$8*EXP(-Examples!$H$9*$A262)*(1-(Examples!$H$12*(1-EXP(-Examples!$H$13*$A262))/(1+EXP(MIN(700,MAX(-700,(Examples!$H$14*$A262-Examples!$H$15)/Examples!$H$16))))))+Examples!$H$17*$A262^2)</f>
        <v>707965.59452403081</v>
      </c>
      <c r="M262" s="33">
        <f>(Examples!$H$6*Examples!$H$7*Examples!$H$8*EXP(-Examples!$H$9*$A262)*(1-(Examples!$H$12*(1-EXP(-Examples!$H$13*$A262))/(1+EXP(MIN(700,MAX(-700,(Examples!$H$14*$A262-Examples!$H$15)/Examples!$H$16))))))+Examples!$H$17*$A262^2)</f>
        <v>662034.40547596919</v>
      </c>
    </row>
    <row r="263" spans="1:13" x14ac:dyDescent="0.25">
      <c r="A263">
        <f>(263-2)/100</f>
        <v>2.61</v>
      </c>
      <c r="B263" s="33">
        <f>Examples!$C$18-(Examples!$C$10+Examples!$C$11)*$A263-(Examples!$C$6*Examples!$C$7*Examples!$C$8*EXP(-Examples!$C$9*$A263)*(1-(Examples!$C$12*(1-EXP(-Examples!$C$13*$A263))/(1+EXP(MIN(700,MAX(-700,(Examples!$C$14*$A263-Examples!$C$15)/Examples!$C$16))))))+Examples!$C$17*$A263^2)</f>
        <v>136652.90244288283</v>
      </c>
      <c r="C263" s="33">
        <f>(Examples!$C$6*Examples!$C$7*Examples!$C$8*EXP(-Examples!$C$9*$A263)*(1-(Examples!$C$12*(1-EXP(-Examples!$C$13*$A263))/(1+EXP(MIN(700,MAX(-700,(Examples!$C$14*$A263-Examples!$C$15)/Examples!$C$16))))))+Examples!$C$17*$A263^2)</f>
        <v>371997.09755711717</v>
      </c>
      <c r="D263" s="33">
        <f>Examples!$D$18-(Examples!$D$10+Examples!$D$11)*$A263-(Examples!$D$6*Examples!$D$7*Examples!$D$8*EXP(-Examples!$D$9*$A263)*(1-(Examples!$D$12*(1-EXP(-Examples!$D$13*$A263))/(1+EXP(MIN(700,MAX(-700,(Examples!$D$14*$A263-Examples!$D$15)/Examples!$D$16))))))+Examples!$D$17*$A263^2)</f>
        <v>1397207.7109229071</v>
      </c>
      <c r="E263" s="33">
        <f>(Examples!$D$6*Examples!$D$7*Examples!$D$8*EXP(-Examples!$D$9*$A263)*(1-(Examples!$D$12*(1-EXP(-Examples!$D$13*$A263))/(1+EXP(MIN(700,MAX(-700,(Examples!$D$14*$A263-Examples!$D$15)/Examples!$D$16))))))+Examples!$D$17*$A263^2)</f>
        <v>985342.28907709278</v>
      </c>
      <c r="F263" s="33">
        <f>Examples!$E$18-(Examples!$E$10+Examples!$E$11)*$A263-(Examples!$E$6*Examples!$E$7*Examples!$E$8*EXP(-Examples!$E$9*$A263)*(1-(Examples!$E$12*(1-EXP(-Examples!$E$13*$A263))/(1+EXP(MIN(700,MAX(-700,(Examples!$E$14*$A263-Examples!$E$15)/Examples!$E$16))))))+Examples!$E$17*$A263^2)</f>
        <v>2480519.2175804367</v>
      </c>
      <c r="G263" s="33">
        <f>(Examples!$E$6*Examples!$E$7*Examples!$E$8*EXP(-Examples!$E$9*$A263)*(1-(Examples!$E$12*(1-EXP(-Examples!$E$13*$A263))/(1+EXP(MIN(700,MAX(-700,(Examples!$E$14*$A263-Examples!$E$15)/Examples!$E$16))))))+Examples!$E$17*$A263^2)</f>
        <v>297630.78241956339</v>
      </c>
      <c r="H263" s="33">
        <f>Examples!$F$18-(Examples!$F$10+Examples!$F$11)*$A263-(Examples!$F$6*Examples!$F$7*Examples!$F$8*EXP(-Examples!$F$9*$A263)*(1-(Examples!$F$12*(1-EXP(-Examples!$F$13*$A263))/(1+EXP(MIN(700,MAX(-700,(Examples!$F$14*$A263-Examples!$F$15)/Examples!$F$16))))))+Examples!$F$17*$A263^2)</f>
        <v>-46429.618126409856</v>
      </c>
      <c r="I263" s="33">
        <f>(Examples!$F$6*Examples!$F$7*Examples!$F$8*EXP(-Examples!$F$9*$A263)*(1-(Examples!$F$12*(1-EXP(-Examples!$F$13*$A263))/(1+EXP(MIN(700,MAX(-700,(Examples!$F$14*$A263-Examples!$F$15)/Examples!$F$16))))))+Examples!$F$17*$A263^2)</f>
        <v>144229.61812640986</v>
      </c>
      <c r="J263" s="33">
        <f>Examples!$G$18-(Examples!$G$10+Examples!$G$11)*$A263-(Examples!$G$6*Examples!$G$7*Examples!$G$8*EXP(-Examples!$G$9*$A263)*(1-(Examples!$G$12*(1-EXP(-Examples!$G$13*$A263))/(1+EXP(MIN(700,MAX(-700,(Examples!$G$14*$A263-Examples!$G$15)/Examples!$G$16))))))+Examples!$G$17*$A263^2)</f>
        <v>729523.79252959823</v>
      </c>
      <c r="K263" s="33">
        <f>(Examples!$G$6*Examples!$G$7*Examples!$G$8*EXP(-Examples!$G$9*$A263)*(1-(Examples!$G$12*(1-EXP(-Examples!$G$13*$A263))/(1+EXP(MIN(700,MAX(-700,(Examples!$G$14*$A263-Examples!$G$15)/Examples!$G$16))))))+Examples!$G$17*$A263^2)</f>
        <v>639976.20747040177</v>
      </c>
      <c r="L263" s="33">
        <f>Examples!$H$18-(Examples!$H$10+Examples!$H$11)*$A263-(Examples!$H$6*Examples!$H$7*Examples!$H$8*EXP(-Examples!$H$9*$A263)*(1-(Examples!$H$12*(1-EXP(-Examples!$H$13*$A263))/(1+EXP(MIN(700,MAX(-700,(Examples!$H$14*$A263-Examples!$H$15)/Examples!$H$16))))))+Examples!$H$17*$A263^2)</f>
        <v>705901.59977563494</v>
      </c>
      <c r="M263" s="33">
        <f>(Examples!$H$6*Examples!$H$7*Examples!$H$8*EXP(-Examples!$H$9*$A263)*(1-(Examples!$H$12*(1-EXP(-Examples!$H$13*$A263))/(1+EXP(MIN(700,MAX(-700,(Examples!$H$14*$A263-Examples!$H$15)/Examples!$H$16))))))+Examples!$H$17*$A263^2)</f>
        <v>663598.40022436506</v>
      </c>
    </row>
    <row r="264" spans="1:13" x14ac:dyDescent="0.25">
      <c r="A264">
        <f>(264-2)/100</f>
        <v>2.62</v>
      </c>
      <c r="B264" s="33">
        <f>Examples!$C$18-(Examples!$C$10+Examples!$C$11)*$A264-(Examples!$C$6*Examples!$C$7*Examples!$C$8*EXP(-Examples!$C$9*$A264)*(1-(Examples!$C$12*(1-EXP(-Examples!$C$13*$A264))/(1+EXP(MIN(700,MAX(-700,(Examples!$C$14*$A264-Examples!$C$15)/Examples!$C$16))))))+Examples!$C$17*$A264^2)</f>
        <v>136197.6681214493</v>
      </c>
      <c r="C264" s="33">
        <f>(Examples!$C$6*Examples!$C$7*Examples!$C$8*EXP(-Examples!$C$9*$A264)*(1-(Examples!$C$12*(1-EXP(-Examples!$C$13*$A264))/(1+EXP(MIN(700,MAX(-700,(Examples!$C$14*$A264-Examples!$C$15)/Examples!$C$16))))))+Examples!$C$17*$A264^2)</f>
        <v>372102.3318785507</v>
      </c>
      <c r="D264" s="33">
        <f>Examples!$D$18-(Examples!$D$10+Examples!$D$11)*$A264-(Examples!$D$6*Examples!$D$7*Examples!$D$8*EXP(-Examples!$D$9*$A264)*(1-(Examples!$D$12*(1-EXP(-Examples!$D$13*$A264))/(1+EXP(MIN(700,MAX(-700,(Examples!$D$14*$A264-Examples!$D$15)/Examples!$D$16))))))+Examples!$D$17*$A264^2)</f>
        <v>1400023.9210513388</v>
      </c>
      <c r="E264" s="33">
        <f>(Examples!$D$6*Examples!$D$7*Examples!$D$8*EXP(-Examples!$D$9*$A264)*(1-(Examples!$D$12*(1-EXP(-Examples!$D$13*$A264))/(1+EXP(MIN(700,MAX(-700,(Examples!$D$14*$A264-Examples!$D$15)/Examples!$D$16))))))+Examples!$D$17*$A264^2)</f>
        <v>982076.07894866122</v>
      </c>
      <c r="F264" s="33">
        <f>Examples!$E$18-(Examples!$E$10+Examples!$E$11)*$A264-(Examples!$E$6*Examples!$E$7*Examples!$E$8*EXP(-Examples!$E$9*$A264)*(1-(Examples!$E$12*(1-EXP(-Examples!$E$13*$A264))/(1+EXP(MIN(700,MAX(-700,(Examples!$E$14*$A264-Examples!$E$15)/Examples!$E$16))))))+Examples!$E$17*$A264^2)</f>
        <v>2481032.0199396731</v>
      </c>
      <c r="G264" s="33">
        <f>(Examples!$E$6*Examples!$E$7*Examples!$E$8*EXP(-Examples!$E$9*$A264)*(1-(Examples!$E$12*(1-EXP(-Examples!$E$13*$A264))/(1+EXP(MIN(700,MAX(-700,(Examples!$E$14*$A264-Examples!$E$15)/Examples!$E$16))))))+Examples!$E$17*$A264^2)</f>
        <v>296267.98006032675</v>
      </c>
      <c r="H264" s="33">
        <f>Examples!$F$18-(Examples!$F$10+Examples!$F$11)*$A264-(Examples!$F$6*Examples!$F$7*Examples!$F$8*EXP(-Examples!$F$9*$A264)*(1-(Examples!$F$12*(1-EXP(-Examples!$F$13*$A264))/(1+EXP(MIN(700,MAX(-700,(Examples!$F$14*$A264-Examples!$F$15)/Examples!$F$16))))))+Examples!$F$17*$A264^2)</f>
        <v>-47652.072342833155</v>
      </c>
      <c r="I264" s="33">
        <f>(Examples!$F$6*Examples!$F$7*Examples!$F$8*EXP(-Examples!$F$9*$A264)*(1-(Examples!$F$12*(1-EXP(-Examples!$F$13*$A264))/(1+EXP(MIN(700,MAX(-700,(Examples!$F$14*$A264-Examples!$F$15)/Examples!$F$16))))))+Examples!$F$17*$A264^2)</f>
        <v>145252.07234283315</v>
      </c>
      <c r="J264" s="33">
        <f>Examples!$G$18-(Examples!$G$10+Examples!$G$11)*$A264-(Examples!$G$6*Examples!$G$7*Examples!$G$8*EXP(-Examples!$G$9*$A264)*(1-(Examples!$G$12*(1-EXP(-Examples!$G$13*$A264))/(1+EXP(MIN(700,MAX(-700,(Examples!$G$14*$A264-Examples!$G$15)/Examples!$G$16))))))+Examples!$G$17*$A264^2)</f>
        <v>729504.32251255831</v>
      </c>
      <c r="K264" s="33">
        <f>(Examples!$G$6*Examples!$G$7*Examples!$G$8*EXP(-Examples!$G$9*$A264)*(1-(Examples!$G$12*(1-EXP(-Examples!$G$13*$A264))/(1+EXP(MIN(700,MAX(-700,(Examples!$G$14*$A264-Examples!$G$15)/Examples!$G$16))))))+Examples!$G$17*$A264^2)</f>
        <v>639495.67748744169</v>
      </c>
      <c r="L264" s="33">
        <f>Examples!$H$18-(Examples!$H$10+Examples!$H$11)*$A264-(Examples!$H$6*Examples!$H$7*Examples!$H$8*EXP(-Examples!$H$9*$A264)*(1-(Examples!$H$12*(1-EXP(-Examples!$H$13*$A264))/(1+EXP(MIN(700,MAX(-700,(Examples!$H$14*$A264-Examples!$H$15)/Examples!$H$16))))))+Examples!$H$17*$A264^2)</f>
        <v>703856.35347046494</v>
      </c>
      <c r="M264" s="33">
        <f>(Examples!$H$6*Examples!$H$7*Examples!$H$8*EXP(-Examples!$H$9*$A264)*(1-(Examples!$H$12*(1-EXP(-Examples!$H$13*$A264))/(1+EXP(MIN(700,MAX(-700,(Examples!$H$14*$A264-Examples!$H$15)/Examples!$H$16))))))+Examples!$H$17*$A264^2)</f>
        <v>665143.64652953506</v>
      </c>
    </row>
    <row r="265" spans="1:13" x14ac:dyDescent="0.25">
      <c r="A265">
        <f>(265-2)/100</f>
        <v>2.63</v>
      </c>
      <c r="B265" s="33">
        <f>Examples!$C$18-(Examples!$C$10+Examples!$C$11)*$A265-(Examples!$C$6*Examples!$C$7*Examples!$C$8*EXP(-Examples!$C$9*$A265)*(1-(Examples!$C$12*(1-EXP(-Examples!$C$13*$A265))/(1+EXP(MIN(700,MAX(-700,(Examples!$C$14*$A265-Examples!$C$15)/Examples!$C$16))))))+Examples!$C$17*$A265^2)</f>
        <v>135741.33112929726</v>
      </c>
      <c r="C265" s="33">
        <f>(Examples!$C$6*Examples!$C$7*Examples!$C$8*EXP(-Examples!$C$9*$A265)*(1-(Examples!$C$12*(1-EXP(-Examples!$C$13*$A265))/(1+EXP(MIN(700,MAX(-700,(Examples!$C$14*$A265-Examples!$C$15)/Examples!$C$16))))))+Examples!$C$17*$A265^2)</f>
        <v>372208.66887070274</v>
      </c>
      <c r="D265" s="33">
        <f>Examples!$D$18-(Examples!$D$10+Examples!$D$11)*$A265-(Examples!$D$6*Examples!$D$7*Examples!$D$8*EXP(-Examples!$D$9*$A265)*(1-(Examples!$D$12*(1-EXP(-Examples!$D$13*$A265))/(1+EXP(MIN(700,MAX(-700,(Examples!$D$14*$A265-Examples!$D$15)/Examples!$D$16))))))+Examples!$D$17*$A265^2)</f>
        <v>1402793.0343695928</v>
      </c>
      <c r="E265" s="33">
        <f>(Examples!$D$6*Examples!$D$7*Examples!$D$8*EXP(-Examples!$D$9*$A265)*(1-(Examples!$D$12*(1-EXP(-Examples!$D$13*$A265))/(1+EXP(MIN(700,MAX(-700,(Examples!$D$14*$A265-Examples!$D$15)/Examples!$D$16))))))+Examples!$D$17*$A265^2)</f>
        <v>978856.96563040721</v>
      </c>
      <c r="F265" s="33">
        <f>Examples!$E$18-(Examples!$E$10+Examples!$E$11)*$A265-(Examples!$E$6*Examples!$E$7*Examples!$E$8*EXP(-Examples!$E$9*$A265)*(1-(Examples!$E$12*(1-EXP(-Examples!$E$13*$A265))/(1+EXP(MIN(700,MAX(-700,(Examples!$E$14*$A265-Examples!$E$15)/Examples!$E$16))))))+Examples!$E$17*$A265^2)</f>
        <v>2481527.7465995261</v>
      </c>
      <c r="G265" s="33">
        <f>(Examples!$E$6*Examples!$E$7*Examples!$E$8*EXP(-Examples!$E$9*$A265)*(1-(Examples!$E$12*(1-EXP(-Examples!$E$13*$A265))/(1+EXP(MIN(700,MAX(-700,(Examples!$E$14*$A265-Examples!$E$15)/Examples!$E$16))))))+Examples!$E$17*$A265^2)</f>
        <v>294922.25340047409</v>
      </c>
      <c r="H265" s="33">
        <f>Examples!$F$18-(Examples!$F$10+Examples!$F$11)*$A265-(Examples!$F$6*Examples!$F$7*Examples!$F$8*EXP(-Examples!$F$9*$A265)*(1-(Examples!$F$12*(1-EXP(-Examples!$F$13*$A265))/(1+EXP(MIN(700,MAX(-700,(Examples!$F$14*$A265-Examples!$F$15)/Examples!$F$16))))))+Examples!$F$17*$A265^2)</f>
        <v>-48878.582277530513</v>
      </c>
      <c r="I265" s="33">
        <f>(Examples!$F$6*Examples!$F$7*Examples!$F$8*EXP(-Examples!$F$9*$A265)*(1-(Examples!$F$12*(1-EXP(-Examples!$F$13*$A265))/(1+EXP(MIN(700,MAX(-700,(Examples!$F$14*$A265-Examples!$F$15)/Examples!$F$16))))))+Examples!$F$17*$A265^2)</f>
        <v>146278.58227753051</v>
      </c>
      <c r="J265" s="33">
        <f>Examples!$G$18-(Examples!$G$10+Examples!$G$11)*$A265-(Examples!$G$6*Examples!$G$7*Examples!$G$8*EXP(-Examples!$G$9*$A265)*(1-(Examples!$G$12*(1-EXP(-Examples!$G$13*$A265))/(1+EXP(MIN(700,MAX(-700,(Examples!$G$14*$A265-Examples!$G$15)/Examples!$G$16))))))+Examples!$G$17*$A265^2)</f>
        <v>729478.08524428599</v>
      </c>
      <c r="K265" s="33">
        <f>(Examples!$G$6*Examples!$G$7*Examples!$G$8*EXP(-Examples!$G$9*$A265)*(1-(Examples!$G$12*(1-EXP(-Examples!$G$13*$A265))/(1+EXP(MIN(700,MAX(-700,(Examples!$G$14*$A265-Examples!$G$15)/Examples!$G$16))))))+Examples!$G$17*$A265^2)</f>
        <v>639021.91475571401</v>
      </c>
      <c r="L265" s="33">
        <f>Examples!$H$18-(Examples!$H$10+Examples!$H$11)*$A265-(Examples!$H$6*Examples!$H$7*Examples!$H$8*EXP(-Examples!$H$9*$A265)*(1-(Examples!$H$12*(1-EXP(-Examples!$H$13*$A265))/(1+EXP(MIN(700,MAX(-700,(Examples!$H$14*$A265-Examples!$H$15)/Examples!$H$16))))))+Examples!$H$17*$A265^2)</f>
        <v>701831.59352760506</v>
      </c>
      <c r="M265" s="33">
        <f>(Examples!$H$6*Examples!$H$7*Examples!$H$8*EXP(-Examples!$H$9*$A265)*(1-(Examples!$H$12*(1-EXP(-Examples!$H$13*$A265))/(1+EXP(MIN(700,MAX(-700,(Examples!$H$14*$A265-Examples!$H$15)/Examples!$H$16))))))+Examples!$H$17*$A265^2)</f>
        <v>666668.40647239494</v>
      </c>
    </row>
    <row r="266" spans="1:13" x14ac:dyDescent="0.25">
      <c r="A266">
        <f>(266-2)/100</f>
        <v>2.64</v>
      </c>
      <c r="B266" s="33">
        <f>Examples!$C$18-(Examples!$C$10+Examples!$C$11)*$A266-(Examples!$C$6*Examples!$C$7*Examples!$C$8*EXP(-Examples!$C$9*$A266)*(1-(Examples!$C$12*(1-EXP(-Examples!$C$13*$A266))/(1+EXP(MIN(700,MAX(-700,(Examples!$C$14*$A266-Examples!$C$15)/Examples!$C$16))))))+Examples!$C$17*$A266^2)</f>
        <v>135283.77870143589</v>
      </c>
      <c r="C266" s="33">
        <f>(Examples!$C$6*Examples!$C$7*Examples!$C$8*EXP(-Examples!$C$9*$A266)*(1-(Examples!$C$12*(1-EXP(-Examples!$C$13*$A266))/(1+EXP(MIN(700,MAX(-700,(Examples!$C$14*$A266-Examples!$C$15)/Examples!$C$16))))))+Examples!$C$17*$A266^2)</f>
        <v>372316.22129856411</v>
      </c>
      <c r="D266" s="33">
        <f>Examples!$D$18-(Examples!$D$10+Examples!$D$11)*$A266-(Examples!$D$6*Examples!$D$7*Examples!$D$8*EXP(-Examples!$D$9*$A266)*(1-(Examples!$D$12*(1-EXP(-Examples!$D$13*$A266))/(1+EXP(MIN(700,MAX(-700,(Examples!$D$14*$A266-Examples!$D$15)/Examples!$D$16))))))+Examples!$D$17*$A266^2)</f>
        <v>1405515.5291798366</v>
      </c>
      <c r="E266" s="33">
        <f>(Examples!$D$6*Examples!$D$7*Examples!$D$8*EXP(-Examples!$D$9*$A266)*(1-(Examples!$D$12*(1-EXP(-Examples!$D$13*$A266))/(1+EXP(MIN(700,MAX(-700,(Examples!$D$14*$A266-Examples!$D$15)/Examples!$D$16))))))+Examples!$D$17*$A266^2)</f>
        <v>975684.47082016338</v>
      </c>
      <c r="F266" s="33">
        <f>Examples!$E$18-(Examples!$E$10+Examples!$E$11)*$A266-(Examples!$E$6*Examples!$E$7*Examples!$E$8*EXP(-Examples!$E$9*$A266)*(1-(Examples!$E$12*(1-EXP(-Examples!$E$13*$A266))/(1+EXP(MIN(700,MAX(-700,(Examples!$E$14*$A266-Examples!$E$15)/Examples!$E$16))))))+Examples!$E$17*$A266^2)</f>
        <v>2482006.5866063801</v>
      </c>
      <c r="G266" s="33">
        <f>(Examples!$E$6*Examples!$E$7*Examples!$E$8*EXP(-Examples!$E$9*$A266)*(1-(Examples!$E$12*(1-EXP(-Examples!$E$13*$A266))/(1+EXP(MIN(700,MAX(-700,(Examples!$E$14*$A266-Examples!$E$15)/Examples!$E$16))))))+Examples!$E$17*$A266^2)</f>
        <v>293593.41339361994</v>
      </c>
      <c r="H266" s="33">
        <f>Examples!$F$18-(Examples!$F$10+Examples!$F$11)*$A266-(Examples!$F$6*Examples!$F$7*Examples!$F$8*EXP(-Examples!$F$9*$A266)*(1-(Examples!$F$12*(1-EXP(-Examples!$F$13*$A266))/(1+EXP(MIN(700,MAX(-700,(Examples!$F$14*$A266-Examples!$F$15)/Examples!$F$16))))))+Examples!$F$17*$A266^2)</f>
        <v>-50109.148326709517</v>
      </c>
      <c r="I266" s="33">
        <f>(Examples!$F$6*Examples!$F$7*Examples!$F$8*EXP(-Examples!$F$9*$A266)*(1-(Examples!$F$12*(1-EXP(-Examples!$F$13*$A266))/(1+EXP(MIN(700,MAX(-700,(Examples!$F$14*$A266-Examples!$F$15)/Examples!$F$16))))))+Examples!$F$17*$A266^2)</f>
        <v>147309.14832670952</v>
      </c>
      <c r="J266" s="33">
        <f>Examples!$G$18-(Examples!$G$10+Examples!$G$11)*$A266-(Examples!$G$6*Examples!$G$7*Examples!$G$8*EXP(-Examples!$G$9*$A266)*(1-(Examples!$G$12*(1-EXP(-Examples!$G$13*$A266))/(1+EXP(MIN(700,MAX(-700,(Examples!$G$14*$A266-Examples!$G$15)/Examples!$G$16))))))+Examples!$G$17*$A266^2)</f>
        <v>729445.3223145206</v>
      </c>
      <c r="K266" s="33">
        <f>(Examples!$G$6*Examples!$G$7*Examples!$G$8*EXP(-Examples!$G$9*$A266)*(1-(Examples!$G$12*(1-EXP(-Examples!$G$13*$A266))/(1+EXP(MIN(700,MAX(-700,(Examples!$G$14*$A266-Examples!$G$15)/Examples!$G$16))))))+Examples!$G$17*$A266^2)</f>
        <v>638554.6776854794</v>
      </c>
      <c r="L266" s="33">
        <f>Examples!$H$18-(Examples!$H$10+Examples!$H$11)*$A266-(Examples!$H$6*Examples!$H$7*Examples!$H$8*EXP(-Examples!$H$9*$A266)*(1-(Examples!$H$12*(1-EXP(-Examples!$H$13*$A266))/(1+EXP(MIN(700,MAX(-700,(Examples!$H$14*$A266-Examples!$H$15)/Examples!$H$16))))))+Examples!$H$17*$A266^2)</f>
        <v>699829.00050595356</v>
      </c>
      <c r="M266" s="33">
        <f>(Examples!$H$6*Examples!$H$7*Examples!$H$8*EXP(-Examples!$H$9*$A266)*(1-(Examples!$H$12*(1-EXP(-Examples!$H$13*$A266))/(1+EXP(MIN(700,MAX(-700,(Examples!$H$14*$A266-Examples!$H$15)/Examples!$H$16))))))+Examples!$H$17*$A266^2)</f>
        <v>668170.99949404644</v>
      </c>
    </row>
    <row r="267" spans="1:13" x14ac:dyDescent="0.25">
      <c r="A267">
        <f>(267-2)/100</f>
        <v>2.65</v>
      </c>
      <c r="B267" s="33">
        <f>Examples!$C$18-(Examples!$C$10+Examples!$C$11)*$A267-(Examples!$C$6*Examples!$C$7*Examples!$C$8*EXP(-Examples!$C$9*$A267)*(1-(Examples!$C$12*(1-EXP(-Examples!$C$13*$A267))/(1+EXP(MIN(700,MAX(-700,(Examples!$C$14*$A267-Examples!$C$15)/Examples!$C$16))))))+Examples!$C$17*$A267^2)</f>
        <v>134824.90055197058</v>
      </c>
      <c r="C267" s="33">
        <f>(Examples!$C$6*Examples!$C$7*Examples!$C$8*EXP(-Examples!$C$9*$A267)*(1-(Examples!$C$12*(1-EXP(-Examples!$C$13*$A267))/(1+EXP(MIN(700,MAX(-700,(Examples!$C$14*$A267-Examples!$C$15)/Examples!$C$16))))))+Examples!$C$17*$A267^2)</f>
        <v>372425.09944802942</v>
      </c>
      <c r="D267" s="33">
        <f>Examples!$D$18-(Examples!$D$10+Examples!$D$11)*$A267-(Examples!$D$6*Examples!$D$7*Examples!$D$8*EXP(-Examples!$D$9*$A267)*(1-(Examples!$D$12*(1-EXP(-Examples!$D$13*$A267))/(1+EXP(MIN(700,MAX(-700,(Examples!$D$14*$A267-Examples!$D$15)/Examples!$D$16))))))+Examples!$D$17*$A267^2)</f>
        <v>1408191.8824675074</v>
      </c>
      <c r="E267" s="33">
        <f>(Examples!$D$6*Examples!$D$7*Examples!$D$8*EXP(-Examples!$D$9*$A267)*(1-(Examples!$D$12*(1-EXP(-Examples!$D$13*$A267))/(1+EXP(MIN(700,MAX(-700,(Examples!$D$14*$A267-Examples!$D$15)/Examples!$D$16))))))+Examples!$D$17*$A267^2)</f>
        <v>972558.11753249273</v>
      </c>
      <c r="F267" s="33">
        <f>Examples!$E$18-(Examples!$E$10+Examples!$E$11)*$A267-(Examples!$E$6*Examples!$E$7*Examples!$E$8*EXP(-Examples!$E$9*$A267)*(1-(Examples!$E$12*(1-EXP(-Examples!$E$13*$A267))/(1+EXP(MIN(700,MAX(-700,(Examples!$E$14*$A267-Examples!$E$15)/Examples!$E$16))))))+Examples!$E$17*$A267^2)</f>
        <v>2482468.7269552583</v>
      </c>
      <c r="G267" s="33">
        <f>(Examples!$E$6*Examples!$E$7*Examples!$E$8*EXP(-Examples!$E$9*$A267)*(1-(Examples!$E$12*(1-EXP(-Examples!$E$13*$A267))/(1+EXP(MIN(700,MAX(-700,(Examples!$E$14*$A267-Examples!$E$15)/Examples!$E$16))))))+Examples!$E$17*$A267^2)</f>
        <v>292281.2730447416</v>
      </c>
      <c r="H267" s="33">
        <f>Examples!$F$18-(Examples!$F$10+Examples!$F$11)*$A267-(Examples!$F$6*Examples!$F$7*Examples!$F$8*EXP(-Examples!$F$9*$A267)*(1-(Examples!$F$12*(1-EXP(-Examples!$F$13*$A267))/(1+EXP(MIN(700,MAX(-700,(Examples!$F$14*$A267-Examples!$F$15)/Examples!$F$16))))))+Examples!$F$17*$A267^2)</f>
        <v>-51343.77086478431</v>
      </c>
      <c r="I267" s="33">
        <f>(Examples!$F$6*Examples!$F$7*Examples!$F$8*EXP(-Examples!$F$9*$A267)*(1-(Examples!$F$12*(1-EXP(-Examples!$F$13*$A267))/(1+EXP(MIN(700,MAX(-700,(Examples!$F$14*$A267-Examples!$F$15)/Examples!$F$16))))))+Examples!$F$17*$A267^2)</f>
        <v>148343.77086478431</v>
      </c>
      <c r="J267" s="33">
        <f>Examples!$G$18-(Examples!$G$10+Examples!$G$11)*$A267-(Examples!$G$6*Examples!$G$7*Examples!$G$8*EXP(-Examples!$G$9*$A267)*(1-(Examples!$G$12*(1-EXP(-Examples!$G$13*$A267))/(1+EXP(MIN(700,MAX(-700,(Examples!$G$14*$A267-Examples!$G$15)/Examples!$G$16))))))+Examples!$G$17*$A267^2)</f>
        <v>729406.27217850916</v>
      </c>
      <c r="K267" s="33">
        <f>(Examples!$G$6*Examples!$G$7*Examples!$G$8*EXP(-Examples!$G$9*$A267)*(1-(Examples!$G$12*(1-EXP(-Examples!$G$13*$A267))/(1+EXP(MIN(700,MAX(-700,(Examples!$G$14*$A267-Examples!$G$15)/Examples!$G$16))))))+Examples!$G$17*$A267^2)</f>
        <v>638093.72782149084</v>
      </c>
      <c r="L267" s="33">
        <f>Examples!$H$18-(Examples!$H$10+Examples!$H$11)*$A267-(Examples!$H$6*Examples!$H$7*Examples!$H$8*EXP(-Examples!$H$9*$A267)*(1-(Examples!$H$12*(1-EXP(-Examples!$H$13*$A267))/(1+EXP(MIN(700,MAX(-700,(Examples!$H$14*$A267-Examples!$H$15)/Examples!$H$16))))))+Examples!$H$17*$A267^2)</f>
        <v>697850.19517497055</v>
      </c>
      <c r="M267" s="33">
        <f>(Examples!$H$6*Examples!$H$7*Examples!$H$8*EXP(-Examples!$H$9*$A267)*(1-(Examples!$H$12*(1-EXP(-Examples!$H$13*$A267))/(1+EXP(MIN(700,MAX(-700,(Examples!$H$14*$A267-Examples!$H$15)/Examples!$H$16))))))+Examples!$H$17*$A267^2)</f>
        <v>669649.80482502945</v>
      </c>
    </row>
    <row r="268" spans="1:13" x14ac:dyDescent="0.25">
      <c r="A268">
        <f>(268-2)/100</f>
        <v>2.66</v>
      </c>
      <c r="B268" s="33">
        <f>Examples!$C$18-(Examples!$C$10+Examples!$C$11)*$A268-(Examples!$C$6*Examples!$C$7*Examples!$C$8*EXP(-Examples!$C$9*$A268)*(1-(Examples!$C$12*(1-EXP(-Examples!$C$13*$A268))/(1+EXP(MIN(700,MAX(-700,(Examples!$C$14*$A268-Examples!$C$15)/Examples!$C$16))))))+Examples!$C$17*$A268^2)</f>
        <v>134364.58887417871</v>
      </c>
      <c r="C268" s="33">
        <f>(Examples!$C$6*Examples!$C$7*Examples!$C$8*EXP(-Examples!$C$9*$A268)*(1-(Examples!$C$12*(1-EXP(-Examples!$C$13*$A268))/(1+EXP(MIN(700,MAX(-700,(Examples!$C$14*$A268-Examples!$C$15)/Examples!$C$16))))))+Examples!$C$17*$A268^2)</f>
        <v>372535.41112582129</v>
      </c>
      <c r="D268" s="33">
        <f>Examples!$D$18-(Examples!$D$10+Examples!$D$11)*$A268-(Examples!$D$6*Examples!$D$7*Examples!$D$8*EXP(-Examples!$D$9*$A268)*(1-(Examples!$D$12*(1-EXP(-Examples!$D$13*$A268))/(1+EXP(MIN(700,MAX(-700,(Examples!$D$14*$A268-Examples!$D$15)/Examples!$D$16))))))+Examples!$D$17*$A268^2)</f>
        <v>1410822.569944297</v>
      </c>
      <c r="E268" s="33">
        <f>(Examples!$D$6*Examples!$D$7*Examples!$D$8*EXP(-Examples!$D$9*$A268)*(1-(Examples!$D$12*(1-EXP(-Examples!$D$13*$A268))/(1+EXP(MIN(700,MAX(-700,(Examples!$D$14*$A268-Examples!$D$15)/Examples!$D$16))))))+Examples!$D$17*$A268^2)</f>
        <v>969477.43005570292</v>
      </c>
      <c r="F268" s="33">
        <f>Examples!$E$18-(Examples!$E$10+Examples!$E$11)*$A268-(Examples!$E$6*Examples!$E$7*Examples!$E$8*EXP(-Examples!$E$9*$A268)*(1-(Examples!$E$12*(1-EXP(-Examples!$E$13*$A268))/(1+EXP(MIN(700,MAX(-700,(Examples!$E$14*$A268-Examples!$E$15)/Examples!$E$16))))))+Examples!$E$17*$A268^2)</f>
        <v>2482914.3526141583</v>
      </c>
      <c r="G268" s="33">
        <f>(Examples!$E$6*Examples!$E$7*Examples!$E$8*EXP(-Examples!$E$9*$A268)*(1-(Examples!$E$12*(1-EXP(-Examples!$E$13*$A268))/(1+EXP(MIN(700,MAX(-700,(Examples!$E$14*$A268-Examples!$E$15)/Examples!$E$16))))))+Examples!$E$17*$A268^2)</f>
        <v>290985.64738584176</v>
      </c>
      <c r="H268" s="33">
        <f>Examples!$F$18-(Examples!$F$10+Examples!$F$11)*$A268-(Examples!$F$6*Examples!$F$7*Examples!$F$8*EXP(-Examples!$F$9*$A268)*(1-(Examples!$F$12*(1-EXP(-Examples!$F$13*$A268))/(1+EXP(MIN(700,MAX(-700,(Examples!$F$14*$A268-Examples!$F$15)/Examples!$F$16))))))+Examples!$F$17*$A268^2)</f>
        <v>-52582.450245141168</v>
      </c>
      <c r="I268" s="33">
        <f>(Examples!$F$6*Examples!$F$7*Examples!$F$8*EXP(-Examples!$F$9*$A268)*(1-(Examples!$F$12*(1-EXP(-Examples!$F$13*$A268))/(1+EXP(MIN(700,MAX(-700,(Examples!$F$14*$A268-Examples!$F$15)/Examples!$F$16))))))+Examples!$F$17*$A268^2)</f>
        <v>149382.45024514117</v>
      </c>
      <c r="J268" s="33">
        <f>Examples!$G$18-(Examples!$G$10+Examples!$G$11)*$A268-(Examples!$G$6*Examples!$G$7*Examples!$G$8*EXP(-Examples!$G$9*$A268)*(1-(Examples!$G$12*(1-EXP(-Examples!$G$13*$A268))/(1+EXP(MIN(700,MAX(-700,(Examples!$G$14*$A268-Examples!$G$15)/Examples!$G$16))))))+Examples!$G$17*$A268^2)</f>
        <v>729361.17012360087</v>
      </c>
      <c r="K268" s="33">
        <f>(Examples!$G$6*Examples!$G$7*Examples!$G$8*EXP(-Examples!$G$9*$A268)*(1-(Examples!$G$12*(1-EXP(-Examples!$G$13*$A268))/(1+EXP(MIN(700,MAX(-700,(Examples!$G$14*$A268-Examples!$G$15)/Examples!$G$16))))))+Examples!$G$17*$A268^2)</f>
        <v>637638.82987639913</v>
      </c>
      <c r="L268" s="33">
        <f>Examples!$H$18-(Examples!$H$10+Examples!$H$11)*$A268-(Examples!$H$6*Examples!$H$7*Examples!$H$8*EXP(-Examples!$H$9*$A268)*(1-(Examples!$H$12*(1-EXP(-Examples!$H$13*$A268))/(1+EXP(MIN(700,MAX(-700,(Examples!$H$14*$A268-Examples!$H$15)/Examples!$H$16))))))+Examples!$H$17*$A268^2)</f>
        <v>695896.73630109162</v>
      </c>
      <c r="M268" s="33">
        <f>(Examples!$H$6*Examples!$H$7*Examples!$H$8*EXP(-Examples!$H$9*$A268)*(1-(Examples!$H$12*(1-EXP(-Examples!$H$13*$A268))/(1+EXP(MIN(700,MAX(-700,(Examples!$H$14*$A268-Examples!$H$15)/Examples!$H$16))))))+Examples!$H$17*$A268^2)</f>
        <v>671103.26369890838</v>
      </c>
    </row>
    <row r="269" spans="1:13" x14ac:dyDescent="0.25">
      <c r="A269">
        <f>(269-2)/100</f>
        <v>2.67</v>
      </c>
      <c r="B269" s="33">
        <f>Examples!$C$18-(Examples!$C$10+Examples!$C$11)*$A269-(Examples!$C$6*Examples!$C$7*Examples!$C$8*EXP(-Examples!$C$9*$A269)*(1-(Examples!$C$12*(1-EXP(-Examples!$C$13*$A269))/(1+EXP(MIN(700,MAX(-700,(Examples!$C$14*$A269-Examples!$C$15)/Examples!$C$16))))))+Examples!$C$17*$A269^2)</f>
        <v>133902.7383363893</v>
      </c>
      <c r="C269" s="33">
        <f>(Examples!$C$6*Examples!$C$7*Examples!$C$8*EXP(-Examples!$C$9*$A269)*(1-(Examples!$C$12*(1-EXP(-Examples!$C$13*$A269))/(1+EXP(MIN(700,MAX(-700,(Examples!$C$14*$A269-Examples!$C$15)/Examples!$C$16))))))+Examples!$C$17*$A269^2)</f>
        <v>372647.2616636107</v>
      </c>
      <c r="D269" s="33">
        <f>Examples!$D$18-(Examples!$D$10+Examples!$D$11)*$A269-(Examples!$D$6*Examples!$D$7*Examples!$D$8*EXP(-Examples!$D$9*$A269)*(1-(Examples!$D$12*(1-EXP(-Examples!$D$13*$A269))/(1+EXP(MIN(700,MAX(-700,(Examples!$D$14*$A269-Examples!$D$15)/Examples!$D$16))))))+Examples!$D$17*$A269^2)</f>
        <v>1413408.0660898185</v>
      </c>
      <c r="E269" s="33">
        <f>(Examples!$D$6*Examples!$D$7*Examples!$D$8*EXP(-Examples!$D$9*$A269)*(1-(Examples!$D$12*(1-EXP(-Examples!$D$13*$A269))/(1+EXP(MIN(700,MAX(-700,(Examples!$D$14*$A269-Examples!$D$15)/Examples!$D$16))))))+Examples!$D$17*$A269^2)</f>
        <v>966441.93391018151</v>
      </c>
      <c r="F269" s="33">
        <f>Examples!$E$18-(Examples!$E$10+Examples!$E$11)*$A269-(Examples!$E$6*Examples!$E$7*Examples!$E$8*EXP(-Examples!$E$9*$A269)*(1-(Examples!$E$12*(1-EXP(-Examples!$E$13*$A269))/(1+EXP(MIN(700,MAX(-700,(Examples!$E$14*$A269-Examples!$E$15)/Examples!$E$16))))))+Examples!$E$17*$A269^2)</f>
        <v>2483343.64654809</v>
      </c>
      <c r="G269" s="33">
        <f>(Examples!$E$6*Examples!$E$7*Examples!$E$8*EXP(-Examples!$E$9*$A269)*(1-(Examples!$E$12*(1-EXP(-Examples!$E$13*$A269))/(1+EXP(MIN(700,MAX(-700,(Examples!$E$14*$A269-Examples!$E$15)/Examples!$E$16))))))+Examples!$E$17*$A269^2)</f>
        <v>289706.35345191008</v>
      </c>
      <c r="H269" s="33">
        <f>Examples!$F$18-(Examples!$F$10+Examples!$F$11)*$A269-(Examples!$F$6*Examples!$F$7*Examples!$F$8*EXP(-Examples!$F$9*$A269)*(1-(Examples!$F$12*(1-EXP(-Examples!$F$13*$A269))/(1+EXP(MIN(700,MAX(-700,(Examples!$F$14*$A269-Examples!$F$15)/Examples!$F$16))))))+Examples!$F$17*$A269^2)</f>
        <v>-53825.186800881784</v>
      </c>
      <c r="I269" s="33">
        <f>(Examples!$F$6*Examples!$F$7*Examples!$F$8*EXP(-Examples!$F$9*$A269)*(1-(Examples!$F$12*(1-EXP(-Examples!$F$13*$A269))/(1+EXP(MIN(700,MAX(-700,(Examples!$F$14*$A269-Examples!$F$15)/Examples!$F$16))))))+Examples!$F$17*$A269^2)</f>
        <v>150425.18680088178</v>
      </c>
      <c r="J269" s="33">
        <f>Examples!$G$18-(Examples!$G$10+Examples!$G$11)*$A269-(Examples!$G$6*Examples!$G$7*Examples!$G$8*EXP(-Examples!$G$9*$A269)*(1-(Examples!$G$12*(1-EXP(-Examples!$G$13*$A269))/(1+EXP(MIN(700,MAX(-700,(Examples!$G$14*$A269-Examples!$G$15)/Examples!$G$16))))))+Examples!$G$17*$A269^2)</f>
        <v>729310.24823711079</v>
      </c>
      <c r="K269" s="33">
        <f>(Examples!$G$6*Examples!$G$7*Examples!$G$8*EXP(-Examples!$G$9*$A269)*(1-(Examples!$G$12*(1-EXP(-Examples!$G$13*$A269))/(1+EXP(MIN(700,MAX(-700,(Examples!$G$14*$A269-Examples!$G$15)/Examples!$G$16))))))+Examples!$G$17*$A269^2)</f>
        <v>637189.75176288921</v>
      </c>
      <c r="L269" s="33">
        <f>Examples!$H$18-(Examples!$H$10+Examples!$H$11)*$A269-(Examples!$H$6*Examples!$H$7*Examples!$H$8*EXP(-Examples!$H$9*$A269)*(1-(Examples!$H$12*(1-EXP(-Examples!$H$13*$A269))/(1+EXP(MIN(700,MAX(-700,(Examples!$H$14*$A269-Examples!$H$15)/Examples!$H$16))))))+Examples!$H$17*$A269^2)</f>
        <v>693970.11865508545</v>
      </c>
      <c r="M269" s="33">
        <f>(Examples!$H$6*Examples!$H$7*Examples!$H$8*EXP(-Examples!$H$9*$A269)*(1-(Examples!$H$12*(1-EXP(-Examples!$H$13*$A269))/(1+EXP(MIN(700,MAX(-700,(Examples!$H$14*$A269-Examples!$H$15)/Examples!$H$16))))))+Examples!$H$17*$A269^2)</f>
        <v>672529.88134491455</v>
      </c>
    </row>
    <row r="270" spans="1:13" x14ac:dyDescent="0.25">
      <c r="A270">
        <f>(270-2)/100</f>
        <v>2.68</v>
      </c>
      <c r="B270" s="33">
        <f>Examples!$C$18-(Examples!$C$10+Examples!$C$11)*$A270-(Examples!$C$6*Examples!$C$7*Examples!$C$8*EXP(-Examples!$C$9*$A270)*(1-(Examples!$C$12*(1-EXP(-Examples!$C$13*$A270))/(1+EXP(MIN(700,MAX(-700,(Examples!$C$14*$A270-Examples!$C$15)/Examples!$C$16))))))+Examples!$C$17*$A270^2)</f>
        <v>133439.24607398571</v>
      </c>
      <c r="C270" s="33">
        <f>(Examples!$C$6*Examples!$C$7*Examples!$C$8*EXP(-Examples!$C$9*$A270)*(1-(Examples!$C$12*(1-EXP(-Examples!$C$13*$A270))/(1+EXP(MIN(700,MAX(-700,(Examples!$C$14*$A270-Examples!$C$15)/Examples!$C$16))))))+Examples!$C$17*$A270^2)</f>
        <v>372760.75392601429</v>
      </c>
      <c r="D270" s="33">
        <f>Examples!$D$18-(Examples!$D$10+Examples!$D$11)*$A270-(Examples!$D$6*Examples!$D$7*Examples!$D$8*EXP(-Examples!$D$9*$A270)*(1-(Examples!$D$12*(1-EXP(-Examples!$D$13*$A270))/(1+EXP(MIN(700,MAX(-700,(Examples!$D$14*$A270-Examples!$D$15)/Examples!$D$16))))))+Examples!$D$17*$A270^2)</f>
        <v>1415948.8441919489</v>
      </c>
      <c r="E270" s="33">
        <f>(Examples!$D$6*Examples!$D$7*Examples!$D$8*EXP(-Examples!$D$9*$A270)*(1-(Examples!$D$12*(1-EXP(-Examples!$D$13*$A270))/(1+EXP(MIN(700,MAX(-700,(Examples!$D$14*$A270-Examples!$D$15)/Examples!$D$16))))))+Examples!$D$17*$A270^2)</f>
        <v>963451.15580805123</v>
      </c>
      <c r="F270" s="33">
        <f>Examples!$E$18-(Examples!$E$10+Examples!$E$11)*$A270-(Examples!$E$6*Examples!$E$7*Examples!$E$8*EXP(-Examples!$E$9*$A270)*(1-(Examples!$E$12*(1-EXP(-Examples!$E$13*$A270))/(1+EXP(MIN(700,MAX(-700,(Examples!$E$14*$A270-Examples!$E$15)/Examples!$E$16))))))+Examples!$E$17*$A270^2)</f>
        <v>2483756.7897428214</v>
      </c>
      <c r="G270" s="33">
        <f>(Examples!$E$6*Examples!$E$7*Examples!$E$8*EXP(-Examples!$E$9*$A270)*(1-(Examples!$E$12*(1-EXP(-Examples!$E$13*$A270))/(1+EXP(MIN(700,MAX(-700,(Examples!$E$14*$A270-Examples!$E$15)/Examples!$E$16))))))+Examples!$E$17*$A270^2)</f>
        <v>288443.21025717852</v>
      </c>
      <c r="H270" s="33">
        <f>Examples!$F$18-(Examples!$F$10+Examples!$F$11)*$A270-(Examples!$F$6*Examples!$F$7*Examples!$F$8*EXP(-Examples!$F$9*$A270)*(1-(Examples!$F$12*(1-EXP(-Examples!$F$13*$A270))/(1+EXP(MIN(700,MAX(-700,(Examples!$F$14*$A270-Examples!$F$15)/Examples!$F$16))))))+Examples!$F$17*$A270^2)</f>
        <v>-55071.980845544225</v>
      </c>
      <c r="I270" s="33">
        <f>(Examples!$F$6*Examples!$F$7*Examples!$F$8*EXP(-Examples!$F$9*$A270)*(1-(Examples!$F$12*(1-EXP(-Examples!$F$13*$A270))/(1+EXP(MIN(700,MAX(-700,(Examples!$F$14*$A270-Examples!$F$15)/Examples!$F$16))))))+Examples!$F$17*$A270^2)</f>
        <v>151471.98084554423</v>
      </c>
      <c r="J270" s="33">
        <f>Examples!$G$18-(Examples!$G$10+Examples!$G$11)*$A270-(Examples!$G$6*Examples!$G$7*Examples!$G$8*EXP(-Examples!$G$9*$A270)*(1-(Examples!$G$12*(1-EXP(-Examples!$G$13*$A270))/(1+EXP(MIN(700,MAX(-700,(Examples!$G$14*$A270-Examples!$G$15)/Examples!$G$16))))))+Examples!$G$17*$A270^2)</f>
        <v>729253.73537548119</v>
      </c>
      <c r="K270" s="33">
        <f>(Examples!$G$6*Examples!$G$7*Examples!$G$8*EXP(-Examples!$G$9*$A270)*(1-(Examples!$G$12*(1-EXP(-Examples!$G$13*$A270))/(1+EXP(MIN(700,MAX(-700,(Examples!$G$14*$A270-Examples!$G$15)/Examples!$G$16))))))+Examples!$G$17*$A270^2)</f>
        <v>636746.26462451881</v>
      </c>
      <c r="L270" s="33">
        <f>Examples!$H$18-(Examples!$H$10+Examples!$H$11)*$A270-(Examples!$H$6*Examples!$H$7*Examples!$H$8*EXP(-Examples!$H$9*$A270)*(1-(Examples!$H$12*(1-EXP(-Examples!$H$13*$A270))/(1+EXP(MIN(700,MAX(-700,(Examples!$H$14*$A270-Examples!$H$15)/Examples!$H$16))))))+Examples!$H$17*$A270^2)</f>
        <v>692071.77124427538</v>
      </c>
      <c r="M270" s="33">
        <f>(Examples!$H$6*Examples!$H$7*Examples!$H$8*EXP(-Examples!$H$9*$A270)*(1-(Examples!$H$12*(1-EXP(-Examples!$H$13*$A270))/(1+EXP(MIN(700,MAX(-700,(Examples!$H$14*$A270-Examples!$H$15)/Examples!$H$16))))))+Examples!$H$17*$A270^2)</f>
        <v>673928.22875572462</v>
      </c>
    </row>
    <row r="271" spans="1:13" x14ac:dyDescent="0.25">
      <c r="A271">
        <f>(271-2)/100</f>
        <v>2.69</v>
      </c>
      <c r="B271" s="33">
        <f>Examples!$C$18-(Examples!$C$10+Examples!$C$11)*$A271-(Examples!$C$6*Examples!$C$7*Examples!$C$8*EXP(-Examples!$C$9*$A271)*(1-(Examples!$C$12*(1-EXP(-Examples!$C$13*$A271))/(1+EXP(MIN(700,MAX(-700,(Examples!$C$14*$A271-Examples!$C$15)/Examples!$C$16))))))+Examples!$C$17*$A271^2)</f>
        <v>132974.0116778285</v>
      </c>
      <c r="C271" s="33">
        <f>(Examples!$C$6*Examples!$C$7*Examples!$C$8*EXP(-Examples!$C$9*$A271)*(1-(Examples!$C$12*(1-EXP(-Examples!$C$13*$A271))/(1+EXP(MIN(700,MAX(-700,(Examples!$C$14*$A271-Examples!$C$15)/Examples!$C$16))))))+Examples!$C$17*$A271^2)</f>
        <v>372875.9883221715</v>
      </c>
      <c r="D271" s="33">
        <f>Examples!$D$18-(Examples!$D$10+Examples!$D$11)*$A271-(Examples!$D$6*Examples!$D$7*Examples!$D$8*EXP(-Examples!$D$9*$A271)*(1-(Examples!$D$12*(1-EXP(-Examples!$D$13*$A271))/(1+EXP(MIN(700,MAX(-700,(Examples!$D$14*$A271-Examples!$D$15)/Examples!$D$16))))))+Examples!$D$17*$A271^2)</f>
        <v>1418445.3763858215</v>
      </c>
      <c r="E271" s="33">
        <f>(Examples!$D$6*Examples!$D$7*Examples!$D$8*EXP(-Examples!$D$9*$A271)*(1-(Examples!$D$12*(1-EXP(-Examples!$D$13*$A271))/(1+EXP(MIN(700,MAX(-700,(Examples!$D$14*$A271-Examples!$D$15)/Examples!$D$16))))))+Examples!$D$17*$A271^2)</f>
        <v>960504.6236141785</v>
      </c>
      <c r="F271" s="33">
        <f>Examples!$E$18-(Examples!$E$10+Examples!$E$11)*$A271-(Examples!$E$6*Examples!$E$7*Examples!$E$8*EXP(-Examples!$E$9*$A271)*(1-(Examples!$E$12*(1-EXP(-Examples!$E$13*$A271))/(1+EXP(MIN(700,MAX(-700,(Examples!$E$14*$A271-Examples!$E$15)/Examples!$E$16))))))+Examples!$E$17*$A271^2)</f>
        <v>2484153.9612283325</v>
      </c>
      <c r="G271" s="33">
        <f>(Examples!$E$6*Examples!$E$7*Examples!$E$8*EXP(-Examples!$E$9*$A271)*(1-(Examples!$E$12*(1-EXP(-Examples!$E$13*$A271))/(1+EXP(MIN(700,MAX(-700,(Examples!$E$14*$A271-Examples!$E$15)/Examples!$E$16))))))+Examples!$E$17*$A271^2)</f>
        <v>287196.03877166769</v>
      </c>
      <c r="H271" s="33">
        <f>Examples!$F$18-(Examples!$F$10+Examples!$F$11)*$A271-(Examples!$F$6*Examples!$F$7*Examples!$F$8*EXP(-Examples!$F$9*$A271)*(1-(Examples!$F$12*(1-EXP(-Examples!$F$13*$A271))/(1+EXP(MIN(700,MAX(-700,(Examples!$F$14*$A271-Examples!$F$15)/Examples!$F$16))))))+Examples!$F$17*$A271^2)</f>
        <v>-56322.832673802885</v>
      </c>
      <c r="I271" s="33">
        <f>(Examples!$F$6*Examples!$F$7*Examples!$F$8*EXP(-Examples!$F$9*$A271)*(1-(Examples!$F$12*(1-EXP(-Examples!$F$13*$A271))/(1+EXP(MIN(700,MAX(-700,(Examples!$F$14*$A271-Examples!$F$15)/Examples!$F$16))))))+Examples!$F$17*$A271^2)</f>
        <v>152522.83267380288</v>
      </c>
      <c r="J271" s="33">
        <f>Examples!$G$18-(Examples!$G$10+Examples!$G$11)*$A271-(Examples!$G$6*Examples!$G$7*Examples!$G$8*EXP(-Examples!$G$9*$A271)*(1-(Examples!$G$12*(1-EXP(-Examples!$G$13*$A271))/(1+EXP(MIN(700,MAX(-700,(Examples!$G$14*$A271-Examples!$G$15)/Examples!$G$16))))))+Examples!$G$17*$A271^2)</f>
        <v>729191.8571347621</v>
      </c>
      <c r="K271" s="33">
        <f>(Examples!$G$6*Examples!$G$7*Examples!$G$8*EXP(-Examples!$G$9*$A271)*(1-(Examples!$G$12*(1-EXP(-Examples!$G$13*$A271))/(1+EXP(MIN(700,MAX(-700,(Examples!$G$14*$A271-Examples!$G$15)/Examples!$G$16))))))+Examples!$G$17*$A271^2)</f>
        <v>636308.1428652379</v>
      </c>
      <c r="L271" s="33">
        <f>Examples!$H$18-(Examples!$H$10+Examples!$H$11)*$A271-(Examples!$H$6*Examples!$H$7*Examples!$H$8*EXP(-Examples!$H$9*$A271)*(1-(Examples!$H$12*(1-EXP(-Examples!$H$13*$A271))/(1+EXP(MIN(700,MAX(-700,(Examples!$H$14*$A271-Examples!$H$15)/Examples!$H$16))))))+Examples!$H$17*$A271^2)</f>
        <v>690203.05577218905</v>
      </c>
      <c r="M271" s="33">
        <f>(Examples!$H$6*Examples!$H$7*Examples!$H$8*EXP(-Examples!$H$9*$A271)*(1-(Examples!$H$12*(1-EXP(-Examples!$H$13*$A271))/(1+EXP(MIN(700,MAX(-700,(Examples!$H$14*$A271-Examples!$H$15)/Examples!$H$16))))))+Examples!$H$17*$A271^2)</f>
        <v>675296.94422781095</v>
      </c>
    </row>
    <row r="272" spans="1:13" x14ac:dyDescent="0.25">
      <c r="A272">
        <f>(272-2)/100</f>
        <v>2.7</v>
      </c>
      <c r="B272" s="33">
        <f>Examples!$C$18-(Examples!$C$10+Examples!$C$11)*$A272-(Examples!$C$6*Examples!$C$7*Examples!$C$8*EXP(-Examples!$C$9*$A272)*(1-(Examples!$C$12*(1-EXP(-Examples!$C$13*$A272))/(1+EXP(MIN(700,MAX(-700,(Examples!$C$14*$A272-Examples!$C$15)/Examples!$C$16))))))+Examples!$C$17*$A272^2)</f>
        <v>132506.93717938557</v>
      </c>
      <c r="C272" s="33">
        <f>(Examples!$C$6*Examples!$C$7*Examples!$C$8*EXP(-Examples!$C$9*$A272)*(1-(Examples!$C$12*(1-EXP(-Examples!$C$13*$A272))/(1+EXP(MIN(700,MAX(-700,(Examples!$C$14*$A272-Examples!$C$15)/Examples!$C$16))))))+Examples!$C$17*$A272^2)</f>
        <v>372993.06282061443</v>
      </c>
      <c r="D272" s="33">
        <f>Examples!$D$18-(Examples!$D$10+Examples!$D$11)*$A272-(Examples!$D$6*Examples!$D$7*Examples!$D$8*EXP(-Examples!$D$9*$A272)*(1-(Examples!$D$12*(1-EXP(-Examples!$D$13*$A272))/(1+EXP(MIN(700,MAX(-700,(Examples!$D$14*$A272-Examples!$D$15)/Examples!$D$16))))))+Examples!$D$17*$A272^2)</f>
        <v>1420898.1336914473</v>
      </c>
      <c r="E272" s="33">
        <f>(Examples!$D$6*Examples!$D$7*Examples!$D$8*EXP(-Examples!$D$9*$A272)*(1-(Examples!$D$12*(1-EXP(-Examples!$D$13*$A272))/(1+EXP(MIN(700,MAX(-700,(Examples!$D$14*$A272-Examples!$D$15)/Examples!$D$16))))))+Examples!$D$17*$A272^2)</f>
        <v>957601.86630855268</v>
      </c>
      <c r="F272" s="33">
        <f>Examples!$E$18-(Examples!$E$10+Examples!$E$11)*$A272-(Examples!$E$6*Examples!$E$7*Examples!$E$8*EXP(-Examples!$E$9*$A272)*(1-(Examples!$E$12*(1-EXP(-Examples!$E$13*$A272))/(1+EXP(MIN(700,MAX(-700,(Examples!$E$14*$A272-Examples!$E$15)/Examples!$E$16))))))+Examples!$E$17*$A272^2)</f>
        <v>2484535.338101977</v>
      </c>
      <c r="G272" s="33">
        <f>(Examples!$E$6*Examples!$E$7*Examples!$E$8*EXP(-Examples!$E$9*$A272)*(1-(Examples!$E$12*(1-EXP(-Examples!$E$13*$A272))/(1+EXP(MIN(700,MAX(-700,(Examples!$E$14*$A272-Examples!$E$15)/Examples!$E$16))))))+Examples!$E$17*$A272^2)</f>
        <v>285964.66189802281</v>
      </c>
      <c r="H272" s="33">
        <f>Examples!$F$18-(Examples!$F$10+Examples!$F$11)*$A272-(Examples!$F$6*Examples!$F$7*Examples!$F$8*EXP(-Examples!$F$9*$A272)*(1-(Examples!$F$12*(1-EXP(-Examples!$F$13*$A272))/(1+EXP(MIN(700,MAX(-700,(Examples!$F$14*$A272-Examples!$F$15)/Examples!$F$16))))))+Examples!$F$17*$A272^2)</f>
        <v>-57577.742562147236</v>
      </c>
      <c r="I272" s="33">
        <f>(Examples!$F$6*Examples!$F$7*Examples!$F$8*EXP(-Examples!$F$9*$A272)*(1-(Examples!$F$12*(1-EXP(-Examples!$F$13*$A272))/(1+EXP(MIN(700,MAX(-700,(Examples!$F$14*$A272-Examples!$F$15)/Examples!$F$16))))))+Examples!$F$17*$A272^2)</f>
        <v>153577.74256214724</v>
      </c>
      <c r="J272" s="33">
        <f>Examples!$G$18-(Examples!$G$10+Examples!$G$11)*$A272-(Examples!$G$6*Examples!$G$7*Examples!$G$8*EXP(-Examples!$G$9*$A272)*(1-(Examples!$G$12*(1-EXP(-Examples!$G$13*$A272))/(1+EXP(MIN(700,MAX(-700,(Examples!$G$14*$A272-Examples!$G$15)/Examples!$G$16))))))+Examples!$G$17*$A272^2)</f>
        <v>729124.83582243463</v>
      </c>
      <c r="K272" s="33">
        <f>(Examples!$G$6*Examples!$G$7*Examples!$G$8*EXP(-Examples!$G$9*$A272)*(1-(Examples!$G$12*(1-EXP(-Examples!$G$13*$A272))/(1+EXP(MIN(700,MAX(-700,(Examples!$G$14*$A272-Examples!$G$15)/Examples!$G$16))))))+Examples!$G$17*$A272^2)</f>
        <v>635875.16417756537</v>
      </c>
      <c r="L272" s="33">
        <f>Examples!$H$18-(Examples!$H$10+Examples!$H$11)*$A272-(Examples!$H$6*Examples!$H$7*Examples!$H$8*EXP(-Examples!$H$9*$A272)*(1-(Examples!$H$12*(1-EXP(-Examples!$H$13*$A272))/(1+EXP(MIN(700,MAX(-700,(Examples!$H$14*$A272-Examples!$H$15)/Examples!$H$16))))))+Examples!$H$17*$A272^2)</f>
        <v>688365.26532686746</v>
      </c>
      <c r="M272" s="33">
        <f>(Examples!$H$6*Examples!$H$7*Examples!$H$8*EXP(-Examples!$H$9*$A272)*(1-(Examples!$H$12*(1-EXP(-Examples!$H$13*$A272))/(1+EXP(MIN(700,MAX(-700,(Examples!$H$14*$A272-Examples!$H$15)/Examples!$H$16))))))+Examples!$H$17*$A272^2)</f>
        <v>676634.73467313254</v>
      </c>
    </row>
    <row r="273" spans="1:13" x14ac:dyDescent="0.25">
      <c r="A273">
        <f>(273-2)/100</f>
        <v>2.71</v>
      </c>
      <c r="B273" s="33">
        <f>Examples!$C$18-(Examples!$C$10+Examples!$C$11)*$A273-(Examples!$C$6*Examples!$C$7*Examples!$C$8*EXP(-Examples!$C$9*$A273)*(1-(Examples!$C$12*(1-EXP(-Examples!$C$13*$A273))/(1+EXP(MIN(700,MAX(-700,(Examples!$C$14*$A273-Examples!$C$15)/Examples!$C$16))))))+Examples!$C$17*$A273^2)</f>
        <v>132037.92703284096</v>
      </c>
      <c r="C273" s="33">
        <f>(Examples!$C$6*Examples!$C$7*Examples!$C$8*EXP(-Examples!$C$9*$A273)*(1-(Examples!$C$12*(1-EXP(-Examples!$C$13*$A273))/(1+EXP(MIN(700,MAX(-700,(Examples!$C$14*$A273-Examples!$C$15)/Examples!$C$16))))))+Examples!$C$17*$A273^2)</f>
        <v>373112.07296715904</v>
      </c>
      <c r="D273" s="33">
        <f>Examples!$D$18-(Examples!$D$10+Examples!$D$11)*$A273-(Examples!$D$6*Examples!$D$7*Examples!$D$8*EXP(-Examples!$D$9*$A273)*(1-(Examples!$D$12*(1-EXP(-Examples!$D$13*$A273))/(1+EXP(MIN(700,MAX(-700,(Examples!$D$14*$A273-Examples!$D$15)/Examples!$D$16))))))+Examples!$D$17*$A273^2)</f>
        <v>1423307.5860499437</v>
      </c>
      <c r="E273" s="33">
        <f>(Examples!$D$6*Examples!$D$7*Examples!$D$8*EXP(-Examples!$D$9*$A273)*(1-(Examples!$D$12*(1-EXP(-Examples!$D$13*$A273))/(1+EXP(MIN(700,MAX(-700,(Examples!$D$14*$A273-Examples!$D$15)/Examples!$D$16))))))+Examples!$D$17*$A273^2)</f>
        <v>954742.4139500563</v>
      </c>
      <c r="F273" s="33">
        <f>Examples!$E$18-(Examples!$E$10+Examples!$E$11)*$A273-(Examples!$E$6*Examples!$E$7*Examples!$E$8*EXP(-Examples!$E$9*$A273)*(1-(Examples!$E$12*(1-EXP(-Examples!$E$13*$A273))/(1+EXP(MIN(700,MAX(-700,(Examples!$E$14*$A273-Examples!$E$15)/Examples!$E$16))))))+Examples!$E$17*$A273^2)</f>
        <v>2484901.0955513669</v>
      </c>
      <c r="G273" s="33">
        <f>(Examples!$E$6*Examples!$E$7*Examples!$E$8*EXP(-Examples!$E$9*$A273)*(1-(Examples!$E$12*(1-EXP(-Examples!$E$13*$A273))/(1+EXP(MIN(700,MAX(-700,(Examples!$E$14*$A273-Examples!$E$15)/Examples!$E$16))))))+Examples!$E$17*$A273^2)</f>
        <v>284748.90444863291</v>
      </c>
      <c r="H273" s="33">
        <f>Examples!$F$18-(Examples!$F$10+Examples!$F$11)*$A273-(Examples!$F$6*Examples!$F$7*Examples!$F$8*EXP(-Examples!$F$9*$A273)*(1-(Examples!$F$12*(1-EXP(-Examples!$F$13*$A273))/(1+EXP(MIN(700,MAX(-700,(Examples!$F$14*$A273-Examples!$F$15)/Examples!$F$16))))))+Examples!$F$17*$A273^2)</f>
        <v>-58836.710769539292</v>
      </c>
      <c r="I273" s="33">
        <f>(Examples!$F$6*Examples!$F$7*Examples!$F$8*EXP(-Examples!$F$9*$A273)*(1-(Examples!$F$12*(1-EXP(-Examples!$F$13*$A273))/(1+EXP(MIN(700,MAX(-700,(Examples!$F$14*$A273-Examples!$F$15)/Examples!$F$16))))))+Examples!$F$17*$A273^2)</f>
        <v>154636.71076953929</v>
      </c>
      <c r="J273" s="33">
        <f>Examples!$G$18-(Examples!$G$10+Examples!$G$11)*$A273-(Examples!$G$6*Examples!$G$7*Examples!$G$8*EXP(-Examples!$G$9*$A273)*(1-(Examples!$G$12*(1-EXP(-Examples!$G$13*$A273))/(1+EXP(MIN(700,MAX(-700,(Examples!$G$14*$A273-Examples!$G$15)/Examples!$G$16))))))+Examples!$G$17*$A273^2)</f>
        <v>729052.89043059805</v>
      </c>
      <c r="K273" s="33">
        <f>(Examples!$G$6*Examples!$G$7*Examples!$G$8*EXP(-Examples!$G$9*$A273)*(1-(Examples!$G$12*(1-EXP(-Examples!$G$13*$A273))/(1+EXP(MIN(700,MAX(-700,(Examples!$G$14*$A273-Examples!$G$15)/Examples!$G$16))))))+Examples!$G$17*$A273^2)</f>
        <v>635447.10956940195</v>
      </c>
      <c r="L273" s="33">
        <f>Examples!$H$18-(Examples!$H$10+Examples!$H$11)*$A273-(Examples!$H$6*Examples!$H$7*Examples!$H$8*EXP(-Examples!$H$9*$A273)*(1-(Examples!$H$12*(1-EXP(-Examples!$H$13*$A273))/(1+EXP(MIN(700,MAX(-700,(Examples!$H$14*$A273-Examples!$H$15)/Examples!$H$16))))))+Examples!$H$17*$A273^2)</f>
        <v>686559.62329776364</v>
      </c>
      <c r="M273" s="33">
        <f>(Examples!$H$6*Examples!$H$7*Examples!$H$8*EXP(-Examples!$H$9*$A273)*(1-(Examples!$H$12*(1-EXP(-Examples!$H$13*$A273))/(1+EXP(MIN(700,MAX(-700,(Examples!$H$14*$A273-Examples!$H$15)/Examples!$H$16))))))+Examples!$H$17*$A273^2)</f>
        <v>677940.37670223636</v>
      </c>
    </row>
    <row r="274" spans="1:13" x14ac:dyDescent="0.25">
      <c r="A274">
        <f>(274-2)/100</f>
        <v>2.72</v>
      </c>
      <c r="B274" s="33">
        <f>Examples!$C$18-(Examples!$C$10+Examples!$C$11)*$A274-(Examples!$C$6*Examples!$C$7*Examples!$C$8*EXP(-Examples!$C$9*$A274)*(1-(Examples!$C$12*(1-EXP(-Examples!$C$13*$A274))/(1+EXP(MIN(700,MAX(-700,(Examples!$C$14*$A274-Examples!$C$15)/Examples!$C$16))))))+Examples!$C$17*$A274^2)</f>
        <v>131566.88809444162</v>
      </c>
      <c r="C274" s="33">
        <f>(Examples!$C$6*Examples!$C$7*Examples!$C$8*EXP(-Examples!$C$9*$A274)*(1-(Examples!$C$12*(1-EXP(-Examples!$C$13*$A274))/(1+EXP(MIN(700,MAX(-700,(Examples!$C$14*$A274-Examples!$C$15)/Examples!$C$16))))))+Examples!$C$17*$A274^2)</f>
        <v>373233.11190555838</v>
      </c>
      <c r="D274" s="33">
        <f>Examples!$D$18-(Examples!$D$10+Examples!$D$11)*$A274-(Examples!$D$6*Examples!$D$7*Examples!$D$8*EXP(-Examples!$D$9*$A274)*(1-(Examples!$D$12*(1-EXP(-Examples!$D$13*$A274))/(1+EXP(MIN(700,MAX(-700,(Examples!$D$14*$A274-Examples!$D$15)/Examples!$D$16))))))+Examples!$D$17*$A274^2)</f>
        <v>1425674.2023583562</v>
      </c>
      <c r="E274" s="33">
        <f>(Examples!$D$6*Examples!$D$7*Examples!$D$8*EXP(-Examples!$D$9*$A274)*(1-(Examples!$D$12*(1-EXP(-Examples!$D$13*$A274))/(1+EXP(MIN(700,MAX(-700,(Examples!$D$14*$A274-Examples!$D$15)/Examples!$D$16))))))+Examples!$D$17*$A274^2)</f>
        <v>951925.79764164391</v>
      </c>
      <c r="F274" s="33">
        <f>Examples!$E$18-(Examples!$E$10+Examples!$E$11)*$A274-(Examples!$E$6*Examples!$E$7*Examples!$E$8*EXP(-Examples!$E$9*$A274)*(1-(Examples!$E$12*(1-EXP(-Examples!$E$13*$A274))/(1+EXP(MIN(700,MAX(-700,(Examples!$E$14*$A274-Examples!$E$15)/Examples!$E$16))))))+Examples!$E$17*$A274^2)</f>
        <v>2485251.4068769678</v>
      </c>
      <c r="G274" s="33">
        <f>(Examples!$E$6*Examples!$E$7*Examples!$E$8*EXP(-Examples!$E$9*$A274)*(1-(Examples!$E$12*(1-EXP(-Examples!$E$13*$A274))/(1+EXP(MIN(700,MAX(-700,(Examples!$E$14*$A274-Examples!$E$15)/Examples!$E$16))))))+Examples!$E$17*$A274^2)</f>
        <v>283548.5931230323</v>
      </c>
      <c r="H274" s="33">
        <f>Examples!$F$18-(Examples!$F$10+Examples!$F$11)*$A274-(Examples!$F$6*Examples!$F$7*Examples!$F$8*EXP(-Examples!$F$9*$A274)*(1-(Examples!$F$12*(1-EXP(-Examples!$F$13*$A274))/(1+EXP(MIN(700,MAX(-700,(Examples!$F$14*$A274-Examples!$F$15)/Examples!$F$16))))))+Examples!$F$17*$A274^2)</f>
        <v>-60099.737538051588</v>
      </c>
      <c r="I274" s="33">
        <f>(Examples!$F$6*Examples!$F$7*Examples!$F$8*EXP(-Examples!$F$9*$A274)*(1-(Examples!$F$12*(1-EXP(-Examples!$F$13*$A274))/(1+EXP(MIN(700,MAX(-700,(Examples!$F$14*$A274-Examples!$F$15)/Examples!$F$16))))))+Examples!$F$17*$A274^2)</f>
        <v>155699.73753805159</v>
      </c>
      <c r="J274" s="33">
        <f>Examples!$G$18-(Examples!$G$10+Examples!$G$11)*$A274-(Examples!$G$6*Examples!$G$7*Examples!$G$8*EXP(-Examples!$G$9*$A274)*(1-(Examples!$G$12*(1-EXP(-Examples!$G$13*$A274))/(1+EXP(MIN(700,MAX(-700,(Examples!$G$14*$A274-Examples!$G$15)/Examples!$G$16))))))+Examples!$G$17*$A274^2)</f>
        <v>728976.23661054159</v>
      </c>
      <c r="K274" s="33">
        <f>(Examples!$G$6*Examples!$G$7*Examples!$G$8*EXP(-Examples!$G$9*$A274)*(1-(Examples!$G$12*(1-EXP(-Examples!$G$13*$A274))/(1+EXP(MIN(700,MAX(-700,(Examples!$G$14*$A274-Examples!$G$15)/Examples!$G$16))))))+Examples!$G$17*$A274^2)</f>
        <v>635023.76338945841</v>
      </c>
      <c r="L274" s="33">
        <f>Examples!$H$18-(Examples!$H$10+Examples!$H$11)*$A274-(Examples!$H$6*Examples!$H$7*Examples!$H$8*EXP(-Examples!$H$9*$A274)*(1-(Examples!$H$12*(1-EXP(-Examples!$H$13*$A274))/(1+EXP(MIN(700,MAX(-700,(Examples!$H$14*$A274-Examples!$H$15)/Examples!$H$16))))))+Examples!$H$17*$A274^2)</f>
        <v>684787.28251989675</v>
      </c>
      <c r="M274" s="33">
        <f>(Examples!$H$6*Examples!$H$7*Examples!$H$8*EXP(-Examples!$H$9*$A274)*(1-(Examples!$H$12*(1-EXP(-Examples!$H$13*$A274))/(1+EXP(MIN(700,MAX(-700,(Examples!$H$14*$A274-Examples!$H$15)/Examples!$H$16))))))+Examples!$H$17*$A274^2)</f>
        <v>679212.71748010325</v>
      </c>
    </row>
    <row r="275" spans="1:13" x14ac:dyDescent="0.25">
      <c r="A275">
        <f>(275-2)/100</f>
        <v>2.73</v>
      </c>
      <c r="B275" s="33">
        <f>Examples!$C$18-(Examples!$C$10+Examples!$C$11)*$A275-(Examples!$C$6*Examples!$C$7*Examples!$C$8*EXP(-Examples!$C$9*$A275)*(1-(Examples!$C$12*(1-EXP(-Examples!$C$13*$A275))/(1+EXP(MIN(700,MAX(-700,(Examples!$C$14*$A275-Examples!$C$15)/Examples!$C$16))))))+Examples!$C$17*$A275^2)</f>
        <v>131093.72959932545</v>
      </c>
      <c r="C275" s="33">
        <f>(Examples!$C$6*Examples!$C$7*Examples!$C$8*EXP(-Examples!$C$9*$A275)*(1-(Examples!$C$12*(1-EXP(-Examples!$C$13*$A275))/(1+EXP(MIN(700,MAX(-700,(Examples!$C$14*$A275-Examples!$C$15)/Examples!$C$16))))))+Examples!$C$17*$A275^2)</f>
        <v>373356.27040067455</v>
      </c>
      <c r="D275" s="33">
        <f>Examples!$D$18-(Examples!$D$10+Examples!$D$11)*$A275-(Examples!$D$6*Examples!$D$7*Examples!$D$8*EXP(-Examples!$D$9*$A275)*(1-(Examples!$D$12*(1-EXP(-Examples!$D$13*$A275))/(1+EXP(MIN(700,MAX(-700,(Examples!$D$14*$A275-Examples!$D$15)/Examples!$D$16))))))+Examples!$D$17*$A275^2)</f>
        <v>1427998.4505030466</v>
      </c>
      <c r="E275" s="33">
        <f>(Examples!$D$6*Examples!$D$7*Examples!$D$8*EXP(-Examples!$D$9*$A275)*(1-(Examples!$D$12*(1-EXP(-Examples!$D$13*$A275))/(1+EXP(MIN(700,MAX(-700,(Examples!$D$14*$A275-Examples!$D$15)/Examples!$D$16))))))+Examples!$D$17*$A275^2)</f>
        <v>949151.54949695326</v>
      </c>
      <c r="F275" s="33">
        <f>Examples!$E$18-(Examples!$E$10+Examples!$E$11)*$A275-(Examples!$E$6*Examples!$E$7*Examples!$E$8*EXP(-Examples!$E$9*$A275)*(1-(Examples!$E$12*(1-EXP(-Examples!$E$13*$A275))/(1+EXP(MIN(700,MAX(-700,(Examples!$E$14*$A275-Examples!$E$15)/Examples!$E$16))))))+Examples!$E$17*$A275^2)</f>
        <v>2485586.4435144197</v>
      </c>
      <c r="G275" s="33">
        <f>(Examples!$E$6*Examples!$E$7*Examples!$E$8*EXP(-Examples!$E$9*$A275)*(1-(Examples!$E$12*(1-EXP(-Examples!$E$13*$A275))/(1+EXP(MIN(700,MAX(-700,(Examples!$E$14*$A275-Examples!$E$15)/Examples!$E$16))))))+Examples!$E$17*$A275^2)</f>
        <v>282363.55648558051</v>
      </c>
      <c r="H275" s="33">
        <f>Examples!$F$18-(Examples!$F$10+Examples!$F$11)*$A275-(Examples!$F$6*Examples!$F$7*Examples!$F$8*EXP(-Examples!$F$9*$A275)*(1-(Examples!$F$12*(1-EXP(-Examples!$F$13*$A275))/(1+EXP(MIN(700,MAX(-700,(Examples!$F$14*$A275-Examples!$F$15)/Examples!$F$16))))))+Examples!$F$17*$A275^2)</f>
        <v>-61366.823093484447</v>
      </c>
      <c r="I275" s="33">
        <f>(Examples!$F$6*Examples!$F$7*Examples!$F$8*EXP(-Examples!$F$9*$A275)*(1-(Examples!$F$12*(1-EXP(-Examples!$F$13*$A275))/(1+EXP(MIN(700,MAX(-700,(Examples!$F$14*$A275-Examples!$F$15)/Examples!$F$16))))))+Examples!$F$17*$A275^2)</f>
        <v>156766.82309348445</v>
      </c>
      <c r="J275" s="33">
        <f>Examples!$G$18-(Examples!$G$10+Examples!$G$11)*$A275-(Examples!$G$6*Examples!$G$7*Examples!$G$8*EXP(-Examples!$G$9*$A275)*(1-(Examples!$G$12*(1-EXP(-Examples!$G$13*$A275))/(1+EXP(MIN(700,MAX(-700,(Examples!$G$14*$A275-Examples!$G$15)/Examples!$G$16))))))+Examples!$G$17*$A275^2)</f>
        <v>728895.08664871485</v>
      </c>
      <c r="K275" s="33">
        <f>(Examples!$G$6*Examples!$G$7*Examples!$G$8*EXP(-Examples!$G$9*$A275)*(1-(Examples!$G$12*(1-EXP(-Examples!$G$13*$A275))/(1+EXP(MIN(700,MAX(-700,(Examples!$G$14*$A275-Examples!$G$15)/Examples!$G$16))))))+Examples!$G$17*$A275^2)</f>
        <v>634604.91335128515</v>
      </c>
      <c r="L275" s="33">
        <f>Examples!$H$18-(Examples!$H$10+Examples!$H$11)*$A275-(Examples!$H$6*Examples!$H$7*Examples!$H$8*EXP(-Examples!$H$9*$A275)*(1-(Examples!$H$12*(1-EXP(-Examples!$H$13*$A275))/(1+EXP(MIN(700,MAX(-700,(Examples!$H$14*$A275-Examples!$H$15)/Examples!$H$16))))))+Examples!$H$17*$A275^2)</f>
        <v>683049.32464271283</v>
      </c>
      <c r="M275" s="33">
        <f>(Examples!$H$6*Examples!$H$7*Examples!$H$8*EXP(-Examples!$H$9*$A275)*(1-(Examples!$H$12*(1-EXP(-Examples!$H$13*$A275))/(1+EXP(MIN(700,MAX(-700,(Examples!$H$14*$A275-Examples!$H$15)/Examples!$H$16))))))+Examples!$H$17*$A275^2)</f>
        <v>680450.67535728717</v>
      </c>
    </row>
    <row r="276" spans="1:13" x14ac:dyDescent="0.25">
      <c r="A276">
        <f>(276-2)/100</f>
        <v>2.74</v>
      </c>
      <c r="B276" s="33">
        <f>Examples!$C$18-(Examples!$C$10+Examples!$C$11)*$A276-(Examples!$C$6*Examples!$C$7*Examples!$C$8*EXP(-Examples!$C$9*$A276)*(1-(Examples!$C$12*(1-EXP(-Examples!$C$13*$A276))/(1+EXP(MIN(700,MAX(-700,(Examples!$C$14*$A276-Examples!$C$15)/Examples!$C$16))))))+Examples!$C$17*$A276^2)</f>
        <v>130618.36313606449</v>
      </c>
      <c r="C276" s="33">
        <f>(Examples!$C$6*Examples!$C$7*Examples!$C$8*EXP(-Examples!$C$9*$A276)*(1-(Examples!$C$12*(1-EXP(-Examples!$C$13*$A276))/(1+EXP(MIN(700,MAX(-700,(Examples!$C$14*$A276-Examples!$C$15)/Examples!$C$16))))))+Examples!$C$17*$A276^2)</f>
        <v>373481.63686393551</v>
      </c>
      <c r="D276" s="33">
        <f>Examples!$D$18-(Examples!$D$10+Examples!$D$11)*$A276-(Examples!$D$6*Examples!$D$7*Examples!$D$8*EXP(-Examples!$D$9*$A276)*(1-(Examples!$D$12*(1-EXP(-Examples!$D$13*$A276))/(1+EXP(MIN(700,MAX(-700,(Examples!$D$14*$A276-Examples!$D$15)/Examples!$D$16))))))+Examples!$D$17*$A276^2)</f>
        <v>1430280.7973916349</v>
      </c>
      <c r="E276" s="33">
        <f>(Examples!$D$6*Examples!$D$7*Examples!$D$8*EXP(-Examples!$D$9*$A276)*(1-(Examples!$D$12*(1-EXP(-Examples!$D$13*$A276))/(1+EXP(MIN(700,MAX(-700,(Examples!$D$14*$A276-Examples!$D$15)/Examples!$D$16))))))+Examples!$D$17*$A276^2)</f>
        <v>946419.20260836522</v>
      </c>
      <c r="F276" s="33">
        <f>Examples!$E$18-(Examples!$E$10+Examples!$E$11)*$A276-(Examples!$E$6*Examples!$E$7*Examples!$E$8*EXP(-Examples!$E$9*$A276)*(1-(Examples!$E$12*(1-EXP(-Examples!$E$13*$A276))/(1+EXP(MIN(700,MAX(-700,(Examples!$E$14*$A276-Examples!$E$15)/Examples!$E$16))))))+Examples!$E$17*$A276^2)</f>
        <v>2485906.375056582</v>
      </c>
      <c r="G276" s="33">
        <f>(Examples!$E$6*Examples!$E$7*Examples!$E$8*EXP(-Examples!$E$9*$A276)*(1-(Examples!$E$12*(1-EXP(-Examples!$E$13*$A276))/(1+EXP(MIN(700,MAX(-700,(Examples!$E$14*$A276-Examples!$E$15)/Examples!$E$16))))))+Examples!$E$17*$A276^2)</f>
        <v>281193.62494341785</v>
      </c>
      <c r="H276" s="33">
        <f>Examples!$F$18-(Examples!$F$10+Examples!$F$11)*$A276-(Examples!$F$6*Examples!$F$7*Examples!$F$8*EXP(-Examples!$F$9*$A276)*(1-(Examples!$F$12*(1-EXP(-Examples!$F$13*$A276))/(1+EXP(MIN(700,MAX(-700,(Examples!$F$14*$A276-Examples!$F$15)/Examples!$F$16))))))+Examples!$F$17*$A276^2)</f>
        <v>-62637.967645964323</v>
      </c>
      <c r="I276" s="33">
        <f>(Examples!$F$6*Examples!$F$7*Examples!$F$8*EXP(-Examples!$F$9*$A276)*(1-(Examples!$F$12*(1-EXP(-Examples!$F$13*$A276))/(1+EXP(MIN(700,MAX(-700,(Examples!$F$14*$A276-Examples!$F$15)/Examples!$F$16))))))+Examples!$F$17*$A276^2)</f>
        <v>157837.96764596432</v>
      </c>
      <c r="J276" s="33">
        <f>Examples!$G$18-(Examples!$G$10+Examples!$G$11)*$A276-(Examples!$G$6*Examples!$G$7*Examples!$G$8*EXP(-Examples!$G$9*$A276)*(1-(Examples!$G$12*(1-EXP(-Examples!$G$13*$A276))/(1+EXP(MIN(700,MAX(-700,(Examples!$G$14*$A276-Examples!$G$15)/Examples!$G$16))))))+Examples!$G$17*$A276^2)</f>
        <v>728809.64944412047</v>
      </c>
      <c r="K276" s="33">
        <f>(Examples!$G$6*Examples!$G$7*Examples!$G$8*EXP(-Examples!$G$9*$A276)*(1-(Examples!$G$12*(1-EXP(-Examples!$G$13*$A276))/(1+EXP(MIN(700,MAX(-700,(Examples!$G$14*$A276-Examples!$G$15)/Examples!$G$16))))))+Examples!$G$17*$A276^2)</f>
        <v>634190.35055587953</v>
      </c>
      <c r="L276" s="33">
        <f>Examples!$H$18-(Examples!$H$10+Examples!$H$11)*$A276-(Examples!$H$6*Examples!$H$7*Examples!$H$8*EXP(-Examples!$H$9*$A276)*(1-(Examples!$H$12*(1-EXP(-Examples!$H$13*$A276))/(1+EXP(MIN(700,MAX(-700,(Examples!$H$14*$A276-Examples!$H$15)/Examples!$H$16))))))+Examples!$H$17*$A276^2)</f>
        <v>681346.759719964</v>
      </c>
      <c r="M276" s="33">
        <f>(Examples!$H$6*Examples!$H$7*Examples!$H$8*EXP(-Examples!$H$9*$A276)*(1-(Examples!$H$12*(1-EXP(-Examples!$H$13*$A276))/(1+EXP(MIN(700,MAX(-700,(Examples!$H$14*$A276-Examples!$H$15)/Examples!$H$16))))))+Examples!$H$17*$A276^2)</f>
        <v>681653.240280036</v>
      </c>
    </row>
    <row r="277" spans="1:13" x14ac:dyDescent="0.25">
      <c r="A277">
        <f>(277-2)/100</f>
        <v>2.75</v>
      </c>
      <c r="B277" s="33">
        <f>Examples!$C$18-(Examples!$C$10+Examples!$C$11)*$A277-(Examples!$C$6*Examples!$C$7*Examples!$C$8*EXP(-Examples!$C$9*$A277)*(1-(Examples!$C$12*(1-EXP(-Examples!$C$13*$A277))/(1+EXP(MIN(700,MAX(-700,(Examples!$C$14*$A277-Examples!$C$15)/Examples!$C$16))))))+Examples!$C$17*$A277^2)</f>
        <v>130140.70261914143</v>
      </c>
      <c r="C277" s="33">
        <f>(Examples!$C$6*Examples!$C$7*Examples!$C$8*EXP(-Examples!$C$9*$A277)*(1-(Examples!$C$12*(1-EXP(-Examples!$C$13*$A277))/(1+EXP(MIN(700,MAX(-700,(Examples!$C$14*$A277-Examples!$C$15)/Examples!$C$16))))))+Examples!$C$17*$A277^2)</f>
        <v>373609.29738085857</v>
      </c>
      <c r="D277" s="33">
        <f>Examples!$D$18-(Examples!$D$10+Examples!$D$11)*$A277-(Examples!$D$6*Examples!$D$7*Examples!$D$8*EXP(-Examples!$D$9*$A277)*(1-(Examples!$D$12*(1-EXP(-Examples!$D$13*$A277))/(1+EXP(MIN(700,MAX(-700,(Examples!$D$14*$A277-Examples!$D$15)/Examples!$D$16))))))+Examples!$D$17*$A277^2)</f>
        <v>1432521.7089834663</v>
      </c>
      <c r="E277" s="33">
        <f>(Examples!$D$6*Examples!$D$7*Examples!$D$8*EXP(-Examples!$D$9*$A277)*(1-(Examples!$D$12*(1-EXP(-Examples!$D$13*$A277))/(1+EXP(MIN(700,MAX(-700,(Examples!$D$14*$A277-Examples!$D$15)/Examples!$D$16))))))+Examples!$D$17*$A277^2)</f>
        <v>943728.29101653374</v>
      </c>
      <c r="F277" s="33">
        <f>Examples!$E$18-(Examples!$E$10+Examples!$E$11)*$A277-(Examples!$E$6*Examples!$E$7*Examples!$E$8*EXP(-Examples!$E$9*$A277)*(1-(Examples!$E$12*(1-EXP(-Examples!$E$13*$A277))/(1+EXP(MIN(700,MAX(-700,(Examples!$E$14*$A277-Examples!$E$15)/Examples!$E$16))))))+Examples!$E$17*$A277^2)</f>
        <v>2486211.3692753077</v>
      </c>
      <c r="G277" s="33">
        <f>(Examples!$E$6*Examples!$E$7*Examples!$E$8*EXP(-Examples!$E$9*$A277)*(1-(Examples!$E$12*(1-EXP(-Examples!$E$13*$A277))/(1+EXP(MIN(700,MAX(-700,(Examples!$E$14*$A277-Examples!$E$15)/Examples!$E$16))))))+Examples!$E$17*$A277^2)</f>
        <v>280038.63072469208</v>
      </c>
      <c r="H277" s="33">
        <f>Examples!$F$18-(Examples!$F$10+Examples!$F$11)*$A277-(Examples!$F$6*Examples!$F$7*Examples!$F$8*EXP(-Examples!$F$9*$A277)*(1-(Examples!$F$12*(1-EXP(-Examples!$F$13*$A277))/(1+EXP(MIN(700,MAX(-700,(Examples!$F$14*$A277-Examples!$F$15)/Examples!$F$16))))))+Examples!$F$17*$A277^2)</f>
        <v>-63913.171390522533</v>
      </c>
      <c r="I277" s="33">
        <f>(Examples!$F$6*Examples!$F$7*Examples!$F$8*EXP(-Examples!$F$9*$A277)*(1-(Examples!$F$12*(1-EXP(-Examples!$F$13*$A277))/(1+EXP(MIN(700,MAX(-700,(Examples!$F$14*$A277-Examples!$F$15)/Examples!$F$16))))))+Examples!$F$17*$A277^2)</f>
        <v>158913.17139052253</v>
      </c>
      <c r="J277" s="33">
        <f>Examples!$G$18-(Examples!$G$10+Examples!$G$11)*$A277-(Examples!$G$6*Examples!$G$7*Examples!$G$8*EXP(-Examples!$G$9*$A277)*(1-(Examples!$G$12*(1-EXP(-Examples!$G$13*$A277))/(1+EXP(MIN(700,MAX(-700,(Examples!$G$14*$A277-Examples!$G$15)/Examples!$G$16))))))+Examples!$G$17*$A277^2)</f>
        <v>728720.13048713701</v>
      </c>
      <c r="K277" s="33">
        <f>(Examples!$G$6*Examples!$G$7*Examples!$G$8*EXP(-Examples!$G$9*$A277)*(1-(Examples!$G$12*(1-EXP(-Examples!$G$13*$A277))/(1+EXP(MIN(700,MAX(-700,(Examples!$G$14*$A277-Examples!$G$15)/Examples!$G$16))))))+Examples!$G$17*$A277^2)</f>
        <v>633779.86951286299</v>
      </c>
      <c r="L277" s="33">
        <f>Examples!$H$18-(Examples!$H$10+Examples!$H$11)*$A277-(Examples!$H$6*Examples!$H$7*Examples!$H$8*EXP(-Examples!$H$9*$A277)*(1-(Examples!$H$12*(1-EXP(-Examples!$H$13*$A277))/(1+EXP(MIN(700,MAX(-700,(Examples!$H$14*$A277-Examples!$H$15)/Examples!$H$16))))))+Examples!$H$17*$A277^2)</f>
        <v>679680.52601581451</v>
      </c>
      <c r="M277" s="33">
        <f>(Examples!$H$6*Examples!$H$7*Examples!$H$8*EXP(-Examples!$H$9*$A277)*(1-(Examples!$H$12*(1-EXP(-Examples!$H$13*$A277))/(1+EXP(MIN(700,MAX(-700,(Examples!$H$14*$A277-Examples!$H$15)/Examples!$H$16))))))+Examples!$H$17*$A277^2)</f>
        <v>682819.47398418549</v>
      </c>
    </row>
    <row r="278" spans="1:13" x14ac:dyDescent="0.25">
      <c r="A278">
        <f>(278-2)/100</f>
        <v>2.76</v>
      </c>
      <c r="B278" s="33">
        <f>Examples!$C$18-(Examples!$C$10+Examples!$C$11)*$A278-(Examples!$C$6*Examples!$C$7*Examples!$C$8*EXP(-Examples!$C$9*$A278)*(1-(Examples!$C$12*(1-EXP(-Examples!$C$13*$A278))/(1+EXP(MIN(700,MAX(-700,(Examples!$C$14*$A278-Examples!$C$15)/Examples!$C$16))))))+Examples!$C$17*$A278^2)</f>
        <v>129660.66425956669</v>
      </c>
      <c r="C278" s="33">
        <f>(Examples!$C$6*Examples!$C$7*Examples!$C$8*EXP(-Examples!$C$9*$A278)*(1-(Examples!$C$12*(1-EXP(-Examples!$C$13*$A278))/(1+EXP(MIN(700,MAX(-700,(Examples!$C$14*$A278-Examples!$C$15)/Examples!$C$16))))))+Examples!$C$17*$A278^2)</f>
        <v>373739.33574043331</v>
      </c>
      <c r="D278" s="33">
        <f>Examples!$D$18-(Examples!$D$10+Examples!$D$11)*$A278-(Examples!$D$6*Examples!$D$7*Examples!$D$8*EXP(-Examples!$D$9*$A278)*(1-(Examples!$D$12*(1-EXP(-Examples!$D$13*$A278))/(1+EXP(MIN(700,MAX(-700,(Examples!$D$14*$A278-Examples!$D$15)/Examples!$D$16))))))+Examples!$D$17*$A278^2)</f>
        <v>1434721.6503185965</v>
      </c>
      <c r="E278" s="33">
        <f>(Examples!$D$6*Examples!$D$7*Examples!$D$8*EXP(-Examples!$D$9*$A278)*(1-(Examples!$D$12*(1-EXP(-Examples!$D$13*$A278))/(1+EXP(MIN(700,MAX(-700,(Examples!$D$14*$A278-Examples!$D$15)/Examples!$D$16))))))+Examples!$D$17*$A278^2)</f>
        <v>941078.3496814036</v>
      </c>
      <c r="F278" s="33">
        <f>Examples!$E$18-(Examples!$E$10+Examples!$E$11)*$A278-(Examples!$E$6*Examples!$E$7*Examples!$E$8*EXP(-Examples!$E$9*$A278)*(1-(Examples!$E$12*(1-EXP(-Examples!$E$13*$A278))/(1+EXP(MIN(700,MAX(-700,(Examples!$E$14*$A278-Examples!$E$15)/Examples!$E$16))))))+Examples!$E$17*$A278^2)</f>
        <v>2486501.5921429442</v>
      </c>
      <c r="G278" s="33">
        <f>(Examples!$E$6*Examples!$E$7*Examples!$E$8*EXP(-Examples!$E$9*$A278)*(1-(Examples!$E$12*(1-EXP(-Examples!$E$13*$A278))/(1+EXP(MIN(700,MAX(-700,(Examples!$E$14*$A278-Examples!$E$15)/Examples!$E$16))))))+Examples!$E$17*$A278^2)</f>
        <v>278898.40785705595</v>
      </c>
      <c r="H278" s="33">
        <f>Examples!$F$18-(Examples!$F$10+Examples!$F$11)*$A278-(Examples!$F$6*Examples!$F$7*Examples!$F$8*EXP(-Examples!$F$9*$A278)*(1-(Examples!$F$12*(1-EXP(-Examples!$F$13*$A278))/(1+EXP(MIN(700,MAX(-700,(Examples!$F$14*$A278-Examples!$F$15)/Examples!$F$16))))))+Examples!$F$17*$A278^2)</f>
        <v>-65192.434507656086</v>
      </c>
      <c r="I278" s="33">
        <f>(Examples!$F$6*Examples!$F$7*Examples!$F$8*EXP(-Examples!$F$9*$A278)*(1-(Examples!$F$12*(1-EXP(-Examples!$F$13*$A278))/(1+EXP(MIN(700,MAX(-700,(Examples!$F$14*$A278-Examples!$F$15)/Examples!$F$16))))))+Examples!$F$17*$A278^2)</f>
        <v>159992.43450765609</v>
      </c>
      <c r="J278" s="33">
        <f>Examples!$G$18-(Examples!$G$10+Examples!$G$11)*$A278-(Examples!$G$6*Examples!$G$7*Examples!$G$8*EXP(-Examples!$G$9*$A278)*(1-(Examples!$G$12*(1-EXP(-Examples!$G$13*$A278))/(1+EXP(MIN(700,MAX(-700,(Examples!$G$14*$A278-Examples!$G$15)/Examples!$G$16))))))+Examples!$G$17*$A278^2)</f>
        <v>728626.73183978745</v>
      </c>
      <c r="K278" s="33">
        <f>(Examples!$G$6*Examples!$G$7*Examples!$G$8*EXP(-Examples!$G$9*$A278)*(1-(Examples!$G$12*(1-EXP(-Examples!$G$13*$A278))/(1+EXP(MIN(700,MAX(-700,(Examples!$G$14*$A278-Examples!$G$15)/Examples!$G$16))))))+Examples!$G$17*$A278^2)</f>
        <v>633373.26816021255</v>
      </c>
      <c r="L278" s="33">
        <f>Examples!$H$18-(Examples!$H$10+Examples!$H$11)*$A278-(Examples!$H$6*Examples!$H$7*Examples!$H$8*EXP(-Examples!$H$9*$A278)*(1-(Examples!$H$12*(1-EXP(-Examples!$H$13*$A278))/(1+EXP(MIN(700,MAX(-700,(Examples!$H$14*$A278-Examples!$H$15)/Examples!$H$16))))))+Examples!$H$17*$A278^2)</f>
        <v>678051.49002138874</v>
      </c>
      <c r="M278" s="33">
        <f>(Examples!$H$6*Examples!$H$7*Examples!$H$8*EXP(-Examples!$H$9*$A278)*(1-(Examples!$H$12*(1-EXP(-Examples!$H$13*$A278))/(1+EXP(MIN(700,MAX(-700,(Examples!$H$14*$A278-Examples!$H$15)/Examples!$H$16))))))+Examples!$H$17*$A278^2)</f>
        <v>683948.50997861126</v>
      </c>
    </row>
    <row r="279" spans="1:13" x14ac:dyDescent="0.25">
      <c r="A279">
        <f>(279-2)/100</f>
        <v>2.77</v>
      </c>
      <c r="B279" s="33">
        <f>Examples!$C$18-(Examples!$C$10+Examples!$C$11)*$A279-(Examples!$C$6*Examples!$C$7*Examples!$C$8*EXP(-Examples!$C$9*$A279)*(1-(Examples!$C$12*(1-EXP(-Examples!$C$13*$A279))/(1+EXP(MIN(700,MAX(-700,(Examples!$C$14*$A279-Examples!$C$15)/Examples!$C$16))))))+Examples!$C$17*$A279^2)</f>
        <v>129178.16653383238</v>
      </c>
      <c r="C279" s="33">
        <f>(Examples!$C$6*Examples!$C$7*Examples!$C$8*EXP(-Examples!$C$9*$A279)*(1-(Examples!$C$12*(1-EXP(-Examples!$C$13*$A279))/(1+EXP(MIN(700,MAX(-700,(Examples!$C$14*$A279-Examples!$C$15)/Examples!$C$16))))))+Examples!$C$17*$A279^2)</f>
        <v>373871.83346616762</v>
      </c>
      <c r="D279" s="33">
        <f>Examples!$D$18-(Examples!$D$10+Examples!$D$11)*$A279-(Examples!$D$6*Examples!$D$7*Examples!$D$8*EXP(-Examples!$D$9*$A279)*(1-(Examples!$D$12*(1-EXP(-Examples!$D$13*$A279))/(1+EXP(MIN(700,MAX(-700,(Examples!$D$14*$A279-Examples!$D$15)/Examples!$D$16))))))+Examples!$D$17*$A279^2)</f>
        <v>1436881.0855452674</v>
      </c>
      <c r="E279" s="33">
        <f>(Examples!$D$6*Examples!$D$7*Examples!$D$8*EXP(-Examples!$D$9*$A279)*(1-(Examples!$D$12*(1-EXP(-Examples!$D$13*$A279))/(1+EXP(MIN(700,MAX(-700,(Examples!$D$14*$A279-Examples!$D$15)/Examples!$D$16))))))+Examples!$D$17*$A279^2)</f>
        <v>938468.91445473267</v>
      </c>
      <c r="F279" s="33">
        <f>Examples!$E$18-(Examples!$E$10+Examples!$E$11)*$A279-(Examples!$E$6*Examples!$E$7*Examples!$E$8*EXP(-Examples!$E$9*$A279)*(1-(Examples!$E$12*(1-EXP(-Examples!$E$13*$A279))/(1+EXP(MIN(700,MAX(-700,(Examples!$E$14*$A279-Examples!$E$15)/Examples!$E$16))))))+Examples!$E$17*$A279^2)</f>
        <v>2486777.2078535706</v>
      </c>
      <c r="G279" s="33">
        <f>(Examples!$E$6*Examples!$E$7*Examples!$E$8*EXP(-Examples!$E$9*$A279)*(1-(Examples!$E$12*(1-EXP(-Examples!$E$13*$A279))/(1+EXP(MIN(700,MAX(-700,(Examples!$E$14*$A279-Examples!$E$15)/Examples!$E$16))))))+Examples!$E$17*$A279^2)</f>
        <v>277772.79214642954</v>
      </c>
      <c r="H279" s="33">
        <f>Examples!$F$18-(Examples!$F$10+Examples!$F$11)*$A279-(Examples!$F$6*Examples!$F$7*Examples!$F$8*EXP(-Examples!$F$9*$A279)*(1-(Examples!$F$12*(1-EXP(-Examples!$F$13*$A279))/(1+EXP(MIN(700,MAX(-700,(Examples!$F$14*$A279-Examples!$F$15)/Examples!$F$16))))))+Examples!$F$17*$A279^2)</f>
        <v>-66475.757163869624</v>
      </c>
      <c r="I279" s="33">
        <f>(Examples!$F$6*Examples!$F$7*Examples!$F$8*EXP(-Examples!$F$9*$A279)*(1-(Examples!$F$12*(1-EXP(-Examples!$F$13*$A279))/(1+EXP(MIN(700,MAX(-700,(Examples!$F$14*$A279-Examples!$F$15)/Examples!$F$16))))))+Examples!$F$17*$A279^2)</f>
        <v>161075.75716386962</v>
      </c>
      <c r="J279" s="33">
        <f>Examples!$G$18-(Examples!$G$10+Examples!$G$11)*$A279-(Examples!$G$6*Examples!$G$7*Examples!$G$8*EXP(-Examples!$G$9*$A279)*(1-(Examples!$G$12*(1-EXP(-Examples!$G$13*$A279))/(1+EXP(MIN(700,MAX(-700,(Examples!$G$14*$A279-Examples!$G$15)/Examples!$G$16))))))+Examples!$G$17*$A279^2)</f>
        <v>728529.65211746865</v>
      </c>
      <c r="K279" s="33">
        <f>(Examples!$G$6*Examples!$G$7*Examples!$G$8*EXP(-Examples!$G$9*$A279)*(1-(Examples!$G$12*(1-EXP(-Examples!$G$13*$A279))/(1+EXP(MIN(700,MAX(-700,(Examples!$G$14*$A279-Examples!$G$15)/Examples!$G$16))))))+Examples!$G$17*$A279^2)</f>
        <v>632970.34788253135</v>
      </c>
      <c r="L279" s="33">
        <f>Examples!$H$18-(Examples!$H$10+Examples!$H$11)*$A279-(Examples!$H$6*Examples!$H$7*Examples!$H$8*EXP(-Examples!$H$9*$A279)*(1-(Examples!$H$12*(1-EXP(-Examples!$H$13*$A279))/(1+EXP(MIN(700,MAX(-700,(Examples!$H$14*$A279-Examples!$H$15)/Examples!$H$16))))))+Examples!$H$17*$A279^2)</f>
        <v>676460.4466750382</v>
      </c>
      <c r="M279" s="33">
        <f>(Examples!$H$6*Examples!$H$7*Examples!$H$8*EXP(-Examples!$H$9*$A279)*(1-(Examples!$H$12*(1-EXP(-Examples!$H$13*$A279))/(1+EXP(MIN(700,MAX(-700,(Examples!$H$14*$A279-Examples!$H$15)/Examples!$H$16))))))+Examples!$H$17*$A279^2)</f>
        <v>685039.5533249618</v>
      </c>
    </row>
    <row r="280" spans="1:13" x14ac:dyDescent="0.25">
      <c r="A280">
        <f>(280-2)/100</f>
        <v>2.78</v>
      </c>
      <c r="B280" s="33">
        <f>Examples!$C$18-(Examples!$C$10+Examples!$C$11)*$A280-(Examples!$C$6*Examples!$C$7*Examples!$C$8*EXP(-Examples!$C$9*$A280)*(1-(Examples!$C$12*(1-EXP(-Examples!$C$13*$A280))/(1+EXP(MIN(700,MAX(-700,(Examples!$C$14*$A280-Examples!$C$15)/Examples!$C$16))))))+Examples!$C$17*$A280^2)</f>
        <v>128693.13015138538</v>
      </c>
      <c r="C280" s="33">
        <f>(Examples!$C$6*Examples!$C$7*Examples!$C$8*EXP(-Examples!$C$9*$A280)*(1-(Examples!$C$12*(1-EXP(-Examples!$C$13*$A280))/(1+EXP(MIN(700,MAX(-700,(Examples!$C$14*$A280-Examples!$C$15)/Examples!$C$16))))))+Examples!$C$17*$A280^2)</f>
        <v>374006.86984861462</v>
      </c>
      <c r="D280" s="33">
        <f>Examples!$D$18-(Examples!$D$10+Examples!$D$11)*$A280-(Examples!$D$6*Examples!$D$7*Examples!$D$8*EXP(-Examples!$D$9*$A280)*(1-(Examples!$D$12*(1-EXP(-Examples!$D$13*$A280))/(1+EXP(MIN(700,MAX(-700,(Examples!$D$14*$A280-Examples!$D$15)/Examples!$D$16))))))+Examples!$D$17*$A280^2)</f>
        <v>1439000.4779458581</v>
      </c>
      <c r="E280" s="33">
        <f>(Examples!$D$6*Examples!$D$7*Examples!$D$8*EXP(-Examples!$D$9*$A280)*(1-(Examples!$D$12*(1-EXP(-Examples!$D$13*$A280))/(1+EXP(MIN(700,MAX(-700,(Examples!$D$14*$A280-Examples!$D$15)/Examples!$D$16))))))+Examples!$D$17*$A280^2)</f>
        <v>935899.52205414174</v>
      </c>
      <c r="F280" s="33">
        <f>Examples!$E$18-(Examples!$E$10+Examples!$E$11)*$A280-(Examples!$E$6*Examples!$E$7*Examples!$E$8*EXP(-Examples!$E$9*$A280)*(1-(Examples!$E$12*(1-EXP(-Examples!$E$13*$A280))/(1+EXP(MIN(700,MAX(-700,(Examples!$E$14*$A280-Examples!$E$15)/Examples!$E$16))))))+Examples!$E$17*$A280^2)</f>
        <v>2487038.3788439739</v>
      </c>
      <c r="G280" s="33">
        <f>(Examples!$E$6*Examples!$E$7*Examples!$E$8*EXP(-Examples!$E$9*$A280)*(1-(Examples!$E$12*(1-EXP(-Examples!$E$13*$A280))/(1+EXP(MIN(700,MAX(-700,(Examples!$E$14*$A280-Examples!$E$15)/Examples!$E$16))))))+Examples!$E$17*$A280^2)</f>
        <v>276661.62115602632</v>
      </c>
      <c r="H280" s="33">
        <f>Examples!$F$18-(Examples!$F$10+Examples!$F$11)*$A280-(Examples!$F$6*Examples!$F$7*Examples!$F$8*EXP(-Examples!$F$9*$A280)*(1-(Examples!$F$12*(1-EXP(-Examples!$F$13*$A280))/(1+EXP(MIN(700,MAX(-700,(Examples!$F$14*$A280-Examples!$F$15)/Examples!$F$16))))))+Examples!$F$17*$A280^2)</f>
        <v>-67763.139512199792</v>
      </c>
      <c r="I280" s="33">
        <f>(Examples!$F$6*Examples!$F$7*Examples!$F$8*EXP(-Examples!$F$9*$A280)*(1-(Examples!$F$12*(1-EXP(-Examples!$F$13*$A280))/(1+EXP(MIN(700,MAX(-700,(Examples!$F$14*$A280-Examples!$F$15)/Examples!$F$16))))))+Examples!$F$17*$A280^2)</f>
        <v>162163.13951219979</v>
      </c>
      <c r="J280" s="33">
        <f>Examples!$G$18-(Examples!$G$10+Examples!$G$11)*$A280-(Examples!$G$6*Examples!$G$7*Examples!$G$8*EXP(-Examples!$G$9*$A280)*(1-(Examples!$G$12*(1-EXP(-Examples!$G$13*$A280))/(1+EXP(MIN(700,MAX(-700,(Examples!$G$14*$A280-Examples!$G$15)/Examples!$G$16))))))+Examples!$G$17*$A280^2)</f>
        <v>728429.08647214633</v>
      </c>
      <c r="K280" s="33">
        <f>(Examples!$G$6*Examples!$G$7*Examples!$G$8*EXP(-Examples!$G$9*$A280)*(1-(Examples!$G$12*(1-EXP(-Examples!$G$13*$A280))/(1+EXP(MIN(700,MAX(-700,(Examples!$G$14*$A280-Examples!$G$15)/Examples!$G$16))))))+Examples!$G$17*$A280^2)</f>
        <v>632570.91352785367</v>
      </c>
      <c r="L280" s="33">
        <f>Examples!$H$18-(Examples!$H$10+Examples!$H$11)*$A280-(Examples!$H$6*Examples!$H$7*Examples!$H$8*EXP(-Examples!$H$9*$A280)*(1-(Examples!$H$12*(1-EXP(-Examples!$H$13*$A280))/(1+EXP(MIN(700,MAX(-700,(Examples!$H$14*$A280-Examples!$H$15)/Examples!$H$16))))))+Examples!$H$17*$A280^2)</f>
        <v>674908.11977875431</v>
      </c>
      <c r="M280" s="33">
        <f>(Examples!$H$6*Examples!$H$7*Examples!$H$8*EXP(-Examples!$H$9*$A280)*(1-(Examples!$H$12*(1-EXP(-Examples!$H$13*$A280))/(1+EXP(MIN(700,MAX(-700,(Examples!$H$14*$A280-Examples!$H$15)/Examples!$H$16))))))+Examples!$H$17*$A280^2)</f>
        <v>686091.88022124569</v>
      </c>
    </row>
    <row r="281" spans="1:13" x14ac:dyDescent="0.25">
      <c r="A281">
        <f>(281-2)/100</f>
        <v>2.79</v>
      </c>
      <c r="B281" s="33">
        <f>Examples!$C$18-(Examples!$C$10+Examples!$C$11)*$A281-(Examples!$C$6*Examples!$C$7*Examples!$C$8*EXP(-Examples!$C$9*$A281)*(1-(Examples!$C$12*(1-EXP(-Examples!$C$13*$A281))/(1+EXP(MIN(700,MAX(-700,(Examples!$C$14*$A281-Examples!$C$15)/Examples!$C$16))))))+Examples!$C$17*$A281^2)</f>
        <v>128205.47802079422</v>
      </c>
      <c r="C281" s="33">
        <f>(Examples!$C$6*Examples!$C$7*Examples!$C$8*EXP(-Examples!$C$9*$A281)*(1-(Examples!$C$12*(1-EXP(-Examples!$C$13*$A281))/(1+EXP(MIN(700,MAX(-700,(Examples!$C$14*$A281-Examples!$C$15)/Examples!$C$16))))))+Examples!$C$17*$A281^2)</f>
        <v>374144.52197920578</v>
      </c>
      <c r="D281" s="33">
        <f>Examples!$D$18-(Examples!$D$10+Examples!$D$11)*$A281-(Examples!$D$6*Examples!$D$7*Examples!$D$8*EXP(-Examples!$D$9*$A281)*(1-(Examples!$D$12*(1-EXP(-Examples!$D$13*$A281))/(1+EXP(MIN(700,MAX(-700,(Examples!$D$14*$A281-Examples!$D$15)/Examples!$D$16))))))+Examples!$D$17*$A281^2)</f>
        <v>1441080.2899612952</v>
      </c>
      <c r="E281" s="33">
        <f>(Examples!$D$6*Examples!$D$7*Examples!$D$8*EXP(-Examples!$D$9*$A281)*(1-(Examples!$D$12*(1-EXP(-Examples!$D$13*$A281))/(1+EXP(MIN(700,MAX(-700,(Examples!$D$14*$A281-Examples!$D$15)/Examples!$D$16))))))+Examples!$D$17*$A281^2)</f>
        <v>933369.71003870491</v>
      </c>
      <c r="F281" s="33">
        <f>Examples!$E$18-(Examples!$E$10+Examples!$E$11)*$A281-(Examples!$E$6*Examples!$E$7*Examples!$E$8*EXP(-Examples!$E$9*$A281)*(1-(Examples!$E$12*(1-EXP(-Examples!$E$13*$A281))/(1+EXP(MIN(700,MAX(-700,(Examples!$E$14*$A281-Examples!$E$15)/Examples!$E$16))))))+Examples!$E$17*$A281^2)</f>
        <v>2487285.2658143602</v>
      </c>
      <c r="G281" s="33">
        <f>(Examples!$E$6*Examples!$E$7*Examples!$E$8*EXP(-Examples!$E$9*$A281)*(1-(Examples!$E$12*(1-EXP(-Examples!$E$13*$A281))/(1+EXP(MIN(700,MAX(-700,(Examples!$E$14*$A281-Examples!$E$15)/Examples!$E$16))))))+Examples!$E$17*$A281^2)</f>
        <v>275564.73418563971</v>
      </c>
      <c r="H281" s="33">
        <f>Examples!$F$18-(Examples!$F$10+Examples!$F$11)*$A281-(Examples!$F$6*Examples!$F$7*Examples!$F$8*EXP(-Examples!$F$9*$A281)*(1-(Examples!$F$12*(1-EXP(-Examples!$F$13*$A281))/(1+EXP(MIN(700,MAX(-700,(Examples!$F$14*$A281-Examples!$F$15)/Examples!$F$16))))))+Examples!$F$17*$A281^2)</f>
        <v>-69054.581692722946</v>
      </c>
      <c r="I281" s="33">
        <f>(Examples!$F$6*Examples!$F$7*Examples!$F$8*EXP(-Examples!$F$9*$A281)*(1-(Examples!$F$12*(1-EXP(-Examples!$F$13*$A281))/(1+EXP(MIN(700,MAX(-700,(Examples!$F$14*$A281-Examples!$F$15)/Examples!$F$16))))))+Examples!$F$17*$A281^2)</f>
        <v>163254.58169272295</v>
      </c>
      <c r="J281" s="33">
        <f>Examples!$G$18-(Examples!$G$10+Examples!$G$11)*$A281-(Examples!$G$6*Examples!$G$7*Examples!$G$8*EXP(-Examples!$G$9*$A281)*(1-(Examples!$G$12*(1-EXP(-Examples!$G$13*$A281))/(1+EXP(MIN(700,MAX(-700,(Examples!$G$14*$A281-Examples!$G$15)/Examples!$G$16))))))+Examples!$G$17*$A281^2)</f>
        <v>728325.22657702921</v>
      </c>
      <c r="K281" s="33">
        <f>(Examples!$G$6*Examples!$G$7*Examples!$G$8*EXP(-Examples!$G$9*$A281)*(1-(Examples!$G$12*(1-EXP(-Examples!$G$13*$A281))/(1+EXP(MIN(700,MAX(-700,(Examples!$G$14*$A281-Examples!$G$15)/Examples!$G$16))))))+Examples!$G$17*$A281^2)</f>
        <v>632174.77342297079</v>
      </c>
      <c r="L281" s="33">
        <f>Examples!$H$18-(Examples!$H$10+Examples!$H$11)*$A281-(Examples!$H$6*Examples!$H$7*Examples!$H$8*EXP(-Examples!$H$9*$A281)*(1-(Examples!$H$12*(1-EXP(-Examples!$H$13*$A281))/(1+EXP(MIN(700,MAX(-700,(Examples!$H$14*$A281-Examples!$H$15)/Examples!$H$16))))))+Examples!$H$17*$A281^2)</f>
        <v>673395.16260240576</v>
      </c>
      <c r="M281" s="33">
        <f>(Examples!$H$6*Examples!$H$7*Examples!$H$8*EXP(-Examples!$H$9*$A281)*(1-(Examples!$H$12*(1-EXP(-Examples!$H$13*$A281))/(1+EXP(MIN(700,MAX(-700,(Examples!$H$14*$A281-Examples!$H$15)/Examples!$H$16))))))+Examples!$H$17*$A281^2)</f>
        <v>687104.83739759424</v>
      </c>
    </row>
    <row r="282" spans="1:13" x14ac:dyDescent="0.25">
      <c r="A282">
        <f>(282-2)/100</f>
        <v>2.8</v>
      </c>
      <c r="B282" s="33">
        <f>Examples!$C$18-(Examples!$C$10+Examples!$C$11)*$A282-(Examples!$C$6*Examples!$C$7*Examples!$C$8*EXP(-Examples!$C$9*$A282)*(1-(Examples!$C$12*(1-EXP(-Examples!$C$13*$A282))/(1+EXP(MIN(700,MAX(-700,(Examples!$C$14*$A282-Examples!$C$15)/Examples!$C$16))))))+Examples!$C$17*$A282^2)</f>
        <v>127715.13521477056</v>
      </c>
      <c r="C282" s="33">
        <f>(Examples!$C$6*Examples!$C$7*Examples!$C$8*EXP(-Examples!$C$9*$A282)*(1-(Examples!$C$12*(1-EXP(-Examples!$C$13*$A282))/(1+EXP(MIN(700,MAX(-700,(Examples!$C$14*$A282-Examples!$C$15)/Examples!$C$16))))))+Examples!$C$17*$A282^2)</f>
        <v>374284.86478522944</v>
      </c>
      <c r="D282" s="33">
        <f>Examples!$D$18-(Examples!$D$10+Examples!$D$11)*$A282-(Examples!$D$6*Examples!$D$7*Examples!$D$8*EXP(-Examples!$D$9*$A282)*(1-(Examples!$D$12*(1-EXP(-Examples!$D$13*$A282))/(1+EXP(MIN(700,MAX(-700,(Examples!$D$14*$A282-Examples!$D$15)/Examples!$D$16))))))+Examples!$D$17*$A282^2)</f>
        <v>1443120.9832139015</v>
      </c>
      <c r="E282" s="33">
        <f>(Examples!$D$6*Examples!$D$7*Examples!$D$8*EXP(-Examples!$D$9*$A282)*(1-(Examples!$D$12*(1-EXP(-Examples!$D$13*$A282))/(1+EXP(MIN(700,MAX(-700,(Examples!$D$14*$A282-Examples!$D$15)/Examples!$D$16))))))+Examples!$D$17*$A282^2)</f>
        <v>930879.01678609848</v>
      </c>
      <c r="F282" s="33">
        <f>Examples!$E$18-(Examples!$E$10+Examples!$E$11)*$A282-(Examples!$E$6*Examples!$E$7*Examples!$E$8*EXP(-Examples!$E$9*$A282)*(1-(Examples!$E$12*(1-EXP(-Examples!$E$13*$A282))/(1+EXP(MIN(700,MAX(-700,(Examples!$E$14*$A282-Examples!$E$15)/Examples!$E$16))))))+Examples!$E$17*$A282^2)</f>
        <v>2487518.0277488134</v>
      </c>
      <c r="G282" s="33">
        <f>(Examples!$E$6*Examples!$E$7*Examples!$E$8*EXP(-Examples!$E$9*$A282)*(1-(Examples!$E$12*(1-EXP(-Examples!$E$13*$A282))/(1+EXP(MIN(700,MAX(-700,(Examples!$E$14*$A282-Examples!$E$15)/Examples!$E$16))))))+Examples!$E$17*$A282^2)</f>
        <v>274481.97225118679</v>
      </c>
      <c r="H282" s="33">
        <f>Examples!$F$18-(Examples!$F$10+Examples!$F$11)*$A282-(Examples!$F$6*Examples!$F$7*Examples!$F$8*EXP(-Examples!$F$9*$A282)*(1-(Examples!$F$12*(1-EXP(-Examples!$F$13*$A282))/(1+EXP(MIN(700,MAX(-700,(Examples!$F$14*$A282-Examples!$F$15)/Examples!$F$16))))))+Examples!$F$17*$A282^2)</f>
        <v>-70350.083833044919</v>
      </c>
      <c r="I282" s="33">
        <f>(Examples!$F$6*Examples!$F$7*Examples!$F$8*EXP(-Examples!$F$9*$A282)*(1-(Examples!$F$12*(1-EXP(-Examples!$F$13*$A282))/(1+EXP(MIN(700,MAX(-700,(Examples!$F$14*$A282-Examples!$F$15)/Examples!$F$16))))))+Examples!$F$17*$A282^2)</f>
        <v>164350.08383304492</v>
      </c>
      <c r="J282" s="33">
        <f>Examples!$G$18-(Examples!$G$10+Examples!$G$11)*$A282-(Examples!$G$6*Examples!$G$7*Examples!$G$8*EXP(-Examples!$G$9*$A282)*(1-(Examples!$G$12*(1-EXP(-Examples!$G$13*$A282))/(1+EXP(MIN(700,MAX(-700,(Examples!$G$14*$A282-Examples!$G$15)/Examples!$G$16))))))+Examples!$G$17*$A282^2)</f>
        <v>728218.26061272447</v>
      </c>
      <c r="K282" s="33">
        <f>(Examples!$G$6*Examples!$G$7*Examples!$G$8*EXP(-Examples!$G$9*$A282)*(1-(Examples!$G$12*(1-EXP(-Examples!$G$13*$A282))/(1+EXP(MIN(700,MAX(-700,(Examples!$G$14*$A282-Examples!$G$15)/Examples!$G$16))))))+Examples!$G$17*$A282^2)</f>
        <v>631781.73938727553</v>
      </c>
      <c r="L282" s="33">
        <f>Examples!$H$18-(Examples!$H$10+Examples!$H$11)*$A282-(Examples!$H$6*Examples!$H$7*Examples!$H$8*EXP(-Examples!$H$9*$A282)*(1-(Examples!$H$12*(1-EXP(-Examples!$H$13*$A282))/(1+EXP(MIN(700,MAX(-700,(Examples!$H$14*$A282-Examples!$H$15)/Examples!$H$16))))))+Examples!$H$17*$A282^2)</f>
        <v>671922.15866679791</v>
      </c>
      <c r="M282" s="33">
        <f>(Examples!$H$6*Examples!$H$7*Examples!$H$8*EXP(-Examples!$H$9*$A282)*(1-(Examples!$H$12*(1-EXP(-Examples!$H$13*$A282))/(1+EXP(MIN(700,MAX(-700,(Examples!$H$14*$A282-Examples!$H$15)/Examples!$H$16))))))+Examples!$H$17*$A282^2)</f>
        <v>688077.84133320209</v>
      </c>
    </row>
    <row r="283" spans="1:13" x14ac:dyDescent="0.25">
      <c r="A283">
        <f>(283-2)/100</f>
        <v>2.81</v>
      </c>
      <c r="B283" s="33">
        <f>Examples!$C$18-(Examples!$C$10+Examples!$C$11)*$A283-(Examples!$C$6*Examples!$C$7*Examples!$C$8*EXP(-Examples!$C$9*$A283)*(1-(Examples!$C$12*(1-EXP(-Examples!$C$13*$A283))/(1+EXP(MIN(700,MAX(-700,(Examples!$C$14*$A283-Examples!$C$15)/Examples!$C$16))))))+Examples!$C$17*$A283^2)</f>
        <v>127222.02893419843</v>
      </c>
      <c r="C283" s="33">
        <f>(Examples!$C$6*Examples!$C$7*Examples!$C$8*EXP(-Examples!$C$9*$A283)*(1-(Examples!$C$12*(1-EXP(-Examples!$C$13*$A283))/(1+EXP(MIN(700,MAX(-700,(Examples!$C$14*$A283-Examples!$C$15)/Examples!$C$16))))))+Examples!$C$17*$A283^2)</f>
        <v>374427.97106580157</v>
      </c>
      <c r="D283" s="33">
        <f>Examples!$D$18-(Examples!$D$10+Examples!$D$11)*$A283-(Examples!$D$6*Examples!$D$7*Examples!$D$8*EXP(-Examples!$D$9*$A283)*(1-(Examples!$D$12*(1-EXP(-Examples!$D$13*$A283))/(1+EXP(MIN(700,MAX(-700,(Examples!$D$14*$A283-Examples!$D$15)/Examples!$D$16))))))+Examples!$D$17*$A283^2)</f>
        <v>1445123.0185286733</v>
      </c>
      <c r="E283" s="33">
        <f>(Examples!$D$6*Examples!$D$7*Examples!$D$8*EXP(-Examples!$D$9*$A283)*(1-(Examples!$D$12*(1-EXP(-Examples!$D$13*$A283))/(1+EXP(MIN(700,MAX(-700,(Examples!$D$14*$A283-Examples!$D$15)/Examples!$D$16))))))+Examples!$D$17*$A283^2)</f>
        <v>928426.98147132667</v>
      </c>
      <c r="F283" s="33">
        <f>Examples!$E$18-(Examples!$E$10+Examples!$E$11)*$A283-(Examples!$E$6*Examples!$E$7*Examples!$E$8*EXP(-Examples!$E$9*$A283)*(1-(Examples!$E$12*(1-EXP(-Examples!$E$13*$A283))/(1+EXP(MIN(700,MAX(-700,(Examples!$E$14*$A283-Examples!$E$15)/Examples!$E$16))))))+Examples!$E$17*$A283^2)</f>
        <v>2487736.8219354935</v>
      </c>
      <c r="G283" s="33">
        <f>(Examples!$E$6*Examples!$E$7*Examples!$E$8*EXP(-Examples!$E$9*$A283)*(1-(Examples!$E$12*(1-EXP(-Examples!$E$13*$A283))/(1+EXP(MIN(700,MAX(-700,(Examples!$E$14*$A283-Examples!$E$15)/Examples!$E$16))))))+Examples!$E$17*$A283^2)</f>
        <v>273413.17806450627</v>
      </c>
      <c r="H283" s="33">
        <f>Examples!$F$18-(Examples!$F$10+Examples!$F$11)*$A283-(Examples!$F$6*Examples!$F$7*Examples!$F$8*EXP(-Examples!$F$9*$A283)*(1-(Examples!$F$12*(1-EXP(-Examples!$F$13*$A283))/(1+EXP(MIN(700,MAX(-700,(Examples!$F$14*$A283-Examples!$F$15)/Examples!$F$16))))))+Examples!$F$17*$A283^2)</f>
        <v>-71649.646048775496</v>
      </c>
      <c r="I283" s="33">
        <f>(Examples!$F$6*Examples!$F$7*Examples!$F$8*EXP(-Examples!$F$9*$A283)*(1-(Examples!$F$12*(1-EXP(-Examples!$F$13*$A283))/(1+EXP(MIN(700,MAX(-700,(Examples!$F$14*$A283-Examples!$F$15)/Examples!$F$16))))))+Examples!$F$17*$A283^2)</f>
        <v>165449.6460487755</v>
      </c>
      <c r="J283" s="33">
        <f>Examples!$G$18-(Examples!$G$10+Examples!$G$11)*$A283-(Examples!$G$6*Examples!$G$7*Examples!$G$8*EXP(-Examples!$G$9*$A283)*(1-(Examples!$G$12*(1-EXP(-Examples!$G$13*$A283))/(1+EXP(MIN(700,MAX(-700,(Examples!$G$14*$A283-Examples!$G$15)/Examples!$G$16))))))+Examples!$G$17*$A283^2)</f>
        <v>728108.37325488392</v>
      </c>
      <c r="K283" s="33">
        <f>(Examples!$G$6*Examples!$G$7*Examples!$G$8*EXP(-Examples!$G$9*$A283)*(1-(Examples!$G$12*(1-EXP(-Examples!$G$13*$A283))/(1+EXP(MIN(700,MAX(-700,(Examples!$G$14*$A283-Examples!$G$15)/Examples!$G$16))))))+Examples!$G$17*$A283^2)</f>
        <v>631391.62674511608</v>
      </c>
      <c r="L283" s="33">
        <f>Examples!$H$18-(Examples!$H$10+Examples!$H$11)*$A283-(Examples!$H$6*Examples!$H$7*Examples!$H$8*EXP(-Examples!$H$9*$A283)*(1-(Examples!$H$12*(1-EXP(-Examples!$H$13*$A283))/(1+EXP(MIN(700,MAX(-700,(Examples!$H$14*$A283-Examples!$H$15)/Examples!$H$16))))))+Examples!$H$17*$A283^2)</f>
        <v>670489.62269598304</v>
      </c>
      <c r="M283" s="33">
        <f>(Examples!$H$6*Examples!$H$7*Examples!$H$8*EXP(-Examples!$H$9*$A283)*(1-(Examples!$H$12*(1-EXP(-Examples!$H$13*$A283))/(1+EXP(MIN(700,MAX(-700,(Examples!$H$14*$A283-Examples!$H$15)/Examples!$H$16))))))+Examples!$H$17*$A283^2)</f>
        <v>689010.37730401696</v>
      </c>
    </row>
    <row r="284" spans="1:13" x14ac:dyDescent="0.25">
      <c r="A284">
        <f>(284-2)/100</f>
        <v>2.82</v>
      </c>
      <c r="B284" s="33">
        <f>Examples!$C$18-(Examples!$C$10+Examples!$C$11)*$A284-(Examples!$C$6*Examples!$C$7*Examples!$C$8*EXP(-Examples!$C$9*$A284)*(1-(Examples!$C$12*(1-EXP(-Examples!$C$13*$A284))/(1+EXP(MIN(700,MAX(-700,(Examples!$C$14*$A284-Examples!$C$15)/Examples!$C$16))))))+Examples!$C$17*$A284^2)</f>
        <v>126726.08847131266</v>
      </c>
      <c r="C284" s="33">
        <f>(Examples!$C$6*Examples!$C$7*Examples!$C$8*EXP(-Examples!$C$9*$A284)*(1-(Examples!$C$12*(1-EXP(-Examples!$C$13*$A284))/(1+EXP(MIN(700,MAX(-700,(Examples!$C$14*$A284-Examples!$C$15)/Examples!$C$16))))))+Examples!$C$17*$A284^2)</f>
        <v>374573.91152868734</v>
      </c>
      <c r="D284" s="33">
        <f>Examples!$D$18-(Examples!$D$10+Examples!$D$11)*$A284-(Examples!$D$6*Examples!$D$7*Examples!$D$8*EXP(-Examples!$D$9*$A284)*(1-(Examples!$D$12*(1-EXP(-Examples!$D$13*$A284))/(1+EXP(MIN(700,MAX(-700,(Examples!$D$14*$A284-Examples!$D$15)/Examples!$D$16))))))+Examples!$D$17*$A284^2)</f>
        <v>1447086.8559529618</v>
      </c>
      <c r="E284" s="33">
        <f>(Examples!$D$6*Examples!$D$7*Examples!$D$8*EXP(-Examples!$D$9*$A284)*(1-(Examples!$D$12*(1-EXP(-Examples!$D$13*$A284))/(1+EXP(MIN(700,MAX(-700,(Examples!$D$14*$A284-Examples!$D$15)/Examples!$D$16))))))+Examples!$D$17*$A284^2)</f>
        <v>926013.14404703816</v>
      </c>
      <c r="F284" s="33">
        <f>Examples!$E$18-(Examples!$E$10+Examples!$E$11)*$A284-(Examples!$E$6*Examples!$E$7*Examples!$E$8*EXP(-Examples!$E$9*$A284)*(1-(Examples!$E$12*(1-EXP(-Examples!$E$13*$A284))/(1+EXP(MIN(700,MAX(-700,(Examples!$E$14*$A284-Examples!$E$15)/Examples!$E$16))))))+Examples!$E$17*$A284^2)</f>
        <v>2487941.8039865913</v>
      </c>
      <c r="G284" s="33">
        <f>(Examples!$E$6*Examples!$E$7*Examples!$E$8*EXP(-Examples!$E$9*$A284)*(1-(Examples!$E$12*(1-EXP(-Examples!$E$13*$A284))/(1+EXP(MIN(700,MAX(-700,(Examples!$E$14*$A284-Examples!$E$15)/Examples!$E$16))))))+Examples!$E$17*$A284^2)</f>
        <v>272358.19601340854</v>
      </c>
      <c r="H284" s="33">
        <f>Examples!$F$18-(Examples!$F$10+Examples!$F$11)*$A284-(Examples!$F$6*Examples!$F$7*Examples!$F$8*EXP(-Examples!$F$9*$A284)*(1-(Examples!$F$12*(1-EXP(-Examples!$F$13*$A284))/(1+EXP(MIN(700,MAX(-700,(Examples!$F$14*$A284-Examples!$F$15)/Examples!$F$16))))))+Examples!$F$17*$A284^2)</f>
        <v>-72953.268443985959</v>
      </c>
      <c r="I284" s="33">
        <f>(Examples!$F$6*Examples!$F$7*Examples!$F$8*EXP(-Examples!$F$9*$A284)*(1-(Examples!$F$12*(1-EXP(-Examples!$F$13*$A284))/(1+EXP(MIN(700,MAX(-700,(Examples!$F$14*$A284-Examples!$F$15)/Examples!$F$16))))))+Examples!$F$17*$A284^2)</f>
        <v>166553.26844398596</v>
      </c>
      <c r="J284" s="33">
        <f>Examples!$G$18-(Examples!$G$10+Examples!$G$11)*$A284-(Examples!$G$6*Examples!$G$7*Examples!$G$8*EXP(-Examples!$G$9*$A284)*(1-(Examples!$G$12*(1-EXP(-Examples!$G$13*$A284))/(1+EXP(MIN(700,MAX(-700,(Examples!$G$14*$A284-Examples!$G$15)/Examples!$G$16))))))+Examples!$G$17*$A284^2)</f>
        <v>727995.74566334358</v>
      </c>
      <c r="K284" s="33">
        <f>(Examples!$G$6*Examples!$G$7*Examples!$G$8*EXP(-Examples!$G$9*$A284)*(1-(Examples!$G$12*(1-EXP(-Examples!$G$13*$A284))/(1+EXP(MIN(700,MAX(-700,(Examples!$G$14*$A284-Examples!$G$15)/Examples!$G$16))))))+Examples!$G$17*$A284^2)</f>
        <v>631004.25433665642</v>
      </c>
      <c r="L284" s="33">
        <f>Examples!$H$18-(Examples!$H$10+Examples!$H$11)*$A284-(Examples!$H$6*Examples!$H$7*Examples!$H$8*EXP(-Examples!$H$9*$A284)*(1-(Examples!$H$12*(1-EXP(-Examples!$H$13*$A284))/(1+EXP(MIN(700,MAX(-700,(Examples!$H$14*$A284-Examples!$H$15)/Examples!$H$16))))))+Examples!$H$17*$A284^2)</f>
        <v>669098.00172876276</v>
      </c>
      <c r="M284" s="33">
        <f>(Examples!$H$6*Examples!$H$7*Examples!$H$8*EXP(-Examples!$H$9*$A284)*(1-(Examples!$H$12*(1-EXP(-Examples!$H$13*$A284))/(1+EXP(MIN(700,MAX(-700,(Examples!$H$14*$A284-Examples!$H$15)/Examples!$H$16))))))+Examples!$H$17*$A284^2)</f>
        <v>689901.99827123724</v>
      </c>
    </row>
    <row r="285" spans="1:13" x14ac:dyDescent="0.25">
      <c r="A285">
        <f>(285-2)/100</f>
        <v>2.83</v>
      </c>
      <c r="B285" s="33">
        <f>Examples!$C$18-(Examples!$C$10+Examples!$C$11)*$A285-(Examples!$C$6*Examples!$C$7*Examples!$C$8*EXP(-Examples!$C$9*$A285)*(1-(Examples!$C$12*(1-EXP(-Examples!$C$13*$A285))/(1+EXP(MIN(700,MAX(-700,(Examples!$C$14*$A285-Examples!$C$15)/Examples!$C$16))))))+Examples!$C$17*$A285^2)</f>
        <v>126227.24517216021</v>
      </c>
      <c r="C285" s="33">
        <f>(Examples!$C$6*Examples!$C$7*Examples!$C$8*EXP(-Examples!$C$9*$A285)*(1-(Examples!$C$12*(1-EXP(-Examples!$C$13*$A285))/(1+EXP(MIN(700,MAX(-700,(Examples!$C$14*$A285-Examples!$C$15)/Examples!$C$16))))))+Examples!$C$17*$A285^2)</f>
        <v>374722.75482783979</v>
      </c>
      <c r="D285" s="33">
        <f>Examples!$D$18-(Examples!$D$10+Examples!$D$11)*$A285-(Examples!$D$6*Examples!$D$7*Examples!$D$8*EXP(-Examples!$D$9*$A285)*(1-(Examples!$D$12*(1-EXP(-Examples!$D$13*$A285))/(1+EXP(MIN(700,MAX(-700,(Examples!$D$14*$A285-Examples!$D$15)/Examples!$D$16))))))+Examples!$D$17*$A285^2)</f>
        <v>1449012.9547745488</v>
      </c>
      <c r="E285" s="33">
        <f>(Examples!$D$6*Examples!$D$7*Examples!$D$8*EXP(-Examples!$D$9*$A285)*(1-(Examples!$D$12*(1-EXP(-Examples!$D$13*$A285))/(1+EXP(MIN(700,MAX(-700,(Examples!$D$14*$A285-Examples!$D$15)/Examples!$D$16))))))+Examples!$D$17*$A285^2)</f>
        <v>923637.04522545123</v>
      </c>
      <c r="F285" s="33">
        <f>Examples!$E$18-(Examples!$E$10+Examples!$E$11)*$A285-(Examples!$E$6*Examples!$E$7*Examples!$E$8*EXP(-Examples!$E$9*$A285)*(1-(Examples!$E$12*(1-EXP(-Examples!$E$13*$A285))/(1+EXP(MIN(700,MAX(-700,(Examples!$E$14*$A285-Examples!$E$15)/Examples!$E$16))))))+Examples!$E$17*$A285^2)</f>
        <v>2488133.127858026</v>
      </c>
      <c r="G285" s="33">
        <f>(Examples!$E$6*Examples!$E$7*Examples!$E$8*EXP(-Examples!$E$9*$A285)*(1-(Examples!$E$12*(1-EXP(-Examples!$E$13*$A285))/(1+EXP(MIN(700,MAX(-700,(Examples!$E$14*$A285-Examples!$E$15)/Examples!$E$16))))))+Examples!$E$17*$A285^2)</f>
        <v>271316.87214197416</v>
      </c>
      <c r="H285" s="33">
        <f>Examples!$F$18-(Examples!$F$10+Examples!$F$11)*$A285-(Examples!$F$6*Examples!$F$7*Examples!$F$8*EXP(-Examples!$F$9*$A285)*(1-(Examples!$F$12*(1-EXP(-Examples!$F$13*$A285))/(1+EXP(MIN(700,MAX(-700,(Examples!$F$14*$A285-Examples!$F$15)/Examples!$F$16))))))+Examples!$F$17*$A285^2)</f>
        <v>-74260.951111652132</v>
      </c>
      <c r="I285" s="33">
        <f>(Examples!$F$6*Examples!$F$7*Examples!$F$8*EXP(-Examples!$F$9*$A285)*(1-(Examples!$F$12*(1-EXP(-Examples!$F$13*$A285))/(1+EXP(MIN(700,MAX(-700,(Examples!$F$14*$A285-Examples!$F$15)/Examples!$F$16))))))+Examples!$F$17*$A285^2)</f>
        <v>167660.95111165213</v>
      </c>
      <c r="J285" s="33">
        <f>Examples!$G$18-(Examples!$G$10+Examples!$G$11)*$A285-(Examples!$G$6*Examples!$G$7*Examples!$G$8*EXP(-Examples!$G$9*$A285)*(1-(Examples!$G$12*(1-EXP(-Examples!$G$13*$A285))/(1+EXP(MIN(700,MAX(-700,(Examples!$G$14*$A285-Examples!$G$15)/Examples!$G$16))))))+Examples!$G$17*$A285^2)</f>
        <v>727880.55547275709</v>
      </c>
      <c r="K285" s="33">
        <f>(Examples!$G$6*Examples!$G$7*Examples!$G$8*EXP(-Examples!$G$9*$A285)*(1-(Examples!$G$12*(1-EXP(-Examples!$G$13*$A285))/(1+EXP(MIN(700,MAX(-700,(Examples!$G$14*$A285-Examples!$G$15)/Examples!$G$16))))))+Examples!$G$17*$A285^2)</f>
        <v>630619.44452724291</v>
      </c>
      <c r="L285" s="33">
        <f>Examples!$H$18-(Examples!$H$10+Examples!$H$11)*$A285-(Examples!$H$6*Examples!$H$7*Examples!$H$8*EXP(-Examples!$H$9*$A285)*(1-(Examples!$H$12*(1-EXP(-Examples!$H$13*$A285))/(1+EXP(MIN(700,MAX(-700,(Examples!$H$14*$A285-Examples!$H$15)/Examples!$H$16))))))+Examples!$H$17*$A285^2)</f>
        <v>667747.67637892126</v>
      </c>
      <c r="M285" s="33">
        <f>(Examples!$H$6*Examples!$H$7*Examples!$H$8*EXP(-Examples!$H$9*$A285)*(1-(Examples!$H$12*(1-EXP(-Examples!$H$13*$A285))/(1+EXP(MIN(700,MAX(-700,(Examples!$H$14*$A285-Examples!$H$15)/Examples!$H$16))))))+Examples!$H$17*$A285^2)</f>
        <v>690752.32362107874</v>
      </c>
    </row>
    <row r="286" spans="1:13" x14ac:dyDescent="0.25">
      <c r="A286">
        <f>(286-2)/100</f>
        <v>2.84</v>
      </c>
      <c r="B286" s="33">
        <f>Examples!$C$18-(Examples!$C$10+Examples!$C$11)*$A286-(Examples!$C$6*Examples!$C$7*Examples!$C$8*EXP(-Examples!$C$9*$A286)*(1-(Examples!$C$12*(1-EXP(-Examples!$C$13*$A286))/(1+EXP(MIN(700,MAX(-700,(Examples!$C$14*$A286-Examples!$C$15)/Examples!$C$16))))))+Examples!$C$17*$A286^2)</f>
        <v>125725.43239846861</v>
      </c>
      <c r="C286" s="33">
        <f>(Examples!$C$6*Examples!$C$7*Examples!$C$8*EXP(-Examples!$C$9*$A286)*(1-(Examples!$C$12*(1-EXP(-Examples!$C$13*$A286))/(1+EXP(MIN(700,MAX(-700,(Examples!$C$14*$A286-Examples!$C$15)/Examples!$C$16))))))+Examples!$C$17*$A286^2)</f>
        <v>374874.56760153139</v>
      </c>
      <c r="D286" s="33">
        <f>Examples!$D$18-(Examples!$D$10+Examples!$D$11)*$A286-(Examples!$D$6*Examples!$D$7*Examples!$D$8*EXP(-Examples!$D$9*$A286)*(1-(Examples!$D$12*(1-EXP(-Examples!$D$13*$A286))/(1+EXP(MIN(700,MAX(-700,(Examples!$D$14*$A286-Examples!$D$15)/Examples!$D$16))))))+Examples!$D$17*$A286^2)</f>
        <v>1450901.7735381001</v>
      </c>
      <c r="E286" s="33">
        <f>(Examples!$D$6*Examples!$D$7*Examples!$D$8*EXP(-Examples!$D$9*$A286)*(1-(Examples!$D$12*(1-EXP(-Examples!$D$13*$A286))/(1+EXP(MIN(700,MAX(-700,(Examples!$D$14*$A286-Examples!$D$15)/Examples!$D$16))))))+Examples!$D$17*$A286^2)</f>
        <v>921298.22646189993</v>
      </c>
      <c r="F286" s="33">
        <f>Examples!$E$18-(Examples!$E$10+Examples!$E$11)*$A286-(Examples!$E$6*Examples!$E$7*Examples!$E$8*EXP(-Examples!$E$9*$A286)*(1-(Examples!$E$12*(1-EXP(-Examples!$E$13*$A286))/(1+EXP(MIN(700,MAX(-700,(Examples!$E$14*$A286-Examples!$E$15)/Examples!$E$16))))))+Examples!$E$17*$A286^2)</f>
        <v>2488310.9458689005</v>
      </c>
      <c r="G286" s="33">
        <f>(Examples!$E$6*Examples!$E$7*Examples!$E$8*EXP(-Examples!$E$9*$A286)*(1-(Examples!$E$12*(1-EXP(-Examples!$E$13*$A286))/(1+EXP(MIN(700,MAX(-700,(Examples!$E$14*$A286-Examples!$E$15)/Examples!$E$16))))))+Examples!$E$17*$A286^2)</f>
        <v>270289.05413109931</v>
      </c>
      <c r="H286" s="33">
        <f>Examples!$F$18-(Examples!$F$10+Examples!$F$11)*$A286-(Examples!$F$6*Examples!$F$7*Examples!$F$8*EXP(-Examples!$F$9*$A286)*(1-(Examples!$F$12*(1-EXP(-Examples!$F$13*$A286))/(1+EXP(MIN(700,MAX(-700,(Examples!$F$14*$A286-Examples!$F$15)/Examples!$F$16))))))+Examples!$F$17*$A286^2)</f>
        <v>-75572.69413408119</v>
      </c>
      <c r="I286" s="33">
        <f>(Examples!$F$6*Examples!$F$7*Examples!$F$8*EXP(-Examples!$F$9*$A286)*(1-(Examples!$F$12*(1-EXP(-Examples!$F$13*$A286))/(1+EXP(MIN(700,MAX(-700,(Examples!$F$14*$A286-Examples!$F$15)/Examples!$F$16))))))+Examples!$F$17*$A286^2)</f>
        <v>168772.69413408119</v>
      </c>
      <c r="J286" s="33">
        <f>Examples!$G$18-(Examples!$G$10+Examples!$G$11)*$A286-(Examples!$G$6*Examples!$G$7*Examples!$G$8*EXP(-Examples!$G$9*$A286)*(1-(Examples!$G$12*(1-EXP(-Examples!$G$13*$A286))/(1+EXP(MIN(700,MAX(-700,(Examples!$G$14*$A286-Examples!$G$15)/Examples!$G$16))))))+Examples!$G$17*$A286^2)</f>
        <v>727762.97678472567</v>
      </c>
      <c r="K286" s="33">
        <f>(Examples!$G$6*Examples!$G$7*Examples!$G$8*EXP(-Examples!$G$9*$A286)*(1-(Examples!$G$12*(1-EXP(-Examples!$G$13*$A286))/(1+EXP(MIN(700,MAX(-700,(Examples!$G$14*$A286-Examples!$G$15)/Examples!$G$16))))))+Examples!$G$17*$A286^2)</f>
        <v>630237.02321527433</v>
      </c>
      <c r="L286" s="33">
        <f>Examples!$H$18-(Examples!$H$10+Examples!$H$11)*$A286-(Examples!$H$6*Examples!$H$7*Examples!$H$8*EXP(-Examples!$H$9*$A286)*(1-(Examples!$H$12*(1-EXP(-Examples!$H$13*$A286))/(1+EXP(MIN(700,MAX(-700,(Examples!$H$14*$A286-Examples!$H$15)/Examples!$H$16))))))+Examples!$H$17*$A286^2)</f>
        <v>666438.96223343257</v>
      </c>
      <c r="M286" s="33">
        <f>(Examples!$H$6*Examples!$H$7*Examples!$H$8*EXP(-Examples!$H$9*$A286)*(1-(Examples!$H$12*(1-EXP(-Examples!$H$13*$A286))/(1+EXP(MIN(700,MAX(-700,(Examples!$H$14*$A286-Examples!$H$15)/Examples!$H$16))))))+Examples!$H$17*$A286^2)</f>
        <v>691561.03776656743</v>
      </c>
    </row>
    <row r="287" spans="1:13" x14ac:dyDescent="0.25">
      <c r="A287">
        <f>(287-2)/100</f>
        <v>2.85</v>
      </c>
      <c r="B287" s="33">
        <f>Examples!$C$18-(Examples!$C$10+Examples!$C$11)*$A287-(Examples!$C$6*Examples!$C$7*Examples!$C$8*EXP(-Examples!$C$9*$A287)*(1-(Examples!$C$12*(1-EXP(-Examples!$C$13*$A287))/(1+EXP(MIN(700,MAX(-700,(Examples!$C$14*$A287-Examples!$C$15)/Examples!$C$16))))))+Examples!$C$17*$A287^2)</f>
        <v>125220.58548903588</v>
      </c>
      <c r="C287" s="33">
        <f>(Examples!$C$6*Examples!$C$7*Examples!$C$8*EXP(-Examples!$C$9*$A287)*(1-(Examples!$C$12*(1-EXP(-Examples!$C$13*$A287))/(1+EXP(MIN(700,MAX(-700,(Examples!$C$14*$A287-Examples!$C$15)/Examples!$C$16))))))+Examples!$C$17*$A287^2)</f>
        <v>375029.41451096412</v>
      </c>
      <c r="D287" s="33">
        <f>Examples!$D$18-(Examples!$D$10+Examples!$D$11)*$A287-(Examples!$D$6*Examples!$D$7*Examples!$D$8*EXP(-Examples!$D$9*$A287)*(1-(Examples!$D$12*(1-EXP(-Examples!$D$13*$A287))/(1+EXP(MIN(700,MAX(-700,(Examples!$D$14*$A287-Examples!$D$15)/Examples!$D$16))))))+Examples!$D$17*$A287^2)</f>
        <v>1452753.7700599842</v>
      </c>
      <c r="E287" s="33">
        <f>(Examples!$D$6*Examples!$D$7*Examples!$D$8*EXP(-Examples!$D$9*$A287)*(1-(Examples!$D$12*(1-EXP(-Examples!$D$13*$A287))/(1+EXP(MIN(700,MAX(-700,(Examples!$D$14*$A287-Examples!$D$15)/Examples!$D$16))))))+Examples!$D$17*$A287^2)</f>
        <v>918996.22994001571</v>
      </c>
      <c r="F287" s="33">
        <f>Examples!$E$18-(Examples!$E$10+Examples!$E$11)*$A287-(Examples!$E$6*Examples!$E$7*Examples!$E$8*EXP(-Examples!$E$9*$A287)*(1-(Examples!$E$12*(1-EXP(-Examples!$E$13*$A287))/(1+EXP(MIN(700,MAX(-700,(Examples!$E$14*$A287-Examples!$E$15)/Examples!$E$16))))))+Examples!$E$17*$A287^2)</f>
        <v>2488475.4087207168</v>
      </c>
      <c r="G287" s="33">
        <f>(Examples!$E$6*Examples!$E$7*Examples!$E$8*EXP(-Examples!$E$9*$A287)*(1-(Examples!$E$12*(1-EXP(-Examples!$E$13*$A287))/(1+EXP(MIN(700,MAX(-700,(Examples!$E$14*$A287-Examples!$E$15)/Examples!$E$16))))))+Examples!$E$17*$A287^2)</f>
        <v>269274.59127928293</v>
      </c>
      <c r="H287" s="33">
        <f>Examples!$F$18-(Examples!$F$10+Examples!$F$11)*$A287-(Examples!$F$6*Examples!$F$7*Examples!$F$8*EXP(-Examples!$F$9*$A287)*(1-(Examples!$F$12*(1-EXP(-Examples!$F$13*$A287))/(1+EXP(MIN(700,MAX(-700,(Examples!$F$14*$A287-Examples!$F$15)/Examples!$F$16))))))+Examples!$F$17*$A287^2)</f>
        <v>-76888.497583324788</v>
      </c>
      <c r="I287" s="33">
        <f>(Examples!$F$6*Examples!$F$7*Examples!$F$8*EXP(-Examples!$F$9*$A287)*(1-(Examples!$F$12*(1-EXP(-Examples!$F$13*$A287))/(1+EXP(MIN(700,MAX(-700,(Examples!$F$14*$A287-Examples!$F$15)/Examples!$F$16))))))+Examples!$F$17*$A287^2)</f>
        <v>169888.49758332479</v>
      </c>
      <c r="J287" s="33">
        <f>Examples!$G$18-(Examples!$G$10+Examples!$G$11)*$A287-(Examples!$G$6*Examples!$G$7*Examples!$G$8*EXP(-Examples!$G$9*$A287)*(1-(Examples!$G$12*(1-EXP(-Examples!$G$13*$A287))/(1+EXP(MIN(700,MAX(-700,(Examples!$G$14*$A287-Examples!$G$15)/Examples!$G$16))))))+Examples!$G$17*$A287^2)</f>
        <v>727643.18016142503</v>
      </c>
      <c r="K287" s="33">
        <f>(Examples!$G$6*Examples!$G$7*Examples!$G$8*EXP(-Examples!$G$9*$A287)*(1-(Examples!$G$12*(1-EXP(-Examples!$G$13*$A287))/(1+EXP(MIN(700,MAX(-700,(Examples!$G$14*$A287-Examples!$G$15)/Examples!$G$16))))))+Examples!$G$17*$A287^2)</f>
        <v>629856.81983857497</v>
      </c>
      <c r="L287" s="33">
        <f>Examples!$H$18-(Examples!$H$10+Examples!$H$11)*$A287-(Examples!$H$6*Examples!$H$7*Examples!$H$8*EXP(-Examples!$H$9*$A287)*(1-(Examples!$H$12*(1-EXP(-Examples!$H$13*$A287))/(1+EXP(MIN(700,MAX(-700,(Examples!$H$14*$A287-Examples!$H$15)/Examples!$H$16))))))+Examples!$H$17*$A287^2)</f>
        <v>665172.11137765914</v>
      </c>
      <c r="M287" s="33">
        <f>(Examples!$H$6*Examples!$H$7*Examples!$H$8*EXP(-Examples!$H$9*$A287)*(1-(Examples!$H$12*(1-EXP(-Examples!$H$13*$A287))/(1+EXP(MIN(700,MAX(-700,(Examples!$H$14*$A287-Examples!$H$15)/Examples!$H$16))))))+Examples!$H$17*$A287^2)</f>
        <v>692327.88862234086</v>
      </c>
    </row>
    <row r="288" spans="1:13" x14ac:dyDescent="0.25">
      <c r="A288">
        <f>(288-2)/100</f>
        <v>2.86</v>
      </c>
      <c r="B288" s="33">
        <f>Examples!$C$18-(Examples!$C$10+Examples!$C$11)*$A288-(Examples!$C$6*Examples!$C$7*Examples!$C$8*EXP(-Examples!$C$9*$A288)*(1-(Examples!$C$12*(1-EXP(-Examples!$C$13*$A288))/(1+EXP(MIN(700,MAX(-700,(Examples!$C$14*$A288-Examples!$C$15)/Examples!$C$16))))))+Examples!$C$17*$A288^2)</f>
        <v>124712.6417207513</v>
      </c>
      <c r="C288" s="33">
        <f>(Examples!$C$6*Examples!$C$7*Examples!$C$8*EXP(-Examples!$C$9*$A288)*(1-(Examples!$C$12*(1-EXP(-Examples!$C$13*$A288))/(1+EXP(MIN(700,MAX(-700,(Examples!$C$14*$A288-Examples!$C$15)/Examples!$C$16))))))+Examples!$C$17*$A288^2)</f>
        <v>375187.3582792487</v>
      </c>
      <c r="D288" s="33">
        <f>Examples!$D$18-(Examples!$D$10+Examples!$D$11)*$A288-(Examples!$D$6*Examples!$D$7*Examples!$D$8*EXP(-Examples!$D$9*$A288)*(1-(Examples!$D$12*(1-EXP(-Examples!$D$13*$A288))/(1+EXP(MIN(700,MAX(-700,(Examples!$D$14*$A288-Examples!$D$15)/Examples!$D$16))))))+Examples!$D$17*$A288^2)</f>
        <v>1454569.4014414412</v>
      </c>
      <c r="E288" s="33">
        <f>(Examples!$D$6*Examples!$D$7*Examples!$D$8*EXP(-Examples!$D$9*$A288)*(1-(Examples!$D$12*(1-EXP(-Examples!$D$13*$A288))/(1+EXP(MIN(700,MAX(-700,(Examples!$D$14*$A288-Examples!$D$15)/Examples!$D$16))))))+Examples!$D$17*$A288^2)</f>
        <v>916730.59855855885</v>
      </c>
      <c r="F288" s="33">
        <f>Examples!$E$18-(Examples!$E$10+Examples!$E$11)*$A288-(Examples!$E$6*Examples!$E$7*Examples!$E$8*EXP(-Examples!$E$9*$A288)*(1-(Examples!$E$12*(1-EXP(-Examples!$E$13*$A288))/(1+EXP(MIN(700,MAX(-700,(Examples!$E$14*$A288-Examples!$E$15)/Examples!$E$16))))))+Examples!$E$17*$A288^2)</f>
        <v>2488626.6655163439</v>
      </c>
      <c r="G288" s="33">
        <f>(Examples!$E$6*Examples!$E$7*Examples!$E$8*EXP(-Examples!$E$9*$A288)*(1-(Examples!$E$12*(1-EXP(-Examples!$E$13*$A288))/(1+EXP(MIN(700,MAX(-700,(Examples!$E$14*$A288-Examples!$E$15)/Examples!$E$16))))))+Examples!$E$17*$A288^2)</f>
        <v>268273.33448365628</v>
      </c>
      <c r="H288" s="33">
        <f>Examples!$F$18-(Examples!$F$10+Examples!$F$11)*$A288-(Examples!$F$6*Examples!$F$7*Examples!$F$8*EXP(-Examples!$F$9*$A288)*(1-(Examples!$F$12*(1-EXP(-Examples!$F$13*$A288))/(1+EXP(MIN(700,MAX(-700,(Examples!$F$14*$A288-Examples!$F$15)/Examples!$F$16))))))+Examples!$F$17*$A288^2)</f>
        <v>-78208.361521577521</v>
      </c>
      <c r="I288" s="33">
        <f>(Examples!$F$6*Examples!$F$7*Examples!$F$8*EXP(-Examples!$F$9*$A288)*(1-(Examples!$F$12*(1-EXP(-Examples!$F$13*$A288))/(1+EXP(MIN(700,MAX(-700,(Examples!$F$14*$A288-Examples!$F$15)/Examples!$F$16))))))+Examples!$F$17*$A288^2)</f>
        <v>171008.36152157752</v>
      </c>
      <c r="J288" s="33">
        <f>Examples!$G$18-(Examples!$G$10+Examples!$G$11)*$A288-(Examples!$G$6*Examples!$G$7*Examples!$G$8*EXP(-Examples!$G$9*$A288)*(1-(Examples!$G$12*(1-EXP(-Examples!$G$13*$A288))/(1+EXP(MIN(700,MAX(-700,(Examples!$G$14*$A288-Examples!$G$15)/Examples!$G$16))))))+Examples!$G$17*$A288^2)</f>
        <v>727521.33262072131</v>
      </c>
      <c r="K288" s="33">
        <f>(Examples!$G$6*Examples!$G$7*Examples!$G$8*EXP(-Examples!$G$9*$A288)*(1-(Examples!$G$12*(1-EXP(-Examples!$G$13*$A288))/(1+EXP(MIN(700,MAX(-700,(Examples!$G$14*$A288-Examples!$G$15)/Examples!$G$16))))))+Examples!$G$17*$A288^2)</f>
        <v>629478.66737927869</v>
      </c>
      <c r="L288" s="33">
        <f>Examples!$H$18-(Examples!$H$10+Examples!$H$11)*$A288-(Examples!$H$6*Examples!$H$7*Examples!$H$8*EXP(-Examples!$H$9*$A288)*(1-(Examples!$H$12*(1-EXP(-Examples!$H$13*$A288))/(1+EXP(MIN(700,MAX(-700,(Examples!$H$14*$A288-Examples!$H$15)/Examples!$H$16))))))+Examples!$H$17*$A288^2)</f>
        <v>663947.31403642171</v>
      </c>
      <c r="M288" s="33">
        <f>(Examples!$H$6*Examples!$H$7*Examples!$H$8*EXP(-Examples!$H$9*$A288)*(1-(Examples!$H$12*(1-EXP(-Examples!$H$13*$A288))/(1+EXP(MIN(700,MAX(-700,(Examples!$H$14*$A288-Examples!$H$15)/Examples!$H$16))))))+Examples!$H$17*$A288^2)</f>
        <v>693052.68596357829</v>
      </c>
    </row>
    <row r="289" spans="1:13" x14ac:dyDescent="0.25">
      <c r="A289">
        <f>(289-2)/100</f>
        <v>2.87</v>
      </c>
      <c r="B289" s="33">
        <f>Examples!$C$18-(Examples!$C$10+Examples!$C$11)*$A289-(Examples!$C$6*Examples!$C$7*Examples!$C$8*EXP(-Examples!$C$9*$A289)*(1-(Examples!$C$12*(1-EXP(-Examples!$C$13*$A289))/(1+EXP(MIN(700,MAX(-700,(Examples!$C$14*$A289-Examples!$C$15)/Examples!$C$16))))))+Examples!$C$17*$A289^2)</f>
        <v>124201.54026934429</v>
      </c>
      <c r="C289" s="33">
        <f>(Examples!$C$6*Examples!$C$7*Examples!$C$8*EXP(-Examples!$C$9*$A289)*(1-(Examples!$C$12*(1-EXP(-Examples!$C$13*$A289))/(1+EXP(MIN(700,MAX(-700,(Examples!$C$14*$A289-Examples!$C$15)/Examples!$C$16))))))+Examples!$C$17*$A289^2)</f>
        <v>375348.45973065571</v>
      </c>
      <c r="D289" s="33">
        <f>Examples!$D$18-(Examples!$D$10+Examples!$D$11)*$A289-(Examples!$D$6*Examples!$D$7*Examples!$D$8*EXP(-Examples!$D$9*$A289)*(1-(Examples!$D$12*(1-EXP(-Examples!$D$13*$A289))/(1+EXP(MIN(700,MAX(-700,(Examples!$D$14*$A289-Examples!$D$15)/Examples!$D$16))))))+Examples!$D$17*$A289^2)</f>
        <v>1456349.1240800866</v>
      </c>
      <c r="E289" s="33">
        <f>(Examples!$D$6*Examples!$D$7*Examples!$D$8*EXP(-Examples!$D$9*$A289)*(1-(Examples!$D$12*(1-EXP(-Examples!$D$13*$A289))/(1+EXP(MIN(700,MAX(-700,(Examples!$D$14*$A289-Examples!$D$15)/Examples!$D$16))))))+Examples!$D$17*$A289^2)</f>
        <v>914500.87591991352</v>
      </c>
      <c r="F289" s="33">
        <f>Examples!$E$18-(Examples!$E$10+Examples!$E$11)*$A289-(Examples!$E$6*Examples!$E$7*Examples!$E$8*EXP(-Examples!$E$9*$A289)*(1-(Examples!$E$12*(1-EXP(-Examples!$E$13*$A289))/(1+EXP(MIN(700,MAX(-700,(Examples!$E$14*$A289-Examples!$E$15)/Examples!$E$16))))))+Examples!$E$17*$A289^2)</f>
        <v>2488764.8637787509</v>
      </c>
      <c r="G289" s="33">
        <f>(Examples!$E$6*Examples!$E$7*Examples!$E$8*EXP(-Examples!$E$9*$A289)*(1-(Examples!$E$12*(1-EXP(-Examples!$E$13*$A289))/(1+EXP(MIN(700,MAX(-700,(Examples!$E$14*$A289-Examples!$E$15)/Examples!$E$16))))))+Examples!$E$17*$A289^2)</f>
        <v>267285.13622124912</v>
      </c>
      <c r="H289" s="33">
        <f>Examples!$F$18-(Examples!$F$10+Examples!$F$11)*$A289-(Examples!$F$6*Examples!$F$7*Examples!$F$8*EXP(-Examples!$F$9*$A289)*(1-(Examples!$F$12*(1-EXP(-Examples!$F$13*$A289))/(1+EXP(MIN(700,MAX(-700,(Examples!$F$14*$A289-Examples!$F$15)/Examples!$F$16))))))+Examples!$F$17*$A289^2)</f>
        <v>-79532.286001561617</v>
      </c>
      <c r="I289" s="33">
        <f>(Examples!$F$6*Examples!$F$7*Examples!$F$8*EXP(-Examples!$F$9*$A289)*(1-(Examples!$F$12*(1-EXP(-Examples!$F$13*$A289))/(1+EXP(MIN(700,MAX(-700,(Examples!$F$14*$A289-Examples!$F$15)/Examples!$F$16))))))+Examples!$F$17*$A289^2)</f>
        <v>172132.28600156162</v>
      </c>
      <c r="J289" s="33">
        <f>Examples!$G$18-(Examples!$G$10+Examples!$G$11)*$A289-(Examples!$G$6*Examples!$G$7*Examples!$G$8*EXP(-Examples!$G$9*$A289)*(1-(Examples!$G$12*(1-EXP(-Examples!$G$13*$A289))/(1+EXP(MIN(700,MAX(-700,(Examples!$G$14*$A289-Examples!$G$15)/Examples!$G$16))))))+Examples!$G$17*$A289^2)</f>
        <v>727397.59763278021</v>
      </c>
      <c r="K289" s="33">
        <f>(Examples!$G$6*Examples!$G$7*Examples!$G$8*EXP(-Examples!$G$9*$A289)*(1-(Examples!$G$12*(1-EXP(-Examples!$G$13*$A289))/(1+EXP(MIN(700,MAX(-700,(Examples!$G$14*$A289-Examples!$G$15)/Examples!$G$16))))))+Examples!$G$17*$A289^2)</f>
        <v>629102.40236721979</v>
      </c>
      <c r="L289" s="33">
        <f>Examples!$H$18-(Examples!$H$10+Examples!$H$11)*$A289-(Examples!$H$6*Examples!$H$7*Examples!$H$8*EXP(-Examples!$H$9*$A289)*(1-(Examples!$H$12*(1-EXP(-Examples!$H$13*$A289))/(1+EXP(MIN(700,MAX(-700,(Examples!$H$14*$A289-Examples!$H$15)/Examples!$H$16))))))+Examples!$H$17*$A289^2)</f>
        <v>662764.70031977014</v>
      </c>
      <c r="M289" s="33">
        <f>(Examples!$H$6*Examples!$H$7*Examples!$H$8*EXP(-Examples!$H$9*$A289)*(1-(Examples!$H$12*(1-EXP(-Examples!$H$13*$A289))/(1+EXP(MIN(700,MAX(-700,(Examples!$H$14*$A289-Examples!$H$15)/Examples!$H$16))))))+Examples!$H$17*$A289^2)</f>
        <v>693735.29968022986</v>
      </c>
    </row>
    <row r="290" spans="1:13" x14ac:dyDescent="0.25">
      <c r="A290">
        <f>(290-2)/100</f>
        <v>2.88</v>
      </c>
      <c r="B290" s="33">
        <f>Examples!$C$18-(Examples!$C$10+Examples!$C$11)*$A290-(Examples!$C$6*Examples!$C$7*Examples!$C$8*EXP(-Examples!$C$9*$A290)*(1-(Examples!$C$12*(1-EXP(-Examples!$C$13*$A290))/(1+EXP(MIN(700,MAX(-700,(Examples!$C$14*$A290-Examples!$C$15)/Examples!$C$16))))))+Examples!$C$17*$A290^2)</f>
        <v>123687.22216995677</v>
      </c>
      <c r="C290" s="33">
        <f>(Examples!$C$6*Examples!$C$7*Examples!$C$8*EXP(-Examples!$C$9*$A290)*(1-(Examples!$C$12*(1-EXP(-Examples!$C$13*$A290))/(1+EXP(MIN(700,MAX(-700,(Examples!$C$14*$A290-Examples!$C$15)/Examples!$C$16))))))+Examples!$C$17*$A290^2)</f>
        <v>375512.77783004323</v>
      </c>
      <c r="D290" s="33">
        <f>Examples!$D$18-(Examples!$D$10+Examples!$D$11)*$A290-(Examples!$D$6*Examples!$D$7*Examples!$D$8*EXP(-Examples!$D$9*$A290)*(1-(Examples!$D$12*(1-EXP(-Examples!$D$13*$A290))/(1+EXP(MIN(700,MAX(-700,(Examples!$D$14*$A290-Examples!$D$15)/Examples!$D$16))))))+Examples!$D$17*$A290^2)</f>
        <v>1458093.3936797471</v>
      </c>
      <c r="E290" s="33">
        <f>(Examples!$D$6*Examples!$D$7*Examples!$D$8*EXP(-Examples!$D$9*$A290)*(1-(Examples!$D$12*(1-EXP(-Examples!$D$13*$A290))/(1+EXP(MIN(700,MAX(-700,(Examples!$D$14*$A290-Examples!$D$15)/Examples!$D$16))))))+Examples!$D$17*$A290^2)</f>
        <v>912306.60632025287</v>
      </c>
      <c r="F290" s="33">
        <f>Examples!$E$18-(Examples!$E$10+Examples!$E$11)*$A290-(Examples!$E$6*Examples!$E$7*Examples!$E$8*EXP(-Examples!$E$9*$A290)*(1-(Examples!$E$12*(1-EXP(-Examples!$E$13*$A290))/(1+EXP(MIN(700,MAX(-700,(Examples!$E$14*$A290-Examples!$E$15)/Examples!$E$16))))))+Examples!$E$17*$A290^2)</f>
        <v>2488890.1494695074</v>
      </c>
      <c r="G290" s="33">
        <f>(Examples!$E$6*Examples!$E$7*Examples!$E$8*EXP(-Examples!$E$9*$A290)*(1-(Examples!$E$12*(1-EXP(-Examples!$E$13*$A290))/(1+EXP(MIN(700,MAX(-700,(Examples!$E$14*$A290-Examples!$E$15)/Examples!$E$16))))))+Examples!$E$17*$A290^2)</f>
        <v>266309.85053049272</v>
      </c>
      <c r="H290" s="33">
        <f>Examples!$F$18-(Examples!$F$10+Examples!$F$11)*$A290-(Examples!$F$6*Examples!$F$7*Examples!$F$8*EXP(-Examples!$F$9*$A290)*(1-(Examples!$F$12*(1-EXP(-Examples!$F$13*$A290))/(1+EXP(MIN(700,MAX(-700,(Examples!$F$14*$A290-Examples!$F$15)/Examples!$F$16))))))+Examples!$F$17*$A290^2)</f>
        <v>-80860.271066898073</v>
      </c>
      <c r="I290" s="33">
        <f>(Examples!$F$6*Examples!$F$7*Examples!$F$8*EXP(-Examples!$F$9*$A290)*(1-(Examples!$F$12*(1-EXP(-Examples!$F$13*$A290))/(1+EXP(MIN(700,MAX(-700,(Examples!$F$14*$A290-Examples!$F$15)/Examples!$F$16))))))+Examples!$F$17*$A290^2)</f>
        <v>173260.27106689807</v>
      </c>
      <c r="J290" s="33">
        <f>Examples!$G$18-(Examples!$G$10+Examples!$G$11)*$A290-(Examples!$G$6*Examples!$G$7*Examples!$G$8*EXP(-Examples!$G$9*$A290)*(1-(Examples!$G$12*(1-EXP(-Examples!$G$13*$A290))/(1+EXP(MIN(700,MAX(-700,(Examples!$G$14*$A290-Examples!$G$15)/Examples!$G$16))))))+Examples!$G$17*$A290^2)</f>
        <v>727272.13511815562</v>
      </c>
      <c r="K290" s="33">
        <f>(Examples!$G$6*Examples!$G$7*Examples!$G$8*EXP(-Examples!$G$9*$A290)*(1-(Examples!$G$12*(1-EXP(-Examples!$G$13*$A290))/(1+EXP(MIN(700,MAX(-700,(Examples!$G$14*$A290-Examples!$G$15)/Examples!$G$16))))))+Examples!$G$17*$A290^2)</f>
        <v>628727.86488184438</v>
      </c>
      <c r="L290" s="33">
        <f>Examples!$H$18-(Examples!$H$10+Examples!$H$11)*$A290-(Examples!$H$6*Examples!$H$7*Examples!$H$8*EXP(-Examples!$H$9*$A290)*(1-(Examples!$H$12*(1-EXP(-Examples!$H$13*$A290))/(1+EXP(MIN(700,MAX(-700,(Examples!$H$14*$A290-Examples!$H$15)/Examples!$H$16))))))+Examples!$H$17*$A290^2)</f>
        <v>661624.3420623024</v>
      </c>
      <c r="M290" s="33">
        <f>(Examples!$H$6*Examples!$H$7*Examples!$H$8*EXP(-Examples!$H$9*$A290)*(1-(Examples!$H$12*(1-EXP(-Examples!$H$13*$A290))/(1+EXP(MIN(700,MAX(-700,(Examples!$H$14*$A290-Examples!$H$15)/Examples!$H$16))))))+Examples!$H$17*$A290^2)</f>
        <v>694375.6579376976</v>
      </c>
    </row>
    <row r="291" spans="1:13" x14ac:dyDescent="0.25">
      <c r="A291">
        <f>(291-2)/100</f>
        <v>2.89</v>
      </c>
      <c r="B291" s="33">
        <f>Examples!$C$18-(Examples!$C$10+Examples!$C$11)*$A291-(Examples!$C$6*Examples!$C$7*Examples!$C$8*EXP(-Examples!$C$9*$A291)*(1-(Examples!$C$12*(1-EXP(-Examples!$C$13*$A291))/(1+EXP(MIN(700,MAX(-700,(Examples!$C$14*$A291-Examples!$C$15)/Examples!$C$16))))))+Examples!$C$17*$A291^2)</f>
        <v>123169.63027762144</v>
      </c>
      <c r="C291" s="33">
        <f>(Examples!$C$6*Examples!$C$7*Examples!$C$8*EXP(-Examples!$C$9*$A291)*(1-(Examples!$C$12*(1-EXP(-Examples!$C$13*$A291))/(1+EXP(MIN(700,MAX(-700,(Examples!$C$14*$A291-Examples!$C$15)/Examples!$C$16))))))+Examples!$C$17*$A291^2)</f>
        <v>375680.36972237856</v>
      </c>
      <c r="D291" s="33">
        <f>Examples!$D$18-(Examples!$D$10+Examples!$D$11)*$A291-(Examples!$D$6*Examples!$D$7*Examples!$D$8*EXP(-Examples!$D$9*$A291)*(1-(Examples!$D$12*(1-EXP(-Examples!$D$13*$A291))/(1+EXP(MIN(700,MAX(-700,(Examples!$D$14*$A291-Examples!$D$15)/Examples!$D$16))))))+Examples!$D$17*$A291^2)</f>
        <v>1459802.6652586081</v>
      </c>
      <c r="E291" s="33">
        <f>(Examples!$D$6*Examples!$D$7*Examples!$D$8*EXP(-Examples!$D$9*$A291)*(1-(Examples!$D$12*(1-EXP(-Examples!$D$13*$A291))/(1+EXP(MIN(700,MAX(-700,(Examples!$D$14*$A291-Examples!$D$15)/Examples!$D$16))))))+Examples!$D$17*$A291^2)</f>
        <v>910147.33474139194</v>
      </c>
      <c r="F291" s="33">
        <f>Examples!$E$18-(Examples!$E$10+Examples!$E$11)*$A291-(Examples!$E$6*Examples!$E$7*Examples!$E$8*EXP(-Examples!$E$9*$A291)*(1-(Examples!$E$12*(1-EXP(-Examples!$E$13*$A291))/(1+EXP(MIN(700,MAX(-700,(Examples!$E$14*$A291-Examples!$E$15)/Examples!$E$16))))))+Examples!$E$17*$A291^2)</f>
        <v>2489002.6670070463</v>
      </c>
      <c r="G291" s="33">
        <f>(Examples!$E$6*Examples!$E$7*Examples!$E$8*EXP(-Examples!$E$9*$A291)*(1-(Examples!$E$12*(1-EXP(-Examples!$E$13*$A291))/(1+EXP(MIN(700,MAX(-700,(Examples!$E$14*$A291-Examples!$E$15)/Examples!$E$16))))))+Examples!$E$17*$A291^2)</f>
        <v>265347.33299295366</v>
      </c>
      <c r="H291" s="33">
        <f>Examples!$F$18-(Examples!$F$10+Examples!$F$11)*$A291-(Examples!$F$6*Examples!$F$7*Examples!$F$8*EXP(-Examples!$F$9*$A291)*(1-(Examples!$F$12*(1-EXP(-Examples!$F$13*$A291))/(1+EXP(MIN(700,MAX(-700,(Examples!$F$14*$A291-Examples!$F$15)/Examples!$F$16))))))+Examples!$F$17*$A291^2)</f>
        <v>-82192.31675246518</v>
      </c>
      <c r="I291" s="33">
        <f>(Examples!$F$6*Examples!$F$7*Examples!$F$8*EXP(-Examples!$F$9*$A291)*(1-(Examples!$F$12*(1-EXP(-Examples!$F$13*$A291))/(1+EXP(MIN(700,MAX(-700,(Examples!$F$14*$A291-Examples!$F$15)/Examples!$F$16))))))+Examples!$F$17*$A291^2)</f>
        <v>174392.31675246518</v>
      </c>
      <c r="J291" s="33">
        <f>Examples!$G$18-(Examples!$G$10+Examples!$G$11)*$A291-(Examples!$G$6*Examples!$G$7*Examples!$G$8*EXP(-Examples!$G$9*$A291)*(1-(Examples!$G$12*(1-EXP(-Examples!$G$13*$A291))/(1+EXP(MIN(700,MAX(-700,(Examples!$G$14*$A291-Examples!$G$15)/Examples!$G$16))))))+Examples!$G$17*$A291^2)</f>
        <v>727145.10144735943</v>
      </c>
      <c r="K291" s="33">
        <f>(Examples!$G$6*Examples!$G$7*Examples!$G$8*EXP(-Examples!$G$9*$A291)*(1-(Examples!$G$12*(1-EXP(-Examples!$G$13*$A291))/(1+EXP(MIN(700,MAX(-700,(Examples!$G$14*$A291-Examples!$G$15)/Examples!$G$16))))))+Examples!$G$17*$A291^2)</f>
        <v>628354.89855264057</v>
      </c>
      <c r="L291" s="33">
        <f>Examples!$H$18-(Examples!$H$10+Examples!$H$11)*$A291-(Examples!$H$6*Examples!$H$7*Examples!$H$8*EXP(-Examples!$H$9*$A291)*(1-(Examples!$H$12*(1-EXP(-Examples!$H$13*$A291))/(1+EXP(MIN(700,MAX(-700,(Examples!$H$14*$A291-Examples!$H$15)/Examples!$H$16))))))+Examples!$H$17*$A291^2)</f>
        <v>660526.25474496686</v>
      </c>
      <c r="M291" s="33">
        <f>(Examples!$H$6*Examples!$H$7*Examples!$H$8*EXP(-Examples!$H$9*$A291)*(1-(Examples!$H$12*(1-EXP(-Examples!$H$13*$A291))/(1+EXP(MIN(700,MAX(-700,(Examples!$H$14*$A291-Examples!$H$15)/Examples!$H$16))))))+Examples!$H$17*$A291^2)</f>
        <v>694973.74525503314</v>
      </c>
    </row>
    <row r="292" spans="1:13" x14ac:dyDescent="0.25">
      <c r="A292">
        <f>(292-2)/100</f>
        <v>2.9</v>
      </c>
      <c r="B292" s="33">
        <f>Examples!$C$18-(Examples!$C$10+Examples!$C$11)*$A292-(Examples!$C$6*Examples!$C$7*Examples!$C$8*EXP(-Examples!$C$9*$A292)*(1-(Examples!$C$12*(1-EXP(-Examples!$C$13*$A292))/(1+EXP(MIN(700,MAX(-700,(Examples!$C$14*$A292-Examples!$C$15)/Examples!$C$16))))))+Examples!$C$17*$A292^2)</f>
        <v>122648.70922772709</v>
      </c>
      <c r="C292" s="33">
        <f>(Examples!$C$6*Examples!$C$7*Examples!$C$8*EXP(-Examples!$C$9*$A292)*(1-(Examples!$C$12*(1-EXP(-Examples!$C$13*$A292))/(1+EXP(MIN(700,MAX(-700,(Examples!$C$14*$A292-Examples!$C$15)/Examples!$C$16))))))+Examples!$C$17*$A292^2)</f>
        <v>375851.29077227291</v>
      </c>
      <c r="D292" s="33">
        <f>Examples!$D$18-(Examples!$D$10+Examples!$D$11)*$A292-(Examples!$D$6*Examples!$D$7*Examples!$D$8*EXP(-Examples!$D$9*$A292)*(1-(Examples!$D$12*(1-EXP(-Examples!$D$13*$A292))/(1+EXP(MIN(700,MAX(-700,(Examples!$D$14*$A292-Examples!$D$15)/Examples!$D$16))))))+Examples!$D$17*$A292^2)</f>
        <v>1461477.3931556644</v>
      </c>
      <c r="E292" s="33">
        <f>(Examples!$D$6*Examples!$D$7*Examples!$D$8*EXP(-Examples!$D$9*$A292)*(1-(Examples!$D$12*(1-EXP(-Examples!$D$13*$A292))/(1+EXP(MIN(700,MAX(-700,(Examples!$D$14*$A292-Examples!$D$15)/Examples!$D$16))))))+Examples!$D$17*$A292^2)</f>
        <v>908022.60684433556</v>
      </c>
      <c r="F292" s="33">
        <f>Examples!$E$18-(Examples!$E$10+Examples!$E$11)*$A292-(Examples!$E$6*Examples!$E$7*Examples!$E$8*EXP(-Examples!$E$9*$A292)*(1-(Examples!$E$12*(1-EXP(-Examples!$E$13*$A292))/(1+EXP(MIN(700,MAX(-700,(Examples!$E$14*$A292-Examples!$E$15)/Examples!$E$16))))))+Examples!$E$17*$A292^2)</f>
        <v>2489102.559284701</v>
      </c>
      <c r="G292" s="33">
        <f>(Examples!$E$6*Examples!$E$7*Examples!$E$8*EXP(-Examples!$E$9*$A292)*(1-(Examples!$E$12*(1-EXP(-Examples!$E$13*$A292))/(1+EXP(MIN(700,MAX(-700,(Examples!$E$14*$A292-Examples!$E$15)/Examples!$E$16))))))+Examples!$E$17*$A292^2)</f>
        <v>264397.4407152991</v>
      </c>
      <c r="H292" s="33">
        <f>Examples!$F$18-(Examples!$F$10+Examples!$F$11)*$A292-(Examples!$F$6*Examples!$F$7*Examples!$F$8*EXP(-Examples!$F$9*$A292)*(1-(Examples!$F$12*(1-EXP(-Examples!$F$13*$A292))/(1+EXP(MIN(700,MAX(-700,(Examples!$F$14*$A292-Examples!$F$15)/Examples!$F$16))))))+Examples!$F$17*$A292^2)</f>
        <v>-83528.423084744165</v>
      </c>
      <c r="I292" s="33">
        <f>(Examples!$F$6*Examples!$F$7*Examples!$F$8*EXP(-Examples!$F$9*$A292)*(1-(Examples!$F$12*(1-EXP(-Examples!$F$13*$A292))/(1+EXP(MIN(700,MAX(-700,(Examples!$F$14*$A292-Examples!$F$15)/Examples!$F$16))))))+Examples!$F$17*$A292^2)</f>
        <v>175528.42308474416</v>
      </c>
      <c r="J292" s="33">
        <f>Examples!$G$18-(Examples!$G$10+Examples!$G$11)*$A292-(Examples!$G$6*Examples!$G$7*Examples!$G$8*EXP(-Examples!$G$9*$A292)*(1-(Examples!$G$12*(1-EXP(-Examples!$G$13*$A292))/(1+EXP(MIN(700,MAX(-700,(Examples!$G$14*$A292-Examples!$G$15)/Examples!$G$16))))))+Examples!$G$17*$A292^2)</f>
        <v>727016.64944189612</v>
      </c>
      <c r="K292" s="33">
        <f>(Examples!$G$6*Examples!$G$7*Examples!$G$8*EXP(-Examples!$G$9*$A292)*(1-(Examples!$G$12*(1-EXP(-Examples!$G$13*$A292))/(1+EXP(MIN(700,MAX(-700,(Examples!$G$14*$A292-Examples!$G$15)/Examples!$G$16))))))+Examples!$G$17*$A292^2)</f>
        <v>627983.35055810388</v>
      </c>
      <c r="L292" s="33">
        <f>Examples!$H$18-(Examples!$H$10+Examples!$H$11)*$A292-(Examples!$H$6*Examples!$H$7*Examples!$H$8*EXP(-Examples!$H$9*$A292)*(1-(Examples!$H$12*(1-EXP(-Examples!$H$13*$A292))/(1+EXP(MIN(700,MAX(-700,(Examples!$H$14*$A292-Examples!$H$15)/Examples!$H$16))))))+Examples!$H$17*$A292^2)</f>
        <v>659470.39948844316</v>
      </c>
      <c r="M292" s="33">
        <f>(Examples!$H$6*Examples!$H$7*Examples!$H$8*EXP(-Examples!$H$9*$A292)*(1-(Examples!$H$12*(1-EXP(-Examples!$H$13*$A292))/(1+EXP(MIN(700,MAX(-700,(Examples!$H$14*$A292-Examples!$H$15)/Examples!$H$16))))))+Examples!$H$17*$A292^2)</f>
        <v>695529.60051155684</v>
      </c>
    </row>
    <row r="293" spans="1:13" x14ac:dyDescent="0.25">
      <c r="A293">
        <f>(293-2)/100</f>
        <v>2.91</v>
      </c>
      <c r="B293" s="33">
        <f>Examples!$C$18-(Examples!$C$10+Examples!$C$11)*$A293-(Examples!$C$6*Examples!$C$7*Examples!$C$8*EXP(-Examples!$C$9*$A293)*(1-(Examples!$C$12*(1-EXP(-Examples!$C$13*$A293))/(1+EXP(MIN(700,MAX(-700,(Examples!$C$14*$A293-Examples!$C$15)/Examples!$C$16))))))+Examples!$C$17*$A293^2)</f>
        <v>122124.40539654181</v>
      </c>
      <c r="C293" s="33">
        <f>(Examples!$C$6*Examples!$C$7*Examples!$C$8*EXP(-Examples!$C$9*$A293)*(1-(Examples!$C$12*(1-EXP(-Examples!$C$13*$A293))/(1+EXP(MIN(700,MAX(-700,(Examples!$C$14*$A293-Examples!$C$15)/Examples!$C$16))))))+Examples!$C$17*$A293^2)</f>
        <v>376025.59460345819</v>
      </c>
      <c r="D293" s="33">
        <f>Examples!$D$18-(Examples!$D$10+Examples!$D$11)*$A293-(Examples!$D$6*Examples!$D$7*Examples!$D$8*EXP(-Examples!$D$9*$A293)*(1-(Examples!$D$12*(1-EXP(-Examples!$D$13*$A293))/(1+EXP(MIN(700,MAX(-700,(Examples!$D$14*$A293-Examples!$D$15)/Examples!$D$16))))))+Examples!$D$17*$A293^2)</f>
        <v>1463118.031035474</v>
      </c>
      <c r="E293" s="33">
        <f>(Examples!$D$6*Examples!$D$7*Examples!$D$8*EXP(-Examples!$D$9*$A293)*(1-(Examples!$D$12*(1-EXP(-Examples!$D$13*$A293))/(1+EXP(MIN(700,MAX(-700,(Examples!$D$14*$A293-Examples!$D$15)/Examples!$D$16))))))+Examples!$D$17*$A293^2)</f>
        <v>905931.96896452585</v>
      </c>
      <c r="F293" s="33">
        <f>Examples!$E$18-(Examples!$E$10+Examples!$E$11)*$A293-(Examples!$E$6*Examples!$E$7*Examples!$E$8*EXP(-Examples!$E$9*$A293)*(1-(Examples!$E$12*(1-EXP(-Examples!$E$13*$A293))/(1+EXP(MIN(700,MAX(-700,(Examples!$E$14*$A293-Examples!$E$15)/Examples!$E$16))))))+Examples!$E$17*$A293^2)</f>
        <v>2489189.9676885107</v>
      </c>
      <c r="G293" s="33">
        <f>(Examples!$E$6*Examples!$E$7*Examples!$E$8*EXP(-Examples!$E$9*$A293)*(1-(Examples!$E$12*(1-EXP(-Examples!$E$13*$A293))/(1+EXP(MIN(700,MAX(-700,(Examples!$E$14*$A293-Examples!$E$15)/Examples!$E$16))))))+Examples!$E$17*$A293^2)</f>
        <v>263460.03231148946</v>
      </c>
      <c r="H293" s="33">
        <f>Examples!$F$18-(Examples!$F$10+Examples!$F$11)*$A293-(Examples!$F$6*Examples!$F$7*Examples!$F$8*EXP(-Examples!$F$9*$A293)*(1-(Examples!$F$12*(1-EXP(-Examples!$F$13*$A293))/(1+EXP(MIN(700,MAX(-700,(Examples!$F$14*$A293-Examples!$F$15)/Examples!$F$16))))))+Examples!$F$17*$A293^2)</f>
        <v>-84868.590082152514</v>
      </c>
      <c r="I293" s="33">
        <f>(Examples!$F$6*Examples!$F$7*Examples!$F$8*EXP(-Examples!$F$9*$A293)*(1-(Examples!$F$12*(1-EXP(-Examples!$F$13*$A293))/(1+EXP(MIN(700,MAX(-700,(Examples!$F$14*$A293-Examples!$F$15)/Examples!$F$16))))))+Examples!$F$17*$A293^2)</f>
        <v>176668.59008215251</v>
      </c>
      <c r="J293" s="33">
        <f>Examples!$G$18-(Examples!$G$10+Examples!$G$11)*$A293-(Examples!$G$6*Examples!$G$7*Examples!$G$8*EXP(-Examples!$G$9*$A293)*(1-(Examples!$G$12*(1-EXP(-Examples!$G$13*$A293))/(1+EXP(MIN(700,MAX(-700,(Examples!$G$14*$A293-Examples!$G$15)/Examples!$G$16))))))+Examples!$G$17*$A293^2)</f>
        <v>726886.92837675894</v>
      </c>
      <c r="K293" s="33">
        <f>(Examples!$G$6*Examples!$G$7*Examples!$G$8*EXP(-Examples!$G$9*$A293)*(1-(Examples!$G$12*(1-EXP(-Examples!$G$13*$A293))/(1+EXP(MIN(700,MAX(-700,(Examples!$G$14*$A293-Examples!$G$15)/Examples!$G$16))))))+Examples!$G$17*$A293^2)</f>
        <v>627613.07162324106</v>
      </c>
      <c r="L293" s="33">
        <f>Examples!$H$18-(Examples!$H$10+Examples!$H$11)*$A293-(Examples!$H$6*Examples!$H$7*Examples!$H$8*EXP(-Examples!$H$9*$A293)*(1-(Examples!$H$12*(1-EXP(-Examples!$H$13*$A293))/(1+EXP(MIN(700,MAX(-700,(Examples!$H$14*$A293-Examples!$H$15)/Examples!$H$16))))))+Examples!$H$17*$A293^2)</f>
        <v>658456.68510741217</v>
      </c>
      <c r="M293" s="33">
        <f>(Examples!$H$6*Examples!$H$7*Examples!$H$8*EXP(-Examples!$H$9*$A293)*(1-(Examples!$H$12*(1-EXP(-Examples!$H$13*$A293))/(1+EXP(MIN(700,MAX(-700,(Examples!$H$14*$A293-Examples!$H$15)/Examples!$H$16))))))+Examples!$H$17*$A293^2)</f>
        <v>696043.31489258783</v>
      </c>
    </row>
    <row r="294" spans="1:13" x14ac:dyDescent="0.25">
      <c r="A294">
        <f>(294-2)/100</f>
        <v>2.92</v>
      </c>
      <c r="B294" s="33">
        <f>Examples!$C$18-(Examples!$C$10+Examples!$C$11)*$A294-(Examples!$C$6*Examples!$C$7*Examples!$C$8*EXP(-Examples!$C$9*$A294)*(1-(Examples!$C$12*(1-EXP(-Examples!$C$13*$A294))/(1+EXP(MIN(700,MAX(-700,(Examples!$C$14*$A294-Examples!$C$15)/Examples!$C$16))))))+Examples!$C$17*$A294^2)</f>
        <v>121596.66686186247</v>
      </c>
      <c r="C294" s="33">
        <f>(Examples!$C$6*Examples!$C$7*Examples!$C$8*EXP(-Examples!$C$9*$A294)*(1-(Examples!$C$12*(1-EXP(-Examples!$C$13*$A294))/(1+EXP(MIN(700,MAX(-700,(Examples!$C$14*$A294-Examples!$C$15)/Examples!$C$16))))))+Examples!$C$17*$A294^2)</f>
        <v>376203.33313813753</v>
      </c>
      <c r="D294" s="33">
        <f>Examples!$D$18-(Examples!$D$10+Examples!$D$11)*$A294-(Examples!$D$6*Examples!$D$7*Examples!$D$8*EXP(-Examples!$D$9*$A294)*(1-(Examples!$D$12*(1-EXP(-Examples!$D$13*$A294))/(1+EXP(MIN(700,MAX(-700,(Examples!$D$14*$A294-Examples!$D$15)/Examples!$D$16))))))+Examples!$D$17*$A294^2)</f>
        <v>1464725.0318911914</v>
      </c>
      <c r="E294" s="33">
        <f>(Examples!$D$6*Examples!$D$7*Examples!$D$8*EXP(-Examples!$D$9*$A294)*(1-(Examples!$D$12*(1-EXP(-Examples!$D$13*$A294))/(1+EXP(MIN(700,MAX(-700,(Examples!$D$14*$A294-Examples!$D$15)/Examples!$D$16))))))+Examples!$D$17*$A294^2)</f>
        <v>903874.96810880862</v>
      </c>
      <c r="F294" s="33">
        <f>Examples!$E$18-(Examples!$E$10+Examples!$E$11)*$A294-(Examples!$E$6*Examples!$E$7*Examples!$E$8*EXP(-Examples!$E$9*$A294)*(1-(Examples!$E$12*(1-EXP(-Examples!$E$13*$A294))/(1+EXP(MIN(700,MAX(-700,(Examples!$E$14*$A294-Examples!$E$15)/Examples!$E$16))))))+Examples!$E$17*$A294^2)</f>
        <v>2489265.0321148043</v>
      </c>
      <c r="G294" s="33">
        <f>(Examples!$E$6*Examples!$E$7*Examples!$E$8*EXP(-Examples!$E$9*$A294)*(1-(Examples!$E$12*(1-EXP(-Examples!$E$13*$A294))/(1+EXP(MIN(700,MAX(-700,(Examples!$E$14*$A294-Examples!$E$15)/Examples!$E$16))))))+Examples!$E$17*$A294^2)</f>
        <v>262534.96788519574</v>
      </c>
      <c r="H294" s="33">
        <f>Examples!$F$18-(Examples!$F$10+Examples!$F$11)*$A294-(Examples!$F$6*Examples!$F$7*Examples!$F$8*EXP(-Examples!$F$9*$A294)*(1-(Examples!$F$12*(1-EXP(-Examples!$F$13*$A294))/(1+EXP(MIN(700,MAX(-700,(Examples!$F$14*$A294-Examples!$F$15)/Examples!$F$16))))))+Examples!$F$17*$A294^2)</f>
        <v>-86212.817755365744</v>
      </c>
      <c r="I294" s="33">
        <f>(Examples!$F$6*Examples!$F$7*Examples!$F$8*EXP(-Examples!$F$9*$A294)*(1-(Examples!$F$12*(1-EXP(-Examples!$F$13*$A294))/(1+EXP(MIN(700,MAX(-700,(Examples!$F$14*$A294-Examples!$F$15)/Examples!$F$16))))))+Examples!$F$17*$A294^2)</f>
        <v>177812.81775536574</v>
      </c>
      <c r="J294" s="33">
        <f>Examples!$G$18-(Examples!$G$10+Examples!$G$11)*$A294-(Examples!$G$6*Examples!$G$7*Examples!$G$8*EXP(-Examples!$G$9*$A294)*(1-(Examples!$G$12*(1-EXP(-Examples!$G$13*$A294))/(1+EXP(MIN(700,MAX(-700,(Examples!$G$14*$A294-Examples!$G$15)/Examples!$G$16))))))+Examples!$G$17*$A294^2)</f>
        <v>726756.08398437279</v>
      </c>
      <c r="K294" s="33">
        <f>(Examples!$G$6*Examples!$G$7*Examples!$G$8*EXP(-Examples!$G$9*$A294)*(1-(Examples!$G$12*(1-EXP(-Examples!$G$13*$A294))/(1+EXP(MIN(700,MAX(-700,(Examples!$G$14*$A294-Examples!$G$15)/Examples!$G$16))))))+Examples!$G$17*$A294^2)</f>
        <v>627243.91601562721</v>
      </c>
      <c r="L294" s="33">
        <f>Examples!$H$18-(Examples!$H$10+Examples!$H$11)*$A294-(Examples!$H$6*Examples!$H$7*Examples!$H$8*EXP(-Examples!$H$9*$A294)*(1-(Examples!$H$12*(1-EXP(-Examples!$H$13*$A294))/(1+EXP(MIN(700,MAX(-700,(Examples!$H$14*$A294-Examples!$H$15)/Examples!$H$16))))))+Examples!$H$17*$A294^2)</f>
        <v>657484.97021529602</v>
      </c>
      <c r="M294" s="33">
        <f>(Examples!$H$6*Examples!$H$7*Examples!$H$8*EXP(-Examples!$H$9*$A294)*(1-(Examples!$H$12*(1-EXP(-Examples!$H$13*$A294))/(1+EXP(MIN(700,MAX(-700,(Examples!$H$14*$A294-Examples!$H$15)/Examples!$H$16))))))+Examples!$H$17*$A294^2)</f>
        <v>696515.02978470398</v>
      </c>
    </row>
    <row r="295" spans="1:13" x14ac:dyDescent="0.25">
      <c r="A295">
        <f>(295-2)/100</f>
        <v>2.93</v>
      </c>
      <c r="B295" s="33">
        <f>Examples!$C$18-(Examples!$C$10+Examples!$C$11)*$A295-(Examples!$C$6*Examples!$C$7*Examples!$C$8*EXP(-Examples!$C$9*$A295)*(1-(Examples!$C$12*(1-EXP(-Examples!$C$13*$A295))/(1+EXP(MIN(700,MAX(-700,(Examples!$C$14*$A295-Examples!$C$15)/Examples!$C$16))))))+Examples!$C$17*$A295^2)</f>
        <v>121065.44336384931</v>
      </c>
      <c r="C295" s="33">
        <f>(Examples!$C$6*Examples!$C$7*Examples!$C$8*EXP(-Examples!$C$9*$A295)*(1-(Examples!$C$12*(1-EXP(-Examples!$C$13*$A295))/(1+EXP(MIN(700,MAX(-700,(Examples!$C$14*$A295-Examples!$C$15)/Examples!$C$16))))))+Examples!$C$17*$A295^2)</f>
        <v>376384.55663615069</v>
      </c>
      <c r="D295" s="33">
        <f>Examples!$D$18-(Examples!$D$10+Examples!$D$11)*$A295-(Examples!$D$6*Examples!$D$7*Examples!$D$8*EXP(-Examples!$D$9*$A295)*(1-(Examples!$D$12*(1-EXP(-Examples!$D$13*$A295))/(1+EXP(MIN(700,MAX(-700,(Examples!$D$14*$A295-Examples!$D$15)/Examples!$D$16))))))+Examples!$D$17*$A295^2)</f>
        <v>1466298.8480458898</v>
      </c>
      <c r="E295" s="33">
        <f>(Examples!$D$6*Examples!$D$7*Examples!$D$8*EXP(-Examples!$D$9*$A295)*(1-(Examples!$D$12*(1-EXP(-Examples!$D$13*$A295))/(1+EXP(MIN(700,MAX(-700,(Examples!$D$14*$A295-Examples!$D$15)/Examples!$D$16))))))+Examples!$D$17*$A295^2)</f>
        <v>901851.15195411036</v>
      </c>
      <c r="F295" s="33">
        <f>Examples!$E$18-(Examples!$E$10+Examples!$E$11)*$A295-(Examples!$E$6*Examples!$E$7*Examples!$E$8*EXP(-Examples!$E$9*$A295)*(1-(Examples!$E$12*(1-EXP(-Examples!$E$13*$A295))/(1+EXP(MIN(700,MAX(-700,(Examples!$E$14*$A295-Examples!$E$15)/Examples!$E$16))))))+Examples!$E$17*$A295^2)</f>
        <v>2489327.8909875602</v>
      </c>
      <c r="G295" s="33">
        <f>(Examples!$E$6*Examples!$E$7*Examples!$E$8*EXP(-Examples!$E$9*$A295)*(1-(Examples!$E$12*(1-EXP(-Examples!$E$13*$A295))/(1+EXP(MIN(700,MAX(-700,(Examples!$E$14*$A295-Examples!$E$15)/Examples!$E$16))))))+Examples!$E$17*$A295^2)</f>
        <v>261622.10901243985</v>
      </c>
      <c r="H295" s="33">
        <f>Examples!$F$18-(Examples!$F$10+Examples!$F$11)*$A295-(Examples!$F$6*Examples!$F$7*Examples!$F$8*EXP(-Examples!$F$9*$A295)*(1-(Examples!$F$12*(1-EXP(-Examples!$F$13*$A295))/(1+EXP(MIN(700,MAX(-700,(Examples!$F$14*$A295-Examples!$F$15)/Examples!$F$16))))))+Examples!$F$17*$A295^2)</f>
        <v>-87561.10610762774</v>
      </c>
      <c r="I295" s="33">
        <f>(Examples!$F$6*Examples!$F$7*Examples!$F$8*EXP(-Examples!$F$9*$A295)*(1-(Examples!$F$12*(1-EXP(-Examples!$F$13*$A295))/(1+EXP(MIN(700,MAX(-700,(Examples!$F$14*$A295-Examples!$F$15)/Examples!$F$16))))))+Examples!$F$17*$A295^2)</f>
        <v>178961.10610762774</v>
      </c>
      <c r="J295" s="33">
        <f>Examples!$G$18-(Examples!$G$10+Examples!$G$11)*$A295-(Examples!$G$6*Examples!$G$7*Examples!$G$8*EXP(-Examples!$G$9*$A295)*(1-(Examples!$G$12*(1-EXP(-Examples!$G$13*$A295))/(1+EXP(MIN(700,MAX(-700,(Examples!$G$14*$A295-Examples!$G$15)/Examples!$G$16))))))+Examples!$G$17*$A295^2)</f>
        <v>726624.25845997268</v>
      </c>
      <c r="K295" s="33">
        <f>(Examples!$G$6*Examples!$G$7*Examples!$G$8*EXP(-Examples!$G$9*$A295)*(1-(Examples!$G$12*(1-EXP(-Examples!$G$13*$A295))/(1+EXP(MIN(700,MAX(-700,(Examples!$G$14*$A295-Examples!$G$15)/Examples!$G$16))))))+Examples!$G$17*$A295^2)</f>
        <v>626875.74154002732</v>
      </c>
      <c r="L295" s="33">
        <f>Examples!$H$18-(Examples!$H$10+Examples!$H$11)*$A295-(Examples!$H$6*Examples!$H$7*Examples!$H$8*EXP(-Examples!$H$9*$A295)*(1-(Examples!$H$12*(1-EXP(-Examples!$H$13*$A295))/(1+EXP(MIN(700,MAX(-700,(Examples!$H$14*$A295-Examples!$H$15)/Examples!$H$16))))))+Examples!$H$17*$A295^2)</f>
        <v>656555.06536937063</v>
      </c>
      <c r="M295" s="33">
        <f>(Examples!$H$6*Examples!$H$7*Examples!$H$8*EXP(-Examples!$H$9*$A295)*(1-(Examples!$H$12*(1-EXP(-Examples!$H$13*$A295))/(1+EXP(MIN(700,MAX(-700,(Examples!$H$14*$A295-Examples!$H$15)/Examples!$H$16))))))+Examples!$H$17*$A295^2)</f>
        <v>696944.93463062937</v>
      </c>
    </row>
    <row r="296" spans="1:13" x14ac:dyDescent="0.25">
      <c r="A296">
        <f>(296-2)/100</f>
        <v>2.94</v>
      </c>
      <c r="B296" s="33">
        <f>Examples!$C$18-(Examples!$C$10+Examples!$C$11)*$A296-(Examples!$C$6*Examples!$C$7*Examples!$C$8*EXP(-Examples!$C$9*$A296)*(1-(Examples!$C$12*(1-EXP(-Examples!$C$13*$A296))/(1+EXP(MIN(700,MAX(-700,(Examples!$C$14*$A296-Examples!$C$15)/Examples!$C$16))))))+Examples!$C$17*$A296^2)</f>
        <v>120530.68626610411</v>
      </c>
      <c r="C296" s="33">
        <f>(Examples!$C$6*Examples!$C$7*Examples!$C$8*EXP(-Examples!$C$9*$A296)*(1-(Examples!$C$12*(1-EXP(-Examples!$C$13*$A296))/(1+EXP(MIN(700,MAX(-700,(Examples!$C$14*$A296-Examples!$C$15)/Examples!$C$16))))))+Examples!$C$17*$A296^2)</f>
        <v>376569.31373389589</v>
      </c>
      <c r="D296" s="33">
        <f>Examples!$D$18-(Examples!$D$10+Examples!$D$11)*$A296-(Examples!$D$6*Examples!$D$7*Examples!$D$8*EXP(-Examples!$D$9*$A296)*(1-(Examples!$D$12*(1-EXP(-Examples!$D$13*$A296))/(1+EXP(MIN(700,MAX(-700,(Examples!$D$14*$A296-Examples!$D$15)/Examples!$D$16))))))+Examples!$D$17*$A296^2)</f>
        <v>1467839.93115215</v>
      </c>
      <c r="E296" s="33">
        <f>(Examples!$D$6*Examples!$D$7*Examples!$D$8*EXP(-Examples!$D$9*$A296)*(1-(Examples!$D$12*(1-EXP(-Examples!$D$13*$A296))/(1+EXP(MIN(700,MAX(-700,(Examples!$D$14*$A296-Examples!$D$15)/Examples!$D$16))))))+Examples!$D$17*$A296^2)</f>
        <v>899860.06884784997</v>
      </c>
      <c r="F296" s="33">
        <f>Examples!$E$18-(Examples!$E$10+Examples!$E$11)*$A296-(Examples!$E$6*Examples!$E$7*Examples!$E$8*EXP(-Examples!$E$9*$A296)*(1-(Examples!$E$12*(1-EXP(-Examples!$E$13*$A296))/(1+EXP(MIN(700,MAX(-700,(Examples!$E$14*$A296-Examples!$E$15)/Examples!$E$16))))))+Examples!$E$17*$A296^2)</f>
        <v>2489378.6812755456</v>
      </c>
      <c r="G296" s="33">
        <f>(Examples!$E$6*Examples!$E$7*Examples!$E$8*EXP(-Examples!$E$9*$A296)*(1-(Examples!$E$12*(1-EXP(-Examples!$E$13*$A296))/(1+EXP(MIN(700,MAX(-700,(Examples!$E$14*$A296-Examples!$E$15)/Examples!$E$16))))))+Examples!$E$17*$A296^2)</f>
        <v>260721.31872445453</v>
      </c>
      <c r="H296" s="33">
        <f>Examples!$F$18-(Examples!$F$10+Examples!$F$11)*$A296-(Examples!$F$6*Examples!$F$7*Examples!$F$8*EXP(-Examples!$F$9*$A296)*(1-(Examples!$F$12*(1-EXP(-Examples!$F$13*$A296))/(1+EXP(MIN(700,MAX(-700,(Examples!$F$14*$A296-Examples!$F$15)/Examples!$F$16))))))+Examples!$F$17*$A296^2)</f>
        <v>-88913.455135049328</v>
      </c>
      <c r="I296" s="33">
        <f>(Examples!$F$6*Examples!$F$7*Examples!$F$8*EXP(-Examples!$F$9*$A296)*(1-(Examples!$F$12*(1-EXP(-Examples!$F$13*$A296))/(1+EXP(MIN(700,MAX(-700,(Examples!$F$14*$A296-Examples!$F$15)/Examples!$F$16))))))+Examples!$F$17*$A296^2)</f>
        <v>180113.45513504933</v>
      </c>
      <c r="J296" s="33">
        <f>Examples!$G$18-(Examples!$G$10+Examples!$G$11)*$A296-(Examples!$G$6*Examples!$G$7*Examples!$G$8*EXP(-Examples!$G$9*$A296)*(1-(Examples!$G$12*(1-EXP(-Examples!$G$13*$A296))/(1+EXP(MIN(700,MAX(-700,(Examples!$G$14*$A296-Examples!$G$15)/Examples!$G$16))))))+Examples!$G$17*$A296^2)</f>
        <v>726491.59046840598</v>
      </c>
      <c r="K296" s="33">
        <f>(Examples!$G$6*Examples!$G$7*Examples!$G$8*EXP(-Examples!$G$9*$A296)*(1-(Examples!$G$12*(1-EXP(-Examples!$G$13*$A296))/(1+EXP(MIN(700,MAX(-700,(Examples!$G$14*$A296-Examples!$G$15)/Examples!$G$16))))))+Examples!$G$17*$A296^2)</f>
        <v>626508.40953159402</v>
      </c>
      <c r="L296" s="33">
        <f>Examples!$H$18-(Examples!$H$10+Examples!$H$11)*$A296-(Examples!$H$6*Examples!$H$7*Examples!$H$8*EXP(-Examples!$H$9*$A296)*(1-(Examples!$H$12*(1-EXP(-Examples!$H$13*$A296))/(1+EXP(MIN(700,MAX(-700,(Examples!$H$14*$A296-Examples!$H$15)/Examples!$H$16))))))+Examples!$H$17*$A296^2)</f>
        <v>655666.73524651793</v>
      </c>
      <c r="M296" s="33">
        <f>(Examples!$H$6*Examples!$H$7*Examples!$H$8*EXP(-Examples!$H$9*$A296)*(1-(Examples!$H$12*(1-EXP(-Examples!$H$13*$A296))/(1+EXP(MIN(700,MAX(-700,(Examples!$H$14*$A296-Examples!$H$15)/Examples!$H$16))))))+Examples!$H$17*$A296^2)</f>
        <v>697333.26475348207</v>
      </c>
    </row>
    <row r="297" spans="1:13" x14ac:dyDescent="0.25">
      <c r="A297">
        <f>(297-2)/100</f>
        <v>2.95</v>
      </c>
      <c r="B297" s="33">
        <f>Examples!$C$18-(Examples!$C$10+Examples!$C$11)*$A297-(Examples!$C$6*Examples!$C$7*Examples!$C$8*EXP(-Examples!$C$9*$A297)*(1-(Examples!$C$12*(1-EXP(-Examples!$C$13*$A297))/(1+EXP(MIN(700,MAX(-700,(Examples!$C$14*$A297-Examples!$C$15)/Examples!$C$16))))))+Examples!$C$17*$A297^2)</f>
        <v>119992.3485170402</v>
      </c>
      <c r="C297" s="33">
        <f>(Examples!$C$6*Examples!$C$7*Examples!$C$8*EXP(-Examples!$C$9*$A297)*(1-(Examples!$C$12*(1-EXP(-Examples!$C$13*$A297))/(1+EXP(MIN(700,MAX(-700,(Examples!$C$14*$A297-Examples!$C$15)/Examples!$C$16))))))+Examples!$C$17*$A297^2)</f>
        <v>376757.6514829598</v>
      </c>
      <c r="D297" s="33">
        <f>Examples!$D$18-(Examples!$D$10+Examples!$D$11)*$A297-(Examples!$D$6*Examples!$D$7*Examples!$D$8*EXP(-Examples!$D$9*$A297)*(1-(Examples!$D$12*(1-EXP(-Examples!$D$13*$A297))/(1+EXP(MIN(700,MAX(-700,(Examples!$D$14*$A297-Examples!$D$15)/Examples!$D$16))))))+Examples!$D$17*$A297^2)</f>
        <v>1469348.7321899263</v>
      </c>
      <c r="E297" s="33">
        <f>(Examples!$D$6*Examples!$D$7*Examples!$D$8*EXP(-Examples!$D$9*$A297)*(1-(Examples!$D$12*(1-EXP(-Examples!$D$13*$A297))/(1+EXP(MIN(700,MAX(-700,(Examples!$D$14*$A297-Examples!$D$15)/Examples!$D$16))))))+Examples!$D$17*$A297^2)</f>
        <v>897901.26781007356</v>
      </c>
      <c r="F297" s="33">
        <f>Examples!$E$18-(Examples!$E$10+Examples!$E$11)*$A297-(Examples!$E$6*Examples!$E$7*Examples!$E$8*EXP(-Examples!$E$9*$A297)*(1-(Examples!$E$12*(1-EXP(-Examples!$E$13*$A297))/(1+EXP(MIN(700,MAX(-700,(Examples!$E$14*$A297-Examples!$E$15)/Examples!$E$16))))))+Examples!$E$17*$A297^2)</f>
        <v>2489417.5385092385</v>
      </c>
      <c r="G297" s="33">
        <f>(Examples!$E$6*Examples!$E$7*Examples!$E$8*EXP(-Examples!$E$9*$A297)*(1-(Examples!$E$12*(1-EXP(-Examples!$E$13*$A297))/(1+EXP(MIN(700,MAX(-700,(Examples!$E$14*$A297-Examples!$E$15)/Examples!$E$16))))))+Examples!$E$17*$A297^2)</f>
        <v>259832.46149076172</v>
      </c>
      <c r="H297" s="33">
        <f>Examples!$F$18-(Examples!$F$10+Examples!$F$11)*$A297-(Examples!$F$6*Examples!$F$7*Examples!$F$8*EXP(-Examples!$F$9*$A297)*(1-(Examples!$F$12*(1-EXP(-Examples!$F$13*$A297))/(1+EXP(MIN(700,MAX(-700,(Examples!$F$14*$A297-Examples!$F$15)/Examples!$F$16))))))+Examples!$F$17*$A297^2)</f>
        <v>-90269.864826897188</v>
      </c>
      <c r="I297" s="33">
        <f>(Examples!$F$6*Examples!$F$7*Examples!$F$8*EXP(-Examples!$F$9*$A297)*(1-(Examples!$F$12*(1-EXP(-Examples!$F$13*$A297))/(1+EXP(MIN(700,MAX(-700,(Examples!$F$14*$A297-Examples!$F$15)/Examples!$F$16))))))+Examples!$F$17*$A297^2)</f>
        <v>181269.86482689719</v>
      </c>
      <c r="J297" s="33">
        <f>Examples!$G$18-(Examples!$G$10+Examples!$G$11)*$A297-(Examples!$G$6*Examples!$G$7*Examples!$G$8*EXP(-Examples!$G$9*$A297)*(1-(Examples!$G$12*(1-EXP(-Examples!$G$13*$A297))/(1+EXP(MIN(700,MAX(-700,(Examples!$G$14*$A297-Examples!$G$15)/Examples!$G$16))))))+Examples!$G$17*$A297^2)</f>
        <v>726358.21515234001</v>
      </c>
      <c r="K297" s="33">
        <f>(Examples!$G$6*Examples!$G$7*Examples!$G$8*EXP(-Examples!$G$9*$A297)*(1-(Examples!$G$12*(1-EXP(-Examples!$G$13*$A297))/(1+EXP(MIN(700,MAX(-700,(Examples!$G$14*$A297-Examples!$G$15)/Examples!$G$16))))))+Examples!$G$17*$A297^2)</f>
        <v>626141.78484765999</v>
      </c>
      <c r="L297" s="33">
        <f>Examples!$H$18-(Examples!$H$10+Examples!$H$11)*$A297-(Examples!$H$6*Examples!$H$7*Examples!$H$8*EXP(-Examples!$H$9*$A297)*(1-(Examples!$H$12*(1-EXP(-Examples!$H$13*$A297))/(1+EXP(MIN(700,MAX(-700,(Examples!$H$14*$A297-Examples!$H$15)/Examples!$H$16))))))+Examples!$H$17*$A297^2)</f>
        <v>654819.70084028086</v>
      </c>
      <c r="M297" s="33">
        <f>(Examples!$H$6*Examples!$H$7*Examples!$H$8*EXP(-Examples!$H$9*$A297)*(1-(Examples!$H$12*(1-EXP(-Examples!$H$13*$A297))/(1+EXP(MIN(700,MAX(-700,(Examples!$H$14*$A297-Examples!$H$15)/Examples!$H$16))))))+Examples!$H$17*$A297^2)</f>
        <v>697680.29915971914</v>
      </c>
    </row>
    <row r="298" spans="1:13" x14ac:dyDescent="0.25">
      <c r="A298">
        <f>(298-2)/100</f>
        <v>2.96</v>
      </c>
      <c r="B298" s="33">
        <f>Examples!$C$18-(Examples!$C$10+Examples!$C$11)*$A298-(Examples!$C$6*Examples!$C$7*Examples!$C$8*EXP(-Examples!$C$9*$A298)*(1-(Examples!$C$12*(1-EXP(-Examples!$C$13*$A298))/(1+EXP(MIN(700,MAX(-700,(Examples!$C$14*$A298-Examples!$C$15)/Examples!$C$16))))))+Examples!$C$17*$A298^2)</f>
        <v>119450.38461159205</v>
      </c>
      <c r="C298" s="33">
        <f>(Examples!$C$6*Examples!$C$7*Examples!$C$8*EXP(-Examples!$C$9*$A298)*(1-(Examples!$C$12*(1-EXP(-Examples!$C$13*$A298))/(1+EXP(MIN(700,MAX(-700,(Examples!$C$14*$A298-Examples!$C$15)/Examples!$C$16))))))+Examples!$C$17*$A298^2)</f>
        <v>376949.61538840795</v>
      </c>
      <c r="D298" s="33">
        <f>Examples!$D$18-(Examples!$D$10+Examples!$D$11)*$A298-(Examples!$D$6*Examples!$D$7*Examples!$D$8*EXP(-Examples!$D$9*$A298)*(1-(Examples!$D$12*(1-EXP(-Examples!$D$13*$A298))/(1+EXP(MIN(700,MAX(-700,(Examples!$D$14*$A298-Examples!$D$15)/Examples!$D$16))))))+Examples!$D$17*$A298^2)</f>
        <v>1470825.7014626721</v>
      </c>
      <c r="E298" s="33">
        <f>(Examples!$D$6*Examples!$D$7*Examples!$D$8*EXP(-Examples!$D$9*$A298)*(1-(Examples!$D$12*(1-EXP(-Examples!$D$13*$A298))/(1+EXP(MIN(700,MAX(-700,(Examples!$D$14*$A298-Examples!$D$15)/Examples!$D$16))))))+Examples!$D$17*$A298^2)</f>
        <v>895974.29853732791</v>
      </c>
      <c r="F298" s="33">
        <f>Examples!$E$18-(Examples!$E$10+Examples!$E$11)*$A298-(Examples!$E$6*Examples!$E$7*Examples!$E$8*EXP(-Examples!$E$9*$A298)*(1-(Examples!$E$12*(1-EXP(-Examples!$E$13*$A298))/(1+EXP(MIN(700,MAX(-700,(Examples!$E$14*$A298-Examples!$E$15)/Examples!$E$16))))))+Examples!$E$17*$A298^2)</f>
        <v>2489444.5967975347</v>
      </c>
      <c r="G298" s="33">
        <f>(Examples!$E$6*Examples!$E$7*Examples!$E$8*EXP(-Examples!$E$9*$A298)*(1-(Examples!$E$12*(1-EXP(-Examples!$E$13*$A298))/(1+EXP(MIN(700,MAX(-700,(Examples!$E$14*$A298-Examples!$E$15)/Examples!$E$16))))))+Examples!$E$17*$A298^2)</f>
        <v>258955.40320246512</v>
      </c>
      <c r="H298" s="33">
        <f>Examples!$F$18-(Examples!$F$10+Examples!$F$11)*$A298-(Examples!$F$6*Examples!$F$7*Examples!$F$8*EXP(-Examples!$F$9*$A298)*(1-(Examples!$F$12*(1-EXP(-Examples!$F$13*$A298))/(1+EXP(MIN(700,MAX(-700,(Examples!$F$14*$A298-Examples!$F$15)/Examples!$F$16))))))+Examples!$F$17*$A298^2)</f>
        <v>-91630.335165871453</v>
      </c>
      <c r="I298" s="33">
        <f>(Examples!$F$6*Examples!$F$7*Examples!$F$8*EXP(-Examples!$F$9*$A298)*(1-(Examples!$F$12*(1-EXP(-Examples!$F$13*$A298))/(1+EXP(MIN(700,MAX(-700,(Examples!$F$14*$A298-Examples!$F$15)/Examples!$F$16))))))+Examples!$F$17*$A298^2)</f>
        <v>182430.33516587145</v>
      </c>
      <c r="J298" s="33">
        <f>Examples!$G$18-(Examples!$G$10+Examples!$G$11)*$A298-(Examples!$G$6*Examples!$G$7*Examples!$G$8*EXP(-Examples!$G$9*$A298)*(1-(Examples!$G$12*(1-EXP(-Examples!$G$13*$A298))/(1+EXP(MIN(700,MAX(-700,(Examples!$G$14*$A298-Examples!$G$15)/Examples!$G$16))))))+Examples!$G$17*$A298^2)</f>
        <v>726224.26414186007</v>
      </c>
      <c r="K298" s="33">
        <f>(Examples!$G$6*Examples!$G$7*Examples!$G$8*EXP(-Examples!$G$9*$A298)*(1-(Examples!$G$12*(1-EXP(-Examples!$G$13*$A298))/(1+EXP(MIN(700,MAX(-700,(Examples!$G$14*$A298-Examples!$G$15)/Examples!$G$16))))))+Examples!$G$17*$A298^2)</f>
        <v>625775.73585813993</v>
      </c>
      <c r="L298" s="33">
        <f>Examples!$H$18-(Examples!$H$10+Examples!$H$11)*$A298-(Examples!$H$6*Examples!$H$7*Examples!$H$8*EXP(-Examples!$H$9*$A298)*(1-(Examples!$H$12*(1-EXP(-Examples!$H$13*$A298))/(1+EXP(MIN(700,MAX(-700,(Examples!$H$14*$A298-Examples!$H$15)/Examples!$H$16))))))+Examples!$H$17*$A298^2)</f>
        <v>654013.64167032181</v>
      </c>
      <c r="M298" s="33">
        <f>(Examples!$H$6*Examples!$H$7*Examples!$H$8*EXP(-Examples!$H$9*$A298)*(1-(Examples!$H$12*(1-EXP(-Examples!$H$13*$A298))/(1+EXP(MIN(700,MAX(-700,(Examples!$H$14*$A298-Examples!$H$15)/Examples!$H$16))))))+Examples!$H$17*$A298^2)</f>
        <v>697986.35832967819</v>
      </c>
    </row>
    <row r="299" spans="1:13" x14ac:dyDescent="0.25">
      <c r="A299">
        <f>(299-2)/100</f>
        <v>2.97</v>
      </c>
      <c r="B299" s="33">
        <f>Examples!$C$18-(Examples!$C$10+Examples!$C$11)*$A299-(Examples!$C$6*Examples!$C$7*Examples!$C$8*EXP(-Examples!$C$9*$A299)*(1-(Examples!$C$12*(1-EXP(-Examples!$C$13*$A299))/(1+EXP(MIN(700,MAX(-700,(Examples!$C$14*$A299-Examples!$C$15)/Examples!$C$16))))))+Examples!$C$17*$A299^2)</f>
        <v>118904.75055330596</v>
      </c>
      <c r="C299" s="33">
        <f>(Examples!$C$6*Examples!$C$7*Examples!$C$8*EXP(-Examples!$C$9*$A299)*(1-(Examples!$C$12*(1-EXP(-Examples!$C$13*$A299))/(1+EXP(MIN(700,MAX(-700,(Examples!$C$14*$A299-Examples!$C$15)/Examples!$C$16))))))+Examples!$C$17*$A299^2)</f>
        <v>377145.24944669404</v>
      </c>
      <c r="D299" s="33">
        <f>Examples!$D$18-(Examples!$D$10+Examples!$D$11)*$A299-(Examples!$D$6*Examples!$D$7*Examples!$D$8*EXP(-Examples!$D$9*$A299)*(1-(Examples!$D$12*(1-EXP(-Examples!$D$13*$A299))/(1+EXP(MIN(700,MAX(-700,(Examples!$D$14*$A299-Examples!$D$15)/Examples!$D$16))))))+Examples!$D$17*$A299^2)</f>
        <v>1472271.2885917313</v>
      </c>
      <c r="E299" s="33">
        <f>(Examples!$D$6*Examples!$D$7*Examples!$D$8*EXP(-Examples!$D$9*$A299)*(1-(Examples!$D$12*(1-EXP(-Examples!$D$13*$A299))/(1+EXP(MIN(700,MAX(-700,(Examples!$D$14*$A299-Examples!$D$15)/Examples!$D$16))))))+Examples!$D$17*$A299^2)</f>
        <v>894078.71140826866</v>
      </c>
      <c r="F299" s="33">
        <f>Examples!$E$18-(Examples!$E$10+Examples!$E$11)*$A299-(Examples!$E$6*Examples!$E$7*Examples!$E$8*EXP(-Examples!$E$9*$A299)*(1-(Examples!$E$12*(1-EXP(-Examples!$E$13*$A299))/(1+EXP(MIN(700,MAX(-700,(Examples!$E$14*$A299-Examples!$E$15)/Examples!$E$16))))))+Examples!$E$17*$A299^2)</f>
        <v>2489459.9888442433</v>
      </c>
      <c r="G299" s="33">
        <f>(Examples!$E$6*Examples!$E$7*Examples!$E$8*EXP(-Examples!$E$9*$A299)*(1-(Examples!$E$12*(1-EXP(-Examples!$E$13*$A299))/(1+EXP(MIN(700,MAX(-700,(Examples!$E$14*$A299-Examples!$E$15)/Examples!$E$16))))))+Examples!$E$17*$A299^2)</f>
        <v>258090.01115575666</v>
      </c>
      <c r="H299" s="33">
        <f>Examples!$F$18-(Examples!$F$10+Examples!$F$11)*$A299-(Examples!$F$6*Examples!$F$7*Examples!$F$8*EXP(-Examples!$F$9*$A299)*(1-(Examples!$F$12*(1-EXP(-Examples!$F$13*$A299))/(1+EXP(MIN(700,MAX(-700,(Examples!$F$14*$A299-Examples!$F$15)/Examples!$F$16))))))+Examples!$F$17*$A299^2)</f>
        <v>-92994.866128373658</v>
      </c>
      <c r="I299" s="33">
        <f>(Examples!$F$6*Examples!$F$7*Examples!$F$8*EXP(-Examples!$F$9*$A299)*(1-(Examples!$F$12*(1-EXP(-Examples!$F$13*$A299))/(1+EXP(MIN(700,MAX(-700,(Examples!$F$14*$A299-Examples!$F$15)/Examples!$F$16))))))+Examples!$F$17*$A299^2)</f>
        <v>183594.86612837366</v>
      </c>
      <c r="J299" s="33">
        <f>Examples!$G$18-(Examples!$G$10+Examples!$G$11)*$A299-(Examples!$G$6*Examples!$G$7*Examples!$G$8*EXP(-Examples!$G$9*$A299)*(1-(Examples!$G$12*(1-EXP(-Examples!$G$13*$A299))/(1+EXP(MIN(700,MAX(-700,(Examples!$G$14*$A299-Examples!$G$15)/Examples!$G$16))))))+Examples!$G$17*$A299^2)</f>
        <v>726089.86556544411</v>
      </c>
      <c r="K299" s="33">
        <f>(Examples!$G$6*Examples!$G$7*Examples!$G$8*EXP(-Examples!$G$9*$A299)*(1-(Examples!$G$12*(1-EXP(-Examples!$G$13*$A299))/(1+EXP(MIN(700,MAX(-700,(Examples!$G$14*$A299-Examples!$G$15)/Examples!$G$16))))))+Examples!$G$17*$A299^2)</f>
        <v>625410.13443455589</v>
      </c>
      <c r="L299" s="33">
        <f>Examples!$H$18-(Examples!$H$10+Examples!$H$11)*$A299-(Examples!$H$6*Examples!$H$7*Examples!$H$8*EXP(-Examples!$H$9*$A299)*(1-(Examples!$H$12*(1-EXP(-Examples!$H$13*$A299))/(1+EXP(MIN(700,MAX(-700,(Examples!$H$14*$A299-Examples!$H$15)/Examples!$H$16))))))+Examples!$H$17*$A299^2)</f>
        <v>653248.1979958422</v>
      </c>
      <c r="M299" s="33">
        <f>(Examples!$H$6*Examples!$H$7*Examples!$H$8*EXP(-Examples!$H$9*$A299)*(1-(Examples!$H$12*(1-EXP(-Examples!$H$13*$A299))/(1+EXP(MIN(700,MAX(-700,(Examples!$H$14*$A299-Examples!$H$15)/Examples!$H$16))))))+Examples!$H$17*$A299^2)</f>
        <v>698251.8020041578</v>
      </c>
    </row>
    <row r="300" spans="1:13" x14ac:dyDescent="0.25">
      <c r="A300">
        <f>(300-2)/100</f>
        <v>2.98</v>
      </c>
      <c r="B300" s="33">
        <f>Examples!$C$18-(Examples!$C$10+Examples!$C$11)*$A300-(Examples!$C$6*Examples!$C$7*Examples!$C$8*EXP(-Examples!$C$9*$A300)*(1-(Examples!$C$12*(1-EXP(-Examples!$C$13*$A300))/(1+EXP(MIN(700,MAX(-700,(Examples!$C$14*$A300-Examples!$C$15)/Examples!$C$16))))))+Examples!$C$17*$A300^2)</f>
        <v>118355.40381684888</v>
      </c>
      <c r="C300" s="33">
        <f>(Examples!$C$6*Examples!$C$7*Examples!$C$8*EXP(-Examples!$C$9*$A300)*(1-(Examples!$C$12*(1-EXP(-Examples!$C$13*$A300))/(1+EXP(MIN(700,MAX(-700,(Examples!$C$14*$A300-Examples!$C$15)/Examples!$C$16))))))+Examples!$C$17*$A300^2)</f>
        <v>377344.59618315112</v>
      </c>
      <c r="D300" s="33">
        <f>Examples!$D$18-(Examples!$D$10+Examples!$D$11)*$A300-(Examples!$D$6*Examples!$D$7*Examples!$D$8*EXP(-Examples!$D$9*$A300)*(1-(Examples!$D$12*(1-EXP(-Examples!$D$13*$A300))/(1+EXP(MIN(700,MAX(-700,(Examples!$D$14*$A300-Examples!$D$15)/Examples!$D$16))))))+Examples!$D$17*$A300^2)</f>
        <v>1473685.9425089904</v>
      </c>
      <c r="E300" s="33">
        <f>(Examples!$D$6*Examples!$D$7*Examples!$D$8*EXP(-Examples!$D$9*$A300)*(1-(Examples!$D$12*(1-EXP(-Examples!$D$13*$A300))/(1+EXP(MIN(700,MAX(-700,(Examples!$D$14*$A300-Examples!$D$15)/Examples!$D$16))))))+Examples!$D$17*$A300^2)</f>
        <v>892214.05749100971</v>
      </c>
      <c r="F300" s="33">
        <f>Examples!$E$18-(Examples!$E$10+Examples!$E$11)*$A300-(Examples!$E$6*Examples!$E$7*Examples!$E$8*EXP(-Examples!$E$9*$A300)*(1-(Examples!$E$12*(1-EXP(-Examples!$E$13*$A300))/(1+EXP(MIN(700,MAX(-700,(Examples!$E$14*$A300-Examples!$E$15)/Examples!$E$16))))))+Examples!$E$17*$A300^2)</f>
        <v>2489463.8459643666</v>
      </c>
      <c r="G300" s="33">
        <f>(Examples!$E$6*Examples!$E$7*Examples!$E$8*EXP(-Examples!$E$9*$A300)*(1-(Examples!$E$12*(1-EXP(-Examples!$E$13*$A300))/(1+EXP(MIN(700,MAX(-700,(Examples!$E$14*$A300-Examples!$E$15)/Examples!$E$16))))))+Examples!$E$17*$A300^2)</f>
        <v>257236.1540356332</v>
      </c>
      <c r="H300" s="33">
        <f>Examples!$F$18-(Examples!$F$10+Examples!$F$11)*$A300-(Examples!$F$6*Examples!$F$7*Examples!$F$8*EXP(-Examples!$F$9*$A300)*(1-(Examples!$F$12*(1-EXP(-Examples!$F$13*$A300))/(1+EXP(MIN(700,MAX(-700,(Examples!$F$14*$A300-Examples!$F$15)/Examples!$F$16))))))+Examples!$F$17*$A300^2)</f>
        <v>-94363.457684764784</v>
      </c>
      <c r="I300" s="33">
        <f>(Examples!$F$6*Examples!$F$7*Examples!$F$8*EXP(-Examples!$F$9*$A300)*(1-(Examples!$F$12*(1-EXP(-Examples!$F$13*$A300))/(1+EXP(MIN(700,MAX(-700,(Examples!$F$14*$A300-Examples!$F$15)/Examples!$F$16))))))+Examples!$F$17*$A300^2)</f>
        <v>184763.45768476478</v>
      </c>
      <c r="J300" s="33">
        <f>Examples!$G$18-(Examples!$G$10+Examples!$G$11)*$A300-(Examples!$G$6*Examples!$G$7*Examples!$G$8*EXP(-Examples!$G$9*$A300)*(1-(Examples!$G$12*(1-EXP(-Examples!$G$13*$A300))/(1+EXP(MIN(700,MAX(-700,(Examples!$G$14*$A300-Examples!$G$15)/Examples!$G$16))))))+Examples!$G$17*$A300^2)</f>
        <v>725955.14406228787</v>
      </c>
      <c r="K300" s="33">
        <f>(Examples!$G$6*Examples!$G$7*Examples!$G$8*EXP(-Examples!$G$9*$A300)*(1-(Examples!$G$12*(1-EXP(-Examples!$G$13*$A300))/(1+EXP(MIN(700,MAX(-700,(Examples!$G$14*$A300-Examples!$G$15)/Examples!$G$16))))))+Examples!$G$17*$A300^2)</f>
        <v>625044.85593771213</v>
      </c>
      <c r="L300" s="33">
        <f>Examples!$H$18-(Examples!$H$10+Examples!$H$11)*$A300-(Examples!$H$6*Examples!$H$7*Examples!$H$8*EXP(-Examples!$H$9*$A300)*(1-(Examples!$H$12*(1-EXP(-Examples!$H$13*$A300))/(1+EXP(MIN(700,MAX(-700,(Examples!$H$14*$A300-Examples!$H$15)/Examples!$H$16))))))+Examples!$H$17*$A300^2)</f>
        <v>652522.97302499844</v>
      </c>
      <c r="M300" s="33">
        <f>(Examples!$H$6*Examples!$H$7*Examples!$H$8*EXP(-Examples!$H$9*$A300)*(1-(Examples!$H$12*(1-EXP(-Examples!$H$13*$A300))/(1+EXP(MIN(700,MAX(-700,(Examples!$H$14*$A300-Examples!$H$15)/Examples!$H$16))))))+Examples!$H$17*$A300^2)</f>
        <v>698477.02697500156</v>
      </c>
    </row>
    <row r="301" spans="1:13" x14ac:dyDescent="0.25">
      <c r="A301">
        <f>(301-2)/100</f>
        <v>2.99</v>
      </c>
      <c r="B301" s="33">
        <f>Examples!$C$18-(Examples!$C$10+Examples!$C$11)*$A301-(Examples!$C$6*Examples!$C$7*Examples!$C$8*EXP(-Examples!$C$9*$A301)*(1-(Examples!$C$12*(1-EXP(-Examples!$C$13*$A301))/(1+EXP(MIN(700,MAX(-700,(Examples!$C$14*$A301-Examples!$C$15)/Examples!$C$16))))))+Examples!$C$17*$A301^2)</f>
        <v>117802.30331096973</v>
      </c>
      <c r="C301" s="33">
        <f>(Examples!$C$6*Examples!$C$7*Examples!$C$8*EXP(-Examples!$C$9*$A301)*(1-(Examples!$C$12*(1-EXP(-Examples!$C$13*$A301))/(1+EXP(MIN(700,MAX(-700,(Examples!$C$14*$A301-Examples!$C$15)/Examples!$C$16))))))+Examples!$C$17*$A301^2)</f>
        <v>377547.69668903027</v>
      </c>
      <c r="D301" s="33">
        <f>Examples!$D$18-(Examples!$D$10+Examples!$D$11)*$A301-(Examples!$D$6*Examples!$D$7*Examples!$D$8*EXP(-Examples!$D$9*$A301)*(1-(Examples!$D$12*(1-EXP(-Examples!$D$13*$A301))/(1+EXP(MIN(700,MAX(-700,(Examples!$D$14*$A301-Examples!$D$15)/Examples!$D$16))))))+Examples!$D$17*$A301^2)</f>
        <v>1475070.1114477902</v>
      </c>
      <c r="E301" s="33">
        <f>(Examples!$D$6*Examples!$D$7*Examples!$D$8*EXP(-Examples!$D$9*$A301)*(1-(Examples!$D$12*(1-EXP(-Examples!$D$13*$A301))/(1+EXP(MIN(700,MAX(-700,(Examples!$D$14*$A301-Examples!$D$15)/Examples!$D$16))))))+Examples!$D$17*$A301^2)</f>
        <v>890379.88855220994</v>
      </c>
      <c r="F301" s="33">
        <f>Examples!$E$18-(Examples!$E$10+Examples!$E$11)*$A301-(Examples!$E$6*Examples!$E$7*Examples!$E$8*EXP(-Examples!$E$9*$A301)*(1-(Examples!$E$12*(1-EXP(-Examples!$E$13*$A301))/(1+EXP(MIN(700,MAX(-700,(Examples!$E$14*$A301-Examples!$E$15)/Examples!$E$16))))))+Examples!$E$17*$A301^2)</f>
        <v>2489456.29810018</v>
      </c>
      <c r="G301" s="33">
        <f>(Examples!$E$6*Examples!$E$7*Examples!$E$8*EXP(-Examples!$E$9*$A301)*(1-(Examples!$E$12*(1-EXP(-Examples!$E$13*$A301))/(1+EXP(MIN(700,MAX(-700,(Examples!$E$14*$A301-Examples!$E$15)/Examples!$E$16))))))+Examples!$E$17*$A301^2)</f>
        <v>256393.70189982018</v>
      </c>
      <c r="H301" s="33">
        <f>Examples!$F$18-(Examples!$F$10+Examples!$F$11)*$A301-(Examples!$F$6*Examples!$F$7*Examples!$F$8*EXP(-Examples!$F$9*$A301)*(1-(Examples!$F$12*(1-EXP(-Examples!$F$13*$A301))/(1+EXP(MIN(700,MAX(-700,(Examples!$F$14*$A301-Examples!$F$15)/Examples!$F$16))))))+Examples!$F$17*$A301^2)</f>
        <v>-95736.10979961438</v>
      </c>
      <c r="I301" s="33">
        <f>(Examples!$F$6*Examples!$F$7*Examples!$F$8*EXP(-Examples!$F$9*$A301)*(1-(Examples!$F$12*(1-EXP(-Examples!$F$13*$A301))/(1+EXP(MIN(700,MAX(-700,(Examples!$F$14*$A301-Examples!$F$15)/Examples!$F$16))))))+Examples!$F$17*$A301^2)</f>
        <v>185936.10979961438</v>
      </c>
      <c r="J301" s="33">
        <f>Examples!$G$18-(Examples!$G$10+Examples!$G$11)*$A301-(Examples!$G$6*Examples!$G$7*Examples!$G$8*EXP(-Examples!$G$9*$A301)*(1-(Examples!$G$12*(1-EXP(-Examples!$G$13*$A301))/(1+EXP(MIN(700,MAX(-700,(Examples!$G$14*$A301-Examples!$G$15)/Examples!$G$16))))))+Examples!$G$17*$A301^2)</f>
        <v>725820.22079597088</v>
      </c>
      <c r="K301" s="33">
        <f>(Examples!$G$6*Examples!$G$7*Examples!$G$8*EXP(-Examples!$G$9*$A301)*(1-(Examples!$G$12*(1-EXP(-Examples!$G$13*$A301))/(1+EXP(MIN(700,MAX(-700,(Examples!$G$14*$A301-Examples!$G$15)/Examples!$G$16))))))+Examples!$G$17*$A301^2)</f>
        <v>624679.77920402912</v>
      </c>
      <c r="L301" s="33">
        <f>Examples!$H$18-(Examples!$H$10+Examples!$H$11)*$A301-(Examples!$H$6*Examples!$H$7*Examples!$H$8*EXP(-Examples!$H$9*$A301)*(1-(Examples!$H$12*(1-EXP(-Examples!$H$13*$A301))/(1+EXP(MIN(700,MAX(-700,(Examples!$H$14*$A301-Examples!$H$15)/Examples!$H$16))))))+Examples!$H$17*$A301^2)</f>
        <v>651837.53511284862</v>
      </c>
      <c r="M301" s="33">
        <f>(Examples!$H$6*Examples!$H$7*Examples!$H$8*EXP(-Examples!$H$9*$A301)*(1-(Examples!$H$12*(1-EXP(-Examples!$H$13*$A301))/(1+EXP(MIN(700,MAX(-700,(Examples!$H$14*$A301-Examples!$H$15)/Examples!$H$16))))))+Examples!$H$17*$A301^2)</f>
        <v>698662.46488715138</v>
      </c>
    </row>
    <row r="302" spans="1:13" x14ac:dyDescent="0.25">
      <c r="A302">
        <f>(302-2)/100</f>
        <v>3</v>
      </c>
      <c r="B302" s="33">
        <f>Examples!$C$18-(Examples!$C$10+Examples!$C$11)*$A302-(Examples!$C$6*Examples!$C$7*Examples!$C$8*EXP(-Examples!$C$9*$A302)*(1-(Examples!$C$12*(1-EXP(-Examples!$C$13*$A302))/(1+EXP(MIN(700,MAX(-700,(Examples!$C$14*$A302-Examples!$C$15)/Examples!$C$16))))))+Examples!$C$17*$A302^2)</f>
        <v>117245.40934194345</v>
      </c>
      <c r="C302" s="33">
        <f>(Examples!$C$6*Examples!$C$7*Examples!$C$8*EXP(-Examples!$C$9*$A302)*(1-(Examples!$C$12*(1-EXP(-Examples!$C$13*$A302))/(1+EXP(MIN(700,MAX(-700,(Examples!$C$14*$A302-Examples!$C$15)/Examples!$C$16))))))+Examples!$C$17*$A302^2)</f>
        <v>377754.59065805655</v>
      </c>
      <c r="D302" s="33">
        <f>Examples!$D$18-(Examples!$D$10+Examples!$D$11)*$A302-(Examples!$D$6*Examples!$D$7*Examples!$D$8*EXP(-Examples!$D$9*$A302)*(1-(Examples!$D$12*(1-EXP(-Examples!$D$13*$A302))/(1+EXP(MIN(700,MAX(-700,(Examples!$D$14*$A302-Examples!$D$15)/Examples!$D$16))))))+Examples!$D$17*$A302^2)</f>
        <v>1476424.2429320998</v>
      </c>
      <c r="E302" s="33">
        <f>(Examples!$D$6*Examples!$D$7*Examples!$D$8*EXP(-Examples!$D$9*$A302)*(1-(Examples!$D$12*(1-EXP(-Examples!$D$13*$A302))/(1+EXP(MIN(700,MAX(-700,(Examples!$D$14*$A302-Examples!$D$15)/Examples!$D$16))))))+Examples!$D$17*$A302^2)</f>
        <v>888575.75706790027</v>
      </c>
      <c r="F302" s="33">
        <f>Examples!$E$18-(Examples!$E$10+Examples!$E$11)*$A302-(Examples!$E$6*Examples!$E$7*Examples!$E$8*EXP(-Examples!$E$9*$A302)*(1-(Examples!$E$12*(1-EXP(-Examples!$E$13*$A302))/(1+EXP(MIN(700,MAX(-700,(Examples!$E$14*$A302-Examples!$E$15)/Examples!$E$16))))))+Examples!$E$17*$A302^2)</f>
        <v>2489437.4738370962</v>
      </c>
      <c r="G302" s="33">
        <f>(Examples!$E$6*Examples!$E$7*Examples!$E$8*EXP(-Examples!$E$9*$A302)*(1-(Examples!$E$12*(1-EXP(-Examples!$E$13*$A302))/(1+EXP(MIN(700,MAX(-700,(Examples!$E$14*$A302-Examples!$E$15)/Examples!$E$16))))))+Examples!$E$17*$A302^2)</f>
        <v>255562.52616290399</v>
      </c>
      <c r="H302" s="33">
        <f>Examples!$F$18-(Examples!$F$10+Examples!$F$11)*$A302-(Examples!$F$6*Examples!$F$7*Examples!$F$8*EXP(-Examples!$F$9*$A302)*(1-(Examples!$F$12*(1-EXP(-Examples!$F$13*$A302))/(1+EXP(MIN(700,MAX(-700,(Examples!$F$14*$A302-Examples!$F$15)/Examples!$F$16))))))+Examples!$F$17*$A302^2)</f>
        <v>-97112.822431939625</v>
      </c>
      <c r="I302" s="33">
        <f>(Examples!$F$6*Examples!$F$7*Examples!$F$8*EXP(-Examples!$F$9*$A302)*(1-(Examples!$F$12*(1-EXP(-Examples!$F$13*$A302))/(1+EXP(MIN(700,MAX(-700,(Examples!$F$14*$A302-Examples!$F$15)/Examples!$F$16))))))+Examples!$F$17*$A302^2)</f>
        <v>187112.82243193962</v>
      </c>
      <c r="J302" s="33">
        <f>Examples!$G$18-(Examples!$G$10+Examples!$G$11)*$A302-(Examples!$G$6*Examples!$G$7*Examples!$G$8*EXP(-Examples!$G$9*$A302)*(1-(Examples!$G$12*(1-EXP(-Examples!$G$13*$A302))/(1+EXP(MIN(700,MAX(-700,(Examples!$G$14*$A302-Examples!$G$15)/Examples!$G$16))))))+Examples!$G$17*$A302^2)</f>
        <v>725685.2134694315</v>
      </c>
      <c r="K302" s="33">
        <f>(Examples!$G$6*Examples!$G$7*Examples!$G$8*EXP(-Examples!$G$9*$A302)*(1-(Examples!$G$12*(1-EXP(-Examples!$G$13*$A302))/(1+EXP(MIN(700,MAX(-700,(Examples!$G$14*$A302-Examples!$G$15)/Examples!$G$16))))))+Examples!$G$17*$A302^2)</f>
        <v>624314.7865305685</v>
      </c>
      <c r="L302" s="33">
        <f>Examples!$H$18-(Examples!$H$10+Examples!$H$11)*$A302-(Examples!$H$6*Examples!$H$7*Examples!$H$8*EXP(-Examples!$H$9*$A302)*(1-(Examples!$H$12*(1-EXP(-Examples!$H$13*$A302))/(1+EXP(MIN(700,MAX(-700,(Examples!$H$14*$A302-Examples!$H$15)/Examples!$H$16))))))+Examples!$H$17*$A302^2)</f>
        <v>651191.41994086385</v>
      </c>
      <c r="M302" s="33">
        <f>(Examples!$H$6*Examples!$H$7*Examples!$H$8*EXP(-Examples!$H$9*$A302)*(1-(Examples!$H$12*(1-EXP(-Examples!$H$13*$A302))/(1+EXP(MIN(700,MAX(-700,(Examples!$H$14*$A302-Examples!$H$15)/Examples!$H$16))))))+Examples!$H$17*$A302^2)</f>
        <v>698808.58005913615</v>
      </c>
    </row>
    <row r="303" spans="1:13" x14ac:dyDescent="0.25">
      <c r="A303">
        <f>(303-2)/100</f>
        <v>3.01</v>
      </c>
      <c r="B303" s="33">
        <f>Examples!$C$18-(Examples!$C$10+Examples!$C$11)*$A303-(Examples!$C$6*Examples!$C$7*Examples!$C$8*EXP(-Examples!$C$9*$A303)*(1-(Examples!$C$12*(1-EXP(-Examples!$C$13*$A303))/(1+EXP(MIN(700,MAX(-700,(Examples!$C$14*$A303-Examples!$C$15)/Examples!$C$16))))))+Examples!$C$17*$A303^2)</f>
        <v>116684.6835775238</v>
      </c>
      <c r="C303" s="33">
        <f>(Examples!$C$6*Examples!$C$7*Examples!$C$8*EXP(-Examples!$C$9*$A303)*(1-(Examples!$C$12*(1-EXP(-Examples!$C$13*$A303))/(1+EXP(MIN(700,MAX(-700,(Examples!$C$14*$A303-Examples!$C$15)/Examples!$C$16))))))+Examples!$C$17*$A303^2)</f>
        <v>377965.3164224762</v>
      </c>
      <c r="D303" s="33">
        <f>Examples!$D$18-(Examples!$D$10+Examples!$D$11)*$A303-(Examples!$D$6*Examples!$D$7*Examples!$D$8*EXP(-Examples!$D$9*$A303)*(1-(Examples!$D$12*(1-EXP(-Examples!$D$13*$A303))/(1+EXP(MIN(700,MAX(-700,(Examples!$D$14*$A303-Examples!$D$15)/Examples!$D$16))))))+Examples!$D$17*$A303^2)</f>
        <v>1477748.7837639546</v>
      </c>
      <c r="E303" s="33">
        <f>(Examples!$D$6*Examples!$D$7*Examples!$D$8*EXP(-Examples!$D$9*$A303)*(1-(Examples!$D$12*(1-EXP(-Examples!$D$13*$A303))/(1+EXP(MIN(700,MAX(-700,(Examples!$D$14*$A303-Examples!$D$15)/Examples!$D$16))))))+Examples!$D$17*$A303^2)</f>
        <v>886801.21623604535</v>
      </c>
      <c r="F303" s="33">
        <f>Examples!$E$18-(Examples!$E$10+Examples!$E$11)*$A303-(Examples!$E$6*Examples!$E$7*Examples!$E$8*EXP(-Examples!$E$9*$A303)*(1-(Examples!$E$12*(1-EXP(-Examples!$E$13*$A303))/(1+EXP(MIN(700,MAX(-700,(Examples!$E$14*$A303-Examples!$E$15)/Examples!$E$16))))))+Examples!$E$17*$A303^2)</f>
        <v>2489407.5004193354</v>
      </c>
      <c r="G303" s="33">
        <f>(Examples!$E$6*Examples!$E$7*Examples!$E$8*EXP(-Examples!$E$9*$A303)*(1-(Examples!$E$12*(1-EXP(-Examples!$E$13*$A303))/(1+EXP(MIN(700,MAX(-700,(Examples!$E$14*$A303-Examples!$E$15)/Examples!$E$16))))))+Examples!$E$17*$A303^2)</f>
        <v>254742.49958066447</v>
      </c>
      <c r="H303" s="33">
        <f>Examples!$F$18-(Examples!$F$10+Examples!$F$11)*$A303-(Examples!$F$6*Examples!$F$7*Examples!$F$8*EXP(-Examples!$F$9*$A303)*(1-(Examples!$F$12*(1-EXP(-Examples!$F$13*$A303))/(1+EXP(MIN(700,MAX(-700,(Examples!$F$14*$A303-Examples!$F$15)/Examples!$F$16))))))+Examples!$F$17*$A303^2)</f>
        <v>-98493.595535436791</v>
      </c>
      <c r="I303" s="33">
        <f>(Examples!$F$6*Examples!$F$7*Examples!$F$8*EXP(-Examples!$F$9*$A303)*(1-(Examples!$F$12*(1-EXP(-Examples!$F$13*$A303))/(1+EXP(MIN(700,MAX(-700,(Examples!$F$14*$A303-Examples!$F$15)/Examples!$F$16))))))+Examples!$F$17*$A303^2)</f>
        <v>188293.59553543679</v>
      </c>
      <c r="J303" s="33">
        <f>Examples!$G$18-(Examples!$G$10+Examples!$G$11)*$A303-(Examples!$G$6*Examples!$G$7*Examples!$G$8*EXP(-Examples!$G$9*$A303)*(1-(Examples!$G$12*(1-EXP(-Examples!$G$13*$A303))/(1+EXP(MIN(700,MAX(-700,(Examples!$G$14*$A303-Examples!$G$15)/Examples!$G$16))))))+Examples!$G$17*$A303^2)</f>
        <v>725550.23634123965</v>
      </c>
      <c r="K303" s="33">
        <f>(Examples!$G$6*Examples!$G$7*Examples!$G$8*EXP(-Examples!$G$9*$A303)*(1-(Examples!$G$12*(1-EXP(-Examples!$G$13*$A303))/(1+EXP(MIN(700,MAX(-700,(Examples!$G$14*$A303-Examples!$G$15)/Examples!$G$16))))))+Examples!$G$17*$A303^2)</f>
        <v>623949.76365876035</v>
      </c>
      <c r="L303" s="33">
        <f>Examples!$H$18-(Examples!$H$10+Examples!$H$11)*$A303-(Examples!$H$6*Examples!$H$7*Examples!$H$8*EXP(-Examples!$H$9*$A303)*(1-(Examples!$H$12*(1-EXP(-Examples!$H$13*$A303))/(1+EXP(MIN(700,MAX(-700,(Examples!$H$14*$A303-Examples!$H$15)/Examples!$H$16))))))+Examples!$H$17*$A303^2)</f>
        <v>650584.13267156063</v>
      </c>
      <c r="M303" s="33">
        <f>(Examples!$H$6*Examples!$H$7*Examples!$H$8*EXP(-Examples!$H$9*$A303)*(1-(Examples!$H$12*(1-EXP(-Examples!$H$13*$A303))/(1+EXP(MIN(700,MAX(-700,(Examples!$H$14*$A303-Examples!$H$15)/Examples!$H$16))))))+Examples!$H$17*$A303^2)</f>
        <v>698915.86732843937</v>
      </c>
    </row>
    <row r="304" spans="1:13" x14ac:dyDescent="0.25">
      <c r="A304">
        <f>(304-2)/100</f>
        <v>3.02</v>
      </c>
      <c r="B304" s="33">
        <f>Examples!$C$18-(Examples!$C$10+Examples!$C$11)*$A304-(Examples!$C$6*Examples!$C$7*Examples!$C$8*EXP(-Examples!$C$9*$A304)*(1-(Examples!$C$12*(1-EXP(-Examples!$C$13*$A304))/(1+EXP(MIN(700,MAX(-700,(Examples!$C$14*$A304-Examples!$C$15)/Examples!$C$16))))))+Examples!$C$17*$A304^2)</f>
        <v>116120.08901142899</v>
      </c>
      <c r="C304" s="33">
        <f>(Examples!$C$6*Examples!$C$7*Examples!$C$8*EXP(-Examples!$C$9*$A304)*(1-(Examples!$C$12*(1-EXP(-Examples!$C$13*$A304))/(1+EXP(MIN(700,MAX(-700,(Examples!$C$14*$A304-Examples!$C$15)/Examples!$C$16))))))+Examples!$C$17*$A304^2)</f>
        <v>378179.91098857101</v>
      </c>
      <c r="D304" s="33">
        <f>Examples!$D$18-(Examples!$D$10+Examples!$D$11)*$A304-(Examples!$D$6*Examples!$D$7*Examples!$D$8*EXP(-Examples!$D$9*$A304)*(1-(Examples!$D$12*(1-EXP(-Examples!$D$13*$A304))/(1+EXP(MIN(700,MAX(-700,(Examples!$D$14*$A304-Examples!$D$15)/Examples!$D$16))))))+Examples!$D$17*$A304^2)</f>
        <v>1479044.1800091595</v>
      </c>
      <c r="E304" s="33">
        <f>(Examples!$D$6*Examples!$D$7*Examples!$D$8*EXP(-Examples!$D$9*$A304)*(1-(Examples!$D$12*(1-EXP(-Examples!$D$13*$A304))/(1+EXP(MIN(700,MAX(-700,(Examples!$D$14*$A304-Examples!$D$15)/Examples!$D$16))))))+Examples!$D$17*$A304^2)</f>
        <v>885055.81999084051</v>
      </c>
      <c r="F304" s="33">
        <f>Examples!$E$18-(Examples!$E$10+Examples!$E$11)*$A304-(Examples!$E$6*Examples!$E$7*Examples!$E$8*EXP(-Examples!$E$9*$A304)*(1-(Examples!$E$12*(1-EXP(-Examples!$E$13*$A304))/(1+EXP(MIN(700,MAX(-700,(Examples!$E$14*$A304-Examples!$E$15)/Examples!$E$16))))))+Examples!$E$17*$A304^2)</f>
        <v>2489366.5037653884</v>
      </c>
      <c r="G304" s="33">
        <f>(Examples!$E$6*Examples!$E$7*Examples!$E$8*EXP(-Examples!$E$9*$A304)*(1-(Examples!$E$12*(1-EXP(-Examples!$E$13*$A304))/(1+EXP(MIN(700,MAX(-700,(Examples!$E$14*$A304-Examples!$E$15)/Examples!$E$16))))))+Examples!$E$17*$A304^2)</f>
        <v>253933.49623461175</v>
      </c>
      <c r="H304" s="33">
        <f>Examples!$F$18-(Examples!$F$10+Examples!$F$11)*$A304-(Examples!$F$6*Examples!$F$7*Examples!$F$8*EXP(-Examples!$F$9*$A304)*(1-(Examples!$F$12*(1-EXP(-Examples!$F$13*$A304))/(1+EXP(MIN(700,MAX(-700,(Examples!$F$14*$A304-Examples!$F$15)/Examples!$F$16))))))+Examples!$F$17*$A304^2)</f>
        <v>-99878.429058703216</v>
      </c>
      <c r="I304" s="33">
        <f>(Examples!$F$6*Examples!$F$7*Examples!$F$8*EXP(-Examples!$F$9*$A304)*(1-(Examples!$F$12*(1-EXP(-Examples!$F$13*$A304))/(1+EXP(MIN(700,MAX(-700,(Examples!$F$14*$A304-Examples!$F$15)/Examples!$F$16))))))+Examples!$F$17*$A304^2)</f>
        <v>189478.42905870322</v>
      </c>
      <c r="J304" s="33">
        <f>Examples!$G$18-(Examples!$G$10+Examples!$G$11)*$A304-(Examples!$G$6*Examples!$G$7*Examples!$G$8*EXP(-Examples!$G$9*$A304)*(1-(Examples!$G$12*(1-EXP(-Examples!$G$13*$A304))/(1+EXP(MIN(700,MAX(-700,(Examples!$G$14*$A304-Examples!$G$15)/Examples!$G$16))))))+Examples!$G$17*$A304^2)</f>
        <v>725415.4002431354</v>
      </c>
      <c r="K304" s="33">
        <f>(Examples!$G$6*Examples!$G$7*Examples!$G$8*EXP(-Examples!$G$9*$A304)*(1-(Examples!$G$12*(1-EXP(-Examples!$G$13*$A304))/(1+EXP(MIN(700,MAX(-700,(Examples!$G$14*$A304-Examples!$G$15)/Examples!$G$16))))))+Examples!$G$17*$A304^2)</f>
        <v>623584.5997568646</v>
      </c>
      <c r="L304" s="33">
        <f>Examples!$H$18-(Examples!$H$10+Examples!$H$11)*$A304-(Examples!$H$6*Examples!$H$7*Examples!$H$8*EXP(-Examples!$H$9*$A304)*(1-(Examples!$H$12*(1-EXP(-Examples!$H$13*$A304))/(1+EXP(MIN(700,MAX(-700,(Examples!$H$14*$A304-Examples!$H$15)/Examples!$H$16))))))+Examples!$H$17*$A304^2)</f>
        <v>650015.15007231198</v>
      </c>
      <c r="M304" s="33">
        <f>(Examples!$H$6*Examples!$H$7*Examples!$H$8*EXP(-Examples!$H$9*$A304)*(1-(Examples!$H$12*(1-EXP(-Examples!$H$13*$A304))/(1+EXP(MIN(700,MAX(-700,(Examples!$H$14*$A304-Examples!$H$15)/Examples!$H$16))))))+Examples!$H$17*$A304^2)</f>
        <v>698984.84992768802</v>
      </c>
    </row>
    <row r="305" spans="1:13" x14ac:dyDescent="0.25">
      <c r="A305">
        <f>(305-2)/100</f>
        <v>3.03</v>
      </c>
      <c r="B305" s="33">
        <f>Examples!$C$18-(Examples!$C$10+Examples!$C$11)*$A305-(Examples!$C$6*Examples!$C$7*Examples!$C$8*EXP(-Examples!$C$9*$A305)*(1-(Examples!$C$12*(1-EXP(-Examples!$C$13*$A305))/(1+EXP(MIN(700,MAX(-700,(Examples!$C$14*$A305-Examples!$C$15)/Examples!$C$16))))))+Examples!$C$17*$A305^2)</f>
        <v>115551.58992838161</v>
      </c>
      <c r="C305" s="33">
        <f>(Examples!$C$6*Examples!$C$7*Examples!$C$8*EXP(-Examples!$C$9*$A305)*(1-(Examples!$C$12*(1-EXP(-Examples!$C$13*$A305))/(1+EXP(MIN(700,MAX(-700,(Examples!$C$14*$A305-Examples!$C$15)/Examples!$C$16))))))+Examples!$C$17*$A305^2)</f>
        <v>378398.41007161839</v>
      </c>
      <c r="D305" s="33">
        <f>Examples!$D$18-(Examples!$D$10+Examples!$D$11)*$A305-(Examples!$D$6*Examples!$D$7*Examples!$D$8*EXP(-Examples!$D$9*$A305)*(1-(Examples!$D$12*(1-EXP(-Examples!$D$13*$A305))/(1+EXP(MIN(700,MAX(-700,(Examples!$D$14*$A305-Examples!$D$15)/Examples!$D$16))))))+Examples!$D$17*$A305^2)</f>
        <v>1480310.8769812654</v>
      </c>
      <c r="E305" s="33">
        <f>(Examples!$D$6*Examples!$D$7*Examples!$D$8*EXP(-Examples!$D$9*$A305)*(1-(Examples!$D$12*(1-EXP(-Examples!$D$13*$A305))/(1+EXP(MIN(700,MAX(-700,(Examples!$D$14*$A305-Examples!$D$15)/Examples!$D$16))))))+Examples!$D$17*$A305^2)</f>
        <v>883339.12301873462</v>
      </c>
      <c r="F305" s="33">
        <f>Examples!$E$18-(Examples!$E$10+Examples!$E$11)*$A305-(Examples!$E$6*Examples!$E$7*Examples!$E$8*EXP(-Examples!$E$9*$A305)*(1-(Examples!$E$12*(1-EXP(-Examples!$E$13*$A305))/(1+EXP(MIN(700,MAX(-700,(Examples!$E$14*$A305-Examples!$E$15)/Examples!$E$16))))))+Examples!$E$17*$A305^2)</f>
        <v>2489314.6084832796</v>
      </c>
      <c r="G305" s="33">
        <f>(Examples!$E$6*Examples!$E$7*Examples!$E$8*EXP(-Examples!$E$9*$A305)*(1-(Examples!$E$12*(1-EXP(-Examples!$E$13*$A305))/(1+EXP(MIN(700,MAX(-700,(Examples!$E$14*$A305-Examples!$E$15)/Examples!$E$16))))))+Examples!$E$17*$A305^2)</f>
        <v>253135.39151672053</v>
      </c>
      <c r="H305" s="33">
        <f>Examples!$F$18-(Examples!$F$10+Examples!$F$11)*$A305-(Examples!$F$6*Examples!$F$7*Examples!$F$8*EXP(-Examples!$F$9*$A305)*(1-(Examples!$F$12*(1-EXP(-Examples!$F$13*$A305))/(1+EXP(MIN(700,MAX(-700,(Examples!$F$14*$A305-Examples!$F$15)/Examples!$F$16))))))+Examples!$F$17*$A305^2)</f>
        <v>-101267.32294545157</v>
      </c>
      <c r="I305" s="33">
        <f>(Examples!$F$6*Examples!$F$7*Examples!$F$8*EXP(-Examples!$F$9*$A305)*(1-(Examples!$F$12*(1-EXP(-Examples!$F$13*$A305))/(1+EXP(MIN(700,MAX(-700,(Examples!$F$14*$A305-Examples!$F$15)/Examples!$F$16))))))+Examples!$F$17*$A305^2)</f>
        <v>190667.32294545157</v>
      </c>
      <c r="J305" s="33">
        <f>Examples!$G$18-(Examples!$G$10+Examples!$G$11)*$A305-(Examples!$G$6*Examples!$G$7*Examples!$G$8*EXP(-Examples!$G$9*$A305)*(1-(Examples!$G$12*(1-EXP(-Examples!$G$13*$A305))/(1+EXP(MIN(700,MAX(-700,(Examples!$G$14*$A305-Examples!$G$15)/Examples!$G$16))))))+Examples!$G$17*$A305^2)</f>
        <v>725280.81259881717</v>
      </c>
      <c r="K305" s="33">
        <f>(Examples!$G$6*Examples!$G$7*Examples!$G$8*EXP(-Examples!$G$9*$A305)*(1-(Examples!$G$12*(1-EXP(-Examples!$G$13*$A305))/(1+EXP(MIN(700,MAX(-700,(Examples!$G$14*$A305-Examples!$G$15)/Examples!$G$16))))))+Examples!$G$17*$A305^2)</f>
        <v>623219.18740118283</v>
      </c>
      <c r="L305" s="33">
        <f>Examples!$H$18-(Examples!$H$10+Examples!$H$11)*$A305-(Examples!$H$6*Examples!$H$7*Examples!$H$8*EXP(-Examples!$H$9*$A305)*(1-(Examples!$H$12*(1-EXP(-Examples!$H$13*$A305))/(1+EXP(MIN(700,MAX(-700,(Examples!$H$14*$A305-Examples!$H$15)/Examples!$H$16))))))+Examples!$H$17*$A305^2)</f>
        <v>649483.92260292161</v>
      </c>
      <c r="M305" s="33">
        <f>(Examples!$H$6*Examples!$H$7*Examples!$H$8*EXP(-Examples!$H$9*$A305)*(1-(Examples!$H$12*(1-EXP(-Examples!$H$13*$A305))/(1+EXP(MIN(700,MAX(-700,(Examples!$H$14*$A305-Examples!$H$15)/Examples!$H$16))))))+Examples!$H$17*$A305^2)</f>
        <v>699016.07739707839</v>
      </c>
    </row>
    <row r="306" spans="1:13" x14ac:dyDescent="0.25">
      <c r="A306">
        <f>(306-2)/100</f>
        <v>3.04</v>
      </c>
      <c r="B306" s="33">
        <f>Examples!$C$18-(Examples!$C$10+Examples!$C$11)*$A306-(Examples!$C$6*Examples!$C$7*Examples!$C$8*EXP(-Examples!$C$9*$A306)*(1-(Examples!$C$12*(1-EXP(-Examples!$C$13*$A306))/(1+EXP(MIN(700,MAX(-700,(Examples!$C$14*$A306-Examples!$C$15)/Examples!$C$16))))))+Examples!$C$17*$A306^2)</f>
        <v>114979.15186971868</v>
      </c>
      <c r="C306" s="33">
        <f>(Examples!$C$6*Examples!$C$7*Examples!$C$8*EXP(-Examples!$C$9*$A306)*(1-(Examples!$C$12*(1-EXP(-Examples!$C$13*$A306))/(1+EXP(MIN(700,MAX(-700,(Examples!$C$14*$A306-Examples!$C$15)/Examples!$C$16))))))+Examples!$C$17*$A306^2)</f>
        <v>378620.84813028132</v>
      </c>
      <c r="D306" s="33">
        <f>Examples!$D$18-(Examples!$D$10+Examples!$D$11)*$A306-(Examples!$D$6*Examples!$D$7*Examples!$D$8*EXP(-Examples!$D$9*$A306)*(1-(Examples!$D$12*(1-EXP(-Examples!$D$13*$A306))/(1+EXP(MIN(700,MAX(-700,(Examples!$D$14*$A306-Examples!$D$15)/Examples!$D$16))))))+Examples!$D$17*$A306^2)</f>
        <v>1481549.3192238226</v>
      </c>
      <c r="E306" s="33">
        <f>(Examples!$D$6*Examples!$D$7*Examples!$D$8*EXP(-Examples!$D$9*$A306)*(1-(Examples!$D$12*(1-EXP(-Examples!$D$13*$A306))/(1+EXP(MIN(700,MAX(-700,(Examples!$D$14*$A306-Examples!$D$15)/Examples!$D$16))))))+Examples!$D$17*$A306^2)</f>
        <v>881650.68077617756</v>
      </c>
      <c r="F306" s="33">
        <f>Examples!$E$18-(Examples!$E$10+Examples!$E$11)*$A306-(Examples!$E$6*Examples!$E$7*Examples!$E$8*EXP(-Examples!$E$9*$A306)*(1-(Examples!$E$12*(1-EXP(-Examples!$E$13*$A306))/(1+EXP(MIN(700,MAX(-700,(Examples!$E$14*$A306-Examples!$E$15)/Examples!$E$16))))))+Examples!$E$17*$A306^2)</f>
        <v>2489251.9378856383</v>
      </c>
      <c r="G306" s="33">
        <f>(Examples!$E$6*Examples!$E$7*Examples!$E$8*EXP(-Examples!$E$9*$A306)*(1-(Examples!$E$12*(1-EXP(-Examples!$E$13*$A306))/(1+EXP(MIN(700,MAX(-700,(Examples!$E$14*$A306-Examples!$E$15)/Examples!$E$16))))))+Examples!$E$17*$A306^2)</f>
        <v>252348.06211436179</v>
      </c>
      <c r="H306" s="33">
        <f>Examples!$F$18-(Examples!$F$10+Examples!$F$11)*$A306-(Examples!$F$6*Examples!$F$7*Examples!$F$8*EXP(-Examples!$F$9*$A306)*(1-(Examples!$F$12*(1-EXP(-Examples!$F$13*$A306))/(1+EXP(MIN(700,MAX(-700,(Examples!$F$14*$A306-Examples!$F$15)/Examples!$F$16))))))+Examples!$F$17*$A306^2)</f>
        <v>-102660.27713471622</v>
      </c>
      <c r="I306" s="33">
        <f>(Examples!$F$6*Examples!$F$7*Examples!$F$8*EXP(-Examples!$F$9*$A306)*(1-(Examples!$F$12*(1-EXP(-Examples!$F$13*$A306))/(1+EXP(MIN(700,MAX(-700,(Examples!$F$14*$A306-Examples!$F$15)/Examples!$F$16))))))+Examples!$F$17*$A306^2)</f>
        <v>191860.27713471622</v>
      </c>
      <c r="J306" s="33">
        <f>Examples!$G$18-(Examples!$G$10+Examples!$G$11)*$A306-(Examples!$G$6*Examples!$G$7*Examples!$G$8*EXP(-Examples!$G$9*$A306)*(1-(Examples!$G$12*(1-EXP(-Examples!$G$13*$A306))/(1+EXP(MIN(700,MAX(-700,(Examples!$G$14*$A306-Examples!$G$15)/Examples!$G$16))))))+Examples!$G$17*$A306^2)</f>
        <v>725146.57744395046</v>
      </c>
      <c r="K306" s="33">
        <f>(Examples!$G$6*Examples!$G$7*Examples!$G$8*EXP(-Examples!$G$9*$A306)*(1-(Examples!$G$12*(1-EXP(-Examples!$G$13*$A306))/(1+EXP(MIN(700,MAX(-700,(Examples!$G$14*$A306-Examples!$G$15)/Examples!$G$16))))))+Examples!$G$17*$A306^2)</f>
        <v>622853.42255604954</v>
      </c>
      <c r="L306" s="33">
        <f>Examples!$H$18-(Examples!$H$10+Examples!$H$11)*$A306-(Examples!$H$6*Examples!$H$7*Examples!$H$8*EXP(-Examples!$H$9*$A306)*(1-(Examples!$H$12*(1-EXP(-Examples!$H$13*$A306))/(1+EXP(MIN(700,MAX(-700,(Examples!$H$14*$A306-Examples!$H$15)/Examples!$H$16))))))+Examples!$H$17*$A306^2)</f>
        <v>648989.87646204233</v>
      </c>
      <c r="M306" s="33">
        <f>(Examples!$H$6*Examples!$H$7*Examples!$H$8*EXP(-Examples!$H$9*$A306)*(1-(Examples!$H$12*(1-EXP(-Examples!$H$13*$A306))/(1+EXP(MIN(700,MAX(-700,(Examples!$H$14*$A306-Examples!$H$15)/Examples!$H$16))))))+Examples!$H$17*$A306^2)</f>
        <v>699010.12353795767</v>
      </c>
    </row>
    <row r="307" spans="1:13" x14ac:dyDescent="0.25">
      <c r="A307">
        <f>(307-2)/100</f>
        <v>3.05</v>
      </c>
      <c r="B307" s="33">
        <f>Examples!$C$18-(Examples!$C$10+Examples!$C$11)*$A307-(Examples!$C$6*Examples!$C$7*Examples!$C$8*EXP(-Examples!$C$9*$A307)*(1-(Examples!$C$12*(1-EXP(-Examples!$C$13*$A307))/(1+EXP(MIN(700,MAX(-700,(Examples!$C$14*$A307-Examples!$C$15)/Examples!$C$16))))))+Examples!$C$17*$A307^2)</f>
        <v>114402.74159958947</v>
      </c>
      <c r="C307" s="33">
        <f>(Examples!$C$6*Examples!$C$7*Examples!$C$8*EXP(-Examples!$C$9*$A307)*(1-(Examples!$C$12*(1-EXP(-Examples!$C$13*$A307))/(1+EXP(MIN(700,MAX(-700,(Examples!$C$14*$A307-Examples!$C$15)/Examples!$C$16))))))+Examples!$C$17*$A307^2)</f>
        <v>378847.25840041053</v>
      </c>
      <c r="D307" s="33">
        <f>Examples!$D$18-(Examples!$D$10+Examples!$D$11)*$A307-(Examples!$D$6*Examples!$D$7*Examples!$D$8*EXP(-Examples!$D$9*$A307)*(1-(Examples!$D$12*(1-EXP(-Examples!$D$13*$A307))/(1+EXP(MIN(700,MAX(-700,(Examples!$D$14*$A307-Examples!$D$15)/Examples!$D$16))))))+Examples!$D$17*$A307^2)</f>
        <v>1482759.9504909185</v>
      </c>
      <c r="E307" s="33">
        <f>(Examples!$D$6*Examples!$D$7*Examples!$D$8*EXP(-Examples!$D$9*$A307)*(1-(Examples!$D$12*(1-EXP(-Examples!$D$13*$A307))/(1+EXP(MIN(700,MAX(-700,(Examples!$D$14*$A307-Examples!$D$15)/Examples!$D$16))))))+Examples!$D$17*$A307^2)</f>
        <v>879990.04950908164</v>
      </c>
      <c r="F307" s="33">
        <f>Examples!$E$18-(Examples!$E$10+Examples!$E$11)*$A307-(Examples!$E$6*Examples!$E$7*Examples!$E$8*EXP(-Examples!$E$9*$A307)*(1-(Examples!$E$12*(1-EXP(-Examples!$E$13*$A307))/(1+EXP(MIN(700,MAX(-700,(Examples!$E$14*$A307-Examples!$E$15)/Examples!$E$16))))))+Examples!$E$17*$A307^2)</f>
        <v>2489178.6140045705</v>
      </c>
      <c r="G307" s="33">
        <f>(Examples!$E$6*Examples!$E$7*Examples!$E$8*EXP(-Examples!$E$9*$A307)*(1-(Examples!$E$12*(1-EXP(-Examples!$E$13*$A307))/(1+EXP(MIN(700,MAX(-700,(Examples!$E$14*$A307-Examples!$E$15)/Examples!$E$16))))))+Examples!$E$17*$A307^2)</f>
        <v>251571.38599542939</v>
      </c>
      <c r="H307" s="33">
        <f>Examples!$F$18-(Examples!$F$10+Examples!$F$11)*$A307-(Examples!$F$6*Examples!$F$7*Examples!$F$8*EXP(-Examples!$F$9*$A307)*(1-(Examples!$F$12*(1-EXP(-Examples!$F$13*$A307))/(1+EXP(MIN(700,MAX(-700,(Examples!$F$14*$A307-Examples!$F$15)/Examples!$F$16))))))+Examples!$F$17*$A307^2)</f>
        <v>-104057.29156105162</v>
      </c>
      <c r="I307" s="33">
        <f>(Examples!$F$6*Examples!$F$7*Examples!$F$8*EXP(-Examples!$F$9*$A307)*(1-(Examples!$F$12*(1-EXP(-Examples!$F$13*$A307))/(1+EXP(MIN(700,MAX(-700,(Examples!$F$14*$A307-Examples!$F$15)/Examples!$F$16))))))+Examples!$F$17*$A307^2)</f>
        <v>193057.29156105162</v>
      </c>
      <c r="J307" s="33">
        <f>Examples!$G$18-(Examples!$G$10+Examples!$G$11)*$A307-(Examples!$G$6*Examples!$G$7*Examples!$G$8*EXP(-Examples!$G$9*$A307)*(1-(Examples!$G$12*(1-EXP(-Examples!$G$13*$A307))/(1+EXP(MIN(700,MAX(-700,(Examples!$G$14*$A307-Examples!$G$15)/Examples!$G$16))))))+Examples!$G$17*$A307^2)</f>
        <v>725012.7954473719</v>
      </c>
      <c r="K307" s="33">
        <f>(Examples!$G$6*Examples!$G$7*Examples!$G$8*EXP(-Examples!$G$9*$A307)*(1-(Examples!$G$12*(1-EXP(-Examples!$G$13*$A307))/(1+EXP(MIN(700,MAX(-700,(Examples!$G$14*$A307-Examples!$G$15)/Examples!$G$16))))))+Examples!$G$17*$A307^2)</f>
        <v>622487.2045526281</v>
      </c>
      <c r="L307" s="33">
        <f>Examples!$H$18-(Examples!$H$10+Examples!$H$11)*$A307-(Examples!$H$6*Examples!$H$7*Examples!$H$8*EXP(-Examples!$H$9*$A307)*(1-(Examples!$H$12*(1-EXP(-Examples!$H$13*$A307))/(1+EXP(MIN(700,MAX(-700,(Examples!$H$14*$A307-Examples!$H$15)/Examples!$H$16))))))+Examples!$H$17*$A307^2)</f>
        <v>648532.41558802337</v>
      </c>
      <c r="M307" s="33">
        <f>(Examples!$H$6*Examples!$H$7*Examples!$H$8*EXP(-Examples!$H$9*$A307)*(1-(Examples!$H$12*(1-EXP(-Examples!$H$13*$A307))/(1+EXP(MIN(700,MAX(-700,(Examples!$H$14*$A307-Examples!$H$15)/Examples!$H$16))))))+Examples!$H$17*$A307^2)</f>
        <v>698967.58441197663</v>
      </c>
    </row>
    <row r="308" spans="1:13" x14ac:dyDescent="0.25">
      <c r="A308">
        <f>(308-2)/100</f>
        <v>3.06</v>
      </c>
      <c r="B308" s="33">
        <f>Examples!$C$18-(Examples!$C$10+Examples!$C$11)*$A308-(Examples!$C$6*Examples!$C$7*Examples!$C$8*EXP(-Examples!$C$9*$A308)*(1-(Examples!$C$12*(1-EXP(-Examples!$C$13*$A308))/(1+EXP(MIN(700,MAX(-700,(Examples!$C$14*$A308-Examples!$C$15)/Examples!$C$16))))))+Examples!$C$17*$A308^2)</f>
        <v>113822.32707175193</v>
      </c>
      <c r="C308" s="33">
        <f>(Examples!$C$6*Examples!$C$7*Examples!$C$8*EXP(-Examples!$C$9*$A308)*(1-(Examples!$C$12*(1-EXP(-Examples!$C$13*$A308))/(1+EXP(MIN(700,MAX(-700,(Examples!$C$14*$A308-Examples!$C$15)/Examples!$C$16))))))+Examples!$C$17*$A308^2)</f>
        <v>379077.67292824807</v>
      </c>
      <c r="D308" s="33">
        <f>Examples!$D$18-(Examples!$D$10+Examples!$D$11)*$A308-(Examples!$D$6*Examples!$D$7*Examples!$D$8*EXP(-Examples!$D$9*$A308)*(1-(Examples!$D$12*(1-EXP(-Examples!$D$13*$A308))/(1+EXP(MIN(700,MAX(-700,(Examples!$D$14*$A308-Examples!$D$15)/Examples!$D$16))))))+Examples!$D$17*$A308^2)</f>
        <v>1483943.2137260125</v>
      </c>
      <c r="E308" s="33">
        <f>(Examples!$D$6*Examples!$D$7*Examples!$D$8*EXP(-Examples!$D$9*$A308)*(1-(Examples!$D$12*(1-EXP(-Examples!$D$13*$A308))/(1+EXP(MIN(700,MAX(-700,(Examples!$D$14*$A308-Examples!$D$15)/Examples!$D$16))))))+Examples!$D$17*$A308^2)</f>
        <v>878356.78627398738</v>
      </c>
      <c r="F308" s="33">
        <f>Examples!$E$18-(Examples!$E$10+Examples!$E$11)*$A308-(Examples!$E$6*Examples!$E$7*Examples!$E$8*EXP(-Examples!$E$9*$A308)*(1-(Examples!$E$12*(1-EXP(-Examples!$E$13*$A308))/(1+EXP(MIN(700,MAX(-700,(Examples!$E$14*$A308-Examples!$E$15)/Examples!$E$16))))))+Examples!$E$17*$A308^2)</f>
        <v>2489094.757606341</v>
      </c>
      <c r="G308" s="33">
        <f>(Examples!$E$6*Examples!$E$7*Examples!$E$8*EXP(-Examples!$E$9*$A308)*(1-(Examples!$E$12*(1-EXP(-Examples!$E$13*$A308))/(1+EXP(MIN(700,MAX(-700,(Examples!$E$14*$A308-Examples!$E$15)/Examples!$E$16))))))+Examples!$E$17*$A308^2)</f>
        <v>250805.24239365911</v>
      </c>
      <c r="H308" s="33">
        <f>Examples!$F$18-(Examples!$F$10+Examples!$F$11)*$A308-(Examples!$F$6*Examples!$F$7*Examples!$F$8*EXP(-Examples!$F$9*$A308)*(1-(Examples!$F$12*(1-EXP(-Examples!$F$13*$A308))/(1+EXP(MIN(700,MAX(-700,(Examples!$F$14*$A308-Examples!$F$15)/Examples!$F$16))))))+Examples!$F$17*$A308^2)</f>
        <v>-105458.36615472386</v>
      </c>
      <c r="I308" s="33">
        <f>(Examples!$F$6*Examples!$F$7*Examples!$F$8*EXP(-Examples!$F$9*$A308)*(1-(Examples!$F$12*(1-EXP(-Examples!$F$13*$A308))/(1+EXP(MIN(700,MAX(-700,(Examples!$F$14*$A308-Examples!$F$15)/Examples!$F$16))))))+Examples!$F$17*$A308^2)</f>
        <v>194258.36615472386</v>
      </c>
      <c r="J308" s="33">
        <f>Examples!$G$18-(Examples!$G$10+Examples!$G$11)*$A308-(Examples!$G$6*Examples!$G$7*Examples!$G$8*EXP(-Examples!$G$9*$A308)*(1-(Examples!$G$12*(1-EXP(-Examples!$G$13*$A308))/(1+EXP(MIN(700,MAX(-700,(Examples!$G$14*$A308-Examples!$G$15)/Examples!$G$16))))))+Examples!$G$17*$A308^2)</f>
        <v>724879.56393346272</v>
      </c>
      <c r="K308" s="33">
        <f>(Examples!$G$6*Examples!$G$7*Examples!$G$8*EXP(-Examples!$G$9*$A308)*(1-(Examples!$G$12*(1-EXP(-Examples!$G$13*$A308))/(1+EXP(MIN(700,MAX(-700,(Examples!$G$14*$A308-Examples!$G$15)/Examples!$G$16))))))+Examples!$G$17*$A308^2)</f>
        <v>622120.43606653728</v>
      </c>
      <c r="L308" s="33">
        <f>Examples!$H$18-(Examples!$H$10+Examples!$H$11)*$A308-(Examples!$H$6*Examples!$H$7*Examples!$H$8*EXP(-Examples!$H$9*$A308)*(1-(Examples!$H$12*(1-EXP(-Examples!$H$13*$A308))/(1+EXP(MIN(700,MAX(-700,(Examples!$H$14*$A308-Examples!$H$15)/Examples!$H$16))))))+Examples!$H$17*$A308^2)</f>
        <v>648110.92361025745</v>
      </c>
      <c r="M308" s="33">
        <f>(Examples!$H$6*Examples!$H$7*Examples!$H$8*EXP(-Examples!$H$9*$A308)*(1-(Examples!$H$12*(1-EXP(-Examples!$H$13*$A308))/(1+EXP(MIN(700,MAX(-700,(Examples!$H$14*$A308-Examples!$H$15)/Examples!$H$16))))))+Examples!$H$17*$A308^2)</f>
        <v>698889.07638974255</v>
      </c>
    </row>
    <row r="309" spans="1:13" x14ac:dyDescent="0.25">
      <c r="A309">
        <f>(309-2)/100</f>
        <v>3.07</v>
      </c>
      <c r="B309" s="33">
        <f>Examples!$C$18-(Examples!$C$10+Examples!$C$11)*$A309-(Examples!$C$6*Examples!$C$7*Examples!$C$8*EXP(-Examples!$C$9*$A309)*(1-(Examples!$C$12*(1-EXP(-Examples!$C$13*$A309))/(1+EXP(MIN(700,MAX(-700,(Examples!$C$14*$A309-Examples!$C$15)/Examples!$C$16))))))+Examples!$C$17*$A309^2)</f>
        <v>113237.87739698065</v>
      </c>
      <c r="C309" s="33">
        <f>(Examples!$C$6*Examples!$C$7*Examples!$C$8*EXP(-Examples!$C$9*$A309)*(1-(Examples!$C$12*(1-EXP(-Examples!$C$13*$A309))/(1+EXP(MIN(700,MAX(-700,(Examples!$C$14*$A309-Examples!$C$15)/Examples!$C$16))))))+Examples!$C$17*$A309^2)</f>
        <v>379312.12260301935</v>
      </c>
      <c r="D309" s="33">
        <f>Examples!$D$18-(Examples!$D$10+Examples!$D$11)*$A309-(Examples!$D$6*Examples!$D$7*Examples!$D$8*EXP(-Examples!$D$9*$A309)*(1-(Examples!$D$12*(1-EXP(-Examples!$D$13*$A309))/(1+EXP(MIN(700,MAX(-700,(Examples!$D$14*$A309-Examples!$D$15)/Examples!$D$16))))))+Examples!$D$17*$A309^2)</f>
        <v>1485099.5510390732</v>
      </c>
      <c r="E309" s="33">
        <f>(Examples!$D$6*Examples!$D$7*Examples!$D$8*EXP(-Examples!$D$9*$A309)*(1-(Examples!$D$12*(1-EXP(-Examples!$D$13*$A309))/(1+EXP(MIN(700,MAX(-700,(Examples!$D$14*$A309-Examples!$D$15)/Examples!$D$16))))))+Examples!$D$17*$A309^2)</f>
        <v>876750.44896092685</v>
      </c>
      <c r="F309" s="33">
        <f>Examples!$E$18-(Examples!$E$10+Examples!$E$11)*$A309-(Examples!$E$6*Examples!$E$7*Examples!$E$8*EXP(-Examples!$E$9*$A309)*(1-(Examples!$E$12*(1-EXP(-Examples!$E$13*$A309))/(1+EXP(MIN(700,MAX(-700,(Examples!$E$14*$A309-Examples!$E$15)/Examples!$E$16))))))+Examples!$E$17*$A309^2)</f>
        <v>2489000.4882058618</v>
      </c>
      <c r="G309" s="33">
        <f>(Examples!$E$6*Examples!$E$7*Examples!$E$8*EXP(-Examples!$E$9*$A309)*(1-(Examples!$E$12*(1-EXP(-Examples!$E$13*$A309))/(1+EXP(MIN(700,MAX(-700,(Examples!$E$14*$A309-Examples!$E$15)/Examples!$E$16))))))+Examples!$E$17*$A309^2)</f>
        <v>250049.51179413835</v>
      </c>
      <c r="H309" s="33">
        <f>Examples!$F$18-(Examples!$F$10+Examples!$F$11)*$A309-(Examples!$F$6*Examples!$F$7*Examples!$F$8*EXP(-Examples!$F$9*$A309)*(1-(Examples!$F$12*(1-EXP(-Examples!$F$13*$A309))/(1+EXP(MIN(700,MAX(-700,(Examples!$F$14*$A309-Examples!$F$15)/Examples!$F$16))))))+Examples!$F$17*$A309^2)</f>
        <v>-106863.50084189427</v>
      </c>
      <c r="I309" s="33">
        <f>(Examples!$F$6*Examples!$F$7*Examples!$F$8*EXP(-Examples!$F$9*$A309)*(1-(Examples!$F$12*(1-EXP(-Examples!$F$13*$A309))/(1+EXP(MIN(700,MAX(-700,(Examples!$F$14*$A309-Examples!$F$15)/Examples!$F$16))))))+Examples!$F$17*$A309^2)</f>
        <v>195463.50084189427</v>
      </c>
      <c r="J309" s="33">
        <f>Examples!$G$18-(Examples!$G$10+Examples!$G$11)*$A309-(Examples!$G$6*Examples!$G$7*Examples!$G$8*EXP(-Examples!$G$9*$A309)*(1-(Examples!$G$12*(1-EXP(-Examples!$G$13*$A309))/(1+EXP(MIN(700,MAX(-700,(Examples!$G$14*$A309-Examples!$G$15)/Examples!$G$16))))))+Examples!$G$17*$A309^2)</f>
        <v>724746.97690566885</v>
      </c>
      <c r="K309" s="33">
        <f>(Examples!$G$6*Examples!$G$7*Examples!$G$8*EXP(-Examples!$G$9*$A309)*(1-(Examples!$G$12*(1-EXP(-Examples!$G$13*$A309))/(1+EXP(MIN(700,MAX(-700,(Examples!$G$14*$A309-Examples!$G$15)/Examples!$G$16))))))+Examples!$G$17*$A309^2)</f>
        <v>621753.02309433115</v>
      </c>
      <c r="L309" s="33">
        <f>Examples!$H$18-(Examples!$H$10+Examples!$H$11)*$A309-(Examples!$H$6*Examples!$H$7*Examples!$H$8*EXP(-Examples!$H$9*$A309)*(1-(Examples!$H$12*(1-EXP(-Examples!$H$13*$A309))/(1+EXP(MIN(700,MAX(-700,(Examples!$H$14*$A309-Examples!$H$15)/Examples!$H$16))))))+Examples!$H$17*$A309^2)</f>
        <v>647724.76574757777</v>
      </c>
      <c r="M309" s="33">
        <f>(Examples!$H$6*Examples!$H$7*Examples!$H$8*EXP(-Examples!$H$9*$A309)*(1-(Examples!$H$12*(1-EXP(-Examples!$H$13*$A309))/(1+EXP(MIN(700,MAX(-700,(Examples!$H$14*$A309-Examples!$H$15)/Examples!$H$16))))))+Examples!$H$17*$A309^2)</f>
        <v>698775.23425242223</v>
      </c>
    </row>
    <row r="310" spans="1:13" x14ac:dyDescent="0.25">
      <c r="A310">
        <f>(310-2)/100</f>
        <v>3.08</v>
      </c>
      <c r="B310" s="33">
        <f>Examples!$C$18-(Examples!$C$10+Examples!$C$11)*$A310-(Examples!$C$6*Examples!$C$7*Examples!$C$8*EXP(-Examples!$C$9*$A310)*(1-(Examples!$C$12*(1-EXP(-Examples!$C$13*$A310))/(1+EXP(MIN(700,MAX(-700,(Examples!$C$14*$A310-Examples!$C$15)/Examples!$C$16))))))+Examples!$C$17*$A310^2)</f>
        <v>112649.36281109275</v>
      </c>
      <c r="C310" s="33">
        <f>(Examples!$C$6*Examples!$C$7*Examples!$C$8*EXP(-Examples!$C$9*$A310)*(1-(Examples!$C$12*(1-EXP(-Examples!$C$13*$A310))/(1+EXP(MIN(700,MAX(-700,(Examples!$C$14*$A310-Examples!$C$15)/Examples!$C$16))))))+Examples!$C$17*$A310^2)</f>
        <v>379550.63718890725</v>
      </c>
      <c r="D310" s="33">
        <f>Examples!$D$18-(Examples!$D$10+Examples!$D$11)*$A310-(Examples!$D$6*Examples!$D$7*Examples!$D$8*EXP(-Examples!$D$9*$A310)*(1-(Examples!$D$12*(1-EXP(-Examples!$D$13*$A310))/(1+EXP(MIN(700,MAX(-700,(Examples!$D$14*$A310-Examples!$D$15)/Examples!$D$16))))))+Examples!$D$17*$A310^2)</f>
        <v>1486229.4036820303</v>
      </c>
      <c r="E310" s="33">
        <f>(Examples!$D$6*Examples!$D$7*Examples!$D$8*EXP(-Examples!$D$9*$A310)*(1-(Examples!$D$12*(1-EXP(-Examples!$D$13*$A310))/(1+EXP(MIN(700,MAX(-700,(Examples!$D$14*$A310-Examples!$D$15)/Examples!$D$16))))))+Examples!$D$17*$A310^2)</f>
        <v>875170.59631796973</v>
      </c>
      <c r="F310" s="33">
        <f>Examples!$E$18-(Examples!$E$10+Examples!$E$11)*$A310-(Examples!$E$6*Examples!$E$7*Examples!$E$8*EXP(-Examples!$E$9*$A310)*(1-(Examples!$E$12*(1-EXP(-Examples!$E$13*$A310))/(1+EXP(MIN(700,MAX(-700,(Examples!$E$14*$A310-Examples!$E$15)/Examples!$E$16))))))+Examples!$E$17*$A310^2)</f>
        <v>2488895.9240809963</v>
      </c>
      <c r="G310" s="33">
        <f>(Examples!$E$6*Examples!$E$7*Examples!$E$8*EXP(-Examples!$E$9*$A310)*(1-(Examples!$E$12*(1-EXP(-Examples!$E$13*$A310))/(1+EXP(MIN(700,MAX(-700,(Examples!$E$14*$A310-Examples!$E$15)/Examples!$E$16))))))+Examples!$E$17*$A310^2)</f>
        <v>249304.07591900358</v>
      </c>
      <c r="H310" s="33">
        <f>Examples!$F$18-(Examples!$F$10+Examples!$F$11)*$A310-(Examples!$F$6*Examples!$F$7*Examples!$F$8*EXP(-Examples!$F$9*$A310)*(1-(Examples!$F$12*(1-EXP(-Examples!$F$13*$A310))/(1+EXP(MIN(700,MAX(-700,(Examples!$F$14*$A310-Examples!$F$15)/Examples!$F$16))))))+Examples!$F$17*$A310^2)</f>
        <v>-108272.69554479711</v>
      </c>
      <c r="I310" s="33">
        <f>(Examples!$F$6*Examples!$F$7*Examples!$F$8*EXP(-Examples!$F$9*$A310)*(1-(Examples!$F$12*(1-EXP(-Examples!$F$13*$A310))/(1+EXP(MIN(700,MAX(-700,(Examples!$F$14*$A310-Examples!$F$15)/Examples!$F$16))))))+Examples!$F$17*$A310^2)</f>
        <v>196672.69554479711</v>
      </c>
      <c r="J310" s="33">
        <f>Examples!$G$18-(Examples!$G$10+Examples!$G$11)*$A310-(Examples!$G$6*Examples!$G$7*Examples!$G$8*EXP(-Examples!$G$9*$A310)*(1-(Examples!$G$12*(1-EXP(-Examples!$G$13*$A310))/(1+EXP(MIN(700,MAX(-700,(Examples!$G$14*$A310-Examples!$G$15)/Examples!$G$16))))))+Examples!$G$17*$A310^2)</f>
        <v>724615.12507112941</v>
      </c>
      <c r="K310" s="33">
        <f>(Examples!$G$6*Examples!$G$7*Examples!$G$8*EXP(-Examples!$G$9*$A310)*(1-(Examples!$G$12*(1-EXP(-Examples!$G$13*$A310))/(1+EXP(MIN(700,MAX(-700,(Examples!$G$14*$A310-Examples!$G$15)/Examples!$G$16))))))+Examples!$G$17*$A310^2)</f>
        <v>621384.87492887059</v>
      </c>
      <c r="L310" s="33">
        <f>Examples!$H$18-(Examples!$H$10+Examples!$H$11)*$A310-(Examples!$H$6*Examples!$H$7*Examples!$H$8*EXP(-Examples!$H$9*$A310)*(1-(Examples!$H$12*(1-EXP(-Examples!$H$13*$A310))/(1+EXP(MIN(700,MAX(-700,(Examples!$H$14*$A310-Examples!$H$15)/Examples!$H$16))))))+Examples!$H$17*$A310^2)</f>
        <v>647373.29065069929</v>
      </c>
      <c r="M310" s="33">
        <f>(Examples!$H$6*Examples!$H$7*Examples!$H$8*EXP(-Examples!$H$9*$A310)*(1-(Examples!$H$12*(1-EXP(-Examples!$H$13*$A310))/(1+EXP(MIN(700,MAX(-700,(Examples!$H$14*$A310-Examples!$H$15)/Examples!$H$16))))))+Examples!$H$17*$A310^2)</f>
        <v>698626.70934930071</v>
      </c>
    </row>
    <row r="311" spans="1:13" x14ac:dyDescent="0.25">
      <c r="A311">
        <f>(311-2)/100</f>
        <v>3.09</v>
      </c>
      <c r="B311" s="33">
        <f>Examples!$C$18-(Examples!$C$10+Examples!$C$11)*$A311-(Examples!$C$6*Examples!$C$7*Examples!$C$8*EXP(-Examples!$C$9*$A311)*(1-(Examples!$C$12*(1-EXP(-Examples!$C$13*$A311))/(1+EXP(MIN(700,MAX(-700,(Examples!$C$14*$A311-Examples!$C$15)/Examples!$C$16))))))+Examples!$C$17*$A311^2)</f>
        <v>112056.75464360043</v>
      </c>
      <c r="C311" s="33">
        <f>(Examples!$C$6*Examples!$C$7*Examples!$C$8*EXP(-Examples!$C$9*$A311)*(1-(Examples!$C$12*(1-EXP(-Examples!$C$13*$A311))/(1+EXP(MIN(700,MAX(-700,(Examples!$C$14*$A311-Examples!$C$15)/Examples!$C$16))))))+Examples!$C$17*$A311^2)</f>
        <v>379793.24535639957</v>
      </c>
      <c r="D311" s="33">
        <f>Examples!$D$18-(Examples!$D$10+Examples!$D$11)*$A311-(Examples!$D$6*Examples!$D$7*Examples!$D$8*EXP(-Examples!$D$9*$A311)*(1-(Examples!$D$12*(1-EXP(-Examples!$D$13*$A311))/(1+EXP(MIN(700,MAX(-700,(Examples!$D$14*$A311-Examples!$D$15)/Examples!$D$16))))))+Examples!$D$17*$A311^2)</f>
        <v>1487333.21202256</v>
      </c>
      <c r="E311" s="33">
        <f>(Examples!$D$6*Examples!$D$7*Examples!$D$8*EXP(-Examples!$D$9*$A311)*(1-(Examples!$D$12*(1-EXP(-Examples!$D$13*$A311))/(1+EXP(MIN(700,MAX(-700,(Examples!$D$14*$A311-Examples!$D$15)/Examples!$D$16))))))+Examples!$D$17*$A311^2)</f>
        <v>873616.78797744005</v>
      </c>
      <c r="F311" s="33">
        <f>Examples!$E$18-(Examples!$E$10+Examples!$E$11)*$A311-(Examples!$E$6*Examples!$E$7*Examples!$E$8*EXP(-Examples!$E$9*$A311)*(1-(Examples!$E$12*(1-EXP(-Examples!$E$13*$A311))/(1+EXP(MIN(700,MAX(-700,(Examples!$E$14*$A311-Examples!$E$15)/Examples!$E$16))))))+Examples!$E$17*$A311^2)</f>
        <v>2488781.1822866746</v>
      </c>
      <c r="G311" s="33">
        <f>(Examples!$E$6*Examples!$E$7*Examples!$E$8*EXP(-Examples!$E$9*$A311)*(1-(Examples!$E$12*(1-EXP(-Examples!$E$13*$A311))/(1+EXP(MIN(700,MAX(-700,(Examples!$E$14*$A311-Examples!$E$15)/Examples!$E$16))))))+Examples!$E$17*$A311^2)</f>
        <v>248568.81771332555</v>
      </c>
      <c r="H311" s="33">
        <f>Examples!$F$18-(Examples!$F$10+Examples!$F$11)*$A311-(Examples!$F$6*Examples!$F$7*Examples!$F$8*EXP(-Examples!$F$9*$A311)*(1-(Examples!$F$12*(1-EXP(-Examples!$F$13*$A311))/(1+EXP(MIN(700,MAX(-700,(Examples!$F$14*$A311-Examples!$F$15)/Examples!$F$16))))))+Examples!$F$17*$A311^2)</f>
        <v>-109685.95018190969</v>
      </c>
      <c r="I311" s="33">
        <f>(Examples!$F$6*Examples!$F$7*Examples!$F$8*EXP(-Examples!$F$9*$A311)*(1-(Examples!$F$12*(1-EXP(-Examples!$F$13*$A311))/(1+EXP(MIN(700,MAX(-700,(Examples!$F$14*$A311-Examples!$F$15)/Examples!$F$16))))))+Examples!$F$17*$A311^2)</f>
        <v>197885.95018190969</v>
      </c>
      <c r="J311" s="33">
        <f>Examples!$G$18-(Examples!$G$10+Examples!$G$11)*$A311-(Examples!$G$6*Examples!$G$7*Examples!$G$8*EXP(-Examples!$G$9*$A311)*(1-(Examples!$G$12*(1-EXP(-Examples!$G$13*$A311))/(1+EXP(MIN(700,MAX(-700,(Examples!$G$14*$A311-Examples!$G$15)/Examples!$G$16))))))+Examples!$G$17*$A311^2)</f>
        <v>724484.09586639679</v>
      </c>
      <c r="K311" s="33">
        <f>(Examples!$G$6*Examples!$G$7*Examples!$G$8*EXP(-Examples!$G$9*$A311)*(1-(Examples!$G$12*(1-EXP(-Examples!$G$13*$A311))/(1+EXP(MIN(700,MAX(-700,(Examples!$G$14*$A311-Examples!$G$15)/Examples!$G$16))))))+Examples!$G$17*$A311^2)</f>
        <v>621015.90413360321</v>
      </c>
      <c r="L311" s="33">
        <f>Examples!$H$18-(Examples!$H$10+Examples!$H$11)*$A311-(Examples!$H$6*Examples!$H$7*Examples!$H$8*EXP(-Examples!$H$9*$A311)*(1-(Examples!$H$12*(1-EXP(-Examples!$H$13*$A311))/(1+EXP(MIN(700,MAX(-700,(Examples!$H$14*$A311-Examples!$H$15)/Examples!$H$16))))))+Examples!$H$17*$A311^2)</f>
        <v>647055.83218615688</v>
      </c>
      <c r="M311" s="33">
        <f>(Examples!$H$6*Examples!$H$7*Examples!$H$8*EXP(-Examples!$H$9*$A311)*(1-(Examples!$H$12*(1-EXP(-Examples!$H$13*$A311))/(1+EXP(MIN(700,MAX(-700,(Examples!$H$14*$A311-Examples!$H$15)/Examples!$H$16))))))+Examples!$H$17*$A311^2)</f>
        <v>698444.16781384312</v>
      </c>
    </row>
    <row r="312" spans="1:13" x14ac:dyDescent="0.25">
      <c r="A312">
        <f>(312-2)/100</f>
        <v>3.1</v>
      </c>
      <c r="B312" s="33">
        <f>Examples!$C$18-(Examples!$C$10+Examples!$C$11)*$A312-(Examples!$C$6*Examples!$C$7*Examples!$C$8*EXP(-Examples!$C$9*$A312)*(1-(Examples!$C$12*(1-EXP(-Examples!$C$13*$A312))/(1+EXP(MIN(700,MAX(-700,(Examples!$C$14*$A312-Examples!$C$15)/Examples!$C$16))))))+Examples!$C$17*$A312^2)</f>
        <v>111460.02528699383</v>
      </c>
      <c r="C312" s="33">
        <f>(Examples!$C$6*Examples!$C$7*Examples!$C$8*EXP(-Examples!$C$9*$A312)*(1-(Examples!$C$12*(1-EXP(-Examples!$C$13*$A312))/(1+EXP(MIN(700,MAX(-700,(Examples!$C$14*$A312-Examples!$C$15)/Examples!$C$16))))))+Examples!$C$17*$A312^2)</f>
        <v>380039.97471300617</v>
      </c>
      <c r="D312" s="33">
        <f>Examples!$D$18-(Examples!$D$10+Examples!$D$11)*$A312-(Examples!$D$6*Examples!$D$7*Examples!$D$8*EXP(-Examples!$D$9*$A312)*(1-(Examples!$D$12*(1-EXP(-Examples!$D$13*$A312))/(1+EXP(MIN(700,MAX(-700,(Examples!$D$14*$A312-Examples!$D$15)/Examples!$D$16))))))+Examples!$D$17*$A312^2)</f>
        <v>1488411.4155162117</v>
      </c>
      <c r="E312" s="33">
        <f>(Examples!$D$6*Examples!$D$7*Examples!$D$8*EXP(-Examples!$D$9*$A312)*(1-(Examples!$D$12*(1-EXP(-Examples!$D$13*$A312))/(1+EXP(MIN(700,MAX(-700,(Examples!$D$14*$A312-Examples!$D$15)/Examples!$D$16))))))+Examples!$D$17*$A312^2)</f>
        <v>872088.58448378847</v>
      </c>
      <c r="F312" s="33">
        <f>Examples!$E$18-(Examples!$E$10+Examples!$E$11)*$A312-(Examples!$E$6*Examples!$E$7*Examples!$E$8*EXP(-Examples!$E$9*$A312)*(1-(Examples!$E$12*(1-EXP(-Examples!$E$13*$A312))/(1+EXP(MIN(700,MAX(-700,(Examples!$E$14*$A312-Examples!$E$15)/Examples!$E$16))))))+Examples!$E$17*$A312^2)</f>
        <v>2488656.3786688233</v>
      </c>
      <c r="G312" s="33">
        <f>(Examples!$E$6*Examples!$E$7*Examples!$E$8*EXP(-Examples!$E$9*$A312)*(1-(Examples!$E$12*(1-EXP(-Examples!$E$13*$A312))/(1+EXP(MIN(700,MAX(-700,(Examples!$E$14*$A312-Examples!$E$15)/Examples!$E$16))))))+Examples!$E$17*$A312^2)</f>
        <v>247843.62133117692</v>
      </c>
      <c r="H312" s="33">
        <f>Examples!$F$18-(Examples!$F$10+Examples!$F$11)*$A312-(Examples!$F$6*Examples!$F$7*Examples!$F$8*EXP(-Examples!$F$9*$A312)*(1-(Examples!$F$12*(1-EXP(-Examples!$F$13*$A312))/(1+EXP(MIN(700,MAX(-700,(Examples!$F$14*$A312-Examples!$F$15)/Examples!$F$16))))))+Examples!$F$17*$A312^2)</f>
        <v>-111103.26466811696</v>
      </c>
      <c r="I312" s="33">
        <f>(Examples!$F$6*Examples!$F$7*Examples!$F$8*EXP(-Examples!$F$9*$A312)*(1-(Examples!$F$12*(1-EXP(-Examples!$F$13*$A312))/(1+EXP(MIN(700,MAX(-700,(Examples!$F$14*$A312-Examples!$F$15)/Examples!$F$16))))))+Examples!$F$17*$A312^2)</f>
        <v>199103.26466811696</v>
      </c>
      <c r="J312" s="33">
        <f>Examples!$G$18-(Examples!$G$10+Examples!$G$11)*$A312-(Examples!$G$6*Examples!$G$7*Examples!$G$8*EXP(-Examples!$G$9*$A312)*(1-(Examples!$G$12*(1-EXP(-Examples!$G$13*$A312))/(1+EXP(MIN(700,MAX(-700,(Examples!$G$14*$A312-Examples!$G$15)/Examples!$G$16))))))+Examples!$G$17*$A312^2)</f>
        <v>724353.97348421172</v>
      </c>
      <c r="K312" s="33">
        <f>(Examples!$G$6*Examples!$G$7*Examples!$G$8*EXP(-Examples!$G$9*$A312)*(1-(Examples!$G$12*(1-EXP(-Examples!$G$13*$A312))/(1+EXP(MIN(700,MAX(-700,(Examples!$G$14*$A312-Examples!$G$15)/Examples!$G$16))))))+Examples!$G$17*$A312^2)</f>
        <v>620646.02651578828</v>
      </c>
      <c r="L312" s="33">
        <f>Examples!$H$18-(Examples!$H$10+Examples!$H$11)*$A312-(Examples!$H$6*Examples!$H$7*Examples!$H$8*EXP(-Examples!$H$9*$A312)*(1-(Examples!$H$12*(1-EXP(-Examples!$H$13*$A312))/(1+EXP(MIN(700,MAX(-700,(Examples!$H$14*$A312-Examples!$H$15)/Examples!$H$16))))))+Examples!$H$17*$A312^2)</f>
        <v>646771.7111595982</v>
      </c>
      <c r="M312" s="33">
        <f>(Examples!$H$6*Examples!$H$7*Examples!$H$8*EXP(-Examples!$H$9*$A312)*(1-(Examples!$H$12*(1-EXP(-Examples!$H$13*$A312))/(1+EXP(MIN(700,MAX(-700,(Examples!$H$14*$A312-Examples!$H$15)/Examples!$H$16))))))+Examples!$H$17*$A312^2)</f>
        <v>698228.2888404018</v>
      </c>
    </row>
    <row r="313" spans="1:13" x14ac:dyDescent="0.25">
      <c r="A313">
        <f>(313-2)/100</f>
        <v>3.11</v>
      </c>
      <c r="B313" s="33">
        <f>Examples!$C$18-(Examples!$C$10+Examples!$C$11)*$A313-(Examples!$C$6*Examples!$C$7*Examples!$C$8*EXP(-Examples!$C$9*$A313)*(1-(Examples!$C$12*(1-EXP(-Examples!$C$13*$A313))/(1+EXP(MIN(700,MAX(-700,(Examples!$C$14*$A313-Examples!$C$15)/Examples!$C$16))))))+Examples!$C$17*$A313^2)</f>
        <v>110859.14816665876</v>
      </c>
      <c r="C313" s="33">
        <f>(Examples!$C$6*Examples!$C$7*Examples!$C$8*EXP(-Examples!$C$9*$A313)*(1-(Examples!$C$12*(1-EXP(-Examples!$C$13*$A313))/(1+EXP(MIN(700,MAX(-700,(Examples!$C$14*$A313-Examples!$C$15)/Examples!$C$16))))))+Examples!$C$17*$A313^2)</f>
        <v>380290.85183334124</v>
      </c>
      <c r="D313" s="33">
        <f>Examples!$D$18-(Examples!$D$10+Examples!$D$11)*$A313-(Examples!$D$6*Examples!$D$7*Examples!$D$8*EXP(-Examples!$D$9*$A313)*(1-(Examples!$D$12*(1-EXP(-Examples!$D$13*$A313))/(1+EXP(MIN(700,MAX(-700,(Examples!$D$14*$A313-Examples!$D$15)/Examples!$D$16))))))+Examples!$D$17*$A313^2)</f>
        <v>1489464.4526768974</v>
      </c>
      <c r="E313" s="33">
        <f>(Examples!$D$6*Examples!$D$7*Examples!$D$8*EXP(-Examples!$D$9*$A313)*(1-(Examples!$D$12*(1-EXP(-Examples!$D$13*$A313))/(1+EXP(MIN(700,MAX(-700,(Examples!$D$14*$A313-Examples!$D$15)/Examples!$D$16))))))+Examples!$D$17*$A313^2)</f>
        <v>870585.54732310271</v>
      </c>
      <c r="F313" s="33">
        <f>Examples!$E$18-(Examples!$E$10+Examples!$E$11)*$A313-(Examples!$E$6*Examples!$E$7*Examples!$E$8*EXP(-Examples!$E$9*$A313)*(1-(Examples!$E$12*(1-EXP(-Examples!$E$13*$A313))/(1+EXP(MIN(700,MAX(-700,(Examples!$E$14*$A313-Examples!$E$15)/Examples!$E$16))))))+Examples!$E$17*$A313^2)</f>
        <v>2488521.6278781164</v>
      </c>
      <c r="G313" s="33">
        <f>(Examples!$E$6*Examples!$E$7*Examples!$E$8*EXP(-Examples!$E$9*$A313)*(1-(Examples!$E$12*(1-EXP(-Examples!$E$13*$A313))/(1+EXP(MIN(700,MAX(-700,(Examples!$E$14*$A313-Examples!$E$15)/Examples!$E$16))))))+Examples!$E$17*$A313^2)</f>
        <v>247128.37212188356</v>
      </c>
      <c r="H313" s="33">
        <f>Examples!$F$18-(Examples!$F$10+Examples!$F$11)*$A313-(Examples!$F$6*Examples!$F$7*Examples!$F$8*EXP(-Examples!$F$9*$A313)*(1-(Examples!$F$12*(1-EXP(-Examples!$F$13*$A313))/(1+EXP(MIN(700,MAX(-700,(Examples!$F$14*$A313-Examples!$F$15)/Examples!$F$16))))))+Examples!$F$17*$A313^2)</f>
        <v>-112524.6389148689</v>
      </c>
      <c r="I313" s="33">
        <f>(Examples!$F$6*Examples!$F$7*Examples!$F$8*EXP(-Examples!$F$9*$A313)*(1-(Examples!$F$12*(1-EXP(-Examples!$F$13*$A313))/(1+EXP(MIN(700,MAX(-700,(Examples!$F$14*$A313-Examples!$F$15)/Examples!$F$16))))))+Examples!$F$17*$A313^2)</f>
        <v>200324.6389148689</v>
      </c>
      <c r="J313" s="33">
        <f>Examples!$G$18-(Examples!$G$10+Examples!$G$11)*$A313-(Examples!$G$6*Examples!$G$7*Examples!$G$8*EXP(-Examples!$G$9*$A313)*(1-(Examples!$G$12*(1-EXP(-Examples!$G$13*$A313))/(1+EXP(MIN(700,MAX(-700,(Examples!$G$14*$A313-Examples!$G$15)/Examples!$G$16))))))+Examples!$G$17*$A313^2)</f>
        <v>724224.83890130441</v>
      </c>
      <c r="K313" s="33">
        <f>(Examples!$G$6*Examples!$G$7*Examples!$G$8*EXP(-Examples!$G$9*$A313)*(1-(Examples!$G$12*(1-EXP(-Examples!$G$13*$A313))/(1+EXP(MIN(700,MAX(-700,(Examples!$G$14*$A313-Examples!$G$15)/Examples!$G$16))))))+Examples!$G$17*$A313^2)</f>
        <v>620275.16109869559</v>
      </c>
      <c r="L313" s="33">
        <f>Examples!$H$18-(Examples!$H$10+Examples!$H$11)*$A313-(Examples!$H$6*Examples!$H$7*Examples!$H$8*EXP(-Examples!$H$9*$A313)*(1-(Examples!$H$12*(1-EXP(-Examples!$H$13*$A313))/(1+EXP(MIN(700,MAX(-700,(Examples!$H$14*$A313-Examples!$H$15)/Examples!$H$16))))))+Examples!$H$17*$A313^2)</f>
        <v>646520.23697669734</v>
      </c>
      <c r="M313" s="33">
        <f>(Examples!$H$6*Examples!$H$7*Examples!$H$8*EXP(-Examples!$H$9*$A313)*(1-(Examples!$H$12*(1-EXP(-Examples!$H$13*$A313))/(1+EXP(MIN(700,MAX(-700,(Examples!$H$14*$A313-Examples!$H$15)/Examples!$H$16))))))+Examples!$H$17*$A313^2)</f>
        <v>697979.76302330266</v>
      </c>
    </row>
    <row r="314" spans="1:13" x14ac:dyDescent="0.25">
      <c r="A314">
        <f>(314-2)/100</f>
        <v>3.12</v>
      </c>
      <c r="B314" s="33">
        <f>Examples!$C$18-(Examples!$C$10+Examples!$C$11)*$A314-(Examples!$C$6*Examples!$C$7*Examples!$C$8*EXP(-Examples!$C$9*$A314)*(1-(Examples!$C$12*(1-EXP(-Examples!$C$13*$A314))/(1+EXP(MIN(700,MAX(-700,(Examples!$C$14*$A314-Examples!$C$15)/Examples!$C$16))))))+Examples!$C$17*$A314^2)</f>
        <v>110254.09771143005</v>
      </c>
      <c r="C314" s="33">
        <f>(Examples!$C$6*Examples!$C$7*Examples!$C$8*EXP(-Examples!$C$9*$A314)*(1-(Examples!$C$12*(1-EXP(-Examples!$C$13*$A314))/(1+EXP(MIN(700,MAX(-700,(Examples!$C$14*$A314-Examples!$C$15)/Examples!$C$16))))))+Examples!$C$17*$A314^2)</f>
        <v>380545.90228856995</v>
      </c>
      <c r="D314" s="33">
        <f>Examples!$D$18-(Examples!$D$10+Examples!$D$11)*$A314-(Examples!$D$6*Examples!$D$7*Examples!$D$8*EXP(-Examples!$D$9*$A314)*(1-(Examples!$D$12*(1-EXP(-Examples!$D$13*$A314))/(1+EXP(MIN(700,MAX(-700,(Examples!$D$14*$A314-Examples!$D$15)/Examples!$D$16))))))+Examples!$D$17*$A314^2)</f>
        <v>1490492.7610457595</v>
      </c>
      <c r="E314" s="33">
        <f>(Examples!$D$6*Examples!$D$7*Examples!$D$8*EXP(-Examples!$D$9*$A314)*(1-(Examples!$D$12*(1-EXP(-Examples!$D$13*$A314))/(1+EXP(MIN(700,MAX(-700,(Examples!$D$14*$A314-Examples!$D$15)/Examples!$D$16))))))+Examples!$D$17*$A314^2)</f>
        <v>869107.23895424057</v>
      </c>
      <c r="F314" s="33">
        <f>Examples!$E$18-(Examples!$E$10+Examples!$E$11)*$A314-(Examples!$E$6*Examples!$E$7*Examples!$E$8*EXP(-Examples!$E$9*$A314)*(1-(Examples!$E$12*(1-EXP(-Examples!$E$13*$A314))/(1+EXP(MIN(700,MAX(-700,(Examples!$E$14*$A314-Examples!$E$15)/Examples!$E$16))))))+Examples!$E$17*$A314^2)</f>
        <v>2488377.0433835452</v>
      </c>
      <c r="G314" s="33">
        <f>(Examples!$E$6*Examples!$E$7*Examples!$E$8*EXP(-Examples!$E$9*$A314)*(1-(Examples!$E$12*(1-EXP(-Examples!$E$13*$A314))/(1+EXP(MIN(700,MAX(-700,(Examples!$E$14*$A314-Examples!$E$15)/Examples!$E$16))))))+Examples!$E$17*$A314^2)</f>
        <v>246422.95661645493</v>
      </c>
      <c r="H314" s="33">
        <f>Examples!$F$18-(Examples!$F$10+Examples!$F$11)*$A314-(Examples!$F$6*Examples!$F$7*Examples!$F$8*EXP(-Examples!$F$9*$A314)*(1-(Examples!$F$12*(1-EXP(-Examples!$F$13*$A314))/(1+EXP(MIN(700,MAX(-700,(Examples!$F$14*$A314-Examples!$F$15)/Examples!$F$16))))))+Examples!$F$17*$A314^2)</f>
        <v>-113950.0728303334</v>
      </c>
      <c r="I314" s="33">
        <f>(Examples!$F$6*Examples!$F$7*Examples!$F$8*EXP(-Examples!$F$9*$A314)*(1-(Examples!$F$12*(1-EXP(-Examples!$F$13*$A314))/(1+EXP(MIN(700,MAX(-700,(Examples!$F$14*$A314-Examples!$F$15)/Examples!$F$16))))))+Examples!$F$17*$A314^2)</f>
        <v>201550.0728303334</v>
      </c>
      <c r="J314" s="33">
        <f>Examples!$G$18-(Examples!$G$10+Examples!$G$11)*$A314-(Examples!$G$6*Examples!$G$7*Examples!$G$8*EXP(-Examples!$G$9*$A314)*(1-(Examples!$G$12*(1-EXP(-Examples!$G$13*$A314))/(1+EXP(MIN(700,MAX(-700,(Examples!$G$14*$A314-Examples!$G$15)/Examples!$G$16))))))+Examples!$G$17*$A314^2)</f>
        <v>724096.76990719629</v>
      </c>
      <c r="K314" s="33">
        <f>(Examples!$G$6*Examples!$G$7*Examples!$G$8*EXP(-Examples!$G$9*$A314)*(1-(Examples!$G$12*(1-EXP(-Examples!$G$13*$A314))/(1+EXP(MIN(700,MAX(-700,(Examples!$G$14*$A314-Examples!$G$15)/Examples!$G$16))))))+Examples!$G$17*$A314^2)</f>
        <v>619903.23009280371</v>
      </c>
      <c r="L314" s="33">
        <f>Examples!$H$18-(Examples!$H$10+Examples!$H$11)*$A314-(Examples!$H$6*Examples!$H$7*Examples!$H$8*EXP(-Examples!$H$9*$A314)*(1-(Examples!$H$12*(1-EXP(-Examples!$H$13*$A314))/(1+EXP(MIN(700,MAX(-700,(Examples!$H$14*$A314-Examples!$H$15)/Examples!$H$16))))))+Examples!$H$17*$A314^2)</f>
        <v>646300.70924033341</v>
      </c>
      <c r="M314" s="33">
        <f>(Examples!$H$6*Examples!$H$7*Examples!$H$8*EXP(-Examples!$H$9*$A314)*(1-(Examples!$H$12*(1-EXP(-Examples!$H$13*$A314))/(1+EXP(MIN(700,MAX(-700,(Examples!$H$14*$A314-Examples!$H$15)/Examples!$H$16))))))+Examples!$H$17*$A314^2)</f>
        <v>697699.29075966659</v>
      </c>
    </row>
    <row r="315" spans="1:13" x14ac:dyDescent="0.25">
      <c r="A315">
        <f>(315-2)/100</f>
        <v>3.13</v>
      </c>
      <c r="B315" s="33">
        <f>Examples!$C$18-(Examples!$C$10+Examples!$C$11)*$A315-(Examples!$C$6*Examples!$C$7*Examples!$C$8*EXP(-Examples!$C$9*$A315)*(1-(Examples!$C$12*(1-EXP(-Examples!$C$13*$A315))/(1+EXP(MIN(700,MAX(-700,(Examples!$C$14*$A315-Examples!$C$15)/Examples!$C$16))))))+Examples!$C$17*$A315^2)</f>
        <v>109644.84932478238</v>
      </c>
      <c r="C315" s="33">
        <f>(Examples!$C$6*Examples!$C$7*Examples!$C$8*EXP(-Examples!$C$9*$A315)*(1-(Examples!$C$12*(1-EXP(-Examples!$C$13*$A315))/(1+EXP(MIN(700,MAX(-700,(Examples!$C$14*$A315-Examples!$C$15)/Examples!$C$16))))))+Examples!$C$17*$A315^2)</f>
        <v>380805.15067521762</v>
      </c>
      <c r="D315" s="33">
        <f>Examples!$D$18-(Examples!$D$10+Examples!$D$11)*$A315-(Examples!$D$6*Examples!$D$7*Examples!$D$8*EXP(-Examples!$D$9*$A315)*(1-(Examples!$D$12*(1-EXP(-Examples!$D$13*$A315))/(1+EXP(MIN(700,MAX(-700,(Examples!$D$14*$A315-Examples!$D$15)/Examples!$D$16))))))+Examples!$D$17*$A315^2)</f>
        <v>1491496.7771584343</v>
      </c>
      <c r="E315" s="33">
        <f>(Examples!$D$6*Examples!$D$7*Examples!$D$8*EXP(-Examples!$D$9*$A315)*(1-(Examples!$D$12*(1-EXP(-Examples!$D$13*$A315))/(1+EXP(MIN(700,MAX(-700,(Examples!$D$14*$A315-Examples!$D$15)/Examples!$D$16))))))+Examples!$D$17*$A315^2)</f>
        <v>867653.22284156573</v>
      </c>
      <c r="F315" s="33">
        <f>Examples!$E$18-(Examples!$E$10+Examples!$E$11)*$A315-(Examples!$E$6*Examples!$E$7*Examples!$E$8*EXP(-Examples!$E$9*$A315)*(1-(Examples!$E$12*(1-EXP(-Examples!$E$13*$A315))/(1+EXP(MIN(700,MAX(-700,(Examples!$E$14*$A315-Examples!$E$15)/Examples!$E$16))))))+Examples!$E$17*$A315^2)</f>
        <v>2488222.737485806</v>
      </c>
      <c r="G315" s="33">
        <f>(Examples!$E$6*Examples!$E$7*Examples!$E$8*EXP(-Examples!$E$9*$A315)*(1-(Examples!$E$12*(1-EXP(-Examples!$E$13*$A315))/(1+EXP(MIN(700,MAX(-700,(Examples!$E$14*$A315-Examples!$E$15)/Examples!$E$16))))))+Examples!$E$17*$A315^2)</f>
        <v>245727.26251419395</v>
      </c>
      <c r="H315" s="33">
        <f>Examples!$F$18-(Examples!$F$10+Examples!$F$11)*$A315-(Examples!$F$6*Examples!$F$7*Examples!$F$8*EXP(-Examples!$F$9*$A315)*(1-(Examples!$F$12*(1-EXP(-Examples!$F$13*$A315))/(1+EXP(MIN(700,MAX(-700,(Examples!$F$14*$A315-Examples!$F$15)/Examples!$F$16))))))+Examples!$F$17*$A315^2)</f>
        <v>-115379.56631954139</v>
      </c>
      <c r="I315" s="33">
        <f>(Examples!$F$6*Examples!$F$7*Examples!$F$8*EXP(-Examples!$F$9*$A315)*(1-(Examples!$F$12*(1-EXP(-Examples!$F$13*$A315))/(1+EXP(MIN(700,MAX(-700,(Examples!$F$14*$A315-Examples!$F$15)/Examples!$F$16))))))+Examples!$F$17*$A315^2)</f>
        <v>202779.56631954139</v>
      </c>
      <c r="J315" s="33">
        <f>Examples!$G$18-(Examples!$G$10+Examples!$G$11)*$A315-(Examples!$G$6*Examples!$G$7*Examples!$G$8*EXP(-Examples!$G$9*$A315)*(1-(Examples!$G$12*(1-EXP(-Examples!$G$13*$A315))/(1+EXP(MIN(700,MAX(-700,(Examples!$G$14*$A315-Examples!$G$15)/Examples!$G$16))))))+Examples!$G$17*$A315^2)</f>
        <v>723969.84113396355</v>
      </c>
      <c r="K315" s="33">
        <f>(Examples!$G$6*Examples!$G$7*Examples!$G$8*EXP(-Examples!$G$9*$A315)*(1-(Examples!$G$12*(1-EXP(-Examples!$G$13*$A315))/(1+EXP(MIN(700,MAX(-700,(Examples!$G$14*$A315-Examples!$G$15)/Examples!$G$16))))))+Examples!$G$17*$A315^2)</f>
        <v>619530.15886603645</v>
      </c>
      <c r="L315" s="33">
        <f>Examples!$H$18-(Examples!$H$10+Examples!$H$11)*$A315-(Examples!$H$6*Examples!$H$7*Examples!$H$8*EXP(-Examples!$H$9*$A315)*(1-(Examples!$H$12*(1-EXP(-Examples!$H$13*$A315))/(1+EXP(MIN(700,MAX(-700,(Examples!$H$14*$A315-Examples!$H$15)/Examples!$H$16))))))+Examples!$H$17*$A315^2)</f>
        <v>646112.41928303102</v>
      </c>
      <c r="M315" s="33">
        <f>(Examples!$H$6*Examples!$H$7*Examples!$H$8*EXP(-Examples!$H$9*$A315)*(1-(Examples!$H$12*(1-EXP(-Examples!$H$13*$A315))/(1+EXP(MIN(700,MAX(-700,(Examples!$H$14*$A315-Examples!$H$15)/Examples!$H$16))))))+Examples!$H$17*$A315^2)</f>
        <v>697387.58071696898</v>
      </c>
    </row>
    <row r="316" spans="1:13" x14ac:dyDescent="0.25">
      <c r="A316">
        <f>(316-2)/100</f>
        <v>3.14</v>
      </c>
      <c r="B316" s="33">
        <f>Examples!$C$18-(Examples!$C$10+Examples!$C$11)*$A316-(Examples!$C$6*Examples!$C$7*Examples!$C$8*EXP(-Examples!$C$9*$A316)*(1-(Examples!$C$12*(1-EXP(-Examples!$C$13*$A316))/(1+EXP(MIN(700,MAX(-700,(Examples!$C$14*$A316-Examples!$C$15)/Examples!$C$16))))))+Examples!$C$17*$A316^2)</f>
        <v>109031.37935665681</v>
      </c>
      <c r="C316" s="33">
        <f>(Examples!$C$6*Examples!$C$7*Examples!$C$8*EXP(-Examples!$C$9*$A316)*(1-(Examples!$C$12*(1-EXP(-Examples!$C$13*$A316))/(1+EXP(MIN(700,MAX(-700,(Examples!$C$14*$A316-Examples!$C$15)/Examples!$C$16))))))+Examples!$C$17*$A316^2)</f>
        <v>381068.62064334319</v>
      </c>
      <c r="D316" s="33">
        <f>Examples!$D$18-(Examples!$D$10+Examples!$D$11)*$A316-(Examples!$D$6*Examples!$D$7*Examples!$D$8*EXP(-Examples!$D$9*$A316)*(1-(Examples!$D$12*(1-EXP(-Examples!$D$13*$A316))/(1+EXP(MIN(700,MAX(-700,(Examples!$D$14*$A316-Examples!$D$15)/Examples!$D$16))))))+Examples!$D$17*$A316^2)</f>
        <v>1492476.9365107398</v>
      </c>
      <c r="E316" s="33">
        <f>(Examples!$D$6*Examples!$D$7*Examples!$D$8*EXP(-Examples!$D$9*$A316)*(1-(Examples!$D$12*(1-EXP(-Examples!$D$13*$A316))/(1+EXP(MIN(700,MAX(-700,(Examples!$D$14*$A316-Examples!$D$15)/Examples!$D$16))))))+Examples!$D$17*$A316^2)</f>
        <v>866223.06348926027</v>
      </c>
      <c r="F316" s="33">
        <f>Examples!$E$18-(Examples!$E$10+Examples!$E$11)*$A316-(Examples!$E$6*Examples!$E$7*Examples!$E$8*EXP(-Examples!$E$9*$A316)*(1-(Examples!$E$12*(1-EXP(-Examples!$E$13*$A316))/(1+EXP(MIN(700,MAX(-700,(Examples!$E$14*$A316-Examples!$E$15)/Examples!$E$16))))))+Examples!$E$17*$A316^2)</f>
        <v>2488058.8213305189</v>
      </c>
      <c r="G316" s="33">
        <f>(Examples!$E$6*Examples!$E$7*Examples!$E$8*EXP(-Examples!$E$9*$A316)*(1-(Examples!$E$12*(1-EXP(-Examples!$E$13*$A316))/(1+EXP(MIN(700,MAX(-700,(Examples!$E$14*$A316-Examples!$E$15)/Examples!$E$16))))))+Examples!$E$17*$A316^2)</f>
        <v>245041.17866948125</v>
      </c>
      <c r="H316" s="33">
        <f>Examples!$F$18-(Examples!$F$10+Examples!$F$11)*$A316-(Examples!$F$6*Examples!$F$7*Examples!$F$8*EXP(-Examples!$F$9*$A316)*(1-(Examples!$F$12*(1-EXP(-Examples!$F$13*$A316))/(1+EXP(MIN(700,MAX(-700,(Examples!$F$14*$A316-Examples!$F$15)/Examples!$F$16))))))+Examples!$F$17*$A316^2)</f>
        <v>-116813.11928452869</v>
      </c>
      <c r="I316" s="33">
        <f>(Examples!$F$6*Examples!$F$7*Examples!$F$8*EXP(-Examples!$F$9*$A316)*(1-(Examples!$F$12*(1-EXP(-Examples!$F$13*$A316))/(1+EXP(MIN(700,MAX(-700,(Examples!$F$14*$A316-Examples!$F$15)/Examples!$F$16))))))+Examples!$F$17*$A316^2)</f>
        <v>204013.11928452869</v>
      </c>
      <c r="J316" s="33">
        <f>Examples!$G$18-(Examples!$G$10+Examples!$G$11)*$A316-(Examples!$G$6*Examples!$G$7*Examples!$G$8*EXP(-Examples!$G$9*$A316)*(1-(Examples!$G$12*(1-EXP(-Examples!$G$13*$A316))/(1+EXP(MIN(700,MAX(-700,(Examples!$G$14*$A316-Examples!$G$15)/Examples!$G$16))))))+Examples!$G$17*$A316^2)</f>
        <v>723844.1240869388</v>
      </c>
      <c r="K316" s="33">
        <f>(Examples!$G$6*Examples!$G$7*Examples!$G$8*EXP(-Examples!$G$9*$A316)*(1-(Examples!$G$12*(1-EXP(-Examples!$G$13*$A316))/(1+EXP(MIN(700,MAX(-700,(Examples!$G$14*$A316-Examples!$G$15)/Examples!$G$16))))))+Examples!$G$17*$A316^2)</f>
        <v>619155.8759130612</v>
      </c>
      <c r="L316" s="33">
        <f>Examples!$H$18-(Examples!$H$10+Examples!$H$11)*$A316-(Examples!$H$6*Examples!$H$7*Examples!$H$8*EXP(-Examples!$H$9*$A316)*(1-(Examples!$H$12*(1-EXP(-Examples!$H$13*$A316))/(1+EXP(MIN(700,MAX(-700,(Examples!$H$14*$A316-Examples!$H$15)/Examples!$H$16))))))+Examples!$H$17*$A316^2)</f>
        <v>645954.65163399745</v>
      </c>
      <c r="M316" s="33">
        <f>(Examples!$H$6*Examples!$H$7*Examples!$H$8*EXP(-Examples!$H$9*$A316)*(1-(Examples!$H$12*(1-EXP(-Examples!$H$13*$A316))/(1+EXP(MIN(700,MAX(-700,(Examples!$H$14*$A316-Examples!$H$15)/Examples!$H$16))))))+Examples!$H$17*$A316^2)</f>
        <v>697045.34836600255</v>
      </c>
    </row>
    <row r="317" spans="1:13" x14ac:dyDescent="0.25">
      <c r="A317">
        <f>(317-2)/100</f>
        <v>3.15</v>
      </c>
      <c r="B317" s="33">
        <f>Examples!$C$18-(Examples!$C$10+Examples!$C$11)*$A317-(Examples!$C$6*Examples!$C$7*Examples!$C$8*EXP(-Examples!$C$9*$A317)*(1-(Examples!$C$12*(1-EXP(-Examples!$C$13*$A317))/(1+EXP(MIN(700,MAX(-700,(Examples!$C$14*$A317-Examples!$C$15)/Examples!$C$16))))))+Examples!$C$17*$A317^2)</f>
        <v>108413.66507592157</v>
      </c>
      <c r="C317" s="33">
        <f>(Examples!$C$6*Examples!$C$7*Examples!$C$8*EXP(-Examples!$C$9*$A317)*(1-(Examples!$C$12*(1-EXP(-Examples!$C$13*$A317))/(1+EXP(MIN(700,MAX(-700,(Examples!$C$14*$A317-Examples!$C$15)/Examples!$C$16))))))+Examples!$C$17*$A317^2)</f>
        <v>381336.33492407843</v>
      </c>
      <c r="D317" s="33">
        <f>Examples!$D$18-(Examples!$D$10+Examples!$D$11)*$A317-(Examples!$D$6*Examples!$D$7*Examples!$D$8*EXP(-Examples!$D$9*$A317)*(1-(Examples!$D$12*(1-EXP(-Examples!$D$13*$A317))/(1+EXP(MIN(700,MAX(-700,(Examples!$D$14*$A317-Examples!$D$15)/Examples!$D$16))))))+Examples!$D$17*$A317^2)</f>
        <v>1493433.6735227997</v>
      </c>
      <c r="E317" s="33">
        <f>(Examples!$D$6*Examples!$D$7*Examples!$D$8*EXP(-Examples!$D$9*$A317)*(1-(Examples!$D$12*(1-EXP(-Examples!$D$13*$A317))/(1+EXP(MIN(700,MAX(-700,(Examples!$D$14*$A317-Examples!$D$15)/Examples!$D$16))))))+Examples!$D$17*$A317^2)</f>
        <v>864816.32647720037</v>
      </c>
      <c r="F317" s="33">
        <f>Examples!$E$18-(Examples!$E$10+Examples!$E$11)*$A317-(Examples!$E$6*Examples!$E$7*Examples!$E$8*EXP(-Examples!$E$9*$A317)*(1-(Examples!$E$12*(1-EXP(-Examples!$E$13*$A317))/(1+EXP(MIN(700,MAX(-700,(Examples!$E$14*$A317-Examples!$E$15)/Examples!$E$16))))))+Examples!$E$17*$A317^2)</f>
        <v>2487885.4049212639</v>
      </c>
      <c r="G317" s="33">
        <f>(Examples!$E$6*Examples!$E$7*Examples!$E$8*EXP(-Examples!$E$9*$A317)*(1-(Examples!$E$12*(1-EXP(-Examples!$E$13*$A317))/(1+EXP(MIN(700,MAX(-700,(Examples!$E$14*$A317-Examples!$E$15)/Examples!$E$16))))))+Examples!$E$17*$A317^2)</f>
        <v>244364.59507873596</v>
      </c>
      <c r="H317" s="33">
        <f>Examples!$F$18-(Examples!$F$10+Examples!$F$11)*$A317-(Examples!$F$6*Examples!$F$7*Examples!$F$8*EXP(-Examples!$F$9*$A317)*(1-(Examples!$F$12*(1-EXP(-Examples!$F$13*$A317))/(1+EXP(MIN(700,MAX(-700,(Examples!$F$14*$A317-Examples!$F$15)/Examples!$F$16))))))+Examples!$F$17*$A317^2)</f>
        <v>-118250.73162447047</v>
      </c>
      <c r="I317" s="33">
        <f>(Examples!$F$6*Examples!$F$7*Examples!$F$8*EXP(-Examples!$F$9*$A317)*(1-(Examples!$F$12*(1-EXP(-Examples!$F$13*$A317))/(1+EXP(MIN(700,MAX(-700,(Examples!$F$14*$A317-Examples!$F$15)/Examples!$F$16))))))+Examples!$F$17*$A317^2)</f>
        <v>205250.73162447047</v>
      </c>
      <c r="J317" s="33">
        <f>Examples!$G$18-(Examples!$G$10+Examples!$G$11)*$A317-(Examples!$G$6*Examples!$G$7*Examples!$G$8*EXP(-Examples!$G$9*$A317)*(1-(Examples!$G$12*(1-EXP(-Examples!$G$13*$A317))/(1+EXP(MIN(700,MAX(-700,(Examples!$G$14*$A317-Examples!$G$15)/Examples!$G$16))))))+Examples!$G$17*$A317^2)</f>
        <v>723719.68717631488</v>
      </c>
      <c r="K317" s="33">
        <f>(Examples!$G$6*Examples!$G$7*Examples!$G$8*EXP(-Examples!$G$9*$A317)*(1-(Examples!$G$12*(1-EXP(-Examples!$G$13*$A317))/(1+EXP(MIN(700,MAX(-700,(Examples!$G$14*$A317-Examples!$G$15)/Examples!$G$16))))))+Examples!$G$17*$A317^2)</f>
        <v>618780.31282368512</v>
      </c>
      <c r="L317" s="33">
        <f>Examples!$H$18-(Examples!$H$10+Examples!$H$11)*$A317-(Examples!$H$6*Examples!$H$7*Examples!$H$8*EXP(-Examples!$H$9*$A317)*(1-(Examples!$H$12*(1-EXP(-Examples!$H$13*$A317))/(1+EXP(MIN(700,MAX(-700,(Examples!$H$14*$A317-Examples!$H$15)/Examples!$H$16))))))+Examples!$H$17*$A317^2)</f>
        <v>645826.68542040221</v>
      </c>
      <c r="M317" s="33">
        <f>(Examples!$H$6*Examples!$H$7*Examples!$H$8*EXP(-Examples!$H$9*$A317)*(1-(Examples!$H$12*(1-EXP(-Examples!$H$13*$A317))/(1+EXP(MIN(700,MAX(-700,(Examples!$H$14*$A317-Examples!$H$15)/Examples!$H$16))))))+Examples!$H$17*$A317^2)</f>
        <v>696673.31457959779</v>
      </c>
    </row>
    <row r="318" spans="1:13" x14ac:dyDescent="0.25">
      <c r="A318">
        <f>(318-2)/100</f>
        <v>3.16</v>
      </c>
      <c r="B318" s="33">
        <f>Examples!$C$18-(Examples!$C$10+Examples!$C$11)*$A318-(Examples!$C$6*Examples!$C$7*Examples!$C$8*EXP(-Examples!$C$9*$A318)*(1-(Examples!$C$12*(1-EXP(-Examples!$C$13*$A318))/(1+EXP(MIN(700,MAX(-700,(Examples!$C$14*$A318-Examples!$C$15)/Examples!$C$16))))))+Examples!$C$17*$A318^2)</f>
        <v>107791.68464346515</v>
      </c>
      <c r="C318" s="33">
        <f>(Examples!$C$6*Examples!$C$7*Examples!$C$8*EXP(-Examples!$C$9*$A318)*(1-(Examples!$C$12*(1-EXP(-Examples!$C$13*$A318))/(1+EXP(MIN(700,MAX(-700,(Examples!$C$14*$A318-Examples!$C$15)/Examples!$C$16))))))+Examples!$C$17*$A318^2)</f>
        <v>381608.31535653485</v>
      </c>
      <c r="D318" s="33">
        <f>Examples!$D$18-(Examples!$D$10+Examples!$D$11)*$A318-(Examples!$D$6*Examples!$D$7*Examples!$D$8*EXP(-Examples!$D$9*$A318)*(1-(Examples!$D$12*(1-EXP(-Examples!$D$13*$A318))/(1+EXP(MIN(700,MAX(-700,(Examples!$D$14*$A318-Examples!$D$15)/Examples!$D$16))))))+Examples!$D$17*$A318^2)</f>
        <v>1494367.421501637</v>
      </c>
      <c r="E318" s="33">
        <f>(Examples!$D$6*Examples!$D$7*Examples!$D$8*EXP(-Examples!$D$9*$A318)*(1-(Examples!$D$12*(1-EXP(-Examples!$D$13*$A318))/(1+EXP(MIN(700,MAX(-700,(Examples!$D$14*$A318-Examples!$D$15)/Examples!$D$16))))))+Examples!$D$17*$A318^2)</f>
        <v>863432.57849836303</v>
      </c>
      <c r="F318" s="33">
        <f>Examples!$E$18-(Examples!$E$10+Examples!$E$11)*$A318-(Examples!$E$6*Examples!$E$7*Examples!$E$8*EXP(-Examples!$E$9*$A318)*(1-(Examples!$E$12*(1-EXP(-Examples!$E$13*$A318))/(1+EXP(MIN(700,MAX(-700,(Examples!$E$14*$A318-Examples!$E$15)/Examples!$E$16))))))+Examples!$E$17*$A318^2)</f>
        <v>2487702.5971324537</v>
      </c>
      <c r="G318" s="33">
        <f>(Examples!$E$6*Examples!$E$7*Examples!$E$8*EXP(-Examples!$E$9*$A318)*(1-(Examples!$E$12*(1-EXP(-Examples!$E$13*$A318))/(1+EXP(MIN(700,MAX(-700,(Examples!$E$14*$A318-Examples!$E$15)/Examples!$E$16))))))+Examples!$E$17*$A318^2)</f>
        <v>243697.40286754642</v>
      </c>
      <c r="H318" s="33">
        <f>Examples!$F$18-(Examples!$F$10+Examples!$F$11)*$A318-(Examples!$F$6*Examples!$F$7*Examples!$F$8*EXP(-Examples!$F$9*$A318)*(1-(Examples!$F$12*(1-EXP(-Examples!$F$13*$A318))/(1+EXP(MIN(700,MAX(-700,(Examples!$F$14*$A318-Examples!$F$15)/Examples!$F$16))))))+Examples!$F$17*$A318^2)</f>
        <v>-119692.40323581206</v>
      </c>
      <c r="I318" s="33">
        <f>(Examples!$F$6*Examples!$F$7*Examples!$F$8*EXP(-Examples!$F$9*$A318)*(1-(Examples!$F$12*(1-EXP(-Examples!$F$13*$A318))/(1+EXP(MIN(700,MAX(-700,(Examples!$F$14*$A318-Examples!$F$15)/Examples!$F$16))))))+Examples!$F$17*$A318^2)</f>
        <v>206492.40323581206</v>
      </c>
      <c r="J318" s="33">
        <f>Examples!$G$18-(Examples!$G$10+Examples!$G$11)*$A318-(Examples!$G$6*Examples!$G$7*Examples!$G$8*EXP(-Examples!$G$9*$A318)*(1-(Examples!$G$12*(1-EXP(-Examples!$G$13*$A318))/(1+EXP(MIN(700,MAX(-700,(Examples!$G$14*$A318-Examples!$G$15)/Examples!$G$16))))))+Examples!$G$17*$A318^2)</f>
        <v>723596.59574961965</v>
      </c>
      <c r="K318" s="33">
        <f>(Examples!$G$6*Examples!$G$7*Examples!$G$8*EXP(-Examples!$G$9*$A318)*(1-(Examples!$G$12*(1-EXP(-Examples!$G$13*$A318))/(1+EXP(MIN(700,MAX(-700,(Examples!$G$14*$A318-Examples!$G$15)/Examples!$G$16))))))+Examples!$G$17*$A318^2)</f>
        <v>618403.40425038035</v>
      </c>
      <c r="L318" s="33">
        <f>Examples!$H$18-(Examples!$H$10+Examples!$H$11)*$A318-(Examples!$H$6*Examples!$H$7*Examples!$H$8*EXP(-Examples!$H$9*$A318)*(1-(Examples!$H$12*(1-EXP(-Examples!$H$13*$A318))/(1+EXP(MIN(700,MAX(-700,(Examples!$H$14*$A318-Examples!$H$15)/Examples!$H$16))))))+Examples!$H$17*$A318^2)</f>
        <v>645727.79570283031</v>
      </c>
      <c r="M318" s="33">
        <f>(Examples!$H$6*Examples!$H$7*Examples!$H$8*EXP(-Examples!$H$9*$A318)*(1-(Examples!$H$12*(1-EXP(-Examples!$H$13*$A318))/(1+EXP(MIN(700,MAX(-700,(Examples!$H$14*$A318-Examples!$H$15)/Examples!$H$16))))))+Examples!$H$17*$A318^2)</f>
        <v>696272.20429716969</v>
      </c>
    </row>
    <row r="319" spans="1:13" x14ac:dyDescent="0.25">
      <c r="A319">
        <f>(319-2)/100</f>
        <v>3.17</v>
      </c>
      <c r="B319" s="33">
        <f>Examples!$C$18-(Examples!$C$10+Examples!$C$11)*$A319-(Examples!$C$6*Examples!$C$7*Examples!$C$8*EXP(-Examples!$C$9*$A319)*(1-(Examples!$C$12*(1-EXP(-Examples!$C$13*$A319))/(1+EXP(MIN(700,MAX(-700,(Examples!$C$14*$A319-Examples!$C$15)/Examples!$C$16))))))+Examples!$C$17*$A319^2)</f>
        <v>107165.41708591586</v>
      </c>
      <c r="C319" s="33">
        <f>(Examples!$C$6*Examples!$C$7*Examples!$C$8*EXP(-Examples!$C$9*$A319)*(1-(Examples!$C$12*(1-EXP(-Examples!$C$13*$A319))/(1+EXP(MIN(700,MAX(-700,(Examples!$C$14*$A319-Examples!$C$15)/Examples!$C$16))))))+Examples!$C$17*$A319^2)</f>
        <v>381884.58291408414</v>
      </c>
      <c r="D319" s="33">
        <f>Examples!$D$18-(Examples!$D$10+Examples!$D$11)*$A319-(Examples!$D$6*Examples!$D$7*Examples!$D$8*EXP(-Examples!$D$9*$A319)*(1-(Examples!$D$12*(1-EXP(-Examples!$D$13*$A319))/(1+EXP(MIN(700,MAX(-700,(Examples!$D$14*$A319-Examples!$D$15)/Examples!$D$16))))))+Examples!$D$17*$A319^2)</f>
        <v>1495278.6126022567</v>
      </c>
      <c r="E319" s="33">
        <f>(Examples!$D$6*Examples!$D$7*Examples!$D$8*EXP(-Examples!$D$9*$A319)*(1-(Examples!$D$12*(1-EXP(-Examples!$D$13*$A319))/(1+EXP(MIN(700,MAX(-700,(Examples!$D$14*$A319-Examples!$D$15)/Examples!$D$16))))))+Examples!$D$17*$A319^2)</f>
        <v>862071.38739774318</v>
      </c>
      <c r="F319" s="33">
        <f>Examples!$E$18-(Examples!$E$10+Examples!$E$11)*$A319-(Examples!$E$6*Examples!$E$7*Examples!$E$8*EXP(-Examples!$E$9*$A319)*(1-(Examples!$E$12*(1-EXP(-Examples!$E$13*$A319))/(1+EXP(MIN(700,MAX(-700,(Examples!$E$14*$A319-Examples!$E$15)/Examples!$E$16))))))+Examples!$E$17*$A319^2)</f>
        <v>2487510.5057220263</v>
      </c>
      <c r="G319" s="33">
        <f>(Examples!$E$6*Examples!$E$7*Examples!$E$8*EXP(-Examples!$E$9*$A319)*(1-(Examples!$E$12*(1-EXP(-Examples!$E$13*$A319))/(1+EXP(MIN(700,MAX(-700,(Examples!$E$14*$A319-Examples!$E$15)/Examples!$E$16))))))+Examples!$E$17*$A319^2)</f>
        <v>243039.49427797351</v>
      </c>
      <c r="H319" s="33">
        <f>Examples!$F$18-(Examples!$F$10+Examples!$F$11)*$A319-(Examples!$F$6*Examples!$F$7*Examples!$F$8*EXP(-Examples!$F$9*$A319)*(1-(Examples!$F$12*(1-EXP(-Examples!$F$13*$A319))/(1+EXP(MIN(700,MAX(-700,(Examples!$F$14*$A319-Examples!$F$15)/Examples!$F$16))))))+Examples!$F$17*$A319^2)</f>
        <v>-121138.13401239377</v>
      </c>
      <c r="I319" s="33">
        <f>(Examples!$F$6*Examples!$F$7*Examples!$F$8*EXP(-Examples!$F$9*$A319)*(1-(Examples!$F$12*(1-EXP(-Examples!$F$13*$A319))/(1+EXP(MIN(700,MAX(-700,(Examples!$F$14*$A319-Examples!$F$15)/Examples!$F$16))))))+Examples!$F$17*$A319^2)</f>
        <v>207738.13401239377</v>
      </c>
      <c r="J319" s="33">
        <f>Examples!$G$18-(Examples!$G$10+Examples!$G$11)*$A319-(Examples!$G$6*Examples!$G$7*Examples!$G$8*EXP(-Examples!$G$9*$A319)*(1-(Examples!$G$12*(1-EXP(-Examples!$G$13*$A319))/(1+EXP(MIN(700,MAX(-700,(Examples!$G$14*$A319-Examples!$G$15)/Examples!$G$16))))))+Examples!$G$17*$A319^2)</f>
        <v>723474.91212503088</v>
      </c>
      <c r="K319" s="33">
        <f>(Examples!$G$6*Examples!$G$7*Examples!$G$8*EXP(-Examples!$G$9*$A319)*(1-(Examples!$G$12*(1-EXP(-Examples!$G$13*$A319))/(1+EXP(MIN(700,MAX(-700,(Examples!$G$14*$A319-Examples!$G$15)/Examples!$G$16))))))+Examples!$G$17*$A319^2)</f>
        <v>618025.08787496912</v>
      </c>
      <c r="L319" s="33">
        <f>Examples!$H$18-(Examples!$H$10+Examples!$H$11)*$A319-(Examples!$H$6*Examples!$H$7*Examples!$H$8*EXP(-Examples!$H$9*$A319)*(1-(Examples!$H$12*(1-EXP(-Examples!$H$13*$A319))/(1+EXP(MIN(700,MAX(-700,(Examples!$H$14*$A319-Examples!$H$15)/Examples!$H$16))))))+Examples!$H$17*$A319^2)</f>
        <v>645657.25474510912</v>
      </c>
      <c r="M319" s="33">
        <f>(Examples!$H$6*Examples!$H$7*Examples!$H$8*EXP(-Examples!$H$9*$A319)*(1-(Examples!$H$12*(1-EXP(-Examples!$H$13*$A319))/(1+EXP(MIN(700,MAX(-700,(Examples!$H$14*$A319-Examples!$H$15)/Examples!$H$16))))))+Examples!$H$17*$A319^2)</f>
        <v>695842.74525489088</v>
      </c>
    </row>
    <row r="320" spans="1:13" x14ac:dyDescent="0.25">
      <c r="A320">
        <f>(320-2)/100</f>
        <v>3.18</v>
      </c>
      <c r="B320" s="33">
        <f>Examples!$C$18-(Examples!$C$10+Examples!$C$11)*$A320-(Examples!$C$6*Examples!$C$7*Examples!$C$8*EXP(-Examples!$C$9*$A320)*(1-(Examples!$C$12*(1-EXP(-Examples!$C$13*$A320))/(1+EXP(MIN(700,MAX(-700,(Examples!$C$14*$A320-Examples!$C$15)/Examples!$C$16))))))+Examples!$C$17*$A320^2)</f>
        <v>106534.84226998518</v>
      </c>
      <c r="C320" s="33">
        <f>(Examples!$C$6*Examples!$C$7*Examples!$C$8*EXP(-Examples!$C$9*$A320)*(1-(Examples!$C$12*(1-EXP(-Examples!$C$13*$A320))/(1+EXP(MIN(700,MAX(-700,(Examples!$C$14*$A320-Examples!$C$15)/Examples!$C$16))))))+Examples!$C$17*$A320^2)</f>
        <v>382165.15773001482</v>
      </c>
      <c r="D320" s="33">
        <f>Examples!$D$18-(Examples!$D$10+Examples!$D$11)*$A320-(Examples!$D$6*Examples!$D$7*Examples!$D$8*EXP(-Examples!$D$9*$A320)*(1-(Examples!$D$12*(1-EXP(-Examples!$D$13*$A320))/(1+EXP(MIN(700,MAX(-700,(Examples!$D$14*$A320-Examples!$D$15)/Examples!$D$16))))))+Examples!$D$17*$A320^2)</f>
        <v>1496167.6777872508</v>
      </c>
      <c r="E320" s="33">
        <f>(Examples!$D$6*Examples!$D$7*Examples!$D$8*EXP(-Examples!$D$9*$A320)*(1-(Examples!$D$12*(1-EXP(-Examples!$D$13*$A320))/(1+EXP(MIN(700,MAX(-700,(Examples!$D$14*$A320-Examples!$D$15)/Examples!$D$16))))))+Examples!$D$17*$A320^2)</f>
        <v>860732.32221274904</v>
      </c>
      <c r="F320" s="33">
        <f>Examples!$E$18-(Examples!$E$10+Examples!$E$11)*$A320-(Examples!$E$6*Examples!$E$7*Examples!$E$8*EXP(-Examples!$E$9*$A320)*(1-(Examples!$E$12*(1-EXP(-Examples!$E$13*$A320))/(1+EXP(MIN(700,MAX(-700,(Examples!$E$14*$A320-Examples!$E$15)/Examples!$E$16))))))+Examples!$E$17*$A320^2)</f>
        <v>2487309.2373439791</v>
      </c>
      <c r="G320" s="33">
        <f>(Examples!$E$6*Examples!$E$7*Examples!$E$8*EXP(-Examples!$E$9*$A320)*(1-(Examples!$E$12*(1-EXP(-Examples!$E$13*$A320))/(1+EXP(MIN(700,MAX(-700,(Examples!$E$14*$A320-Examples!$E$15)/Examples!$E$16))))))+Examples!$E$17*$A320^2)</f>
        <v>242390.76265602111</v>
      </c>
      <c r="H320" s="33">
        <f>Examples!$F$18-(Examples!$F$10+Examples!$F$11)*$A320-(Examples!$F$6*Examples!$F$7*Examples!$F$8*EXP(-Examples!$F$9*$A320)*(1-(Examples!$F$12*(1-EXP(-Examples!$F$13*$A320))/(1+EXP(MIN(700,MAX(-700,(Examples!$F$14*$A320-Examples!$F$15)/Examples!$F$16))))))+Examples!$F$17*$A320^2)</f>
        <v>-122587.92384557176</v>
      </c>
      <c r="I320" s="33">
        <f>(Examples!$F$6*Examples!$F$7*Examples!$F$8*EXP(-Examples!$F$9*$A320)*(1-(Examples!$F$12*(1-EXP(-Examples!$F$13*$A320))/(1+EXP(MIN(700,MAX(-700,(Examples!$F$14*$A320-Examples!$F$15)/Examples!$F$16))))))+Examples!$F$17*$A320^2)</f>
        <v>208987.92384557176</v>
      </c>
      <c r="J320" s="33">
        <f>Examples!$G$18-(Examples!$G$10+Examples!$G$11)*$A320-(Examples!$G$6*Examples!$G$7*Examples!$G$8*EXP(-Examples!$G$9*$A320)*(1-(Examples!$G$12*(1-EXP(-Examples!$G$13*$A320))/(1+EXP(MIN(700,MAX(-700,(Examples!$G$14*$A320-Examples!$G$15)/Examples!$G$16))))))+Examples!$G$17*$A320^2)</f>
        <v>723354.6956254954</v>
      </c>
      <c r="K320" s="33">
        <f>(Examples!$G$6*Examples!$G$7*Examples!$G$8*EXP(-Examples!$G$9*$A320)*(1-(Examples!$G$12*(1-EXP(-Examples!$G$13*$A320))/(1+EXP(MIN(700,MAX(-700,(Examples!$G$14*$A320-Examples!$G$15)/Examples!$G$16))))))+Examples!$G$17*$A320^2)</f>
        <v>617645.3043745046</v>
      </c>
      <c r="L320" s="33">
        <f>Examples!$H$18-(Examples!$H$10+Examples!$H$11)*$A320-(Examples!$H$6*Examples!$H$7*Examples!$H$8*EXP(-Examples!$H$9*$A320)*(1-(Examples!$H$12*(1-EXP(-Examples!$H$13*$A320))/(1+EXP(MIN(700,MAX(-700,(Examples!$H$14*$A320-Examples!$H$15)/Examples!$H$16))))))+Examples!$H$17*$A320^2)</f>
        <v>645614.33321894985</v>
      </c>
      <c r="M320" s="33">
        <f>(Examples!$H$6*Examples!$H$7*Examples!$H$8*EXP(-Examples!$H$9*$A320)*(1-(Examples!$H$12*(1-EXP(-Examples!$H$13*$A320))/(1+EXP(MIN(700,MAX(-700,(Examples!$H$14*$A320-Examples!$H$15)/Examples!$H$16))))))+Examples!$H$17*$A320^2)</f>
        <v>695385.66678105015</v>
      </c>
    </row>
    <row r="321" spans="1:13" x14ac:dyDescent="0.25">
      <c r="A321">
        <f>(321-2)/100</f>
        <v>3.19</v>
      </c>
      <c r="B321" s="33">
        <f>Examples!$C$18-(Examples!$C$10+Examples!$C$11)*$A321-(Examples!$C$6*Examples!$C$7*Examples!$C$8*EXP(-Examples!$C$9*$A321)*(1-(Examples!$C$12*(1-EXP(-Examples!$C$13*$A321))/(1+EXP(MIN(700,MAX(-700,(Examples!$C$14*$A321-Examples!$C$15)/Examples!$C$16))))))+Examples!$C$17*$A321^2)</f>
        <v>105899.94087742851</v>
      </c>
      <c r="C321" s="33">
        <f>(Examples!$C$6*Examples!$C$7*Examples!$C$8*EXP(-Examples!$C$9*$A321)*(1-(Examples!$C$12*(1-EXP(-Examples!$C$13*$A321))/(1+EXP(MIN(700,MAX(-700,(Examples!$C$14*$A321-Examples!$C$15)/Examples!$C$16))))))+Examples!$C$17*$A321^2)</f>
        <v>382450.05912257149</v>
      </c>
      <c r="D321" s="33">
        <f>Examples!$D$18-(Examples!$D$10+Examples!$D$11)*$A321-(Examples!$D$6*Examples!$D$7*Examples!$D$8*EXP(-Examples!$D$9*$A321)*(1-(Examples!$D$12*(1-EXP(-Examples!$D$13*$A321))/(1+EXP(MIN(700,MAX(-700,(Examples!$D$14*$A321-Examples!$D$15)/Examples!$D$16))))))+Examples!$D$17*$A321^2)</f>
        <v>1497035.0467849479</v>
      </c>
      <c r="E321" s="33">
        <f>(Examples!$D$6*Examples!$D$7*Examples!$D$8*EXP(-Examples!$D$9*$A321)*(1-(Examples!$D$12*(1-EXP(-Examples!$D$13*$A321))/(1+EXP(MIN(700,MAX(-700,(Examples!$D$14*$A321-Examples!$D$15)/Examples!$D$16))))))+Examples!$D$17*$A321^2)</f>
        <v>859414.95321505214</v>
      </c>
      <c r="F321" s="33">
        <f>Examples!$E$18-(Examples!$E$10+Examples!$E$11)*$A321-(Examples!$E$6*Examples!$E$7*Examples!$E$8*EXP(-Examples!$E$9*$A321)*(1-(Examples!$E$12*(1-EXP(-Examples!$E$13*$A321))/(1+EXP(MIN(700,MAX(-700,(Examples!$E$14*$A321-Examples!$E$15)/Examples!$E$16))))))+Examples!$E$17*$A321^2)</f>
        <v>2487098.8975607264</v>
      </c>
      <c r="G321" s="33">
        <f>(Examples!$E$6*Examples!$E$7*Examples!$E$8*EXP(-Examples!$E$9*$A321)*(1-(Examples!$E$12*(1-EXP(-Examples!$E$13*$A321))/(1+EXP(MIN(700,MAX(-700,(Examples!$E$14*$A321-Examples!$E$15)/Examples!$E$16))))))+Examples!$E$17*$A321^2)</f>
        <v>241751.1024392735</v>
      </c>
      <c r="H321" s="33">
        <f>Examples!$F$18-(Examples!$F$10+Examples!$F$11)*$A321-(Examples!$F$6*Examples!$F$7*Examples!$F$8*EXP(-Examples!$F$9*$A321)*(1-(Examples!$F$12*(1-EXP(-Examples!$F$13*$A321))/(1+EXP(MIN(700,MAX(-700,(Examples!$F$14*$A321-Examples!$F$15)/Examples!$F$16))))))+Examples!$F$17*$A321^2)</f>
        <v>-124041.77262433351</v>
      </c>
      <c r="I321" s="33">
        <f>(Examples!$F$6*Examples!$F$7*Examples!$F$8*EXP(-Examples!$F$9*$A321)*(1-(Examples!$F$12*(1-EXP(-Examples!$F$13*$A321))/(1+EXP(MIN(700,MAX(-700,(Examples!$F$14*$A321-Examples!$F$15)/Examples!$F$16))))))+Examples!$F$17*$A321^2)</f>
        <v>210241.77262433351</v>
      </c>
      <c r="J321" s="33">
        <f>Examples!$G$18-(Examples!$G$10+Examples!$G$11)*$A321-(Examples!$G$6*Examples!$G$7*Examples!$G$8*EXP(-Examples!$G$9*$A321)*(1-(Examples!$G$12*(1-EXP(-Examples!$G$13*$A321))/(1+EXP(MIN(700,MAX(-700,(Examples!$G$14*$A321-Examples!$G$15)/Examples!$G$16))))))+Examples!$G$17*$A321^2)</f>
        <v>723236.00261362363</v>
      </c>
      <c r="K321" s="33">
        <f>(Examples!$G$6*Examples!$G$7*Examples!$G$8*EXP(-Examples!$G$9*$A321)*(1-(Examples!$G$12*(1-EXP(-Examples!$G$13*$A321))/(1+EXP(MIN(700,MAX(-700,(Examples!$G$14*$A321-Examples!$G$15)/Examples!$G$16))))))+Examples!$G$17*$A321^2)</f>
        <v>617263.99738637637</v>
      </c>
      <c r="L321" s="33">
        <f>Examples!$H$18-(Examples!$H$10+Examples!$H$11)*$A321-(Examples!$H$6*Examples!$H$7*Examples!$H$8*EXP(-Examples!$H$9*$A321)*(1-(Examples!$H$12*(1-EXP(-Examples!$H$13*$A321))/(1+EXP(MIN(700,MAX(-700,(Examples!$H$14*$A321-Examples!$H$15)/Examples!$H$16))))))+Examples!$H$17*$A321^2)</f>
        <v>645598.3013440707</v>
      </c>
      <c r="M321" s="33">
        <f>(Examples!$H$6*Examples!$H$7*Examples!$H$8*EXP(-Examples!$H$9*$A321)*(1-(Examples!$H$12*(1-EXP(-Examples!$H$13*$A321))/(1+EXP(MIN(700,MAX(-700,(Examples!$H$14*$A321-Examples!$H$15)/Examples!$H$16))))))+Examples!$H$17*$A321^2)</f>
        <v>694901.6986559293</v>
      </c>
    </row>
    <row r="322" spans="1:13" x14ac:dyDescent="0.25">
      <c r="A322">
        <f>(322-2)/100</f>
        <v>3.2</v>
      </c>
      <c r="B322" s="33">
        <f>Examples!$C$18-(Examples!$C$10+Examples!$C$11)*$A322-(Examples!$C$6*Examples!$C$7*Examples!$C$8*EXP(-Examples!$C$9*$A322)*(1-(Examples!$C$12*(1-EXP(-Examples!$C$13*$A322))/(1+EXP(MIN(700,MAX(-700,(Examples!$C$14*$A322-Examples!$C$15)/Examples!$C$16))))))+Examples!$C$17*$A322^2)</f>
        <v>105260.69438061689</v>
      </c>
      <c r="C322" s="33">
        <f>(Examples!$C$6*Examples!$C$7*Examples!$C$8*EXP(-Examples!$C$9*$A322)*(1-(Examples!$C$12*(1-EXP(-Examples!$C$13*$A322))/(1+EXP(MIN(700,MAX(-700,(Examples!$C$14*$A322-Examples!$C$15)/Examples!$C$16))))))+Examples!$C$17*$A322^2)</f>
        <v>382739.30561938311</v>
      </c>
      <c r="D322" s="33">
        <f>Examples!$D$18-(Examples!$D$10+Examples!$D$11)*$A322-(Examples!$D$6*Examples!$D$7*Examples!$D$8*EXP(-Examples!$D$9*$A322)*(1-(Examples!$D$12*(1-EXP(-Examples!$D$13*$A322))/(1+EXP(MIN(700,MAX(-700,(Examples!$D$14*$A322-Examples!$D$15)/Examples!$D$16))))))+Examples!$D$17*$A322^2)</f>
        <v>1497881.1480461408</v>
      </c>
      <c r="E322" s="33">
        <f>(Examples!$D$6*Examples!$D$7*Examples!$D$8*EXP(-Examples!$D$9*$A322)*(1-(Examples!$D$12*(1-EXP(-Examples!$D$13*$A322))/(1+EXP(MIN(700,MAX(-700,(Examples!$D$14*$A322-Examples!$D$15)/Examples!$D$16))))))+Examples!$D$17*$A322^2)</f>
        <v>858118.85195385921</v>
      </c>
      <c r="F322" s="33">
        <f>Examples!$E$18-(Examples!$E$10+Examples!$E$11)*$A322-(Examples!$E$6*Examples!$E$7*Examples!$E$8*EXP(-Examples!$E$9*$A322)*(1-(Examples!$E$12*(1-EXP(-Examples!$E$13*$A322))/(1+EXP(MIN(700,MAX(-700,(Examples!$E$14*$A322-Examples!$E$15)/Examples!$E$16))))))+Examples!$E$17*$A322^2)</f>
        <v>2486879.5908553023</v>
      </c>
      <c r="G322" s="33">
        <f>(Examples!$E$6*Examples!$E$7*Examples!$E$8*EXP(-Examples!$E$9*$A322)*(1-(Examples!$E$12*(1-EXP(-Examples!$E$13*$A322))/(1+EXP(MIN(700,MAX(-700,(Examples!$E$14*$A322-Examples!$E$15)/Examples!$E$16))))))+Examples!$E$17*$A322^2)</f>
        <v>241120.40914469771</v>
      </c>
      <c r="H322" s="33">
        <f>Examples!$F$18-(Examples!$F$10+Examples!$F$11)*$A322-(Examples!$F$6*Examples!$F$7*Examples!$F$8*EXP(-Examples!$F$9*$A322)*(1-(Examples!$F$12*(1-EXP(-Examples!$F$13*$A322))/(1+EXP(MIN(700,MAX(-700,(Examples!$F$14*$A322-Examples!$F$15)/Examples!$F$16))))))+Examples!$F$17*$A322^2)</f>
        <v>-125499.68023540953</v>
      </c>
      <c r="I322" s="33">
        <f>(Examples!$F$6*Examples!$F$7*Examples!$F$8*EXP(-Examples!$F$9*$A322)*(1-(Examples!$F$12*(1-EXP(-Examples!$F$13*$A322))/(1+EXP(MIN(700,MAX(-700,(Examples!$F$14*$A322-Examples!$F$15)/Examples!$F$16))))))+Examples!$F$17*$A322^2)</f>
        <v>211499.68023540953</v>
      </c>
      <c r="J322" s="33">
        <f>Examples!$G$18-(Examples!$G$10+Examples!$G$11)*$A322-(Examples!$G$6*Examples!$G$7*Examples!$G$8*EXP(-Examples!$G$9*$A322)*(1-(Examples!$G$12*(1-EXP(-Examples!$G$13*$A322))/(1+EXP(MIN(700,MAX(-700,(Examples!$G$14*$A322-Examples!$G$15)/Examples!$G$16))))))+Examples!$G$17*$A322^2)</f>
        <v>723118.88652732549</v>
      </c>
      <c r="K322" s="33">
        <f>(Examples!$G$6*Examples!$G$7*Examples!$G$8*EXP(-Examples!$G$9*$A322)*(1-(Examples!$G$12*(1-EXP(-Examples!$G$13*$A322))/(1+EXP(MIN(700,MAX(-700,(Examples!$G$14*$A322-Examples!$G$15)/Examples!$G$16))))))+Examples!$G$17*$A322^2)</f>
        <v>616881.11347267451</v>
      </c>
      <c r="L322" s="33">
        <f>Examples!$H$18-(Examples!$H$10+Examples!$H$11)*$A322-(Examples!$H$6*Examples!$H$7*Examples!$H$8*EXP(-Examples!$H$9*$A322)*(1-(Examples!$H$12*(1-EXP(-Examples!$H$13*$A322))/(1+EXP(MIN(700,MAX(-700,(Examples!$H$14*$A322-Examples!$H$15)/Examples!$H$16))))))+Examples!$H$17*$A322^2)</f>
        <v>645608.42996466346</v>
      </c>
      <c r="M322" s="33">
        <f>(Examples!$H$6*Examples!$H$7*Examples!$H$8*EXP(-Examples!$H$9*$A322)*(1-(Examples!$H$12*(1-EXP(-Examples!$H$13*$A322))/(1+EXP(MIN(700,MAX(-700,(Examples!$H$14*$A322-Examples!$H$15)/Examples!$H$16))))))+Examples!$H$17*$A322^2)</f>
        <v>694391.57003533654</v>
      </c>
    </row>
    <row r="323" spans="1:13" x14ac:dyDescent="0.25">
      <c r="A323">
        <f>(323-2)/100</f>
        <v>3.21</v>
      </c>
      <c r="B323" s="33">
        <f>Examples!$C$18-(Examples!$C$10+Examples!$C$11)*$A323-(Examples!$C$6*Examples!$C$7*Examples!$C$8*EXP(-Examples!$C$9*$A323)*(1-(Examples!$C$12*(1-EXP(-Examples!$C$13*$A323))/(1+EXP(MIN(700,MAX(-700,(Examples!$C$14*$A323-Examples!$C$15)/Examples!$C$16))))))+Examples!$C$17*$A323^2)</f>
        <v>104617.08501871413</v>
      </c>
      <c r="C323" s="33">
        <f>(Examples!$C$6*Examples!$C$7*Examples!$C$8*EXP(-Examples!$C$9*$A323)*(1-(Examples!$C$12*(1-EXP(-Examples!$C$13*$A323))/(1+EXP(MIN(700,MAX(-700,(Examples!$C$14*$A323-Examples!$C$15)/Examples!$C$16))))))+Examples!$C$17*$A323^2)</f>
        <v>383032.91498128587</v>
      </c>
      <c r="D323" s="33">
        <f>Examples!$D$18-(Examples!$D$10+Examples!$D$11)*$A323-(Examples!$D$6*Examples!$D$7*Examples!$D$8*EXP(-Examples!$D$9*$A323)*(1-(Examples!$D$12*(1-EXP(-Examples!$D$13*$A323))/(1+EXP(MIN(700,MAX(-700,(Examples!$D$14*$A323-Examples!$D$15)/Examples!$D$16))))))+Examples!$D$17*$A323^2)</f>
        <v>1498706.4086994291</v>
      </c>
      <c r="E323" s="33">
        <f>(Examples!$D$6*Examples!$D$7*Examples!$D$8*EXP(-Examples!$D$9*$A323)*(1-(Examples!$D$12*(1-EXP(-Examples!$D$13*$A323))/(1+EXP(MIN(700,MAX(-700,(Examples!$D$14*$A323-Examples!$D$15)/Examples!$D$16))))))+Examples!$D$17*$A323^2)</f>
        <v>856843.59130057099</v>
      </c>
      <c r="F323" s="33">
        <f>Examples!$E$18-(Examples!$E$10+Examples!$E$11)*$A323-(Examples!$E$6*Examples!$E$7*Examples!$E$8*EXP(-Examples!$E$9*$A323)*(1-(Examples!$E$12*(1-EXP(-Examples!$E$13*$A323))/(1+EXP(MIN(700,MAX(-700,(Examples!$E$14*$A323-Examples!$E$15)/Examples!$E$16))))))+Examples!$E$17*$A323^2)</f>
        <v>2486651.4206433906</v>
      </c>
      <c r="G323" s="33">
        <f>(Examples!$E$6*Examples!$E$7*Examples!$E$8*EXP(-Examples!$E$9*$A323)*(1-(Examples!$E$12*(1-EXP(-Examples!$E$13*$A323))/(1+EXP(MIN(700,MAX(-700,(Examples!$E$14*$A323-Examples!$E$15)/Examples!$E$16))))))+Examples!$E$17*$A323^2)</f>
        <v>240498.57935660926</v>
      </c>
      <c r="H323" s="33">
        <f>Examples!$F$18-(Examples!$F$10+Examples!$F$11)*$A323-(Examples!$F$6*Examples!$F$7*Examples!$F$8*EXP(-Examples!$F$9*$A323)*(1-(Examples!$F$12*(1-EXP(-Examples!$F$13*$A323))/(1+EXP(MIN(700,MAX(-700,(Examples!$F$14*$A323-Examples!$F$15)/Examples!$F$16))))))+Examples!$F$17*$A323^2)</f>
        <v>-126961.64656338017</v>
      </c>
      <c r="I323" s="33">
        <f>(Examples!$F$6*Examples!$F$7*Examples!$F$8*EXP(-Examples!$F$9*$A323)*(1-(Examples!$F$12*(1-EXP(-Examples!$F$13*$A323))/(1+EXP(MIN(700,MAX(-700,(Examples!$F$14*$A323-Examples!$F$15)/Examples!$F$16))))))+Examples!$F$17*$A323^2)</f>
        <v>212761.64656338017</v>
      </c>
      <c r="J323" s="33">
        <f>Examples!$G$18-(Examples!$G$10+Examples!$G$11)*$A323-(Examples!$G$6*Examples!$G$7*Examples!$G$8*EXP(-Examples!$G$9*$A323)*(1-(Examples!$G$12*(1-EXP(-Examples!$G$13*$A323))/(1+EXP(MIN(700,MAX(-700,(Examples!$G$14*$A323-Examples!$G$15)/Examples!$G$16))))))+Examples!$G$17*$A323^2)</f>
        <v>723003.39791614946</v>
      </c>
      <c r="K323" s="33">
        <f>(Examples!$G$6*Examples!$G$7*Examples!$G$8*EXP(-Examples!$G$9*$A323)*(1-(Examples!$G$12*(1-EXP(-Examples!$G$13*$A323))/(1+EXP(MIN(700,MAX(-700,(Examples!$G$14*$A323-Examples!$G$15)/Examples!$G$16))))))+Examples!$G$17*$A323^2)</f>
        <v>616496.60208385054</v>
      </c>
      <c r="L323" s="33">
        <f>Examples!$H$18-(Examples!$H$10+Examples!$H$11)*$A323-(Examples!$H$6*Examples!$H$7*Examples!$H$8*EXP(-Examples!$H$9*$A323)*(1-(Examples!$H$12*(1-EXP(-Examples!$H$13*$A323))/(1+EXP(MIN(700,MAX(-700,(Examples!$H$14*$A323-Examples!$H$15)/Examples!$H$16))))))+Examples!$H$17*$A323^2)</f>
        <v>645643.99156324612</v>
      </c>
      <c r="M323" s="33">
        <f>(Examples!$H$6*Examples!$H$7*Examples!$H$8*EXP(-Examples!$H$9*$A323)*(1-(Examples!$H$12*(1-EXP(-Examples!$H$13*$A323))/(1+EXP(MIN(700,MAX(-700,(Examples!$H$14*$A323-Examples!$H$15)/Examples!$H$16))))))+Examples!$H$17*$A323^2)</f>
        <v>693856.00843675388</v>
      </c>
    </row>
    <row r="324" spans="1:13" x14ac:dyDescent="0.25">
      <c r="A324">
        <f>(324-2)/100</f>
        <v>3.22</v>
      </c>
      <c r="B324" s="33">
        <f>Examples!$C$18-(Examples!$C$10+Examples!$C$11)*$A324-(Examples!$C$6*Examples!$C$7*Examples!$C$8*EXP(-Examples!$C$9*$A324)*(1-(Examples!$C$12*(1-EXP(-Examples!$C$13*$A324))/(1+EXP(MIN(700,MAX(-700,(Examples!$C$14*$A324-Examples!$C$15)/Examples!$C$16))))))+Examples!$C$17*$A324^2)</f>
        <v>103969.09577445011</v>
      </c>
      <c r="C324" s="33">
        <f>(Examples!$C$6*Examples!$C$7*Examples!$C$8*EXP(-Examples!$C$9*$A324)*(1-(Examples!$C$12*(1-EXP(-Examples!$C$13*$A324))/(1+EXP(MIN(700,MAX(-700,(Examples!$C$14*$A324-Examples!$C$15)/Examples!$C$16))))))+Examples!$C$17*$A324^2)</f>
        <v>383330.90422554989</v>
      </c>
      <c r="D324" s="33">
        <f>Examples!$D$18-(Examples!$D$10+Examples!$D$11)*$A324-(Examples!$D$6*Examples!$D$7*Examples!$D$8*EXP(-Examples!$D$9*$A324)*(1-(Examples!$D$12*(1-EXP(-Examples!$D$13*$A324))/(1+EXP(MIN(700,MAX(-700,(Examples!$D$14*$A324-Examples!$D$15)/Examples!$D$16))))))+Examples!$D$17*$A324^2)</f>
        <v>1499511.2545052012</v>
      </c>
      <c r="E324" s="33">
        <f>(Examples!$D$6*Examples!$D$7*Examples!$D$8*EXP(-Examples!$D$9*$A324)*(1-(Examples!$D$12*(1-EXP(-Examples!$D$13*$A324))/(1+EXP(MIN(700,MAX(-700,(Examples!$D$14*$A324-Examples!$D$15)/Examples!$D$16))))))+Examples!$D$17*$A324^2)</f>
        <v>855588.74549479887</v>
      </c>
      <c r="F324" s="33">
        <f>Examples!$E$18-(Examples!$E$10+Examples!$E$11)*$A324-(Examples!$E$6*Examples!$E$7*Examples!$E$8*EXP(-Examples!$E$9*$A324)*(1-(Examples!$E$12*(1-EXP(-Examples!$E$13*$A324))/(1+EXP(MIN(700,MAX(-700,(Examples!$E$14*$A324-Examples!$E$15)/Examples!$E$16))))))+Examples!$E$17*$A324^2)</f>
        <v>2486414.4892852022</v>
      </c>
      <c r="G324" s="33">
        <f>(Examples!$E$6*Examples!$E$7*Examples!$E$8*EXP(-Examples!$E$9*$A324)*(1-(Examples!$E$12*(1-EXP(-Examples!$E$13*$A324))/(1+EXP(MIN(700,MAX(-700,(Examples!$E$14*$A324-Examples!$E$15)/Examples!$E$16))))))+Examples!$E$17*$A324^2)</f>
        <v>239885.5107147978</v>
      </c>
      <c r="H324" s="33">
        <f>Examples!$F$18-(Examples!$F$10+Examples!$F$11)*$A324-(Examples!$F$6*Examples!$F$7*Examples!$F$8*EXP(-Examples!$F$9*$A324)*(1-(Examples!$F$12*(1-EXP(-Examples!$F$13*$A324))/(1+EXP(MIN(700,MAX(-700,(Examples!$F$14*$A324-Examples!$F$15)/Examples!$F$16))))))+Examples!$F$17*$A324^2)</f>
        <v>-128427.67149077891</v>
      </c>
      <c r="I324" s="33">
        <f>(Examples!$F$6*Examples!$F$7*Examples!$F$8*EXP(-Examples!$F$9*$A324)*(1-(Examples!$F$12*(1-EXP(-Examples!$F$13*$A324))/(1+EXP(MIN(700,MAX(-700,(Examples!$F$14*$A324-Examples!$F$15)/Examples!$F$16))))))+Examples!$F$17*$A324^2)</f>
        <v>214027.67149077891</v>
      </c>
      <c r="J324" s="33">
        <f>Examples!$G$18-(Examples!$G$10+Examples!$G$11)*$A324-(Examples!$G$6*Examples!$G$7*Examples!$G$8*EXP(-Examples!$G$9*$A324)*(1-(Examples!$G$12*(1-EXP(-Examples!$G$13*$A324))/(1+EXP(MIN(700,MAX(-700,(Examples!$G$14*$A324-Examples!$G$15)/Examples!$G$16))))))+Examples!$G$17*$A324^2)</f>
        <v>722889.5844783003</v>
      </c>
      <c r="K324" s="33">
        <f>(Examples!$G$6*Examples!$G$7*Examples!$G$8*EXP(-Examples!$G$9*$A324)*(1-(Examples!$G$12*(1-EXP(-Examples!$G$13*$A324))/(1+EXP(MIN(700,MAX(-700,(Examples!$G$14*$A324-Examples!$G$15)/Examples!$G$16))))))+Examples!$G$17*$A324^2)</f>
        <v>616110.4155216997</v>
      </c>
      <c r="L324" s="33">
        <f>Examples!$H$18-(Examples!$H$10+Examples!$H$11)*$A324-(Examples!$H$6*Examples!$H$7*Examples!$H$8*EXP(-Examples!$H$9*$A324)*(1-(Examples!$H$12*(1-EXP(-Examples!$H$13*$A324))/(1+EXP(MIN(700,MAX(-700,(Examples!$H$14*$A324-Examples!$H$15)/Examples!$H$16))))))+Examples!$H$17*$A324^2)</f>
        <v>645704.26121311029</v>
      </c>
      <c r="M324" s="33">
        <f>(Examples!$H$6*Examples!$H$7*Examples!$H$8*EXP(-Examples!$H$9*$A324)*(1-(Examples!$H$12*(1-EXP(-Examples!$H$13*$A324))/(1+EXP(MIN(700,MAX(-700,(Examples!$H$14*$A324-Examples!$H$15)/Examples!$H$16))))))+Examples!$H$17*$A324^2)</f>
        <v>693295.73878688971</v>
      </c>
    </row>
    <row r="325" spans="1:13" x14ac:dyDescent="0.25">
      <c r="A325">
        <f>(325-2)/100</f>
        <v>3.23</v>
      </c>
      <c r="B325" s="33">
        <f>Examples!$C$18-(Examples!$C$10+Examples!$C$11)*$A325-(Examples!$C$6*Examples!$C$7*Examples!$C$8*EXP(-Examples!$C$9*$A325)*(1-(Examples!$C$12*(1-EXP(-Examples!$C$13*$A325))/(1+EXP(MIN(700,MAX(-700,(Examples!$C$14*$A325-Examples!$C$15)/Examples!$C$16))))))+Examples!$C$17*$A325^2)</f>
        <v>103316.71035148436</v>
      </c>
      <c r="C325" s="33">
        <f>(Examples!$C$6*Examples!$C$7*Examples!$C$8*EXP(-Examples!$C$9*$A325)*(1-(Examples!$C$12*(1-EXP(-Examples!$C$13*$A325))/(1+EXP(MIN(700,MAX(-700,(Examples!$C$14*$A325-Examples!$C$15)/Examples!$C$16))))))+Examples!$C$17*$A325^2)</f>
        <v>383633.28964851564</v>
      </c>
      <c r="D325" s="33">
        <f>Examples!$D$18-(Examples!$D$10+Examples!$D$11)*$A325-(Examples!$D$6*Examples!$D$7*Examples!$D$8*EXP(-Examples!$D$9*$A325)*(1-(Examples!$D$12*(1-EXP(-Examples!$D$13*$A325))/(1+EXP(MIN(700,MAX(-700,(Examples!$D$14*$A325-Examples!$D$15)/Examples!$D$16))))))+Examples!$D$17*$A325^2)</f>
        <v>1500296.1098082974</v>
      </c>
      <c r="E325" s="33">
        <f>(Examples!$D$6*Examples!$D$7*Examples!$D$8*EXP(-Examples!$D$9*$A325)*(1-(Examples!$D$12*(1-EXP(-Examples!$D$13*$A325))/(1+EXP(MIN(700,MAX(-700,(Examples!$D$14*$A325-Examples!$D$15)/Examples!$D$16))))))+Examples!$D$17*$A325^2)</f>
        <v>854353.89019170264</v>
      </c>
      <c r="F325" s="33">
        <f>Examples!$E$18-(Examples!$E$10+Examples!$E$11)*$A325-(Examples!$E$6*Examples!$E$7*Examples!$E$8*EXP(-Examples!$E$9*$A325)*(1-(Examples!$E$12*(1-EXP(-Examples!$E$13*$A325))/(1+EXP(MIN(700,MAX(-700,(Examples!$E$14*$A325-Examples!$E$15)/Examples!$E$16))))))+Examples!$E$17*$A325^2)</f>
        <v>2486168.8980971863</v>
      </c>
      <c r="G325" s="33">
        <f>(Examples!$E$6*Examples!$E$7*Examples!$E$8*EXP(-Examples!$E$9*$A325)*(1-(Examples!$E$12*(1-EXP(-Examples!$E$13*$A325))/(1+EXP(MIN(700,MAX(-700,(Examples!$E$14*$A325-Examples!$E$15)/Examples!$E$16))))))+Examples!$E$17*$A325^2)</f>
        <v>239281.10190281356</v>
      </c>
      <c r="H325" s="33">
        <f>Examples!$F$18-(Examples!$F$10+Examples!$F$11)*$A325-(Examples!$F$6*Examples!$F$7*Examples!$F$8*EXP(-Examples!$F$9*$A325)*(1-(Examples!$F$12*(1-EXP(-Examples!$F$13*$A325))/(1+EXP(MIN(700,MAX(-700,(Examples!$F$14*$A325-Examples!$F$15)/Examples!$F$16))))))+Examples!$F$17*$A325^2)</f>
        <v>-129897.75489819111</v>
      </c>
      <c r="I325" s="33">
        <f>(Examples!$F$6*Examples!$F$7*Examples!$F$8*EXP(-Examples!$F$9*$A325)*(1-(Examples!$F$12*(1-EXP(-Examples!$F$13*$A325))/(1+EXP(MIN(700,MAX(-700,(Examples!$F$14*$A325-Examples!$F$15)/Examples!$F$16))))))+Examples!$F$17*$A325^2)</f>
        <v>215297.75489819111</v>
      </c>
      <c r="J325" s="33">
        <f>Examples!$G$18-(Examples!$G$10+Examples!$G$11)*$A325-(Examples!$G$6*Examples!$G$7*Examples!$G$8*EXP(-Examples!$G$9*$A325)*(1-(Examples!$G$12*(1-EXP(-Examples!$G$13*$A325))/(1+EXP(MIN(700,MAX(-700,(Examples!$G$14*$A325-Examples!$G$15)/Examples!$G$16))))))+Examples!$G$17*$A325^2)</f>
        <v>722777.49109829613</v>
      </c>
      <c r="K325" s="33">
        <f>(Examples!$G$6*Examples!$G$7*Examples!$G$8*EXP(-Examples!$G$9*$A325)*(1-(Examples!$G$12*(1-EXP(-Examples!$G$13*$A325))/(1+EXP(MIN(700,MAX(-700,(Examples!$G$14*$A325-Examples!$G$15)/Examples!$G$16))))))+Examples!$G$17*$A325^2)</f>
        <v>615722.50890170387</v>
      </c>
      <c r="L325" s="33">
        <f>Examples!$H$18-(Examples!$H$10+Examples!$H$11)*$A325-(Examples!$H$6*Examples!$H$7*Examples!$H$8*EXP(-Examples!$H$9*$A325)*(1-(Examples!$H$12*(1-EXP(-Examples!$H$13*$A325))/(1+EXP(MIN(700,MAX(-700,(Examples!$H$14*$A325-Examples!$H$15)/Examples!$H$16))))))+Examples!$H$17*$A325^2)</f>
        <v>645788.51747070486</v>
      </c>
      <c r="M325" s="33">
        <f>(Examples!$H$6*Examples!$H$7*Examples!$H$8*EXP(-Examples!$H$9*$A325)*(1-(Examples!$H$12*(1-EXP(-Examples!$H$13*$A325))/(1+EXP(MIN(700,MAX(-700,(Examples!$H$14*$A325-Examples!$H$15)/Examples!$H$16))))))+Examples!$H$17*$A325^2)</f>
        <v>692711.48252929514</v>
      </c>
    </row>
    <row r="326" spans="1:13" x14ac:dyDescent="0.25">
      <c r="A326">
        <f>(326-2)/100</f>
        <v>3.24</v>
      </c>
      <c r="B326" s="33">
        <f>Examples!$C$18-(Examples!$C$10+Examples!$C$11)*$A326-(Examples!$C$6*Examples!$C$7*Examples!$C$8*EXP(-Examples!$C$9*$A326)*(1-(Examples!$C$12*(1-EXP(-Examples!$C$13*$A326))/(1+EXP(MIN(700,MAX(-700,(Examples!$C$14*$A326-Examples!$C$15)/Examples!$C$16))))))+Examples!$C$17*$A326^2)</f>
        <v>102659.91315234994</v>
      </c>
      <c r="C326" s="33">
        <f>(Examples!$C$6*Examples!$C$7*Examples!$C$8*EXP(-Examples!$C$9*$A326)*(1-(Examples!$C$12*(1-EXP(-Examples!$C$13*$A326))/(1+EXP(MIN(700,MAX(-700,(Examples!$C$14*$A326-Examples!$C$15)/Examples!$C$16))))))+Examples!$C$17*$A326^2)</f>
        <v>383940.08684765006</v>
      </c>
      <c r="D326" s="33">
        <f>Examples!$D$18-(Examples!$D$10+Examples!$D$11)*$A326-(Examples!$D$6*Examples!$D$7*Examples!$D$8*EXP(-Examples!$D$9*$A326)*(1-(Examples!$D$12*(1-EXP(-Examples!$D$13*$A326))/(1+EXP(MIN(700,MAX(-700,(Examples!$D$14*$A326-Examples!$D$15)/Examples!$D$16))))))+Examples!$D$17*$A326^2)</f>
        <v>1501061.3974893894</v>
      </c>
      <c r="E326" s="33">
        <f>(Examples!$D$6*Examples!$D$7*Examples!$D$8*EXP(-Examples!$D$9*$A326)*(1-(Examples!$D$12*(1-EXP(-Examples!$D$13*$A326))/(1+EXP(MIN(700,MAX(-700,(Examples!$D$14*$A326-Examples!$D$15)/Examples!$D$16))))))+Examples!$D$17*$A326^2)</f>
        <v>853138.6025106106</v>
      </c>
      <c r="F326" s="33">
        <f>Examples!$E$18-(Examples!$E$10+Examples!$E$11)*$A326-(Examples!$E$6*Examples!$E$7*Examples!$E$8*EXP(-Examples!$E$9*$A326)*(1-(Examples!$E$12*(1-EXP(-Examples!$E$13*$A326))/(1+EXP(MIN(700,MAX(-700,(Examples!$E$14*$A326-Examples!$E$15)/Examples!$E$16))))))+Examples!$E$17*$A326^2)</f>
        <v>2485914.7473635897</v>
      </c>
      <c r="G326" s="33">
        <f>(Examples!$E$6*Examples!$E$7*Examples!$E$8*EXP(-Examples!$E$9*$A326)*(1-(Examples!$E$12*(1-EXP(-Examples!$E$13*$A326))/(1+EXP(MIN(700,MAX(-700,(Examples!$E$14*$A326-Examples!$E$15)/Examples!$E$16))))))+Examples!$E$17*$A326^2)</f>
        <v>238685.25263641038</v>
      </c>
      <c r="H326" s="33">
        <f>Examples!$F$18-(Examples!$F$10+Examples!$F$11)*$A326-(Examples!$F$6*Examples!$F$7*Examples!$F$8*EXP(-Examples!$F$9*$A326)*(1-(Examples!$F$12*(1-EXP(-Examples!$F$13*$A326))/(1+EXP(MIN(700,MAX(-700,(Examples!$F$14*$A326-Examples!$F$15)/Examples!$F$16))))))+Examples!$F$17*$A326^2)</f>
        <v>-131371.89666434945</v>
      </c>
      <c r="I326" s="33">
        <f>(Examples!$F$6*Examples!$F$7*Examples!$F$8*EXP(-Examples!$F$9*$A326)*(1-(Examples!$F$12*(1-EXP(-Examples!$F$13*$A326))/(1+EXP(MIN(700,MAX(-700,(Examples!$F$14*$A326-Examples!$F$15)/Examples!$F$16))))))+Examples!$F$17*$A326^2)</f>
        <v>216571.89666434945</v>
      </c>
      <c r="J326" s="33">
        <f>Examples!$G$18-(Examples!$G$10+Examples!$G$11)*$A326-(Examples!$G$6*Examples!$G$7*Examples!$G$8*EXP(-Examples!$G$9*$A326)*(1-(Examples!$G$12*(1-EXP(-Examples!$G$13*$A326))/(1+EXP(MIN(700,MAX(-700,(Examples!$G$14*$A326-Examples!$G$15)/Examples!$G$16))))))+Examples!$G$17*$A326^2)</f>
        <v>722667.15988523187</v>
      </c>
      <c r="K326" s="33">
        <f>(Examples!$G$6*Examples!$G$7*Examples!$G$8*EXP(-Examples!$G$9*$A326)*(1-(Examples!$G$12*(1-EXP(-Examples!$G$13*$A326))/(1+EXP(MIN(700,MAX(-700,(Examples!$G$14*$A326-Examples!$G$15)/Examples!$G$16))))))+Examples!$G$17*$A326^2)</f>
        <v>615332.84011476813</v>
      </c>
      <c r="L326" s="33">
        <f>Examples!$H$18-(Examples!$H$10+Examples!$H$11)*$A326-(Examples!$H$6*Examples!$H$7*Examples!$H$8*EXP(-Examples!$H$9*$A326)*(1-(Examples!$H$12*(1-EXP(-Examples!$H$13*$A326))/(1+EXP(MIN(700,MAX(-700,(Examples!$H$14*$A326-Examples!$H$15)/Examples!$H$16))))))+Examples!$H$17*$A326^2)</f>
        <v>645896.04320942331</v>
      </c>
      <c r="M326" s="33">
        <f>(Examples!$H$6*Examples!$H$7*Examples!$H$8*EXP(-Examples!$H$9*$A326)*(1-(Examples!$H$12*(1-EXP(-Examples!$H$13*$A326))/(1+EXP(MIN(700,MAX(-700,(Examples!$H$14*$A326-Examples!$H$15)/Examples!$H$16))))))+Examples!$H$17*$A326^2)</f>
        <v>692103.95679057669</v>
      </c>
    </row>
    <row r="327" spans="1:13" x14ac:dyDescent="0.25">
      <c r="A327">
        <f>(327-2)/100</f>
        <v>3.25</v>
      </c>
      <c r="B327" s="33">
        <f>Examples!$C$18-(Examples!$C$10+Examples!$C$11)*$A327-(Examples!$C$6*Examples!$C$7*Examples!$C$8*EXP(-Examples!$C$9*$A327)*(1-(Examples!$C$12*(1-EXP(-Examples!$C$13*$A327))/(1+EXP(MIN(700,MAX(-700,(Examples!$C$14*$A327-Examples!$C$15)/Examples!$C$16))))))+Examples!$C$17*$A327^2)</f>
        <v>101998.68925697071</v>
      </c>
      <c r="C327" s="33">
        <f>(Examples!$C$6*Examples!$C$7*Examples!$C$8*EXP(-Examples!$C$9*$A327)*(1-(Examples!$C$12*(1-EXP(-Examples!$C$13*$A327))/(1+EXP(MIN(700,MAX(-700,(Examples!$C$14*$A327-Examples!$C$15)/Examples!$C$16))))))+Examples!$C$17*$A327^2)</f>
        <v>384251.31074302929</v>
      </c>
      <c r="D327" s="33">
        <f>Examples!$D$18-(Examples!$D$10+Examples!$D$11)*$A327-(Examples!$D$6*Examples!$D$7*Examples!$D$8*EXP(-Examples!$D$9*$A327)*(1-(Examples!$D$12*(1-EXP(-Examples!$D$13*$A327))/(1+EXP(MIN(700,MAX(-700,(Examples!$D$14*$A327-Examples!$D$15)/Examples!$D$16))))))+Examples!$D$17*$A327^2)</f>
        <v>1501807.5389151126</v>
      </c>
      <c r="E327" s="33">
        <f>(Examples!$D$6*Examples!$D$7*Examples!$D$8*EXP(-Examples!$D$9*$A327)*(1-(Examples!$D$12*(1-EXP(-Examples!$D$13*$A327))/(1+EXP(MIN(700,MAX(-700,(Examples!$D$14*$A327-Examples!$D$15)/Examples!$D$16))))))+Examples!$D$17*$A327^2)</f>
        <v>851942.46108488727</v>
      </c>
      <c r="F327" s="33">
        <f>Examples!$E$18-(Examples!$E$10+Examples!$E$11)*$A327-(Examples!$E$6*Examples!$E$7*Examples!$E$8*EXP(-Examples!$E$9*$A327)*(1-(Examples!$E$12*(1-EXP(-Examples!$E$13*$A327))/(1+EXP(MIN(700,MAX(-700,(Examples!$E$14*$A327-Examples!$E$15)/Examples!$E$16))))))+Examples!$E$17*$A327^2)</f>
        <v>2485652.1363478554</v>
      </c>
      <c r="G327" s="33">
        <f>(Examples!$E$6*Examples!$E$7*Examples!$E$8*EXP(-Examples!$E$9*$A327)*(1-(Examples!$E$12*(1-EXP(-Examples!$E$13*$A327))/(1+EXP(MIN(700,MAX(-700,(Examples!$E$14*$A327-Examples!$E$15)/Examples!$E$16))))))+Examples!$E$17*$A327^2)</f>
        <v>238097.86365214479</v>
      </c>
      <c r="H327" s="33">
        <f>Examples!$F$18-(Examples!$F$10+Examples!$F$11)*$A327-(Examples!$F$6*Examples!$F$7*Examples!$F$8*EXP(-Examples!$F$9*$A327)*(1-(Examples!$F$12*(1-EXP(-Examples!$F$13*$A327))/(1+EXP(MIN(700,MAX(-700,(Examples!$F$14*$A327-Examples!$F$15)/Examples!$F$16))))))+Examples!$F$17*$A327^2)</f>
        <v>-132850.09666622506</v>
      </c>
      <c r="I327" s="33">
        <f>(Examples!$F$6*Examples!$F$7*Examples!$F$8*EXP(-Examples!$F$9*$A327)*(1-(Examples!$F$12*(1-EXP(-Examples!$F$13*$A327))/(1+EXP(MIN(700,MAX(-700,(Examples!$F$14*$A327-Examples!$F$15)/Examples!$F$16))))))+Examples!$F$17*$A327^2)</f>
        <v>217850.09666622506</v>
      </c>
      <c r="J327" s="33">
        <f>Examples!$G$18-(Examples!$G$10+Examples!$G$11)*$A327-(Examples!$G$6*Examples!$G$7*Examples!$G$8*EXP(-Examples!$G$9*$A327)*(1-(Examples!$G$12*(1-EXP(-Examples!$G$13*$A327))/(1+EXP(MIN(700,MAX(-700,(Examples!$G$14*$A327-Examples!$G$15)/Examples!$G$16))))))+Examples!$G$17*$A327^2)</f>
        <v>722558.63021161908</v>
      </c>
      <c r="K327" s="33">
        <f>(Examples!$G$6*Examples!$G$7*Examples!$G$8*EXP(-Examples!$G$9*$A327)*(1-(Examples!$G$12*(1-EXP(-Examples!$G$13*$A327))/(1+EXP(MIN(700,MAX(-700,(Examples!$G$14*$A327-Examples!$G$15)/Examples!$G$16))))))+Examples!$G$17*$A327^2)</f>
        <v>614941.36978838092</v>
      </c>
      <c r="L327" s="33">
        <f>Examples!$H$18-(Examples!$H$10+Examples!$H$11)*$A327-(Examples!$H$6*Examples!$H$7*Examples!$H$8*EXP(-Examples!$H$9*$A327)*(1-(Examples!$H$12*(1-EXP(-Examples!$H$13*$A327))/(1+EXP(MIN(700,MAX(-700,(Examples!$H$14*$A327-Examples!$H$15)/Examples!$H$16))))))+Examples!$H$17*$A327^2)</f>
        <v>646026.12639637175</v>
      </c>
      <c r="M327" s="33">
        <f>(Examples!$H$6*Examples!$H$7*Examples!$H$8*EXP(-Examples!$H$9*$A327)*(1-(Examples!$H$12*(1-EXP(-Examples!$H$13*$A327))/(1+EXP(MIN(700,MAX(-700,(Examples!$H$14*$A327-Examples!$H$15)/Examples!$H$16))))))+Examples!$H$17*$A327^2)</f>
        <v>691473.87360362825</v>
      </c>
    </row>
    <row r="328" spans="1:13" x14ac:dyDescent="0.25">
      <c r="A328">
        <f>(328-2)/100</f>
        <v>3.26</v>
      </c>
      <c r="B328" s="33">
        <f>Examples!$C$18-(Examples!$C$10+Examples!$C$11)*$A328-(Examples!$C$6*Examples!$C$7*Examples!$C$8*EXP(-Examples!$C$9*$A328)*(1-(Examples!$C$12*(1-EXP(-Examples!$C$13*$A328))/(1+EXP(MIN(700,MAX(-700,(Examples!$C$14*$A328-Examples!$C$15)/Examples!$C$16))))))+Examples!$C$17*$A328^2)</f>
        <v>101333.02440174052</v>
      </c>
      <c r="C328" s="33">
        <f>(Examples!$C$6*Examples!$C$7*Examples!$C$8*EXP(-Examples!$C$9*$A328)*(1-(Examples!$C$12*(1-EXP(-Examples!$C$13*$A328))/(1+EXP(MIN(700,MAX(-700,(Examples!$C$14*$A328-Examples!$C$15)/Examples!$C$16))))))+Examples!$C$17*$A328^2)</f>
        <v>384566.97559825948</v>
      </c>
      <c r="D328" s="33">
        <f>Examples!$D$18-(Examples!$D$10+Examples!$D$11)*$A328-(Examples!$D$6*Examples!$D$7*Examples!$D$8*EXP(-Examples!$D$9*$A328)*(1-(Examples!$D$12*(1-EXP(-Examples!$D$13*$A328))/(1+EXP(MIN(700,MAX(-700,(Examples!$D$14*$A328-Examples!$D$15)/Examples!$D$16))))))+Examples!$D$17*$A328^2)</f>
        <v>1502534.9538869946</v>
      </c>
      <c r="E328" s="33">
        <f>(Examples!$D$6*Examples!$D$7*Examples!$D$8*EXP(-Examples!$D$9*$A328)*(1-(Examples!$D$12*(1-EXP(-Examples!$D$13*$A328))/(1+EXP(MIN(700,MAX(-700,(Examples!$D$14*$A328-Examples!$D$15)/Examples!$D$16))))))+Examples!$D$17*$A328^2)</f>
        <v>850765.04611300526</v>
      </c>
      <c r="F328" s="33">
        <f>Examples!$E$18-(Examples!$E$10+Examples!$E$11)*$A328-(Examples!$E$6*Examples!$E$7*Examples!$E$8*EXP(-Examples!$E$9*$A328)*(1-(Examples!$E$12*(1-EXP(-Examples!$E$13*$A328))/(1+EXP(MIN(700,MAX(-700,(Examples!$E$14*$A328-Examples!$E$15)/Examples!$E$16))))))+Examples!$E$17*$A328^2)</f>
        <v>2485381.1633038707</v>
      </c>
      <c r="G328" s="33">
        <f>(Examples!$E$6*Examples!$E$7*Examples!$E$8*EXP(-Examples!$E$9*$A328)*(1-(Examples!$E$12*(1-EXP(-Examples!$E$13*$A328))/(1+EXP(MIN(700,MAX(-700,(Examples!$E$14*$A328-Examples!$E$15)/Examples!$E$16))))))+Examples!$E$17*$A328^2)</f>
        <v>237518.83669612944</v>
      </c>
      <c r="H328" s="33">
        <f>Examples!$F$18-(Examples!$F$10+Examples!$F$11)*$A328-(Examples!$F$6*Examples!$F$7*Examples!$F$8*EXP(-Examples!$F$9*$A328)*(1-(Examples!$F$12*(1-EXP(-Examples!$F$13*$A328))/(1+EXP(MIN(700,MAX(-700,(Examples!$F$14*$A328-Examples!$F$15)/Examples!$F$16))))))+Examples!$F$17*$A328^2)</f>
        <v>-134332.35477911597</v>
      </c>
      <c r="I328" s="33">
        <f>(Examples!$F$6*Examples!$F$7*Examples!$F$8*EXP(-Examples!$F$9*$A328)*(1-(Examples!$F$12*(1-EXP(-Examples!$F$13*$A328))/(1+EXP(MIN(700,MAX(-700,(Examples!$F$14*$A328-Examples!$F$15)/Examples!$F$16))))))+Examples!$F$17*$A328^2)</f>
        <v>219132.35477911597</v>
      </c>
      <c r="J328" s="33">
        <f>Examples!$G$18-(Examples!$G$10+Examples!$G$11)*$A328-(Examples!$G$6*Examples!$G$7*Examples!$G$8*EXP(-Examples!$G$9*$A328)*(1-(Examples!$G$12*(1-EXP(-Examples!$G$13*$A328))/(1+EXP(MIN(700,MAX(-700,(Examples!$G$14*$A328-Examples!$G$15)/Examples!$G$16))))))+Examples!$G$17*$A328^2)</f>
        <v>722451.9387527653</v>
      </c>
      <c r="K328" s="33">
        <f>(Examples!$G$6*Examples!$G$7*Examples!$G$8*EXP(-Examples!$G$9*$A328)*(1-(Examples!$G$12*(1-EXP(-Examples!$G$13*$A328))/(1+EXP(MIN(700,MAX(-700,(Examples!$G$14*$A328-Examples!$G$15)/Examples!$G$16))))))+Examples!$G$17*$A328^2)</f>
        <v>614548.0612472347</v>
      </c>
      <c r="L328" s="33">
        <f>Examples!$H$18-(Examples!$H$10+Examples!$H$11)*$A328-(Examples!$H$6*Examples!$H$7*Examples!$H$8*EXP(-Examples!$H$9*$A328)*(1-(Examples!$H$12*(1-EXP(-Examples!$H$13*$A328))/(1+EXP(MIN(700,MAX(-700,(Examples!$H$14*$A328-Examples!$H$15)/Examples!$H$16))))))+Examples!$H$17*$A328^2)</f>
        <v>646178.06081377575</v>
      </c>
      <c r="M328" s="33">
        <f>(Examples!$H$6*Examples!$H$7*Examples!$H$8*EXP(-Examples!$H$9*$A328)*(1-(Examples!$H$12*(1-EXP(-Examples!$H$13*$A328))/(1+EXP(MIN(700,MAX(-700,(Examples!$H$14*$A328-Examples!$H$15)/Examples!$H$16))))))+Examples!$H$17*$A328^2)</f>
        <v>690821.93918622425</v>
      </c>
    </row>
    <row r="329" spans="1:13" x14ac:dyDescent="0.25">
      <c r="A329">
        <f>(329-2)/100</f>
        <v>3.27</v>
      </c>
      <c r="B329" s="33">
        <f>Examples!$C$18-(Examples!$C$10+Examples!$C$11)*$A329-(Examples!$C$6*Examples!$C$7*Examples!$C$8*EXP(-Examples!$C$9*$A329)*(1-(Examples!$C$12*(1-EXP(-Examples!$C$13*$A329))/(1+EXP(MIN(700,MAX(-700,(Examples!$C$14*$A329-Examples!$C$15)/Examples!$C$16))))))+Examples!$C$17*$A329^2)</f>
        <v>100662.90495915816</v>
      </c>
      <c r="C329" s="33">
        <f>(Examples!$C$6*Examples!$C$7*Examples!$C$8*EXP(-Examples!$C$9*$A329)*(1-(Examples!$C$12*(1-EXP(-Examples!$C$13*$A329))/(1+EXP(MIN(700,MAX(-700,(Examples!$C$14*$A329-Examples!$C$15)/Examples!$C$16))))))+Examples!$C$17*$A329^2)</f>
        <v>384887.09504084184</v>
      </c>
      <c r="D329" s="33">
        <f>Examples!$D$18-(Examples!$D$10+Examples!$D$11)*$A329-(Examples!$D$6*Examples!$D$7*Examples!$D$8*EXP(-Examples!$D$9*$A329)*(1-(Examples!$D$12*(1-EXP(-Examples!$D$13*$A329))/(1+EXP(MIN(700,MAX(-700,(Examples!$D$14*$A329-Examples!$D$15)/Examples!$D$16))))))+Examples!$D$17*$A329^2)</f>
        <v>1503244.0605892183</v>
      </c>
      <c r="E329" s="33">
        <f>(Examples!$D$6*Examples!$D$7*Examples!$D$8*EXP(-Examples!$D$9*$A329)*(1-(Examples!$D$12*(1-EXP(-Examples!$D$13*$A329))/(1+EXP(MIN(700,MAX(-700,(Examples!$D$14*$A329-Examples!$D$15)/Examples!$D$16))))))+Examples!$D$17*$A329^2)</f>
        <v>849605.93941078172</v>
      </c>
      <c r="F329" s="33">
        <f>Examples!$E$18-(Examples!$E$10+Examples!$E$11)*$A329-(Examples!$E$6*Examples!$E$7*Examples!$E$8*EXP(-Examples!$E$9*$A329)*(1-(Examples!$E$12*(1-EXP(-Examples!$E$13*$A329))/(1+EXP(MIN(700,MAX(-700,(Examples!$E$14*$A329-Examples!$E$15)/Examples!$E$16))))))+Examples!$E$17*$A329^2)</f>
        <v>2485101.925487062</v>
      </c>
      <c r="G329" s="33">
        <f>(Examples!$E$6*Examples!$E$7*Examples!$E$8*EXP(-Examples!$E$9*$A329)*(1-(Examples!$E$12*(1-EXP(-Examples!$E$13*$A329))/(1+EXP(MIN(700,MAX(-700,(Examples!$E$14*$A329-Examples!$E$15)/Examples!$E$16))))))+Examples!$E$17*$A329^2)</f>
        <v>236948.07451293821</v>
      </c>
      <c r="H329" s="33">
        <f>Examples!$F$18-(Examples!$F$10+Examples!$F$11)*$A329-(Examples!$F$6*Examples!$F$7*Examples!$F$8*EXP(-Examples!$F$9*$A329)*(1-(Examples!$F$12*(1-EXP(-Examples!$F$13*$A329))/(1+EXP(MIN(700,MAX(-700,(Examples!$F$14*$A329-Examples!$F$15)/Examples!$F$16))))))+Examples!$F$17*$A329^2)</f>
        <v>-135818.67087673125</v>
      </c>
      <c r="I329" s="33">
        <f>(Examples!$F$6*Examples!$F$7*Examples!$F$8*EXP(-Examples!$F$9*$A329)*(1-(Examples!$F$12*(1-EXP(-Examples!$F$13*$A329))/(1+EXP(MIN(700,MAX(-700,(Examples!$F$14*$A329-Examples!$F$15)/Examples!$F$16))))))+Examples!$F$17*$A329^2)</f>
        <v>220418.67087673125</v>
      </c>
      <c r="J329" s="33">
        <f>Examples!$G$18-(Examples!$G$10+Examples!$G$11)*$A329-(Examples!$G$6*Examples!$G$7*Examples!$G$8*EXP(-Examples!$G$9*$A329)*(1-(Examples!$G$12*(1-EXP(-Examples!$G$13*$A329))/(1+EXP(MIN(700,MAX(-700,(Examples!$G$14*$A329-Examples!$G$15)/Examples!$G$16))))))+Examples!$G$17*$A329^2)</f>
        <v>722347.11952666217</v>
      </c>
      <c r="K329" s="33">
        <f>(Examples!$G$6*Examples!$G$7*Examples!$G$8*EXP(-Examples!$G$9*$A329)*(1-(Examples!$G$12*(1-EXP(-Examples!$G$13*$A329))/(1+EXP(MIN(700,MAX(-700,(Examples!$G$14*$A329-Examples!$G$15)/Examples!$G$16))))))+Examples!$G$17*$A329^2)</f>
        <v>614152.88047333783</v>
      </c>
      <c r="L329" s="33">
        <f>Examples!$H$18-(Examples!$H$10+Examples!$H$11)*$A329-(Examples!$H$6*Examples!$H$7*Examples!$H$8*EXP(-Examples!$H$9*$A329)*(1-(Examples!$H$12*(1-EXP(-Examples!$H$13*$A329))/(1+EXP(MIN(700,MAX(-700,(Examples!$H$14*$A329-Examples!$H$15)/Examples!$H$16))))))+Examples!$H$17*$A329^2)</f>
        <v>646351.14672676905</v>
      </c>
      <c r="M329" s="33">
        <f>(Examples!$H$6*Examples!$H$7*Examples!$H$8*EXP(-Examples!$H$9*$A329)*(1-(Examples!$H$12*(1-EXP(-Examples!$H$13*$A329))/(1+EXP(MIN(700,MAX(-700,(Examples!$H$14*$A329-Examples!$H$15)/Examples!$H$16))))))+Examples!$H$17*$A329^2)</f>
        <v>690148.85327323095</v>
      </c>
    </row>
    <row r="330" spans="1:13" x14ac:dyDescent="0.25">
      <c r="A330">
        <f>(330-2)/100</f>
        <v>3.28</v>
      </c>
      <c r="B330" s="33">
        <f>Examples!$C$18-(Examples!$C$10+Examples!$C$11)*$A330-(Examples!$C$6*Examples!$C$7*Examples!$C$8*EXP(-Examples!$C$9*$A330)*(1-(Examples!$C$12*(1-EXP(-Examples!$C$13*$A330))/(1+EXP(MIN(700,MAX(-700,(Examples!$C$14*$A330-Examples!$C$15)/Examples!$C$16))))))+Examples!$C$17*$A330^2)</f>
        <v>99988.317918004992</v>
      </c>
      <c r="C330" s="33">
        <f>(Examples!$C$6*Examples!$C$7*Examples!$C$8*EXP(-Examples!$C$9*$A330)*(1-(Examples!$C$12*(1-EXP(-Examples!$C$13*$A330))/(1+EXP(MIN(700,MAX(-700,(Examples!$C$14*$A330-Examples!$C$15)/Examples!$C$16))))))+Examples!$C$17*$A330^2)</f>
        <v>385211.68208199501</v>
      </c>
      <c r="D330" s="33">
        <f>Examples!$D$18-(Examples!$D$10+Examples!$D$11)*$A330-(Examples!$D$6*Examples!$D$7*Examples!$D$8*EXP(-Examples!$D$9*$A330)*(1-(Examples!$D$12*(1-EXP(-Examples!$D$13*$A330))/(1+EXP(MIN(700,MAX(-700,(Examples!$D$14*$A330-Examples!$D$15)/Examples!$D$16))))))+Examples!$D$17*$A330^2)</f>
        <v>1503935.2755352599</v>
      </c>
      <c r="E330" s="33">
        <f>(Examples!$D$6*Examples!$D$7*Examples!$D$8*EXP(-Examples!$D$9*$A330)*(1-(Examples!$D$12*(1-EXP(-Examples!$D$13*$A330))/(1+EXP(MIN(700,MAX(-700,(Examples!$D$14*$A330-Examples!$D$15)/Examples!$D$16))))))+Examples!$D$17*$A330^2)</f>
        <v>848464.72446474025</v>
      </c>
      <c r="F330" s="33">
        <f>Examples!$E$18-(Examples!$E$10+Examples!$E$11)*$A330-(Examples!$E$6*Examples!$E$7*Examples!$E$8*EXP(-Examples!$E$9*$A330)*(1-(Examples!$E$12*(1-EXP(-Examples!$E$13*$A330))/(1+EXP(MIN(700,MAX(-700,(Examples!$E$14*$A330-Examples!$E$15)/Examples!$E$16))))))+Examples!$E$17*$A330^2)</f>
        <v>2484814.5191653371</v>
      </c>
      <c r="G330" s="33">
        <f>(Examples!$E$6*Examples!$E$7*Examples!$E$8*EXP(-Examples!$E$9*$A330)*(1-(Examples!$E$12*(1-EXP(-Examples!$E$13*$A330))/(1+EXP(MIN(700,MAX(-700,(Examples!$E$14*$A330-Examples!$E$15)/Examples!$E$16))))))+Examples!$E$17*$A330^2)</f>
        <v>236385.48083466283</v>
      </c>
      <c r="H330" s="33">
        <f>Examples!$F$18-(Examples!$F$10+Examples!$F$11)*$A330-(Examples!$F$6*Examples!$F$7*Examples!$F$8*EXP(-Examples!$F$9*$A330)*(1-(Examples!$F$12*(1-EXP(-Examples!$F$13*$A330))/(1+EXP(MIN(700,MAX(-700,(Examples!$F$14*$A330-Examples!$F$15)/Examples!$F$16))))))+Examples!$F$17*$A330^2)</f>
        <v>-137309.04483127227</v>
      </c>
      <c r="I330" s="33">
        <f>(Examples!$F$6*Examples!$F$7*Examples!$F$8*EXP(-Examples!$F$9*$A330)*(1-(Examples!$F$12*(1-EXP(-Examples!$F$13*$A330))/(1+EXP(MIN(700,MAX(-700,(Examples!$F$14*$A330-Examples!$F$15)/Examples!$F$16))))))+Examples!$F$17*$A330^2)</f>
        <v>221709.04483127227</v>
      </c>
      <c r="J330" s="33">
        <f>Examples!$G$18-(Examples!$G$10+Examples!$G$11)*$A330-(Examples!$G$6*Examples!$G$7*Examples!$G$8*EXP(-Examples!$G$9*$A330)*(1-(Examples!$G$12*(1-EXP(-Examples!$G$13*$A330))/(1+EXP(MIN(700,MAX(-700,(Examples!$G$14*$A330-Examples!$G$15)/Examples!$G$16))))))+Examples!$G$17*$A330^2)</f>
        <v>722244.20393434912</v>
      </c>
      <c r="K330" s="33">
        <f>(Examples!$G$6*Examples!$G$7*Examples!$G$8*EXP(-Examples!$G$9*$A330)*(1-(Examples!$G$12*(1-EXP(-Examples!$G$13*$A330))/(1+EXP(MIN(700,MAX(-700,(Examples!$G$14*$A330-Examples!$G$15)/Examples!$G$16))))))+Examples!$G$17*$A330^2)</f>
        <v>613755.79606565088</v>
      </c>
      <c r="L330" s="33">
        <f>Examples!$H$18-(Examples!$H$10+Examples!$H$11)*$A330-(Examples!$H$6*Examples!$H$7*Examples!$H$8*EXP(-Examples!$H$9*$A330)*(1-(Examples!$H$12*(1-EXP(-Examples!$H$13*$A330))/(1+EXP(MIN(700,MAX(-700,(Examples!$H$14*$A330-Examples!$H$15)/Examples!$H$16))))))+Examples!$H$17*$A330^2)</f>
        <v>646544.69149935618</v>
      </c>
      <c r="M330" s="33">
        <f>(Examples!$H$6*Examples!$H$7*Examples!$H$8*EXP(-Examples!$H$9*$A330)*(1-(Examples!$H$12*(1-EXP(-Examples!$H$13*$A330))/(1+EXP(MIN(700,MAX(-700,(Examples!$H$14*$A330-Examples!$H$15)/Examples!$H$16))))))+Examples!$H$17*$A330^2)</f>
        <v>689455.30850064382</v>
      </c>
    </row>
    <row r="331" spans="1:13" x14ac:dyDescent="0.25">
      <c r="A331">
        <f>(331-2)/100</f>
        <v>3.29</v>
      </c>
      <c r="B331" s="33">
        <f>Examples!$C$18-(Examples!$C$10+Examples!$C$11)*$A331-(Examples!$C$6*Examples!$C$7*Examples!$C$8*EXP(-Examples!$C$9*$A331)*(1-(Examples!$C$12*(1-EXP(-Examples!$C$13*$A331))/(1+EXP(MIN(700,MAX(-700,(Examples!$C$14*$A331-Examples!$C$15)/Examples!$C$16))))))+Examples!$C$17*$A331^2)</f>
        <v>99309.250864058966</v>
      </c>
      <c r="C331" s="33">
        <f>(Examples!$C$6*Examples!$C$7*Examples!$C$8*EXP(-Examples!$C$9*$A331)*(1-(Examples!$C$12*(1-EXP(-Examples!$C$13*$A331))/(1+EXP(MIN(700,MAX(-700,(Examples!$C$14*$A331-Examples!$C$15)/Examples!$C$16))))))+Examples!$C$17*$A331^2)</f>
        <v>385540.74913594103</v>
      </c>
      <c r="D331" s="33">
        <f>Examples!$D$18-(Examples!$D$10+Examples!$D$11)*$A331-(Examples!$D$6*Examples!$D$7*Examples!$D$8*EXP(-Examples!$D$9*$A331)*(1-(Examples!$D$12*(1-EXP(-Examples!$D$13*$A331))/(1+EXP(MIN(700,MAX(-700,(Examples!$D$14*$A331-Examples!$D$15)/Examples!$D$16))))))+Examples!$D$17*$A331^2)</f>
        <v>1504609.0135134559</v>
      </c>
      <c r="E331" s="33">
        <f>(Examples!$D$6*Examples!$D$7*Examples!$D$8*EXP(-Examples!$D$9*$A331)*(1-(Examples!$D$12*(1-EXP(-Examples!$D$13*$A331))/(1+EXP(MIN(700,MAX(-700,(Examples!$D$14*$A331-Examples!$D$15)/Examples!$D$16))))))+Examples!$D$17*$A331^2)</f>
        <v>847340.98648654413</v>
      </c>
      <c r="F331" s="33">
        <f>Examples!$E$18-(Examples!$E$10+Examples!$E$11)*$A331-(Examples!$E$6*Examples!$E$7*Examples!$E$8*EXP(-Examples!$E$9*$A331)*(1-(Examples!$E$12*(1-EXP(-Examples!$E$13*$A331))/(1+EXP(MIN(700,MAX(-700,(Examples!$E$14*$A331-Examples!$E$15)/Examples!$E$16))))))+Examples!$E$17*$A331^2)</f>
        <v>2484519.0396298822</v>
      </c>
      <c r="G331" s="33">
        <f>(Examples!$E$6*Examples!$E$7*Examples!$E$8*EXP(-Examples!$E$9*$A331)*(1-(Examples!$E$12*(1-EXP(-Examples!$E$13*$A331))/(1+EXP(MIN(700,MAX(-700,(Examples!$E$14*$A331-Examples!$E$15)/Examples!$E$16))))))+Examples!$E$17*$A331^2)</f>
        <v>235830.96037011765</v>
      </c>
      <c r="H331" s="33">
        <f>Examples!$F$18-(Examples!$F$10+Examples!$F$11)*$A331-(Examples!$F$6*Examples!$F$7*Examples!$F$8*EXP(-Examples!$F$9*$A331)*(1-(Examples!$F$12*(1-EXP(-Examples!$F$13*$A331))/(1+EXP(MIN(700,MAX(-700,(Examples!$F$14*$A331-Examples!$F$15)/Examples!$F$16))))))+Examples!$F$17*$A331^2)</f>
        <v>-138803.47651351101</v>
      </c>
      <c r="I331" s="33">
        <f>(Examples!$F$6*Examples!$F$7*Examples!$F$8*EXP(-Examples!$F$9*$A331)*(1-(Examples!$F$12*(1-EXP(-Examples!$F$13*$A331))/(1+EXP(MIN(700,MAX(-700,(Examples!$F$14*$A331-Examples!$F$15)/Examples!$F$16))))))+Examples!$F$17*$A331^2)</f>
        <v>223003.47651351101</v>
      </c>
      <c r="J331" s="33">
        <f>Examples!$G$18-(Examples!$G$10+Examples!$G$11)*$A331-(Examples!$G$6*Examples!$G$7*Examples!$G$8*EXP(-Examples!$G$9*$A331)*(1-(Examples!$G$12*(1-EXP(-Examples!$G$13*$A331))/(1+EXP(MIN(700,MAX(-700,(Examples!$G$14*$A331-Examples!$G$15)/Examples!$G$16))))))+Examples!$G$17*$A331^2)</f>
        <v>722143.22080071818</v>
      </c>
      <c r="K331" s="33">
        <f>(Examples!$G$6*Examples!$G$7*Examples!$G$8*EXP(-Examples!$G$9*$A331)*(1-(Examples!$G$12*(1-EXP(-Examples!$G$13*$A331))/(1+EXP(MIN(700,MAX(-700,(Examples!$G$14*$A331-Examples!$G$15)/Examples!$G$16))))))+Examples!$G$17*$A331^2)</f>
        <v>613356.77919928182</v>
      </c>
      <c r="L331" s="33">
        <f>Examples!$H$18-(Examples!$H$10+Examples!$H$11)*$A331-(Examples!$H$6*Examples!$H$7*Examples!$H$8*EXP(-Examples!$H$9*$A331)*(1-(Examples!$H$12*(1-EXP(-Examples!$H$13*$A331))/(1+EXP(MIN(700,MAX(-700,(Examples!$H$14*$A331-Examples!$H$15)/Examples!$H$16))))))+Examples!$H$17*$A331^2)</f>
        <v>646758.01016039762</v>
      </c>
      <c r="M331" s="33">
        <f>(Examples!$H$6*Examples!$H$7*Examples!$H$8*EXP(-Examples!$H$9*$A331)*(1-(Examples!$H$12*(1-EXP(-Examples!$H$13*$A331))/(1+EXP(MIN(700,MAX(-700,(Examples!$H$14*$A331-Examples!$H$15)/Examples!$H$16))))))+Examples!$H$17*$A331^2)</f>
        <v>688741.98983960238</v>
      </c>
    </row>
    <row r="332" spans="1:13" x14ac:dyDescent="0.25">
      <c r="A332">
        <f>(332-2)/100</f>
        <v>3.3</v>
      </c>
      <c r="B332" s="33">
        <f>Examples!$C$18-(Examples!$C$10+Examples!$C$11)*$A332-(Examples!$C$6*Examples!$C$7*Examples!$C$8*EXP(-Examples!$C$9*$A332)*(1-(Examples!$C$12*(1-EXP(-Examples!$C$13*$A332))/(1+EXP(MIN(700,MAX(-700,(Examples!$C$14*$A332-Examples!$C$15)/Examples!$C$16))))))+Examples!$C$17*$A332^2)</f>
        <v>98625.691961332166</v>
      </c>
      <c r="C332" s="33">
        <f>(Examples!$C$6*Examples!$C$7*Examples!$C$8*EXP(-Examples!$C$9*$A332)*(1-(Examples!$C$12*(1-EXP(-Examples!$C$13*$A332))/(1+EXP(MIN(700,MAX(-700,(Examples!$C$14*$A332-Examples!$C$15)/Examples!$C$16))))))+Examples!$C$17*$A332^2)</f>
        <v>385874.30803866783</v>
      </c>
      <c r="D332" s="33">
        <f>Examples!$D$18-(Examples!$D$10+Examples!$D$11)*$A332-(Examples!$D$6*Examples!$D$7*Examples!$D$8*EXP(-Examples!$D$9*$A332)*(1-(Examples!$D$12*(1-EXP(-Examples!$D$13*$A332))/(1+EXP(MIN(700,MAX(-700,(Examples!$D$14*$A332-Examples!$D$15)/Examples!$D$16))))))+Examples!$D$17*$A332^2)</f>
        <v>1505265.6875315309</v>
      </c>
      <c r="E332" s="33">
        <f>(Examples!$D$6*Examples!$D$7*Examples!$D$8*EXP(-Examples!$D$9*$A332)*(1-(Examples!$D$12*(1-EXP(-Examples!$D$13*$A332))/(1+EXP(MIN(700,MAX(-700,(Examples!$D$14*$A332-Examples!$D$15)/Examples!$D$16))))))+Examples!$D$17*$A332^2)</f>
        <v>846234.31246846926</v>
      </c>
      <c r="F332" s="33">
        <f>Examples!$E$18-(Examples!$E$10+Examples!$E$11)*$A332-(Examples!$E$6*Examples!$E$7*Examples!$E$8*EXP(-Examples!$E$9*$A332)*(1-(Examples!$E$12*(1-EXP(-Examples!$E$13*$A332))/(1+EXP(MIN(700,MAX(-700,(Examples!$E$14*$A332-Examples!$E$15)/Examples!$E$16))))))+Examples!$E$17*$A332^2)</f>
        <v>2484215.5812058086</v>
      </c>
      <c r="G332" s="33">
        <f>(Examples!$E$6*Examples!$E$7*Examples!$E$8*EXP(-Examples!$E$9*$A332)*(1-(Examples!$E$12*(1-EXP(-Examples!$E$13*$A332))/(1+EXP(MIN(700,MAX(-700,(Examples!$E$14*$A332-Examples!$E$15)/Examples!$E$16))))))+Examples!$E$17*$A332^2)</f>
        <v>235284.41879419162</v>
      </c>
      <c r="H332" s="33">
        <f>Examples!$F$18-(Examples!$F$10+Examples!$F$11)*$A332-(Examples!$F$6*Examples!$F$7*Examples!$F$8*EXP(-Examples!$F$9*$A332)*(1-(Examples!$F$12*(1-EXP(-Examples!$F$13*$A332))/(1+EXP(MIN(700,MAX(-700,(Examples!$F$14*$A332-Examples!$F$15)/Examples!$F$16))))))+Examples!$F$17*$A332^2)</f>
        <v>-140301.96579286471</v>
      </c>
      <c r="I332" s="33">
        <f>(Examples!$F$6*Examples!$F$7*Examples!$F$8*EXP(-Examples!$F$9*$A332)*(1-(Examples!$F$12*(1-EXP(-Examples!$F$13*$A332))/(1+EXP(MIN(700,MAX(-700,(Examples!$F$14*$A332-Examples!$F$15)/Examples!$F$16))))))+Examples!$F$17*$A332^2)</f>
        <v>224301.96579286471</v>
      </c>
      <c r="J332" s="33">
        <f>Examples!$G$18-(Examples!$G$10+Examples!$G$11)*$A332-(Examples!$G$6*Examples!$G$7*Examples!$G$8*EXP(-Examples!$G$9*$A332)*(1-(Examples!$G$12*(1-EXP(-Examples!$G$13*$A332))/(1+EXP(MIN(700,MAX(-700,(Examples!$G$14*$A332-Examples!$G$15)/Examples!$G$16))))))+Examples!$G$17*$A332^2)</f>
        <v>722044.19641572947</v>
      </c>
      <c r="K332" s="33">
        <f>(Examples!$G$6*Examples!$G$7*Examples!$G$8*EXP(-Examples!$G$9*$A332)*(1-(Examples!$G$12*(1-EXP(-Examples!$G$13*$A332))/(1+EXP(MIN(700,MAX(-700,(Examples!$G$14*$A332-Examples!$G$15)/Examples!$G$16))))))+Examples!$G$17*$A332^2)</f>
        <v>612955.80358427053</v>
      </c>
      <c r="L332" s="33">
        <f>Examples!$H$18-(Examples!$H$10+Examples!$H$11)*$A332-(Examples!$H$6*Examples!$H$7*Examples!$H$8*EXP(-Examples!$H$9*$A332)*(1-(Examples!$H$12*(1-EXP(-Examples!$H$13*$A332))/(1+EXP(MIN(700,MAX(-700,(Examples!$H$14*$A332-Examples!$H$15)/Examples!$H$16))))))+Examples!$H$17*$A332^2)</f>
        <v>646990.42592149402</v>
      </c>
      <c r="M332" s="33">
        <f>(Examples!$H$6*Examples!$H$7*Examples!$H$8*EXP(-Examples!$H$9*$A332)*(1-(Examples!$H$12*(1-EXP(-Examples!$H$13*$A332))/(1+EXP(MIN(700,MAX(-700,(Examples!$H$14*$A332-Examples!$H$15)/Examples!$H$16))))))+Examples!$H$17*$A332^2)</f>
        <v>688009.57407850598</v>
      </c>
    </row>
    <row r="333" spans="1:13" x14ac:dyDescent="0.25">
      <c r="A333">
        <f>(333-2)/100</f>
        <v>3.31</v>
      </c>
      <c r="B333" s="33">
        <f>Examples!$C$18-(Examples!$C$10+Examples!$C$11)*$A333-(Examples!$C$6*Examples!$C$7*Examples!$C$8*EXP(-Examples!$C$9*$A333)*(1-(Examples!$C$12*(1-EXP(-Examples!$C$13*$A333))/(1+EXP(MIN(700,MAX(-700,(Examples!$C$14*$A333-Examples!$C$15)/Examples!$C$16))))))+Examples!$C$17*$A333^2)</f>
        <v>97937.629933823366</v>
      </c>
      <c r="C333" s="33">
        <f>(Examples!$C$6*Examples!$C$7*Examples!$C$8*EXP(-Examples!$C$9*$A333)*(1-(Examples!$C$12*(1-EXP(-Examples!$C$13*$A333))/(1+EXP(MIN(700,MAX(-700,(Examples!$C$14*$A333-Examples!$C$15)/Examples!$C$16))))))+Examples!$C$17*$A333^2)</f>
        <v>386212.37006617663</v>
      </c>
      <c r="D333" s="33">
        <f>Examples!$D$18-(Examples!$D$10+Examples!$D$11)*$A333-(Examples!$D$6*Examples!$D$7*Examples!$D$8*EXP(-Examples!$D$9*$A333)*(1-(Examples!$D$12*(1-EXP(-Examples!$D$13*$A333))/(1+EXP(MIN(700,MAX(-700,(Examples!$D$14*$A333-Examples!$D$15)/Examples!$D$16))))))+Examples!$D$17*$A333^2)</f>
        <v>1505905.7087601449</v>
      </c>
      <c r="E333" s="33">
        <f>(Examples!$D$6*Examples!$D$7*Examples!$D$8*EXP(-Examples!$D$9*$A333)*(1-(Examples!$D$12*(1-EXP(-Examples!$D$13*$A333))/(1+EXP(MIN(700,MAX(-700,(Examples!$D$14*$A333-Examples!$D$15)/Examples!$D$16))))))+Examples!$D$17*$A333^2)</f>
        <v>845144.29123985511</v>
      </c>
      <c r="F333" s="33">
        <f>Examples!$E$18-(Examples!$E$10+Examples!$E$11)*$A333-(Examples!$E$6*Examples!$E$7*Examples!$E$8*EXP(-Examples!$E$9*$A333)*(1-(Examples!$E$12*(1-EXP(-Examples!$E$13*$A333))/(1+EXP(MIN(700,MAX(-700,(Examples!$E$14*$A333-Examples!$E$15)/Examples!$E$16))))))+Examples!$E$17*$A333^2)</f>
        <v>2483904.2372626537</v>
      </c>
      <c r="G333" s="33">
        <f>(Examples!$E$6*Examples!$E$7*Examples!$E$8*EXP(-Examples!$E$9*$A333)*(1-(Examples!$E$12*(1-EXP(-Examples!$E$13*$A333))/(1+EXP(MIN(700,MAX(-700,(Examples!$E$14*$A333-Examples!$E$15)/Examples!$E$16))))))+Examples!$E$17*$A333^2)</f>
        <v>234745.76273734641</v>
      </c>
      <c r="H333" s="33">
        <f>Examples!$F$18-(Examples!$F$10+Examples!$F$11)*$A333-(Examples!$F$6*Examples!$F$7*Examples!$F$8*EXP(-Examples!$F$9*$A333)*(1-(Examples!$F$12*(1-EXP(-Examples!$F$13*$A333))/(1+EXP(MIN(700,MAX(-700,(Examples!$F$14*$A333-Examples!$F$15)/Examples!$F$16))))))+Examples!$F$17*$A333^2)</f>
        <v>-141804.51253746843</v>
      </c>
      <c r="I333" s="33">
        <f>(Examples!$F$6*Examples!$F$7*Examples!$F$8*EXP(-Examples!$F$9*$A333)*(1-(Examples!$F$12*(1-EXP(-Examples!$F$13*$A333))/(1+EXP(MIN(700,MAX(-700,(Examples!$F$14*$A333-Examples!$F$15)/Examples!$F$16))))))+Examples!$F$17*$A333^2)</f>
        <v>225604.51253746843</v>
      </c>
      <c r="J333" s="33">
        <f>Examples!$G$18-(Examples!$G$10+Examples!$G$11)*$A333-(Examples!$G$6*Examples!$G$7*Examples!$G$8*EXP(-Examples!$G$9*$A333)*(1-(Examples!$G$12*(1-EXP(-Examples!$G$13*$A333))/(1+EXP(MIN(700,MAX(-700,(Examples!$G$14*$A333-Examples!$G$15)/Examples!$G$16))))))+Examples!$G$17*$A333^2)</f>
        <v>721947.15457600437</v>
      </c>
      <c r="K333" s="33">
        <f>(Examples!$G$6*Examples!$G$7*Examples!$G$8*EXP(-Examples!$G$9*$A333)*(1-(Examples!$G$12*(1-EXP(-Examples!$G$13*$A333))/(1+EXP(MIN(700,MAX(-700,(Examples!$G$14*$A333-Examples!$G$15)/Examples!$G$16))))))+Examples!$G$17*$A333^2)</f>
        <v>612552.84542399563</v>
      </c>
      <c r="L333" s="33">
        <f>Examples!$H$18-(Examples!$H$10+Examples!$H$11)*$A333-(Examples!$H$6*Examples!$H$7*Examples!$H$8*EXP(-Examples!$H$9*$A333)*(1-(Examples!$H$12*(1-EXP(-Examples!$H$13*$A333))/(1+EXP(MIN(700,MAX(-700,(Examples!$H$14*$A333-Examples!$H$15)/Examples!$H$16))))))+Examples!$H$17*$A333^2)</f>
        <v>647241.27064867318</v>
      </c>
      <c r="M333" s="33">
        <f>(Examples!$H$6*Examples!$H$7*Examples!$H$8*EXP(-Examples!$H$9*$A333)*(1-(Examples!$H$12*(1-EXP(-Examples!$H$13*$A333))/(1+EXP(MIN(700,MAX(-700,(Examples!$H$14*$A333-Examples!$H$15)/Examples!$H$16))))))+Examples!$H$17*$A333^2)</f>
        <v>687258.72935132682</v>
      </c>
    </row>
    <row r="334" spans="1:13" x14ac:dyDescent="0.25">
      <c r="A334">
        <f>(334-2)/100</f>
        <v>3.32</v>
      </c>
      <c r="B334" s="33">
        <f>Examples!$C$18-(Examples!$C$10+Examples!$C$11)*$A334-(Examples!$C$6*Examples!$C$7*Examples!$C$8*EXP(-Examples!$C$9*$A334)*(1-(Examples!$C$12*(1-EXP(-Examples!$C$13*$A334))/(1+EXP(MIN(700,MAX(-700,(Examples!$C$14*$A334-Examples!$C$15)/Examples!$C$16))))))+Examples!$C$17*$A334^2)</f>
        <v>97245.054047775629</v>
      </c>
      <c r="C334" s="33">
        <f>(Examples!$C$6*Examples!$C$7*Examples!$C$8*EXP(-Examples!$C$9*$A334)*(1-(Examples!$C$12*(1-EXP(-Examples!$C$13*$A334))/(1+EXP(MIN(700,MAX(-700,(Examples!$C$14*$A334-Examples!$C$15)/Examples!$C$16))))))+Examples!$C$17*$A334^2)</f>
        <v>386554.94595222437</v>
      </c>
      <c r="D334" s="33">
        <f>Examples!$D$18-(Examples!$D$10+Examples!$D$11)*$A334-(Examples!$D$6*Examples!$D$7*Examples!$D$8*EXP(-Examples!$D$9*$A334)*(1-(Examples!$D$12*(1-EXP(-Examples!$D$13*$A334))/(1+EXP(MIN(700,MAX(-700,(Examples!$D$14*$A334-Examples!$D$15)/Examples!$D$16))))))+Examples!$D$17*$A334^2)</f>
        <v>1506529.4864755019</v>
      </c>
      <c r="E334" s="33">
        <f>(Examples!$D$6*Examples!$D$7*Examples!$D$8*EXP(-Examples!$D$9*$A334)*(1-(Examples!$D$12*(1-EXP(-Examples!$D$13*$A334))/(1+EXP(MIN(700,MAX(-700,(Examples!$D$14*$A334-Examples!$D$15)/Examples!$D$16))))))+Examples!$D$17*$A334^2)</f>
        <v>844070.51352449809</v>
      </c>
      <c r="F334" s="33">
        <f>Examples!$E$18-(Examples!$E$10+Examples!$E$11)*$A334-(Examples!$E$6*Examples!$E$7*Examples!$E$8*EXP(-Examples!$E$9*$A334)*(1-(Examples!$E$12*(1-EXP(-Examples!$E$13*$A334))/(1+EXP(MIN(700,MAX(-700,(Examples!$E$14*$A334-Examples!$E$15)/Examples!$E$16))))))+Examples!$E$17*$A334^2)</f>
        <v>2483585.1002247417</v>
      </c>
      <c r="G334" s="33">
        <f>(Examples!$E$6*Examples!$E$7*Examples!$E$8*EXP(-Examples!$E$9*$A334)*(1-(Examples!$E$12*(1-EXP(-Examples!$E$13*$A334))/(1+EXP(MIN(700,MAX(-700,(Examples!$E$14*$A334-Examples!$E$15)/Examples!$E$16))))))+Examples!$E$17*$A334^2)</f>
        <v>234214.89977525844</v>
      </c>
      <c r="H334" s="33">
        <f>Examples!$F$18-(Examples!$F$10+Examples!$F$11)*$A334-(Examples!$F$6*Examples!$F$7*Examples!$F$8*EXP(-Examples!$F$9*$A334)*(1-(Examples!$F$12*(1-EXP(-Examples!$F$13*$A334))/(1+EXP(MIN(700,MAX(-700,(Examples!$F$14*$A334-Examples!$F$15)/Examples!$F$16))))))+Examples!$F$17*$A334^2)</f>
        <v>-143311.11661424363</v>
      </c>
      <c r="I334" s="33">
        <f>(Examples!$F$6*Examples!$F$7*Examples!$F$8*EXP(-Examples!$F$9*$A334)*(1-(Examples!$F$12*(1-EXP(-Examples!$F$13*$A334))/(1+EXP(MIN(700,MAX(-700,(Examples!$F$14*$A334-Examples!$F$15)/Examples!$F$16))))))+Examples!$F$17*$A334^2)</f>
        <v>226911.11661424363</v>
      </c>
      <c r="J334" s="33">
        <f>Examples!$G$18-(Examples!$G$10+Examples!$G$11)*$A334-(Examples!$G$6*Examples!$G$7*Examples!$G$8*EXP(-Examples!$G$9*$A334)*(1-(Examples!$G$12*(1-EXP(-Examples!$G$13*$A334))/(1+EXP(MIN(700,MAX(-700,(Examples!$G$14*$A334-Examples!$G$15)/Examples!$G$16))))))+Examples!$G$17*$A334^2)</f>
        <v>721852.11662676348</v>
      </c>
      <c r="K334" s="33">
        <f>(Examples!$G$6*Examples!$G$7*Examples!$G$8*EXP(-Examples!$G$9*$A334)*(1-(Examples!$G$12*(1-EXP(-Examples!$G$13*$A334))/(1+EXP(MIN(700,MAX(-700,(Examples!$G$14*$A334-Examples!$G$15)/Examples!$G$16))))))+Examples!$G$17*$A334^2)</f>
        <v>612147.88337323652</v>
      </c>
      <c r="L334" s="33">
        <f>Examples!$H$18-(Examples!$H$10+Examples!$H$11)*$A334-(Examples!$H$6*Examples!$H$7*Examples!$H$8*EXP(-Examples!$H$9*$A334)*(1-(Examples!$H$12*(1-EXP(-Examples!$H$13*$A334))/(1+EXP(MIN(700,MAX(-700,(Examples!$H$14*$A334-Examples!$H$15)/Examples!$H$16))))))+Examples!$H$17*$A334^2)</f>
        <v>647509.88528979395</v>
      </c>
      <c r="M334" s="33">
        <f>(Examples!$H$6*Examples!$H$7*Examples!$H$8*EXP(-Examples!$H$9*$A334)*(1-(Examples!$H$12*(1-EXP(-Examples!$H$13*$A334))/(1+EXP(MIN(700,MAX(-700,(Examples!$H$14*$A334-Examples!$H$15)/Examples!$H$16))))))+Examples!$H$17*$A334^2)</f>
        <v>686490.11471020605</v>
      </c>
    </row>
    <row r="335" spans="1:13" x14ac:dyDescent="0.25">
      <c r="A335">
        <f>(335-2)/100</f>
        <v>3.33</v>
      </c>
      <c r="B335" s="33">
        <f>Examples!$C$18-(Examples!$C$10+Examples!$C$11)*$A335-(Examples!$C$6*Examples!$C$7*Examples!$C$8*EXP(-Examples!$C$9*$A335)*(1-(Examples!$C$12*(1-EXP(-Examples!$C$13*$A335))/(1+EXP(MIN(700,MAX(-700,(Examples!$C$14*$A335-Examples!$C$15)/Examples!$C$16))))))+Examples!$C$17*$A335^2)</f>
        <v>96547.954094427289</v>
      </c>
      <c r="C335" s="33">
        <f>(Examples!$C$6*Examples!$C$7*Examples!$C$8*EXP(-Examples!$C$9*$A335)*(1-(Examples!$C$12*(1-EXP(-Examples!$C$13*$A335))/(1+EXP(MIN(700,MAX(-700,(Examples!$C$14*$A335-Examples!$C$15)/Examples!$C$16))))))+Examples!$C$17*$A335^2)</f>
        <v>386902.04590557271</v>
      </c>
      <c r="D335" s="33">
        <f>Examples!$D$18-(Examples!$D$10+Examples!$D$11)*$A335-(Examples!$D$6*Examples!$D$7*Examples!$D$8*EXP(-Examples!$D$9*$A335)*(1-(Examples!$D$12*(1-EXP(-Examples!$D$13*$A335))/(1+EXP(MIN(700,MAX(-700,(Examples!$D$14*$A335-Examples!$D$15)/Examples!$D$16))))))+Examples!$D$17*$A335^2)</f>
        <v>1507137.4280010706</v>
      </c>
      <c r="E335" s="33">
        <f>(Examples!$D$6*Examples!$D$7*Examples!$D$8*EXP(-Examples!$D$9*$A335)*(1-(Examples!$D$12*(1-EXP(-Examples!$D$13*$A335))/(1+EXP(MIN(700,MAX(-700,(Examples!$D$14*$A335-Examples!$D$15)/Examples!$D$16))))))+Examples!$D$17*$A335^2)</f>
        <v>843012.57199892937</v>
      </c>
      <c r="F335" s="33">
        <f>Examples!$E$18-(Examples!$E$10+Examples!$E$11)*$A335-(Examples!$E$6*Examples!$E$7*Examples!$E$8*EXP(-Examples!$E$9*$A335)*(1-(Examples!$E$12*(1-EXP(-Examples!$E$13*$A335))/(1+EXP(MIN(700,MAX(-700,(Examples!$E$14*$A335-Examples!$E$15)/Examples!$E$16))))))+Examples!$E$17*$A335^2)</f>
        <v>2483258.2615813981</v>
      </c>
      <c r="G335" s="33">
        <f>(Examples!$E$6*Examples!$E$7*Examples!$E$8*EXP(-Examples!$E$9*$A335)*(1-(Examples!$E$12*(1-EXP(-Examples!$E$13*$A335))/(1+EXP(MIN(700,MAX(-700,(Examples!$E$14*$A335-Examples!$E$15)/Examples!$E$16))))))+Examples!$E$17*$A335^2)</f>
        <v>233691.7384186018</v>
      </c>
      <c r="H335" s="33">
        <f>Examples!$F$18-(Examples!$F$10+Examples!$F$11)*$A335-(Examples!$F$6*Examples!$F$7*Examples!$F$8*EXP(-Examples!$F$9*$A335)*(1-(Examples!$F$12*(1-EXP(-Examples!$F$13*$A335))/(1+EXP(MIN(700,MAX(-700,(Examples!$F$14*$A335-Examples!$F$15)/Examples!$F$16))))))+Examples!$F$17*$A335^2)</f>
        <v>-144821.77788896544</v>
      </c>
      <c r="I335" s="33">
        <f>(Examples!$F$6*Examples!$F$7*Examples!$F$8*EXP(-Examples!$F$9*$A335)*(1-(Examples!$F$12*(1-EXP(-Examples!$F$13*$A335))/(1+EXP(MIN(700,MAX(-700,(Examples!$F$14*$A335-Examples!$F$15)/Examples!$F$16))))))+Examples!$F$17*$A335^2)</f>
        <v>228221.77788896544</v>
      </c>
      <c r="J335" s="33">
        <f>Examples!$G$18-(Examples!$G$10+Examples!$G$11)*$A335-(Examples!$G$6*Examples!$G$7*Examples!$G$8*EXP(-Examples!$G$9*$A335)*(1-(Examples!$G$12*(1-EXP(-Examples!$G$13*$A335))/(1+EXP(MIN(700,MAX(-700,(Examples!$G$14*$A335-Examples!$G$15)/Examples!$G$16))))))+Examples!$G$17*$A335^2)</f>
        <v>721759.10150407837</v>
      </c>
      <c r="K335" s="33">
        <f>(Examples!$G$6*Examples!$G$7*Examples!$G$8*EXP(-Examples!$G$9*$A335)*(1-(Examples!$G$12*(1-EXP(-Examples!$G$13*$A335))/(1+EXP(MIN(700,MAX(-700,(Examples!$G$14*$A335-Examples!$G$15)/Examples!$G$16))))))+Examples!$G$17*$A335^2)</f>
        <v>611740.89849592163</v>
      </c>
      <c r="L335" s="33">
        <f>Examples!$H$18-(Examples!$H$10+Examples!$H$11)*$A335-(Examples!$H$6*Examples!$H$7*Examples!$H$8*EXP(-Examples!$H$9*$A335)*(1-(Examples!$H$12*(1-EXP(-Examples!$H$13*$A335))/(1+EXP(MIN(700,MAX(-700,(Examples!$H$14*$A335-Examples!$H$15)/Examples!$H$16))))))+Examples!$H$17*$A335^2)</f>
        <v>647795.62025958556</v>
      </c>
      <c r="M335" s="33">
        <f>(Examples!$H$6*Examples!$H$7*Examples!$H$8*EXP(-Examples!$H$9*$A335)*(1-(Examples!$H$12*(1-EXP(-Examples!$H$13*$A335))/(1+EXP(MIN(700,MAX(-700,(Examples!$H$14*$A335-Examples!$H$15)/Examples!$H$16))))))+Examples!$H$17*$A335^2)</f>
        <v>685704.37974041444</v>
      </c>
    </row>
    <row r="336" spans="1:13" x14ac:dyDescent="0.25">
      <c r="A336">
        <f>(336-2)/100</f>
        <v>3.34</v>
      </c>
      <c r="B336" s="33">
        <f>Examples!$C$18-(Examples!$C$10+Examples!$C$11)*$A336-(Examples!$C$6*Examples!$C$7*Examples!$C$8*EXP(-Examples!$C$9*$A336)*(1-(Examples!$C$12*(1-EXP(-Examples!$C$13*$A336))/(1+EXP(MIN(700,MAX(-700,(Examples!$C$14*$A336-Examples!$C$15)/Examples!$C$16))))))+Examples!$C$17*$A336^2)</f>
        <v>95846.320373246912</v>
      </c>
      <c r="C336" s="33">
        <f>(Examples!$C$6*Examples!$C$7*Examples!$C$8*EXP(-Examples!$C$9*$A336)*(1-(Examples!$C$12*(1-EXP(-Examples!$C$13*$A336))/(1+EXP(MIN(700,MAX(-700,(Examples!$C$14*$A336-Examples!$C$15)/Examples!$C$16))))))+Examples!$C$17*$A336^2)</f>
        <v>387253.67962675309</v>
      </c>
      <c r="D336" s="33">
        <f>Examples!$D$18-(Examples!$D$10+Examples!$D$11)*$A336-(Examples!$D$6*Examples!$D$7*Examples!$D$8*EXP(-Examples!$D$9*$A336)*(1-(Examples!$D$12*(1-EXP(-Examples!$D$13*$A336))/(1+EXP(MIN(700,MAX(-700,(Examples!$D$14*$A336-Examples!$D$15)/Examples!$D$16))))))+Examples!$D$17*$A336^2)</f>
        <v>1507729.9386484697</v>
      </c>
      <c r="E336" s="33">
        <f>(Examples!$D$6*Examples!$D$7*Examples!$D$8*EXP(-Examples!$D$9*$A336)*(1-(Examples!$D$12*(1-EXP(-Examples!$D$13*$A336))/(1+EXP(MIN(700,MAX(-700,(Examples!$D$14*$A336-Examples!$D$15)/Examples!$D$16))))))+Examples!$D$17*$A336^2)</f>
        <v>841970.06135153025</v>
      </c>
      <c r="F336" s="33">
        <f>Examples!$E$18-(Examples!$E$10+Examples!$E$11)*$A336-(Examples!$E$6*Examples!$E$7*Examples!$E$8*EXP(-Examples!$E$9*$A336)*(1-(Examples!$E$12*(1-EXP(-Examples!$E$13*$A336))/(1+EXP(MIN(700,MAX(-700,(Examples!$E$14*$A336-Examples!$E$15)/Examples!$E$16))))))+Examples!$E$17*$A336^2)</f>
        <v>2482923.8118970254</v>
      </c>
      <c r="G336" s="33">
        <f>(Examples!$E$6*Examples!$E$7*Examples!$E$8*EXP(-Examples!$E$9*$A336)*(1-(Examples!$E$12*(1-EXP(-Examples!$E$13*$A336))/(1+EXP(MIN(700,MAX(-700,(Examples!$E$14*$A336-Examples!$E$15)/Examples!$E$16))))))+Examples!$E$17*$A336^2)</f>
        <v>233176.18810297435</v>
      </c>
      <c r="H336" s="33">
        <f>Examples!$F$18-(Examples!$F$10+Examples!$F$11)*$A336-(Examples!$F$6*Examples!$F$7*Examples!$F$8*EXP(-Examples!$F$9*$A336)*(1-(Examples!$F$12*(1-EXP(-Examples!$F$13*$A336))/(1+EXP(MIN(700,MAX(-700,(Examples!$F$14*$A336-Examples!$F$15)/Examples!$F$16))))))+Examples!$F$17*$A336^2)</f>
        <v>-146336.49622632604</v>
      </c>
      <c r="I336" s="33">
        <f>(Examples!$F$6*Examples!$F$7*Examples!$F$8*EXP(-Examples!$F$9*$A336)*(1-(Examples!$F$12*(1-EXP(-Examples!$F$13*$A336))/(1+EXP(MIN(700,MAX(-700,(Examples!$F$14*$A336-Examples!$F$15)/Examples!$F$16))))))+Examples!$F$17*$A336^2)</f>
        <v>229536.49622632604</v>
      </c>
      <c r="J336" s="33">
        <f>Examples!$G$18-(Examples!$G$10+Examples!$G$11)*$A336-(Examples!$G$6*Examples!$G$7*Examples!$G$8*EXP(-Examples!$G$9*$A336)*(1-(Examples!$G$12*(1-EXP(-Examples!$G$13*$A336))/(1+EXP(MIN(700,MAX(-700,(Examples!$G$14*$A336-Examples!$G$15)/Examples!$G$16))))))+Examples!$G$17*$A336^2)</f>
        <v>721668.12577740604</v>
      </c>
      <c r="K336" s="33">
        <f>(Examples!$G$6*Examples!$G$7*Examples!$G$8*EXP(-Examples!$G$9*$A336)*(1-(Examples!$G$12*(1-EXP(-Examples!$G$13*$A336))/(1+EXP(MIN(700,MAX(-700,(Examples!$G$14*$A336-Examples!$G$15)/Examples!$G$16))))))+Examples!$G$17*$A336^2)</f>
        <v>611331.87422259396</v>
      </c>
      <c r="L336" s="33">
        <f>Examples!$H$18-(Examples!$H$10+Examples!$H$11)*$A336-(Examples!$H$6*Examples!$H$7*Examples!$H$8*EXP(-Examples!$H$9*$A336)*(1-(Examples!$H$12*(1-EXP(-Examples!$H$13*$A336))/(1+EXP(MIN(700,MAX(-700,(Examples!$H$14*$A336-Examples!$H$15)/Examples!$H$16))))))+Examples!$H$17*$A336^2)</f>
        <v>648097.83578423865</v>
      </c>
      <c r="M336" s="33">
        <f>(Examples!$H$6*Examples!$H$7*Examples!$H$8*EXP(-Examples!$H$9*$A336)*(1-(Examples!$H$12*(1-EXP(-Examples!$H$13*$A336))/(1+EXP(MIN(700,MAX(-700,(Examples!$H$14*$A336-Examples!$H$15)/Examples!$H$16))))))+Examples!$H$17*$A336^2)</f>
        <v>684902.16421576135</v>
      </c>
    </row>
    <row r="337" spans="1:13" x14ac:dyDescent="0.25">
      <c r="A337">
        <f>(337-2)/100</f>
        <v>3.35</v>
      </c>
      <c r="B337" s="33">
        <f>Examples!$C$18-(Examples!$C$10+Examples!$C$11)*$A337-(Examples!$C$6*Examples!$C$7*Examples!$C$8*EXP(-Examples!$C$9*$A337)*(1-(Examples!$C$12*(1-EXP(-Examples!$C$13*$A337))/(1+EXP(MIN(700,MAX(-700,(Examples!$C$14*$A337-Examples!$C$15)/Examples!$C$16))))))+Examples!$C$17*$A337^2)</f>
        <v>95140.143675643019</v>
      </c>
      <c r="C337" s="33">
        <f>(Examples!$C$6*Examples!$C$7*Examples!$C$8*EXP(-Examples!$C$9*$A337)*(1-(Examples!$C$12*(1-EXP(-Examples!$C$13*$A337))/(1+EXP(MIN(700,MAX(-700,(Examples!$C$14*$A337-Examples!$C$15)/Examples!$C$16))))))+Examples!$C$17*$A337^2)</f>
        <v>387609.85632435698</v>
      </c>
      <c r="D337" s="33">
        <f>Examples!$D$18-(Examples!$D$10+Examples!$D$11)*$A337-(Examples!$D$6*Examples!$D$7*Examples!$D$8*EXP(-Examples!$D$9*$A337)*(1-(Examples!$D$12*(1-EXP(-Examples!$D$13*$A337))/(1+EXP(MIN(700,MAX(-700,(Examples!$D$14*$A337-Examples!$D$15)/Examples!$D$16))))))+Examples!$D$17*$A337^2)</f>
        <v>1508307.4216575692</v>
      </c>
      <c r="E337" s="33">
        <f>(Examples!$D$6*Examples!$D$7*Examples!$D$8*EXP(-Examples!$D$9*$A337)*(1-(Examples!$D$12*(1-EXP(-Examples!$D$13*$A337))/(1+EXP(MIN(700,MAX(-700,(Examples!$D$14*$A337-Examples!$D$15)/Examples!$D$16))))))+Examples!$D$17*$A337^2)</f>
        <v>840942.57834243064</v>
      </c>
      <c r="F337" s="33">
        <f>Examples!$E$18-(Examples!$E$10+Examples!$E$11)*$A337-(Examples!$E$6*Examples!$E$7*Examples!$E$8*EXP(-Examples!$E$9*$A337)*(1-(Examples!$E$12*(1-EXP(-Examples!$E$13*$A337))/(1+EXP(MIN(700,MAX(-700,(Examples!$E$14*$A337-Examples!$E$15)/Examples!$E$16))))))+Examples!$E$17*$A337^2)</f>
        <v>2482581.8408210403</v>
      </c>
      <c r="G337" s="33">
        <f>(Examples!$E$6*Examples!$E$7*Examples!$E$8*EXP(-Examples!$E$9*$A337)*(1-(Examples!$E$12*(1-EXP(-Examples!$E$13*$A337))/(1+EXP(MIN(700,MAX(-700,(Examples!$E$14*$A337-Examples!$E$15)/Examples!$E$16))))))+Examples!$E$17*$A337^2)</f>
        <v>232668.15917895985</v>
      </c>
      <c r="H337" s="33">
        <f>Examples!$F$18-(Examples!$F$10+Examples!$F$11)*$A337-(Examples!$F$6*Examples!$F$7*Examples!$F$8*EXP(-Examples!$F$9*$A337)*(1-(Examples!$F$12*(1-EXP(-Examples!$F$13*$A337))/(1+EXP(MIN(700,MAX(-700,(Examples!$F$14*$A337-Examples!$F$15)/Examples!$F$16))))))+Examples!$F$17*$A337^2)</f>
        <v>-147855.2714899962</v>
      </c>
      <c r="I337" s="33">
        <f>(Examples!$F$6*Examples!$F$7*Examples!$F$8*EXP(-Examples!$F$9*$A337)*(1-(Examples!$F$12*(1-EXP(-Examples!$F$13*$A337))/(1+EXP(MIN(700,MAX(-700,(Examples!$F$14*$A337-Examples!$F$15)/Examples!$F$16))))))+Examples!$F$17*$A337^2)</f>
        <v>230855.2714899962</v>
      </c>
      <c r="J337" s="33">
        <f>Examples!$G$18-(Examples!$G$10+Examples!$G$11)*$A337-(Examples!$G$6*Examples!$G$7*Examples!$G$8*EXP(-Examples!$G$9*$A337)*(1-(Examples!$G$12*(1-EXP(-Examples!$G$13*$A337))/(1+EXP(MIN(700,MAX(-700,(Examples!$G$14*$A337-Examples!$G$15)/Examples!$G$16))))))+Examples!$G$17*$A337^2)</f>
        <v>721579.20369237592</v>
      </c>
      <c r="K337" s="33">
        <f>(Examples!$G$6*Examples!$G$7*Examples!$G$8*EXP(-Examples!$G$9*$A337)*(1-(Examples!$G$12*(1-EXP(-Examples!$G$13*$A337))/(1+EXP(MIN(700,MAX(-700,(Examples!$G$14*$A337-Examples!$G$15)/Examples!$G$16))))))+Examples!$G$17*$A337^2)</f>
        <v>610920.79630762408</v>
      </c>
      <c r="L337" s="33">
        <f>Examples!$H$18-(Examples!$H$10+Examples!$H$11)*$A337-(Examples!$H$6*Examples!$H$7*Examples!$H$8*EXP(-Examples!$H$9*$A337)*(1-(Examples!$H$12*(1-EXP(-Examples!$H$13*$A337))/(1+EXP(MIN(700,MAX(-700,(Examples!$H$14*$A337-Examples!$H$15)/Examples!$H$16))))))+Examples!$H$17*$A337^2)</f>
        <v>648415.90220744605</v>
      </c>
      <c r="M337" s="33">
        <f>(Examples!$H$6*Examples!$H$7*Examples!$H$8*EXP(-Examples!$H$9*$A337)*(1-(Examples!$H$12*(1-EXP(-Examples!$H$13*$A337))/(1+EXP(MIN(700,MAX(-700,(Examples!$H$14*$A337-Examples!$H$15)/Examples!$H$16))))))+Examples!$H$17*$A337^2)</f>
        <v>684084.09779255395</v>
      </c>
    </row>
    <row r="338" spans="1:13" x14ac:dyDescent="0.25">
      <c r="A338">
        <f>(338-2)/100</f>
        <v>3.36</v>
      </c>
      <c r="B338" s="33">
        <f>Examples!$C$18-(Examples!$C$10+Examples!$C$11)*$A338-(Examples!$C$6*Examples!$C$7*Examples!$C$8*EXP(-Examples!$C$9*$A338)*(1-(Examples!$C$12*(1-EXP(-Examples!$C$13*$A338))/(1+EXP(MIN(700,MAX(-700,(Examples!$C$14*$A338-Examples!$C$15)/Examples!$C$16))))))+Examples!$C$17*$A338^2)</f>
        <v>94429.415269135148</v>
      </c>
      <c r="C338" s="33">
        <f>(Examples!$C$6*Examples!$C$7*Examples!$C$8*EXP(-Examples!$C$9*$A338)*(1-(Examples!$C$12*(1-EXP(-Examples!$C$13*$A338))/(1+EXP(MIN(700,MAX(-700,(Examples!$C$14*$A338-Examples!$C$15)/Examples!$C$16))))))+Examples!$C$17*$A338^2)</f>
        <v>387970.58473086485</v>
      </c>
      <c r="D338" s="33">
        <f>Examples!$D$18-(Examples!$D$10+Examples!$D$11)*$A338-(Examples!$D$6*Examples!$D$7*Examples!$D$8*EXP(-Examples!$D$9*$A338)*(1-(Examples!$D$12*(1-EXP(-Examples!$D$13*$A338))/(1+EXP(MIN(700,MAX(-700,(Examples!$D$14*$A338-Examples!$D$15)/Examples!$D$16))))))+Examples!$D$17*$A338^2)</f>
        <v>1508870.2781358587</v>
      </c>
      <c r="E338" s="33">
        <f>(Examples!$D$6*Examples!$D$7*Examples!$D$8*EXP(-Examples!$D$9*$A338)*(1-(Examples!$D$12*(1-EXP(-Examples!$D$13*$A338))/(1+EXP(MIN(700,MAX(-700,(Examples!$D$14*$A338-Examples!$D$15)/Examples!$D$16))))))+Examples!$D$17*$A338^2)</f>
        <v>839929.72186414129</v>
      </c>
      <c r="F338" s="33">
        <f>Examples!$E$18-(Examples!$E$10+Examples!$E$11)*$A338-(Examples!$E$6*Examples!$E$7*Examples!$E$8*EXP(-Examples!$E$9*$A338)*(1-(Examples!$E$12*(1-EXP(-Examples!$E$13*$A338))/(1+EXP(MIN(700,MAX(-700,(Examples!$E$14*$A338-Examples!$E$15)/Examples!$E$16))))))+Examples!$E$17*$A338^2)</f>
        <v>2482232.4370976691</v>
      </c>
      <c r="G338" s="33">
        <f>(Examples!$E$6*Examples!$E$7*Examples!$E$8*EXP(-Examples!$E$9*$A338)*(1-(Examples!$E$12*(1-EXP(-Examples!$E$13*$A338))/(1+EXP(MIN(700,MAX(-700,(Examples!$E$14*$A338-Examples!$E$15)/Examples!$E$16))))))+Examples!$E$17*$A338^2)</f>
        <v>232167.56290233071</v>
      </c>
      <c r="H338" s="33">
        <f>Examples!$F$18-(Examples!$F$10+Examples!$F$11)*$A338-(Examples!$F$6*Examples!$F$7*Examples!$F$8*EXP(-Examples!$F$9*$A338)*(1-(Examples!$F$12*(1-EXP(-Examples!$F$13*$A338))/(1+EXP(MIN(700,MAX(-700,(Examples!$F$14*$A338-Examples!$F$15)/Examples!$F$16))))))+Examples!$F$17*$A338^2)</f>
        <v>-149378.10354268426</v>
      </c>
      <c r="I338" s="33">
        <f>(Examples!$F$6*Examples!$F$7*Examples!$F$8*EXP(-Examples!$F$9*$A338)*(1-(Examples!$F$12*(1-EXP(-Examples!$F$13*$A338))/(1+EXP(MIN(700,MAX(-700,(Examples!$F$14*$A338-Examples!$F$15)/Examples!$F$16))))))+Examples!$F$17*$A338^2)</f>
        <v>232178.10354268426</v>
      </c>
      <c r="J338" s="33">
        <f>Examples!$G$18-(Examples!$G$10+Examples!$G$11)*$A338-(Examples!$G$6*Examples!$G$7*Examples!$G$8*EXP(-Examples!$G$9*$A338)*(1-(Examples!$G$12*(1-EXP(-Examples!$G$13*$A338))/(1+EXP(MIN(700,MAX(-700,(Examples!$G$14*$A338-Examples!$G$15)/Examples!$G$16))))))+Examples!$G$17*$A338^2)</f>
        <v>721492.34721379378</v>
      </c>
      <c r="K338" s="33">
        <f>(Examples!$G$6*Examples!$G$7*Examples!$G$8*EXP(-Examples!$G$9*$A338)*(1-(Examples!$G$12*(1-EXP(-Examples!$G$13*$A338))/(1+EXP(MIN(700,MAX(-700,(Examples!$G$14*$A338-Examples!$G$15)/Examples!$G$16))))))+Examples!$G$17*$A338^2)</f>
        <v>610507.65278620622</v>
      </c>
      <c r="L338" s="33">
        <f>Examples!$H$18-(Examples!$H$10+Examples!$H$11)*$A338-(Examples!$H$6*Examples!$H$7*Examples!$H$8*EXP(-Examples!$H$9*$A338)*(1-(Examples!$H$12*(1-EXP(-Examples!$H$13*$A338))/(1+EXP(MIN(700,MAX(-700,(Examples!$H$14*$A338-Examples!$H$15)/Examples!$H$16))))))+Examples!$H$17*$A338^2)</f>
        <v>648749.20025977283</v>
      </c>
      <c r="M338" s="33">
        <f>(Examples!$H$6*Examples!$H$7*Examples!$H$8*EXP(-Examples!$H$9*$A338)*(1-(Examples!$H$12*(1-EXP(-Examples!$H$13*$A338))/(1+EXP(MIN(700,MAX(-700,(Examples!$H$14*$A338-Examples!$H$15)/Examples!$H$16))))))+Examples!$H$17*$A338^2)</f>
        <v>683250.79974022717</v>
      </c>
    </row>
    <row r="339" spans="1:13" x14ac:dyDescent="0.25">
      <c r="A339">
        <f>(339-2)/100</f>
        <v>3.37</v>
      </c>
      <c r="B339" s="33">
        <f>Examples!$C$18-(Examples!$C$10+Examples!$C$11)*$A339-(Examples!$C$6*Examples!$C$7*Examples!$C$8*EXP(-Examples!$C$9*$A339)*(1-(Examples!$C$12*(1-EXP(-Examples!$C$13*$A339))/(1+EXP(MIN(700,MAX(-700,(Examples!$C$14*$A339-Examples!$C$15)/Examples!$C$16))))))+Examples!$C$17*$A339^2)</f>
        <v>93714.12688197894</v>
      </c>
      <c r="C339" s="33">
        <f>(Examples!$C$6*Examples!$C$7*Examples!$C$8*EXP(-Examples!$C$9*$A339)*(1-(Examples!$C$12*(1-EXP(-Examples!$C$13*$A339))/(1+EXP(MIN(700,MAX(-700,(Examples!$C$14*$A339-Examples!$C$15)/Examples!$C$16))))))+Examples!$C$17*$A339^2)</f>
        <v>388335.87311802106</v>
      </c>
      <c r="D339" s="33">
        <f>Examples!$D$18-(Examples!$D$10+Examples!$D$11)*$A339-(Examples!$D$6*Examples!$D$7*Examples!$D$8*EXP(-Examples!$D$9*$A339)*(1-(Examples!$D$12*(1-EXP(-Examples!$D$13*$A339))/(1+EXP(MIN(700,MAX(-700,(Examples!$D$14*$A339-Examples!$D$15)/Examples!$D$16))))))+Examples!$D$17*$A339^2)</f>
        <v>1509418.9069971393</v>
      </c>
      <c r="E339" s="33">
        <f>(Examples!$D$6*Examples!$D$7*Examples!$D$8*EXP(-Examples!$D$9*$A339)*(1-(Examples!$D$12*(1-EXP(-Examples!$D$13*$A339))/(1+EXP(MIN(700,MAX(-700,(Examples!$D$14*$A339-Examples!$D$15)/Examples!$D$16))))))+Examples!$D$17*$A339^2)</f>
        <v>838931.09300286067</v>
      </c>
      <c r="F339" s="33">
        <f>Examples!$E$18-(Examples!$E$10+Examples!$E$11)*$A339-(Examples!$E$6*Examples!$E$7*Examples!$E$8*EXP(-Examples!$E$9*$A339)*(1-(Examples!$E$12*(1-EXP(-Examples!$E$13*$A339))/(1+EXP(MIN(700,MAX(-700,(Examples!$E$14*$A339-Examples!$E$15)/Examples!$E$16))))))+Examples!$E$17*$A339^2)</f>
        <v>2481875.6885756161</v>
      </c>
      <c r="G339" s="33">
        <f>(Examples!$E$6*Examples!$E$7*Examples!$E$8*EXP(-Examples!$E$9*$A339)*(1-(Examples!$E$12*(1-EXP(-Examples!$E$13*$A339))/(1+EXP(MIN(700,MAX(-700,(Examples!$E$14*$A339-Examples!$E$15)/Examples!$E$16))))))+Examples!$E$17*$A339^2)</f>
        <v>231674.31142438369</v>
      </c>
      <c r="H339" s="33">
        <f>Examples!$F$18-(Examples!$F$10+Examples!$F$11)*$A339-(Examples!$F$6*Examples!$F$7*Examples!$F$8*EXP(-Examples!$F$9*$A339)*(1-(Examples!$F$12*(1-EXP(-Examples!$F$13*$A339))/(1+EXP(MIN(700,MAX(-700,(Examples!$F$14*$A339-Examples!$F$15)/Examples!$F$16))))))+Examples!$F$17*$A339^2)</f>
        <v>-150904.99224619285</v>
      </c>
      <c r="I339" s="33">
        <f>(Examples!$F$6*Examples!$F$7*Examples!$F$8*EXP(-Examples!$F$9*$A339)*(1-(Examples!$F$12*(1-EXP(-Examples!$F$13*$A339))/(1+EXP(MIN(700,MAX(-700,(Examples!$F$14*$A339-Examples!$F$15)/Examples!$F$16))))))+Examples!$F$17*$A339^2)</f>
        <v>233504.99224619285</v>
      </c>
      <c r="J339" s="33">
        <f>Examples!$G$18-(Examples!$G$10+Examples!$G$11)*$A339-(Examples!$G$6*Examples!$G$7*Examples!$G$8*EXP(-Examples!$G$9*$A339)*(1-(Examples!$G$12*(1-EXP(-Examples!$G$13*$A339))/(1+EXP(MIN(700,MAX(-700,(Examples!$G$14*$A339-Examples!$G$15)/Examples!$G$16))))))+Examples!$G$17*$A339^2)</f>
        <v>721407.56606884045</v>
      </c>
      <c r="K339" s="33">
        <f>(Examples!$G$6*Examples!$G$7*Examples!$G$8*EXP(-Examples!$G$9*$A339)*(1-(Examples!$G$12*(1-EXP(-Examples!$G$13*$A339))/(1+EXP(MIN(700,MAX(-700,(Examples!$G$14*$A339-Examples!$G$15)/Examples!$G$16))))))+Examples!$G$17*$A339^2)</f>
        <v>610092.43393115955</v>
      </c>
      <c r="L339" s="33">
        <f>Examples!$H$18-(Examples!$H$10+Examples!$H$11)*$A339-(Examples!$H$6*Examples!$H$7*Examples!$H$8*EXP(-Examples!$H$9*$A339)*(1-(Examples!$H$12*(1-EXP(-Examples!$H$13*$A339))/(1+EXP(MIN(700,MAX(-700,(Examples!$H$14*$A339-Examples!$H$15)/Examples!$H$16))))))+Examples!$H$17*$A339^2)</f>
        <v>649097.12129321531</v>
      </c>
      <c r="M339" s="33">
        <f>(Examples!$H$6*Examples!$H$7*Examples!$H$8*EXP(-Examples!$H$9*$A339)*(1-(Examples!$H$12*(1-EXP(-Examples!$H$13*$A339))/(1+EXP(MIN(700,MAX(-700,(Examples!$H$14*$A339-Examples!$H$15)/Examples!$H$16))))))+Examples!$H$17*$A339^2)</f>
        <v>682402.87870678469</v>
      </c>
    </row>
    <row r="340" spans="1:13" x14ac:dyDescent="0.25">
      <c r="A340">
        <f>(340-2)/100</f>
        <v>3.38</v>
      </c>
      <c r="B340" s="33">
        <f>Examples!$C$18-(Examples!$C$10+Examples!$C$11)*$A340-(Examples!$C$6*Examples!$C$7*Examples!$C$8*EXP(-Examples!$C$9*$A340)*(1-(Examples!$C$12*(1-EXP(-Examples!$C$13*$A340))/(1+EXP(MIN(700,MAX(-700,(Examples!$C$14*$A340-Examples!$C$15)/Examples!$C$16))))))+Examples!$C$17*$A340^2)</f>
        <v>92994.270688234479</v>
      </c>
      <c r="C340" s="33">
        <f>(Examples!$C$6*Examples!$C$7*Examples!$C$8*EXP(-Examples!$C$9*$A340)*(1-(Examples!$C$12*(1-EXP(-Examples!$C$13*$A340))/(1+EXP(MIN(700,MAX(-700,(Examples!$C$14*$A340-Examples!$C$15)/Examples!$C$16))))))+Examples!$C$17*$A340^2)</f>
        <v>388705.72931176552</v>
      </c>
      <c r="D340" s="33">
        <f>Examples!$D$18-(Examples!$D$10+Examples!$D$11)*$A340-(Examples!$D$6*Examples!$D$7*Examples!$D$8*EXP(-Examples!$D$9*$A340)*(1-(Examples!$D$12*(1-EXP(-Examples!$D$13*$A340))/(1+EXP(MIN(700,MAX(-700,(Examples!$D$14*$A340-Examples!$D$15)/Examples!$D$16))))))+Examples!$D$17*$A340^2)</f>
        <v>1509953.7048995965</v>
      </c>
      <c r="E340" s="33">
        <f>(Examples!$D$6*Examples!$D$7*Examples!$D$8*EXP(-Examples!$D$9*$A340)*(1-(Examples!$D$12*(1-EXP(-Examples!$D$13*$A340))/(1+EXP(MIN(700,MAX(-700,(Examples!$D$14*$A340-Examples!$D$15)/Examples!$D$16))))))+Examples!$D$17*$A340^2)</f>
        <v>837946.29510040337</v>
      </c>
      <c r="F340" s="33">
        <f>Examples!$E$18-(Examples!$E$10+Examples!$E$11)*$A340-(Examples!$E$6*Examples!$E$7*Examples!$E$8*EXP(-Examples!$E$9*$A340)*(1-(Examples!$E$12*(1-EXP(-Examples!$E$13*$A340))/(1+EXP(MIN(700,MAX(-700,(Examples!$E$14*$A340-Examples!$E$15)/Examples!$E$16))))))+Examples!$E$17*$A340^2)</f>
        <v>2481511.6822175882</v>
      </c>
      <c r="G340" s="33">
        <f>(Examples!$E$6*Examples!$E$7*Examples!$E$8*EXP(-Examples!$E$9*$A340)*(1-(Examples!$E$12*(1-EXP(-Examples!$E$13*$A340))/(1+EXP(MIN(700,MAX(-700,(Examples!$E$14*$A340-Examples!$E$15)/Examples!$E$16))))))+Examples!$E$17*$A340^2)</f>
        <v>231188.31778241182</v>
      </c>
      <c r="H340" s="33">
        <f>Examples!$F$18-(Examples!$F$10+Examples!$F$11)*$A340-(Examples!$F$6*Examples!$F$7*Examples!$F$8*EXP(-Examples!$F$9*$A340)*(1-(Examples!$F$12*(1-EXP(-Examples!$F$13*$A340))/(1+EXP(MIN(700,MAX(-700,(Examples!$F$14*$A340-Examples!$F$15)/Examples!$F$16))))))+Examples!$F$17*$A340^2)</f>
        <v>-152435.9374614729</v>
      </c>
      <c r="I340" s="33">
        <f>(Examples!$F$6*Examples!$F$7*Examples!$F$8*EXP(-Examples!$F$9*$A340)*(1-(Examples!$F$12*(1-EXP(-Examples!$F$13*$A340))/(1+EXP(MIN(700,MAX(-700,(Examples!$F$14*$A340-Examples!$F$15)/Examples!$F$16))))))+Examples!$F$17*$A340^2)</f>
        <v>234835.9374614729</v>
      </c>
      <c r="J340" s="33">
        <f>Examples!$G$18-(Examples!$G$10+Examples!$G$11)*$A340-(Examples!$G$6*Examples!$G$7*Examples!$G$8*EXP(-Examples!$G$9*$A340)*(1-(Examples!$G$12*(1-EXP(-Examples!$G$13*$A340))/(1+EXP(MIN(700,MAX(-700,(Examples!$G$14*$A340-Examples!$G$15)/Examples!$G$16))))))+Examples!$G$17*$A340^2)</f>
        <v>721324.86779042915</v>
      </c>
      <c r="K340" s="33">
        <f>(Examples!$G$6*Examples!$G$7*Examples!$G$8*EXP(-Examples!$G$9*$A340)*(1-(Examples!$G$12*(1-EXP(-Examples!$G$13*$A340))/(1+EXP(MIN(700,MAX(-700,(Examples!$G$14*$A340-Examples!$G$15)/Examples!$G$16))))))+Examples!$G$17*$A340^2)</f>
        <v>609675.13220957085</v>
      </c>
      <c r="L340" s="33">
        <f>Examples!$H$18-(Examples!$H$10+Examples!$H$11)*$A340-(Examples!$H$6*Examples!$H$7*Examples!$H$8*EXP(-Examples!$H$9*$A340)*(1-(Examples!$H$12*(1-EXP(-Examples!$H$13*$A340))/(1+EXP(MIN(700,MAX(-700,(Examples!$H$14*$A340-Examples!$H$15)/Examples!$H$16))))))+Examples!$H$17*$A340^2)</f>
        <v>649459.06748277124</v>
      </c>
      <c r="M340" s="33">
        <f>(Examples!$H$6*Examples!$H$7*Examples!$H$8*EXP(-Examples!$H$9*$A340)*(1-(Examples!$H$12*(1-EXP(-Examples!$H$13*$A340))/(1+EXP(MIN(700,MAX(-700,(Examples!$H$14*$A340-Examples!$H$15)/Examples!$H$16))))))+Examples!$H$17*$A340^2)</f>
        <v>681540.93251722876</v>
      </c>
    </row>
    <row r="341" spans="1:13" x14ac:dyDescent="0.25">
      <c r="A341">
        <f>(341-2)/100</f>
        <v>3.39</v>
      </c>
      <c r="B341" s="33">
        <f>Examples!$C$18-(Examples!$C$10+Examples!$C$11)*$A341-(Examples!$C$6*Examples!$C$7*Examples!$C$8*EXP(-Examples!$C$9*$A341)*(1-(Examples!$C$12*(1-EXP(-Examples!$C$13*$A341))/(1+EXP(MIN(700,MAX(-700,(Examples!$C$14*$A341-Examples!$C$15)/Examples!$C$16))))))+Examples!$C$17*$A341^2)</f>
        <v>92269.839293264493</v>
      </c>
      <c r="C341" s="33">
        <f>(Examples!$C$6*Examples!$C$7*Examples!$C$8*EXP(-Examples!$C$9*$A341)*(1-(Examples!$C$12*(1-EXP(-Examples!$C$13*$A341))/(1+EXP(MIN(700,MAX(-700,(Examples!$C$14*$A341-Examples!$C$15)/Examples!$C$16))))))+Examples!$C$17*$A341^2)</f>
        <v>389080.16070673551</v>
      </c>
      <c r="D341" s="33">
        <f>Examples!$D$18-(Examples!$D$10+Examples!$D$11)*$A341-(Examples!$D$6*Examples!$D$7*Examples!$D$8*EXP(-Examples!$D$9*$A341)*(1-(Examples!$D$12*(1-EXP(-Examples!$D$13*$A341))/(1+EXP(MIN(700,MAX(-700,(Examples!$D$14*$A341-Examples!$D$15)/Examples!$D$16))))))+Examples!$D$17*$A341^2)</f>
        <v>1510475.066183306</v>
      </c>
      <c r="E341" s="33">
        <f>(Examples!$D$6*Examples!$D$7*Examples!$D$8*EXP(-Examples!$D$9*$A341)*(1-(Examples!$D$12*(1-EXP(-Examples!$D$13*$A341))/(1+EXP(MIN(700,MAX(-700,(Examples!$D$14*$A341-Examples!$D$15)/Examples!$D$16))))))+Examples!$D$17*$A341^2)</f>
        <v>836974.93381669396</v>
      </c>
      <c r="F341" s="33">
        <f>Examples!$E$18-(Examples!$E$10+Examples!$E$11)*$A341-(Examples!$E$6*Examples!$E$7*Examples!$E$8*EXP(-Examples!$E$9*$A341)*(1-(Examples!$E$12*(1-EXP(-Examples!$E$13*$A341))/(1+EXP(MIN(700,MAX(-700,(Examples!$E$14*$A341-Examples!$E$15)/Examples!$E$16))))))+Examples!$E$17*$A341^2)</f>
        <v>2481140.5041096918</v>
      </c>
      <c r="G341" s="33">
        <f>(Examples!$E$6*Examples!$E$7*Examples!$E$8*EXP(-Examples!$E$9*$A341)*(1-(Examples!$E$12*(1-EXP(-Examples!$E$13*$A341))/(1+EXP(MIN(700,MAX(-700,(Examples!$E$14*$A341-Examples!$E$15)/Examples!$E$16))))))+Examples!$E$17*$A341^2)</f>
        <v>230709.49589030835</v>
      </c>
      <c r="H341" s="33">
        <f>Examples!$F$18-(Examples!$F$10+Examples!$F$11)*$A341-(Examples!$F$6*Examples!$F$7*Examples!$F$8*EXP(-Examples!$F$9*$A341)*(1-(Examples!$F$12*(1-EXP(-Examples!$F$13*$A341))/(1+EXP(MIN(700,MAX(-700,(Examples!$F$14*$A341-Examples!$F$15)/Examples!$F$16))))))+Examples!$F$17*$A341^2)</f>
        <v>-153970.93904867646</v>
      </c>
      <c r="I341" s="33">
        <f>(Examples!$F$6*Examples!$F$7*Examples!$F$8*EXP(-Examples!$F$9*$A341)*(1-(Examples!$F$12*(1-EXP(-Examples!$F$13*$A341))/(1+EXP(MIN(700,MAX(-700,(Examples!$F$14*$A341-Examples!$F$15)/Examples!$F$16))))))+Examples!$F$17*$A341^2)</f>
        <v>236170.93904867646</v>
      </c>
      <c r="J341" s="33">
        <f>Examples!$G$18-(Examples!$G$10+Examples!$G$11)*$A341-(Examples!$G$6*Examples!$G$7*Examples!$G$8*EXP(-Examples!$G$9*$A341)*(1-(Examples!$G$12*(1-EXP(-Examples!$G$13*$A341))/(1+EXP(MIN(700,MAX(-700,(Examples!$G$14*$A341-Examples!$G$15)/Examples!$G$16))))))+Examples!$G$17*$A341^2)</f>
        <v>721244.25776069437</v>
      </c>
      <c r="K341" s="33">
        <f>(Examples!$G$6*Examples!$G$7*Examples!$G$8*EXP(-Examples!$G$9*$A341)*(1-(Examples!$G$12*(1-EXP(-Examples!$G$13*$A341))/(1+EXP(MIN(700,MAX(-700,(Examples!$G$14*$A341-Examples!$G$15)/Examples!$G$16))))))+Examples!$G$17*$A341^2)</f>
        <v>609255.74223930563</v>
      </c>
      <c r="L341" s="33">
        <f>Examples!$H$18-(Examples!$H$10+Examples!$H$11)*$A341-(Examples!$H$6*Examples!$H$7*Examples!$H$8*EXP(-Examples!$H$9*$A341)*(1-(Examples!$H$12*(1-EXP(-Examples!$H$13*$A341))/(1+EXP(MIN(700,MAX(-700,(Examples!$H$14*$A341-Examples!$H$15)/Examples!$H$16))))))+Examples!$H$17*$A341^2)</f>
        <v>649834.45199680328</v>
      </c>
      <c r="M341" s="33">
        <f>(Examples!$H$6*Examples!$H$7*Examples!$H$8*EXP(-Examples!$H$9*$A341)*(1-(Examples!$H$12*(1-EXP(-Examples!$H$13*$A341))/(1+EXP(MIN(700,MAX(-700,(Examples!$H$14*$A341-Examples!$H$15)/Examples!$H$16))))))+Examples!$H$17*$A341^2)</f>
        <v>680665.54800319672</v>
      </c>
    </row>
    <row r="342" spans="1:13" x14ac:dyDescent="0.25">
      <c r="A342">
        <f>(342-2)/100</f>
        <v>3.4</v>
      </c>
      <c r="B342" s="33">
        <f>Examples!$C$18-(Examples!$C$10+Examples!$C$11)*$A342-(Examples!$C$6*Examples!$C$7*Examples!$C$8*EXP(-Examples!$C$9*$A342)*(1-(Examples!$C$12*(1-EXP(-Examples!$C$13*$A342))/(1+EXP(MIN(700,MAX(-700,(Examples!$C$14*$A342-Examples!$C$15)/Examples!$C$16))))))+Examples!$C$17*$A342^2)</f>
        <v>91540.825719658053</v>
      </c>
      <c r="C342" s="33">
        <f>(Examples!$C$6*Examples!$C$7*Examples!$C$8*EXP(-Examples!$C$9*$A342)*(1-(Examples!$C$12*(1-EXP(-Examples!$C$13*$A342))/(1+EXP(MIN(700,MAX(-700,(Examples!$C$14*$A342-Examples!$C$15)/Examples!$C$16))))))+Examples!$C$17*$A342^2)</f>
        <v>389459.17428034195</v>
      </c>
      <c r="D342" s="33">
        <f>Examples!$D$18-(Examples!$D$10+Examples!$D$11)*$A342-(Examples!$D$6*Examples!$D$7*Examples!$D$8*EXP(-Examples!$D$9*$A342)*(1-(Examples!$D$12*(1-EXP(-Examples!$D$13*$A342))/(1+EXP(MIN(700,MAX(-700,(Examples!$D$14*$A342-Examples!$D$15)/Examples!$D$16))))))+Examples!$D$17*$A342^2)</f>
        <v>1510983.3828072306</v>
      </c>
      <c r="E342" s="33">
        <f>(Examples!$D$6*Examples!$D$7*Examples!$D$8*EXP(-Examples!$D$9*$A342)*(1-(Examples!$D$12*(1-EXP(-Examples!$D$13*$A342))/(1+EXP(MIN(700,MAX(-700,(Examples!$D$14*$A342-Examples!$D$15)/Examples!$D$16))))))+Examples!$D$17*$A342^2)</f>
        <v>836016.61719276942</v>
      </c>
      <c r="F342" s="33">
        <f>Examples!$E$18-(Examples!$E$10+Examples!$E$11)*$A342-(Examples!$E$6*Examples!$E$7*Examples!$E$8*EXP(-Examples!$E$9*$A342)*(1-(Examples!$E$12*(1-EXP(-Examples!$E$13*$A342))/(1+EXP(MIN(700,MAX(-700,(Examples!$E$14*$A342-Examples!$E$15)/Examples!$E$16))))))+Examples!$E$17*$A342^2)</f>
        <v>2480762.2394706975</v>
      </c>
      <c r="G342" s="33">
        <f>(Examples!$E$6*Examples!$E$7*Examples!$E$8*EXP(-Examples!$E$9*$A342)*(1-(Examples!$E$12*(1-EXP(-Examples!$E$13*$A342))/(1+EXP(MIN(700,MAX(-700,(Examples!$E$14*$A342-Examples!$E$15)/Examples!$E$16))))))+Examples!$E$17*$A342^2)</f>
        <v>230237.76052930261</v>
      </c>
      <c r="H342" s="33">
        <f>Examples!$F$18-(Examples!$F$10+Examples!$F$11)*$A342-(Examples!$F$6*Examples!$F$7*Examples!$F$8*EXP(-Examples!$F$9*$A342)*(1-(Examples!$F$12*(1-EXP(-Examples!$F$13*$A342))/(1+EXP(MIN(700,MAX(-700,(Examples!$F$14*$A342-Examples!$F$15)/Examples!$F$16))))))+Examples!$F$17*$A342^2)</f>
        <v>-155509.99686720624</v>
      </c>
      <c r="I342" s="33">
        <f>(Examples!$F$6*Examples!$F$7*Examples!$F$8*EXP(-Examples!$F$9*$A342)*(1-(Examples!$F$12*(1-EXP(-Examples!$F$13*$A342))/(1+EXP(MIN(700,MAX(-700,(Examples!$F$14*$A342-Examples!$F$15)/Examples!$F$16))))))+Examples!$F$17*$A342^2)</f>
        <v>237509.99686720624</v>
      </c>
      <c r="J342" s="33">
        <f>Examples!$G$18-(Examples!$G$10+Examples!$G$11)*$A342-(Examples!$G$6*Examples!$G$7*Examples!$G$8*EXP(-Examples!$G$9*$A342)*(1-(Examples!$G$12*(1-EXP(-Examples!$G$13*$A342))/(1+EXP(MIN(700,MAX(-700,(Examples!$G$14*$A342-Examples!$G$15)/Examples!$G$16))))))+Examples!$G$17*$A342^2)</f>
        <v>721165.73925458407</v>
      </c>
      <c r="K342" s="33">
        <f>(Examples!$G$6*Examples!$G$7*Examples!$G$8*EXP(-Examples!$G$9*$A342)*(1-(Examples!$G$12*(1-EXP(-Examples!$G$13*$A342))/(1+EXP(MIN(700,MAX(-700,(Examples!$G$14*$A342-Examples!$G$15)/Examples!$G$16))))))+Examples!$G$17*$A342^2)</f>
        <v>608834.26074541593</v>
      </c>
      <c r="L342" s="33">
        <f>Examples!$H$18-(Examples!$H$10+Examples!$H$11)*$A342-(Examples!$H$6*Examples!$H$7*Examples!$H$8*EXP(-Examples!$H$9*$A342)*(1-(Examples!$H$12*(1-EXP(-Examples!$H$13*$A342))/(1+EXP(MIN(700,MAX(-700,(Examples!$H$14*$A342-Examples!$H$15)/Examples!$H$16))))))+Examples!$H$17*$A342^2)</f>
        <v>650222.69913795183</v>
      </c>
      <c r="M342" s="33">
        <f>(Examples!$H$6*Examples!$H$7*Examples!$H$8*EXP(-Examples!$H$9*$A342)*(1-(Examples!$H$12*(1-EXP(-Examples!$H$13*$A342))/(1+EXP(MIN(700,MAX(-700,(Examples!$H$14*$A342-Examples!$H$15)/Examples!$H$16))))))+Examples!$H$17*$A342^2)</f>
        <v>679777.30086204817</v>
      </c>
    </row>
    <row r="343" spans="1:13" x14ac:dyDescent="0.25">
      <c r="A343">
        <f>(343-2)/100</f>
        <v>3.41</v>
      </c>
      <c r="B343" s="33">
        <f>Examples!$C$18-(Examples!$C$10+Examples!$C$11)*$A343-(Examples!$C$6*Examples!$C$7*Examples!$C$8*EXP(-Examples!$C$9*$A343)*(1-(Examples!$C$12*(1-EXP(-Examples!$C$13*$A343))/(1+EXP(MIN(700,MAX(-700,(Examples!$C$14*$A343-Examples!$C$15)/Examples!$C$16))))))+Examples!$C$17*$A343^2)</f>
        <v>90807.223393563181</v>
      </c>
      <c r="C343" s="33">
        <f>(Examples!$C$6*Examples!$C$7*Examples!$C$8*EXP(-Examples!$C$9*$A343)*(1-(Examples!$C$12*(1-EXP(-Examples!$C$13*$A343))/(1+EXP(MIN(700,MAX(-700,(Examples!$C$14*$A343-Examples!$C$15)/Examples!$C$16))))))+Examples!$C$17*$A343^2)</f>
        <v>389842.77660643682</v>
      </c>
      <c r="D343" s="33">
        <f>Examples!$D$18-(Examples!$D$10+Examples!$D$11)*$A343-(Examples!$D$6*Examples!$D$7*Examples!$D$8*EXP(-Examples!$D$9*$A343)*(1-(Examples!$D$12*(1-EXP(-Examples!$D$13*$A343))/(1+EXP(MIN(700,MAX(-700,(Examples!$D$14*$A343-Examples!$D$15)/Examples!$D$16))))))+Examples!$D$17*$A343^2)</f>
        <v>1511479.0442857714</v>
      </c>
      <c r="E343" s="33">
        <f>(Examples!$D$6*Examples!$D$7*Examples!$D$8*EXP(-Examples!$D$9*$A343)*(1-(Examples!$D$12*(1-EXP(-Examples!$D$13*$A343))/(1+EXP(MIN(700,MAX(-700,(Examples!$D$14*$A343-Examples!$D$15)/Examples!$D$16))))))+Examples!$D$17*$A343^2)</f>
        <v>835070.95571422845</v>
      </c>
      <c r="F343" s="33">
        <f>Examples!$E$18-(Examples!$E$10+Examples!$E$11)*$A343-(Examples!$E$6*Examples!$E$7*Examples!$E$8*EXP(-Examples!$E$9*$A343)*(1-(Examples!$E$12*(1-EXP(-Examples!$E$13*$A343))/(1+EXP(MIN(700,MAX(-700,(Examples!$E$14*$A343-Examples!$E$15)/Examples!$E$16))))))+Examples!$E$17*$A343^2)</f>
        <v>2480376.9726611758</v>
      </c>
      <c r="G343" s="33">
        <f>(Examples!$E$6*Examples!$E$7*Examples!$E$8*EXP(-Examples!$E$9*$A343)*(1-(Examples!$E$12*(1-EXP(-Examples!$E$13*$A343))/(1+EXP(MIN(700,MAX(-700,(Examples!$E$14*$A343-Examples!$E$15)/Examples!$E$16))))))+Examples!$E$17*$A343^2)</f>
        <v>229773.027338824</v>
      </c>
      <c r="H343" s="33">
        <f>Examples!$F$18-(Examples!$F$10+Examples!$F$11)*$A343-(Examples!$F$6*Examples!$F$7*Examples!$F$8*EXP(-Examples!$F$9*$A343)*(1-(Examples!$F$12*(1-EXP(-Examples!$F$13*$A343))/(1+EXP(MIN(700,MAX(-700,(Examples!$F$14*$A343-Examples!$F$15)/Examples!$F$16))))))+Examples!$F$17*$A343^2)</f>
        <v>-157053.11077576425</v>
      </c>
      <c r="I343" s="33">
        <f>(Examples!$F$6*Examples!$F$7*Examples!$F$8*EXP(-Examples!$F$9*$A343)*(1-(Examples!$F$12*(1-EXP(-Examples!$F$13*$A343))/(1+EXP(MIN(700,MAX(-700,(Examples!$F$14*$A343-Examples!$F$15)/Examples!$F$16))))))+Examples!$F$17*$A343^2)</f>
        <v>238853.11077576425</v>
      </c>
      <c r="J343" s="33">
        <f>Examples!$G$18-(Examples!$G$10+Examples!$G$11)*$A343-(Examples!$G$6*Examples!$G$7*Examples!$G$8*EXP(-Examples!$G$9*$A343)*(1-(Examples!$G$12*(1-EXP(-Examples!$G$13*$A343))/(1+EXP(MIN(700,MAX(-700,(Examples!$G$14*$A343-Examples!$G$15)/Examples!$G$16))))))+Examples!$G$17*$A343^2)</f>
        <v>721089.31348352565</v>
      </c>
      <c r="K343" s="33">
        <f>(Examples!$G$6*Examples!$G$7*Examples!$G$8*EXP(-Examples!$G$9*$A343)*(1-(Examples!$G$12*(1-EXP(-Examples!$G$13*$A343))/(1+EXP(MIN(700,MAX(-700,(Examples!$G$14*$A343-Examples!$G$15)/Examples!$G$16))))))+Examples!$G$17*$A343^2)</f>
        <v>608410.68651647435</v>
      </c>
      <c r="L343" s="33">
        <f>Examples!$H$18-(Examples!$H$10+Examples!$H$11)*$A343-(Examples!$H$6*Examples!$H$7*Examples!$H$8*EXP(-Examples!$H$9*$A343)*(1-(Examples!$H$12*(1-EXP(-Examples!$H$13*$A343))/(1+EXP(MIN(700,MAX(-700,(Examples!$H$14*$A343-Examples!$H$15)/Examples!$H$16))))))+Examples!$H$17*$A343^2)</f>
        <v>650623.24445629353</v>
      </c>
      <c r="M343" s="33">
        <f>(Examples!$H$6*Examples!$H$7*Examples!$H$8*EXP(-Examples!$H$9*$A343)*(1-(Examples!$H$12*(1-EXP(-Examples!$H$13*$A343))/(1+EXP(MIN(700,MAX(-700,(Examples!$H$14*$A343-Examples!$H$15)/Examples!$H$16))))))+Examples!$H$17*$A343^2)</f>
        <v>678876.75554370647</v>
      </c>
    </row>
    <row r="344" spans="1:13" x14ac:dyDescent="0.25">
      <c r="A344">
        <f>(344-2)/100</f>
        <v>3.42</v>
      </c>
      <c r="B344" s="33">
        <f>Examples!$C$18-(Examples!$C$10+Examples!$C$11)*$A344-(Examples!$C$6*Examples!$C$7*Examples!$C$8*EXP(-Examples!$C$9*$A344)*(1-(Examples!$C$12*(1-EXP(-Examples!$C$13*$A344))/(1+EXP(MIN(700,MAX(-700,(Examples!$C$14*$A344-Examples!$C$15)/Examples!$C$16))))))+Examples!$C$17*$A344^2)</f>
        <v>90069.026131424296</v>
      </c>
      <c r="C344" s="33">
        <f>(Examples!$C$6*Examples!$C$7*Examples!$C$8*EXP(-Examples!$C$9*$A344)*(1-(Examples!$C$12*(1-EXP(-Examples!$C$13*$A344))/(1+EXP(MIN(700,MAX(-700,(Examples!$C$14*$A344-Examples!$C$15)/Examples!$C$16))))))+Examples!$C$17*$A344^2)</f>
        <v>390230.9738685757</v>
      </c>
      <c r="D344" s="33">
        <f>Examples!$D$18-(Examples!$D$10+Examples!$D$11)*$A344-(Examples!$D$6*Examples!$D$7*Examples!$D$8*EXP(-Examples!$D$9*$A344)*(1-(Examples!$D$12*(1-EXP(-Examples!$D$13*$A344))/(1+EXP(MIN(700,MAX(-700,(Examples!$D$14*$A344-Examples!$D$15)/Examples!$D$16))))))+Examples!$D$17*$A344^2)</f>
        <v>1511962.4376249264</v>
      </c>
      <c r="E344" s="33">
        <f>(Examples!$D$6*Examples!$D$7*Examples!$D$8*EXP(-Examples!$D$9*$A344)*(1-(Examples!$D$12*(1-EXP(-Examples!$D$13*$A344))/(1+EXP(MIN(700,MAX(-700,(Examples!$D$14*$A344-Examples!$D$15)/Examples!$D$16))))))+Examples!$D$17*$A344^2)</f>
        <v>834137.56237507355</v>
      </c>
      <c r="F344" s="33">
        <f>Examples!$E$18-(Examples!$E$10+Examples!$E$11)*$A344-(Examples!$E$6*Examples!$E$7*Examples!$E$8*EXP(-Examples!$E$9*$A344)*(1-(Examples!$E$12*(1-EXP(-Examples!$E$13*$A344))/(1+EXP(MIN(700,MAX(-700,(Examples!$E$14*$A344-Examples!$E$15)/Examples!$E$16))))))+Examples!$E$17*$A344^2)</f>
        <v>2479984.7871925039</v>
      </c>
      <c r="G344" s="33">
        <f>(Examples!$E$6*Examples!$E$7*Examples!$E$8*EXP(-Examples!$E$9*$A344)*(1-(Examples!$E$12*(1-EXP(-Examples!$E$13*$A344))/(1+EXP(MIN(700,MAX(-700,(Examples!$E$14*$A344-Examples!$E$15)/Examples!$E$16))))))+Examples!$E$17*$A344^2)</f>
        <v>229315.21280749596</v>
      </c>
      <c r="H344" s="33">
        <f>Examples!$F$18-(Examples!$F$10+Examples!$F$11)*$A344-(Examples!$F$6*Examples!$F$7*Examples!$F$8*EXP(-Examples!$F$9*$A344)*(1-(Examples!$F$12*(1-EXP(-Examples!$F$13*$A344))/(1+EXP(MIN(700,MAX(-700,(Examples!$F$14*$A344-Examples!$F$15)/Examples!$F$16))))))+Examples!$F$17*$A344^2)</f>
        <v>-158600.28063239742</v>
      </c>
      <c r="I344" s="33">
        <f>(Examples!$F$6*Examples!$F$7*Examples!$F$8*EXP(-Examples!$F$9*$A344)*(1-(Examples!$F$12*(1-EXP(-Examples!$F$13*$A344))/(1+EXP(MIN(700,MAX(-700,(Examples!$F$14*$A344-Examples!$F$15)/Examples!$F$16))))))+Examples!$F$17*$A344^2)</f>
        <v>240200.28063239742</v>
      </c>
      <c r="J344" s="33">
        <f>Examples!$G$18-(Examples!$G$10+Examples!$G$11)*$A344-(Examples!$G$6*Examples!$G$7*Examples!$G$8*EXP(-Examples!$G$9*$A344)*(1-(Examples!$G$12*(1-EXP(-Examples!$G$13*$A344))/(1+EXP(MIN(700,MAX(-700,(Examples!$G$14*$A344-Examples!$G$15)/Examples!$G$16))))))+Examples!$G$17*$A344^2)</f>
        <v>721014.97963913833</v>
      </c>
      <c r="K344" s="33">
        <f>(Examples!$G$6*Examples!$G$7*Examples!$G$8*EXP(-Examples!$G$9*$A344)*(1-(Examples!$G$12*(1-EXP(-Examples!$G$13*$A344))/(1+EXP(MIN(700,MAX(-700,(Examples!$G$14*$A344-Examples!$G$15)/Examples!$G$16))))))+Examples!$G$17*$A344^2)</f>
        <v>607985.02036086167</v>
      </c>
      <c r="L344" s="33">
        <f>Examples!$H$18-(Examples!$H$10+Examples!$H$11)*$A344-(Examples!$H$6*Examples!$H$7*Examples!$H$8*EXP(-Examples!$H$9*$A344)*(1-(Examples!$H$12*(1-EXP(-Examples!$H$13*$A344))/(1+EXP(MIN(700,MAX(-700,(Examples!$H$14*$A344-Examples!$H$15)/Examples!$H$16))))))+Examples!$H$17*$A344^2)</f>
        <v>651035.53483640426</v>
      </c>
      <c r="M344" s="33">
        <f>(Examples!$H$6*Examples!$H$7*Examples!$H$8*EXP(-Examples!$H$9*$A344)*(1-(Examples!$H$12*(1-EXP(-Examples!$H$13*$A344))/(1+EXP(MIN(700,MAX(-700,(Examples!$H$14*$A344-Examples!$H$15)/Examples!$H$16))))))+Examples!$H$17*$A344^2)</f>
        <v>677964.46516359574</v>
      </c>
    </row>
    <row r="345" spans="1:13" x14ac:dyDescent="0.25">
      <c r="A345">
        <f>(345-2)/100</f>
        <v>3.43</v>
      </c>
      <c r="B345" s="33">
        <f>Examples!$C$18-(Examples!$C$10+Examples!$C$11)*$A345-(Examples!$C$6*Examples!$C$7*Examples!$C$8*EXP(-Examples!$C$9*$A345)*(1-(Examples!$C$12*(1-EXP(-Examples!$C$13*$A345))/(1+EXP(MIN(700,MAX(-700,(Examples!$C$14*$A345-Examples!$C$15)/Examples!$C$16))))))+Examples!$C$17*$A345^2)</f>
        <v>89326.228127109352</v>
      </c>
      <c r="C345" s="33">
        <f>(Examples!$C$6*Examples!$C$7*Examples!$C$8*EXP(-Examples!$C$9*$A345)*(1-(Examples!$C$12*(1-EXP(-Examples!$C$13*$A345))/(1+EXP(MIN(700,MAX(-700,(Examples!$C$14*$A345-Examples!$C$15)/Examples!$C$16))))))+Examples!$C$17*$A345^2)</f>
        <v>390623.77187289065</v>
      </c>
      <c r="D345" s="33">
        <f>Examples!$D$18-(Examples!$D$10+Examples!$D$11)*$A345-(Examples!$D$6*Examples!$D$7*Examples!$D$8*EXP(-Examples!$D$9*$A345)*(1-(Examples!$D$12*(1-EXP(-Examples!$D$13*$A345))/(1+EXP(MIN(700,MAX(-700,(Examples!$D$14*$A345-Examples!$D$15)/Examples!$D$16))))))+Examples!$D$17*$A345^2)</f>
        <v>1512433.9472581195</v>
      </c>
      <c r="E345" s="33">
        <f>(Examples!$D$6*Examples!$D$7*Examples!$D$8*EXP(-Examples!$D$9*$A345)*(1-(Examples!$D$12*(1-EXP(-Examples!$D$13*$A345))/(1+EXP(MIN(700,MAX(-700,(Examples!$D$14*$A345-Examples!$D$15)/Examples!$D$16))))))+Examples!$D$17*$A345^2)</f>
        <v>833216.05274188041</v>
      </c>
      <c r="F345" s="33">
        <f>Examples!$E$18-(Examples!$E$10+Examples!$E$11)*$A345-(Examples!$E$6*Examples!$E$7*Examples!$E$8*EXP(-Examples!$E$9*$A345)*(1-(Examples!$E$12*(1-EXP(-Examples!$E$13*$A345))/(1+EXP(MIN(700,MAX(-700,(Examples!$E$14*$A345-Examples!$E$15)/Examples!$E$16))))))+Examples!$E$17*$A345^2)</f>
        <v>2479585.765735744</v>
      </c>
      <c r="G345" s="33">
        <f>(Examples!$E$6*Examples!$E$7*Examples!$E$8*EXP(-Examples!$E$9*$A345)*(1-(Examples!$E$12*(1-EXP(-Examples!$E$13*$A345))/(1+EXP(MIN(700,MAX(-700,(Examples!$E$14*$A345-Examples!$E$15)/Examples!$E$16))))))+Examples!$E$17*$A345^2)</f>
        <v>228864.23426425585</v>
      </c>
      <c r="H345" s="33">
        <f>Examples!$F$18-(Examples!$F$10+Examples!$F$11)*$A345-(Examples!$F$6*Examples!$F$7*Examples!$F$8*EXP(-Examples!$F$9*$A345)*(1-(Examples!$F$12*(1-EXP(-Examples!$F$13*$A345))/(1+EXP(MIN(700,MAX(-700,(Examples!$F$14*$A345-Examples!$F$15)/Examples!$F$16))))))+Examples!$F$17*$A345^2)</f>
        <v>-160151.50629454281</v>
      </c>
      <c r="I345" s="33">
        <f>(Examples!$F$6*Examples!$F$7*Examples!$F$8*EXP(-Examples!$F$9*$A345)*(1-(Examples!$F$12*(1-EXP(-Examples!$F$13*$A345))/(1+EXP(MIN(700,MAX(-700,(Examples!$F$14*$A345-Examples!$F$15)/Examples!$F$16))))))+Examples!$F$17*$A345^2)</f>
        <v>241551.50629454281</v>
      </c>
      <c r="J345" s="33">
        <f>Examples!$G$18-(Examples!$G$10+Examples!$G$11)*$A345-(Examples!$G$6*Examples!$G$7*Examples!$G$8*EXP(-Examples!$G$9*$A345)*(1-(Examples!$G$12*(1-EXP(-Examples!$G$13*$A345))/(1+EXP(MIN(700,MAX(-700,(Examples!$G$14*$A345-Examples!$G$15)/Examples!$G$16))))))+Examples!$G$17*$A345^2)</f>
        <v>720942.73493696656</v>
      </c>
      <c r="K345" s="33">
        <f>(Examples!$G$6*Examples!$G$7*Examples!$G$8*EXP(-Examples!$G$9*$A345)*(1-(Examples!$G$12*(1-EXP(-Examples!$G$13*$A345))/(1+EXP(MIN(700,MAX(-700,(Examples!$G$14*$A345-Examples!$G$15)/Examples!$G$16))))))+Examples!$G$17*$A345^2)</f>
        <v>607557.26506303344</v>
      </c>
      <c r="L345" s="33">
        <f>Examples!$H$18-(Examples!$H$10+Examples!$H$11)*$A345-(Examples!$H$6*Examples!$H$7*Examples!$H$8*EXP(-Examples!$H$9*$A345)*(1-(Examples!$H$12*(1-EXP(-Examples!$H$13*$A345))/(1+EXP(MIN(700,MAX(-700,(Examples!$H$14*$A345-Examples!$H$15)/Examples!$H$16))))))+Examples!$H$17*$A345^2)</f>
        <v>651459.02855993598</v>
      </c>
      <c r="M345" s="33">
        <f>(Examples!$H$6*Examples!$H$7*Examples!$H$8*EXP(-Examples!$H$9*$A345)*(1-(Examples!$H$12*(1-EXP(-Examples!$H$13*$A345))/(1+EXP(MIN(700,MAX(-700,(Examples!$H$14*$A345-Examples!$H$15)/Examples!$H$16))))))+Examples!$H$17*$A345^2)</f>
        <v>677040.97144006402</v>
      </c>
    </row>
    <row r="346" spans="1:13" x14ac:dyDescent="0.25">
      <c r="A346">
        <f>(346-2)/100</f>
        <v>3.44</v>
      </c>
      <c r="B346" s="33">
        <f>Examples!$C$18-(Examples!$C$10+Examples!$C$11)*$A346-(Examples!$C$6*Examples!$C$7*Examples!$C$8*EXP(-Examples!$C$9*$A346)*(1-(Examples!$C$12*(1-EXP(-Examples!$C$13*$A346))/(1+EXP(MIN(700,MAX(-700,(Examples!$C$14*$A346-Examples!$C$15)/Examples!$C$16))))))+Examples!$C$17*$A346^2)</f>
        <v>88578.823939421796</v>
      </c>
      <c r="C346" s="33">
        <f>(Examples!$C$6*Examples!$C$7*Examples!$C$8*EXP(-Examples!$C$9*$A346)*(1-(Examples!$C$12*(1-EXP(-Examples!$C$13*$A346))/(1+EXP(MIN(700,MAX(-700,(Examples!$C$14*$A346-Examples!$C$15)/Examples!$C$16))))))+Examples!$C$17*$A346^2)</f>
        <v>391021.1760605782</v>
      </c>
      <c r="D346" s="33">
        <f>Examples!$D$18-(Examples!$D$10+Examples!$D$11)*$A346-(Examples!$D$6*Examples!$D$7*Examples!$D$8*EXP(-Examples!$D$9*$A346)*(1-(Examples!$D$12*(1-EXP(-Examples!$D$13*$A346))/(1+EXP(MIN(700,MAX(-700,(Examples!$D$14*$A346-Examples!$D$15)/Examples!$D$16))))))+Examples!$D$17*$A346^2)</f>
        <v>1512893.9549817608</v>
      </c>
      <c r="E346" s="33">
        <f>(Examples!$D$6*Examples!$D$7*Examples!$D$8*EXP(-Examples!$D$9*$A346)*(1-(Examples!$D$12*(1-EXP(-Examples!$D$13*$A346))/(1+EXP(MIN(700,MAX(-700,(Examples!$D$14*$A346-Examples!$D$15)/Examples!$D$16))))))+Examples!$D$17*$A346^2)</f>
        <v>832306.04501823918</v>
      </c>
      <c r="F346" s="33">
        <f>Examples!$E$18-(Examples!$E$10+Examples!$E$11)*$A346-(Examples!$E$6*Examples!$E$7*Examples!$E$8*EXP(-Examples!$E$9*$A346)*(1-(Examples!$E$12*(1-EXP(-Examples!$E$13*$A346))/(1+EXP(MIN(700,MAX(-700,(Examples!$E$14*$A346-Examples!$E$15)/Examples!$E$16))))))+Examples!$E$17*$A346^2)</f>
        <v>2479179.9901304003</v>
      </c>
      <c r="G346" s="33">
        <f>(Examples!$E$6*Examples!$E$7*Examples!$E$8*EXP(-Examples!$E$9*$A346)*(1-(Examples!$E$12*(1-EXP(-Examples!$E$13*$A346))/(1+EXP(MIN(700,MAX(-700,(Examples!$E$14*$A346-Examples!$E$15)/Examples!$E$16))))))+Examples!$E$17*$A346^2)</f>
        <v>228420.00986959951</v>
      </c>
      <c r="H346" s="33">
        <f>Examples!$F$18-(Examples!$F$10+Examples!$F$11)*$A346-(Examples!$F$6*Examples!$F$7*Examples!$F$8*EXP(-Examples!$F$9*$A346)*(1-(Examples!$F$12*(1-EXP(-Examples!$F$13*$A346))/(1+EXP(MIN(700,MAX(-700,(Examples!$F$14*$A346-Examples!$F$15)/Examples!$F$16))))))+Examples!$F$17*$A346^2)</f>
        <v>-161706.78761906925</v>
      </c>
      <c r="I346" s="33">
        <f>(Examples!$F$6*Examples!$F$7*Examples!$F$8*EXP(-Examples!$F$9*$A346)*(1-(Examples!$F$12*(1-EXP(-Examples!$F$13*$A346))/(1+EXP(MIN(700,MAX(-700,(Examples!$F$14*$A346-Examples!$F$15)/Examples!$F$16))))))+Examples!$F$17*$A346^2)</f>
        <v>242906.78761906925</v>
      </c>
      <c r="J346" s="33">
        <f>Examples!$G$18-(Examples!$G$10+Examples!$G$11)*$A346-(Examples!$G$6*Examples!$G$7*Examples!$G$8*EXP(-Examples!$G$9*$A346)*(1-(Examples!$G$12*(1-EXP(-Examples!$G$13*$A346))/(1+EXP(MIN(700,MAX(-700,(Examples!$G$14*$A346-Examples!$G$15)/Examples!$G$16))))))+Examples!$G$17*$A346^2)</f>
        <v>720872.57466020458</v>
      </c>
      <c r="K346" s="33">
        <f>(Examples!$G$6*Examples!$G$7*Examples!$G$8*EXP(-Examples!$G$9*$A346)*(1-(Examples!$G$12*(1-EXP(-Examples!$G$13*$A346))/(1+EXP(MIN(700,MAX(-700,(Examples!$G$14*$A346-Examples!$G$15)/Examples!$G$16))))))+Examples!$G$17*$A346^2)</f>
        <v>607127.42533979542</v>
      </c>
      <c r="L346" s="33">
        <f>Examples!$H$18-(Examples!$H$10+Examples!$H$11)*$A346-(Examples!$H$6*Examples!$H$7*Examples!$H$8*EXP(-Examples!$H$9*$A346)*(1-(Examples!$H$12*(1-EXP(-Examples!$H$13*$A346))/(1+EXP(MIN(700,MAX(-700,(Examples!$H$14*$A346-Examples!$H$15)/Examples!$H$16))))))+Examples!$H$17*$A346^2)</f>
        <v>651893.1953452602</v>
      </c>
      <c r="M346" s="33">
        <f>(Examples!$H$6*Examples!$H$7*Examples!$H$8*EXP(-Examples!$H$9*$A346)*(1-(Examples!$H$12*(1-EXP(-Examples!$H$13*$A346))/(1+EXP(MIN(700,MAX(-700,(Examples!$H$14*$A346-Examples!$H$15)/Examples!$H$16))))))+Examples!$H$17*$A346^2)</f>
        <v>676106.8046547398</v>
      </c>
    </row>
    <row r="347" spans="1:13" x14ac:dyDescent="0.25">
      <c r="A347">
        <f>(347-2)/100</f>
        <v>3.45</v>
      </c>
      <c r="B347" s="33">
        <f>Examples!$C$18-(Examples!$C$10+Examples!$C$11)*$A347-(Examples!$C$6*Examples!$C$7*Examples!$C$8*EXP(-Examples!$C$9*$A347)*(1-(Examples!$C$12*(1-EXP(-Examples!$C$13*$A347))/(1+EXP(MIN(700,MAX(-700,(Examples!$C$14*$A347-Examples!$C$15)/Examples!$C$16))))))+Examples!$C$17*$A347^2)</f>
        <v>87826.808479982894</v>
      </c>
      <c r="C347" s="33">
        <f>(Examples!$C$6*Examples!$C$7*Examples!$C$8*EXP(-Examples!$C$9*$A347)*(1-(Examples!$C$12*(1-EXP(-Examples!$C$13*$A347))/(1+EXP(MIN(700,MAX(-700,(Examples!$C$14*$A347-Examples!$C$15)/Examples!$C$16))))))+Examples!$C$17*$A347^2)</f>
        <v>391423.19152001711</v>
      </c>
      <c r="D347" s="33">
        <f>Examples!$D$18-(Examples!$D$10+Examples!$D$11)*$A347-(Examples!$D$6*Examples!$D$7*Examples!$D$8*EXP(-Examples!$D$9*$A347)*(1-(Examples!$D$12*(1-EXP(-Examples!$D$13*$A347))/(1+EXP(MIN(700,MAX(-700,(Examples!$D$14*$A347-Examples!$D$15)/Examples!$D$16))))))+Examples!$D$17*$A347^2)</f>
        <v>1513342.8398905969</v>
      </c>
      <c r="E347" s="33">
        <f>(Examples!$D$6*Examples!$D$7*Examples!$D$8*EXP(-Examples!$D$9*$A347)*(1-(Examples!$D$12*(1-EXP(-Examples!$D$13*$A347))/(1+EXP(MIN(700,MAX(-700,(Examples!$D$14*$A347-Examples!$D$15)/Examples!$D$16))))))+Examples!$D$17*$A347^2)</f>
        <v>831407.16010940308</v>
      </c>
      <c r="F347" s="33">
        <f>Examples!$E$18-(Examples!$E$10+Examples!$E$11)*$A347-(Examples!$E$6*Examples!$E$7*Examples!$E$8*EXP(-Examples!$E$9*$A347)*(1-(Examples!$E$12*(1-EXP(-Examples!$E$13*$A347))/(1+EXP(MIN(700,MAX(-700,(Examples!$E$14*$A347-Examples!$E$15)/Examples!$E$16))))))+Examples!$E$17*$A347^2)</f>
        <v>2478767.5413930491</v>
      </c>
      <c r="G347" s="33">
        <f>(Examples!$E$6*Examples!$E$7*Examples!$E$8*EXP(-Examples!$E$9*$A347)*(1-(Examples!$E$12*(1-EXP(-Examples!$E$13*$A347))/(1+EXP(MIN(700,MAX(-700,(Examples!$E$14*$A347-Examples!$E$15)/Examples!$E$16))))))+Examples!$E$17*$A347^2)</f>
        <v>227982.45860695076</v>
      </c>
      <c r="H347" s="33">
        <f>Examples!$F$18-(Examples!$F$10+Examples!$F$11)*$A347-(Examples!$F$6*Examples!$F$7*Examples!$F$8*EXP(-Examples!$F$9*$A347)*(1-(Examples!$F$12*(1-EXP(-Examples!$F$13*$A347))/(1+EXP(MIN(700,MAX(-700,(Examples!$F$14*$A347-Examples!$F$15)/Examples!$F$16))))))+Examples!$F$17*$A347^2)</f>
        <v>-163266.12446231916</v>
      </c>
      <c r="I347" s="33">
        <f>(Examples!$F$6*Examples!$F$7*Examples!$F$8*EXP(-Examples!$F$9*$A347)*(1-(Examples!$F$12*(1-EXP(-Examples!$F$13*$A347))/(1+EXP(MIN(700,MAX(-700,(Examples!$F$14*$A347-Examples!$F$15)/Examples!$F$16))))))+Examples!$F$17*$A347^2)</f>
        <v>244266.12446231916</v>
      </c>
      <c r="J347" s="33">
        <f>Examples!$G$18-(Examples!$G$10+Examples!$G$11)*$A347-(Examples!$G$6*Examples!$G$7*Examples!$G$8*EXP(-Examples!$G$9*$A347)*(1-(Examples!$G$12*(1-EXP(-Examples!$G$13*$A347))/(1+EXP(MIN(700,MAX(-700,(Examples!$G$14*$A347-Examples!$G$15)/Examples!$G$16))))))+Examples!$G$17*$A347^2)</f>
        <v>720804.49220338755</v>
      </c>
      <c r="K347" s="33">
        <f>(Examples!$G$6*Examples!$G$7*Examples!$G$8*EXP(-Examples!$G$9*$A347)*(1-(Examples!$G$12*(1-EXP(-Examples!$G$13*$A347))/(1+EXP(MIN(700,MAX(-700,(Examples!$G$14*$A347-Examples!$G$15)/Examples!$G$16))))))+Examples!$G$17*$A347^2)</f>
        <v>606695.50779661245</v>
      </c>
      <c r="L347" s="33">
        <f>Examples!$H$18-(Examples!$H$10+Examples!$H$11)*$A347-(Examples!$H$6*Examples!$H$7*Examples!$H$8*EXP(-Examples!$H$9*$A347)*(1-(Examples!$H$12*(1-EXP(-Examples!$H$13*$A347))/(1+EXP(MIN(700,MAX(-700,(Examples!$H$14*$A347-Examples!$H$15)/Examples!$H$16))))))+Examples!$H$17*$A347^2)</f>
        <v>652337.51636568294</v>
      </c>
      <c r="M347" s="33">
        <f>(Examples!$H$6*Examples!$H$7*Examples!$H$8*EXP(-Examples!$H$9*$A347)*(1-(Examples!$H$12*(1-EXP(-Examples!$H$13*$A347))/(1+EXP(MIN(700,MAX(-700,(Examples!$H$14*$A347-Examples!$H$15)/Examples!$H$16))))))+Examples!$H$17*$A347^2)</f>
        <v>675162.48363431706</v>
      </c>
    </row>
    <row r="348" spans="1:13" x14ac:dyDescent="0.25">
      <c r="A348">
        <f>(348-2)/100</f>
        <v>3.46</v>
      </c>
      <c r="B348" s="33">
        <f>Examples!$C$18-(Examples!$C$10+Examples!$C$11)*$A348-(Examples!$C$6*Examples!$C$7*Examples!$C$8*EXP(-Examples!$C$9*$A348)*(1-(Examples!$C$12*(1-EXP(-Examples!$C$13*$A348))/(1+EXP(MIN(700,MAX(-700,(Examples!$C$14*$A348-Examples!$C$15)/Examples!$C$16))))))+Examples!$C$17*$A348^2)</f>
        <v>87070.177001479431</v>
      </c>
      <c r="C348" s="33">
        <f>(Examples!$C$6*Examples!$C$7*Examples!$C$8*EXP(-Examples!$C$9*$A348)*(1-(Examples!$C$12*(1-EXP(-Examples!$C$13*$A348))/(1+EXP(MIN(700,MAX(-700,(Examples!$C$14*$A348-Examples!$C$15)/Examples!$C$16))))))+Examples!$C$17*$A348^2)</f>
        <v>391829.82299852057</v>
      </c>
      <c r="D348" s="33">
        <f>Examples!$D$18-(Examples!$D$10+Examples!$D$11)*$A348-(Examples!$D$6*Examples!$D$7*Examples!$D$8*EXP(-Examples!$D$9*$A348)*(1-(Examples!$D$12*(1-EXP(-Examples!$D$13*$A348))/(1+EXP(MIN(700,MAX(-700,(Examples!$D$14*$A348-Examples!$D$15)/Examples!$D$16))))))+Examples!$D$17*$A348^2)</f>
        <v>1513780.9783129168</v>
      </c>
      <c r="E348" s="33">
        <f>(Examples!$D$6*Examples!$D$7*Examples!$D$8*EXP(-Examples!$D$9*$A348)*(1-(Examples!$D$12*(1-EXP(-Examples!$D$13*$A348))/(1+EXP(MIN(700,MAX(-700,(Examples!$D$14*$A348-Examples!$D$15)/Examples!$D$16))))))+Examples!$D$17*$A348^2)</f>
        <v>830519.02168708318</v>
      </c>
      <c r="F348" s="33">
        <f>Examples!$E$18-(Examples!$E$10+Examples!$E$11)*$A348-(Examples!$E$6*Examples!$E$7*Examples!$E$8*EXP(-Examples!$E$9*$A348)*(1-(Examples!$E$12*(1-EXP(-Examples!$E$13*$A348))/(1+EXP(MIN(700,MAX(-700,(Examples!$E$14*$A348-Examples!$E$15)/Examples!$E$16))))))+Examples!$E$17*$A348^2)</f>
        <v>2478348.499725848</v>
      </c>
      <c r="G348" s="33">
        <f>(Examples!$E$6*Examples!$E$7*Examples!$E$8*EXP(-Examples!$E$9*$A348)*(1-(Examples!$E$12*(1-EXP(-Examples!$E$13*$A348))/(1+EXP(MIN(700,MAX(-700,(Examples!$E$14*$A348-Examples!$E$15)/Examples!$E$16))))))+Examples!$E$17*$A348^2)</f>
        <v>227551.50027415209</v>
      </c>
      <c r="H348" s="33">
        <f>Examples!$F$18-(Examples!$F$10+Examples!$F$11)*$A348-(Examples!$F$6*Examples!$F$7*Examples!$F$8*EXP(-Examples!$F$9*$A348)*(1-(Examples!$F$12*(1-EXP(-Examples!$F$13*$A348))/(1+EXP(MIN(700,MAX(-700,(Examples!$F$14*$A348-Examples!$F$15)/Examples!$F$16))))))+Examples!$F$17*$A348^2)</f>
        <v>-164829.51668014686</v>
      </c>
      <c r="I348" s="33">
        <f>(Examples!$F$6*Examples!$F$7*Examples!$F$8*EXP(-Examples!$F$9*$A348)*(1-(Examples!$F$12*(1-EXP(-Examples!$F$13*$A348))/(1+EXP(MIN(700,MAX(-700,(Examples!$F$14*$A348-Examples!$F$15)/Examples!$F$16))))))+Examples!$F$17*$A348^2)</f>
        <v>245629.51668014686</v>
      </c>
      <c r="J348" s="33">
        <f>Examples!$G$18-(Examples!$G$10+Examples!$G$11)*$A348-(Examples!$G$6*Examples!$G$7*Examples!$G$8*EXP(-Examples!$G$9*$A348)*(1-(Examples!$G$12*(1-EXP(-Examples!$G$13*$A348))/(1+EXP(MIN(700,MAX(-700,(Examples!$G$14*$A348-Examples!$G$15)/Examples!$G$16))))))+Examples!$G$17*$A348^2)</f>
        <v>720738.47911602561</v>
      </c>
      <c r="K348" s="33">
        <f>(Examples!$G$6*Examples!$G$7*Examples!$G$8*EXP(-Examples!$G$9*$A348)*(1-(Examples!$G$12*(1-EXP(-Examples!$G$13*$A348))/(1+EXP(MIN(700,MAX(-700,(Examples!$G$14*$A348-Examples!$G$15)/Examples!$G$16))))))+Examples!$G$17*$A348^2)</f>
        <v>606261.52088397439</v>
      </c>
      <c r="L348" s="33">
        <f>Examples!$H$18-(Examples!$H$10+Examples!$H$11)*$A348-(Examples!$H$6*Examples!$H$7*Examples!$H$8*EXP(-Examples!$H$9*$A348)*(1-(Examples!$H$12*(1-EXP(-Examples!$H$13*$A348))/(1+EXP(MIN(700,MAX(-700,(Examples!$H$14*$A348-Examples!$H$15)/Examples!$H$16))))))+Examples!$H$17*$A348^2)</f>
        <v>652791.48424768203</v>
      </c>
      <c r="M348" s="33">
        <f>(Examples!$H$6*Examples!$H$7*Examples!$H$8*EXP(-Examples!$H$9*$A348)*(1-(Examples!$H$12*(1-EXP(-Examples!$H$13*$A348))/(1+EXP(MIN(700,MAX(-700,(Examples!$H$14*$A348-Examples!$H$15)/Examples!$H$16))))))+Examples!$H$17*$A348^2)</f>
        <v>674208.51575231797</v>
      </c>
    </row>
    <row r="349" spans="1:13" x14ac:dyDescent="0.25">
      <c r="A349">
        <f>(349-2)/100</f>
        <v>3.47</v>
      </c>
      <c r="B349" s="33">
        <f>Examples!$C$18-(Examples!$C$10+Examples!$C$11)*$A349-(Examples!$C$6*Examples!$C$7*Examples!$C$8*EXP(-Examples!$C$9*$A349)*(1-(Examples!$C$12*(1-EXP(-Examples!$C$13*$A349))/(1+EXP(MIN(700,MAX(-700,(Examples!$C$14*$A349-Examples!$C$15)/Examples!$C$16))))))+Examples!$C$17*$A349^2)</f>
        <v>86308.925086263975</v>
      </c>
      <c r="C349" s="33">
        <f>(Examples!$C$6*Examples!$C$7*Examples!$C$8*EXP(-Examples!$C$9*$A349)*(1-(Examples!$C$12*(1-EXP(-Examples!$C$13*$A349))/(1+EXP(MIN(700,MAX(-700,(Examples!$C$14*$A349-Examples!$C$15)/Examples!$C$16))))))+Examples!$C$17*$A349^2)</f>
        <v>392241.07491373603</v>
      </c>
      <c r="D349" s="33">
        <f>Examples!$D$18-(Examples!$D$10+Examples!$D$11)*$A349-(Examples!$D$6*Examples!$D$7*Examples!$D$8*EXP(-Examples!$D$9*$A349)*(1-(Examples!$D$12*(1-EXP(-Examples!$D$13*$A349))/(1+EXP(MIN(700,MAX(-700,(Examples!$D$14*$A349-Examples!$D$15)/Examples!$D$16))))))+Examples!$D$17*$A349^2)</f>
        <v>1514208.7437456734</v>
      </c>
      <c r="E349" s="33">
        <f>(Examples!$D$6*Examples!$D$7*Examples!$D$8*EXP(-Examples!$D$9*$A349)*(1-(Examples!$D$12*(1-EXP(-Examples!$D$13*$A349))/(1+EXP(MIN(700,MAX(-700,(Examples!$D$14*$A349-Examples!$D$15)/Examples!$D$16))))))+Examples!$D$17*$A349^2)</f>
        <v>829641.25625432644</v>
      </c>
      <c r="F349" s="33">
        <f>Examples!$E$18-(Examples!$E$10+Examples!$E$11)*$A349-(Examples!$E$6*Examples!$E$7*Examples!$E$8*EXP(-Examples!$E$9*$A349)*(1-(Examples!$E$12*(1-EXP(-Examples!$E$13*$A349))/(1+EXP(MIN(700,MAX(-700,(Examples!$E$14*$A349-Examples!$E$15)/Examples!$E$16))))))+Examples!$E$17*$A349^2)</f>
        <v>2477922.9445249233</v>
      </c>
      <c r="G349" s="33">
        <f>(Examples!$E$6*Examples!$E$7*Examples!$E$8*EXP(-Examples!$E$9*$A349)*(1-(Examples!$E$12*(1-EXP(-Examples!$E$13*$A349))/(1+EXP(MIN(700,MAX(-700,(Examples!$E$14*$A349-Examples!$E$15)/Examples!$E$16))))))+Examples!$E$17*$A349^2)</f>
        <v>227127.05547507649</v>
      </c>
      <c r="H349" s="33">
        <f>Examples!$F$18-(Examples!$F$10+Examples!$F$11)*$A349-(Examples!$F$6*Examples!$F$7*Examples!$F$8*EXP(-Examples!$F$9*$A349)*(1-(Examples!$F$12*(1-EXP(-Examples!$F$13*$A349))/(1+EXP(MIN(700,MAX(-700,(Examples!$F$14*$A349-Examples!$F$15)/Examples!$F$16))))))+Examples!$F$17*$A349^2)</f>
        <v>-166396.96412795698</v>
      </c>
      <c r="I349" s="33">
        <f>(Examples!$F$6*Examples!$F$7*Examples!$F$8*EXP(-Examples!$F$9*$A349)*(1-(Examples!$F$12*(1-EXP(-Examples!$F$13*$A349))/(1+EXP(MIN(700,MAX(-700,(Examples!$F$14*$A349-Examples!$F$15)/Examples!$F$16))))))+Examples!$F$17*$A349^2)</f>
        <v>246996.96412795698</v>
      </c>
      <c r="J349" s="33">
        <f>Examples!$G$18-(Examples!$G$10+Examples!$G$11)*$A349-(Examples!$G$6*Examples!$G$7*Examples!$G$8*EXP(-Examples!$G$9*$A349)*(1-(Examples!$G$12*(1-EXP(-Examples!$G$13*$A349))/(1+EXP(MIN(700,MAX(-700,(Examples!$G$14*$A349-Examples!$G$15)/Examples!$G$16))))))+Examples!$G$17*$A349^2)</f>
        <v>720674.52514615352</v>
      </c>
      <c r="K349" s="33">
        <f>(Examples!$G$6*Examples!$G$7*Examples!$G$8*EXP(-Examples!$G$9*$A349)*(1-(Examples!$G$12*(1-EXP(-Examples!$G$13*$A349))/(1+EXP(MIN(700,MAX(-700,(Examples!$G$14*$A349-Examples!$G$15)/Examples!$G$16))))))+Examples!$G$17*$A349^2)</f>
        <v>605825.47485384648</v>
      </c>
      <c r="L349" s="33">
        <f>Examples!$H$18-(Examples!$H$10+Examples!$H$11)*$A349-(Examples!$H$6*Examples!$H$7*Examples!$H$8*EXP(-Examples!$H$9*$A349)*(1-(Examples!$H$12*(1-EXP(-Examples!$H$13*$A349))/(1+EXP(MIN(700,MAX(-700,(Examples!$H$14*$A349-Examples!$H$15)/Examples!$H$16))))))+Examples!$H$17*$A349^2)</f>
        <v>653254.60305055859</v>
      </c>
      <c r="M349" s="33">
        <f>(Examples!$H$6*Examples!$H$7*Examples!$H$8*EXP(-Examples!$H$9*$A349)*(1-(Examples!$H$12*(1-EXP(-Examples!$H$13*$A349))/(1+EXP(MIN(700,MAX(-700,(Examples!$H$14*$A349-Examples!$H$15)/Examples!$H$16))))))+Examples!$H$17*$A349^2)</f>
        <v>673245.39694944141</v>
      </c>
    </row>
    <row r="350" spans="1:13" x14ac:dyDescent="0.25">
      <c r="A350">
        <f>(350-2)/100</f>
        <v>3.48</v>
      </c>
      <c r="B350" s="33">
        <f>Examples!$C$18-(Examples!$C$10+Examples!$C$11)*$A350-(Examples!$C$6*Examples!$C$7*Examples!$C$8*EXP(-Examples!$C$9*$A350)*(1-(Examples!$C$12*(1-EXP(-Examples!$C$13*$A350))/(1+EXP(MIN(700,MAX(-700,(Examples!$C$14*$A350-Examples!$C$15)/Examples!$C$16))))))+Examples!$C$17*$A350^2)</f>
        <v>85543.048635299958</v>
      </c>
      <c r="C350" s="33">
        <f>(Examples!$C$6*Examples!$C$7*Examples!$C$8*EXP(-Examples!$C$9*$A350)*(1-(Examples!$C$12*(1-EXP(-Examples!$C$13*$A350))/(1+EXP(MIN(700,MAX(-700,(Examples!$C$14*$A350-Examples!$C$15)/Examples!$C$16))))))+Examples!$C$17*$A350^2)</f>
        <v>392656.95136470004</v>
      </c>
      <c r="D350" s="33">
        <f>Examples!$D$18-(Examples!$D$10+Examples!$D$11)*$A350-(Examples!$D$6*Examples!$D$7*Examples!$D$8*EXP(-Examples!$D$9*$A350)*(1-(Examples!$D$12*(1-EXP(-Examples!$D$13*$A350))/(1+EXP(MIN(700,MAX(-700,(Examples!$D$14*$A350-Examples!$D$15)/Examples!$D$16))))))+Examples!$D$17*$A350^2)</f>
        <v>1514626.5067895823</v>
      </c>
      <c r="E350" s="33">
        <f>(Examples!$D$6*Examples!$D$7*Examples!$D$8*EXP(-Examples!$D$9*$A350)*(1-(Examples!$D$12*(1-EXP(-Examples!$D$13*$A350))/(1+EXP(MIN(700,MAX(-700,(Examples!$D$14*$A350-Examples!$D$15)/Examples!$D$16))))))+Examples!$D$17*$A350^2)</f>
        <v>828773.49321041757</v>
      </c>
      <c r="F350" s="33">
        <f>Examples!$E$18-(Examples!$E$10+Examples!$E$11)*$A350-(Examples!$E$6*Examples!$E$7*Examples!$E$8*EXP(-Examples!$E$9*$A350)*(1-(Examples!$E$12*(1-EXP(-Examples!$E$13*$A350))/(1+EXP(MIN(700,MAX(-700,(Examples!$E$14*$A350-Examples!$E$15)/Examples!$E$16))))))+Examples!$E$17*$A350^2)</f>
        <v>2477490.9543886408</v>
      </c>
      <c r="G350" s="33">
        <f>(Examples!$E$6*Examples!$E$7*Examples!$E$8*EXP(-Examples!$E$9*$A350)*(1-(Examples!$E$12*(1-EXP(-Examples!$E$13*$A350))/(1+EXP(MIN(700,MAX(-700,(Examples!$E$14*$A350-Examples!$E$15)/Examples!$E$16))))))+Examples!$E$17*$A350^2)</f>
        <v>226709.04561135918</v>
      </c>
      <c r="H350" s="33">
        <f>Examples!$F$18-(Examples!$F$10+Examples!$F$11)*$A350-(Examples!$F$6*Examples!$F$7*Examples!$F$8*EXP(-Examples!$F$9*$A350)*(1-(Examples!$F$12*(1-EXP(-Examples!$F$13*$A350))/(1+EXP(MIN(700,MAX(-700,(Examples!$F$14*$A350-Examples!$F$15)/Examples!$F$16))))))+Examples!$F$17*$A350^2)</f>
        <v>-167968.46666074015</v>
      </c>
      <c r="I350" s="33">
        <f>(Examples!$F$6*Examples!$F$7*Examples!$F$8*EXP(-Examples!$F$9*$A350)*(1-(Examples!$F$12*(1-EXP(-Examples!$F$13*$A350))/(1+EXP(MIN(700,MAX(-700,(Examples!$F$14*$A350-Examples!$F$15)/Examples!$F$16))))))+Examples!$F$17*$A350^2)</f>
        <v>248368.46666074015</v>
      </c>
      <c r="J350" s="33">
        <f>Examples!$G$18-(Examples!$G$10+Examples!$G$11)*$A350-(Examples!$G$6*Examples!$G$7*Examples!$G$8*EXP(-Examples!$G$9*$A350)*(1-(Examples!$G$12*(1-EXP(-Examples!$G$13*$A350))/(1+EXP(MIN(700,MAX(-700,(Examples!$G$14*$A350-Examples!$G$15)/Examples!$G$16))))))+Examples!$G$17*$A350^2)</f>
        <v>720612.61828377075</v>
      </c>
      <c r="K350" s="33">
        <f>(Examples!$G$6*Examples!$G$7*Examples!$G$8*EXP(-Examples!$G$9*$A350)*(1-(Examples!$G$12*(1-EXP(-Examples!$G$13*$A350))/(1+EXP(MIN(700,MAX(-700,(Examples!$G$14*$A350-Examples!$G$15)/Examples!$G$16))))))+Examples!$G$17*$A350^2)</f>
        <v>605387.38171622925</v>
      </c>
      <c r="L350" s="33">
        <f>Examples!$H$18-(Examples!$H$10+Examples!$H$11)*$A350-(Examples!$H$6*Examples!$H$7*Examples!$H$8*EXP(-Examples!$H$9*$A350)*(1-(Examples!$H$12*(1-EXP(-Examples!$H$13*$A350))/(1+EXP(MIN(700,MAX(-700,(Examples!$H$14*$A350-Examples!$H$15)/Examples!$H$16))))))+Examples!$H$17*$A350^2)</f>
        <v>653726.38822884508</v>
      </c>
      <c r="M350" s="33">
        <f>(Examples!$H$6*Examples!$H$7*Examples!$H$8*EXP(-Examples!$H$9*$A350)*(1-(Examples!$H$12*(1-EXP(-Examples!$H$13*$A350))/(1+EXP(MIN(700,MAX(-700,(Examples!$H$14*$A350-Examples!$H$15)/Examples!$H$16))))))+Examples!$H$17*$A350^2)</f>
        <v>672273.61177115492</v>
      </c>
    </row>
    <row r="351" spans="1:13" x14ac:dyDescent="0.25">
      <c r="A351">
        <f>(351-2)/100</f>
        <v>3.49</v>
      </c>
      <c r="B351" s="33">
        <f>Examples!$C$18-(Examples!$C$10+Examples!$C$11)*$A351-(Examples!$C$6*Examples!$C$7*Examples!$C$8*EXP(-Examples!$C$9*$A351)*(1-(Examples!$C$12*(1-EXP(-Examples!$C$13*$A351))/(1+EXP(MIN(700,MAX(-700,(Examples!$C$14*$A351-Examples!$C$15)/Examples!$C$16))))))+Examples!$C$17*$A351^2)</f>
        <v>84772.543857442681</v>
      </c>
      <c r="C351" s="33">
        <f>(Examples!$C$6*Examples!$C$7*Examples!$C$8*EXP(-Examples!$C$9*$A351)*(1-(Examples!$C$12*(1-EXP(-Examples!$C$13*$A351))/(1+EXP(MIN(700,MAX(-700,(Examples!$C$14*$A351-Examples!$C$15)/Examples!$C$16))))))+Examples!$C$17*$A351^2)</f>
        <v>393077.45614255732</v>
      </c>
      <c r="D351" s="33">
        <f>Examples!$D$18-(Examples!$D$10+Examples!$D$11)*$A351-(Examples!$D$6*Examples!$D$7*Examples!$D$8*EXP(-Examples!$D$9*$A351)*(1-(Examples!$D$12*(1-EXP(-Examples!$D$13*$A351))/(1+EXP(MIN(700,MAX(-700,(Examples!$D$14*$A351-Examples!$D$15)/Examples!$D$16))))))+Examples!$D$17*$A351^2)</f>
        <v>1515034.6350842649</v>
      </c>
      <c r="E351" s="33">
        <f>(Examples!$D$6*Examples!$D$7*Examples!$D$8*EXP(-Examples!$D$9*$A351)*(1-(Examples!$D$12*(1-EXP(-Examples!$D$13*$A351))/(1+EXP(MIN(700,MAX(-700,(Examples!$D$14*$A351-Examples!$D$15)/Examples!$D$16))))))+Examples!$D$17*$A351^2)</f>
        <v>827915.3649157352</v>
      </c>
      <c r="F351" s="33">
        <f>Examples!$E$18-(Examples!$E$10+Examples!$E$11)*$A351-(Examples!$E$6*Examples!$E$7*Examples!$E$8*EXP(-Examples!$E$9*$A351)*(1-(Examples!$E$12*(1-EXP(-Examples!$E$13*$A351))/(1+EXP(MIN(700,MAX(-700,(Examples!$E$14*$A351-Examples!$E$15)/Examples!$E$16))))))+Examples!$E$17*$A351^2)</f>
        <v>2477052.6071257535</v>
      </c>
      <c r="G351" s="33">
        <f>(Examples!$E$6*Examples!$E$7*Examples!$E$8*EXP(-Examples!$E$9*$A351)*(1-(Examples!$E$12*(1-EXP(-Examples!$E$13*$A351))/(1+EXP(MIN(700,MAX(-700,(Examples!$E$14*$A351-Examples!$E$15)/Examples!$E$16))))))+Examples!$E$17*$A351^2)</f>
        <v>226297.39287424646</v>
      </c>
      <c r="H351" s="33">
        <f>Examples!$F$18-(Examples!$F$10+Examples!$F$11)*$A351-(Examples!$F$6*Examples!$F$7*Examples!$F$8*EXP(-Examples!$F$9*$A351)*(1-(Examples!$F$12*(1-EXP(-Examples!$F$13*$A351))/(1+EXP(MIN(700,MAX(-700,(Examples!$F$14*$A351-Examples!$F$15)/Examples!$F$16))))))+Examples!$F$17*$A351^2)</f>
        <v>-169544.02413310786</v>
      </c>
      <c r="I351" s="33">
        <f>(Examples!$F$6*Examples!$F$7*Examples!$F$8*EXP(-Examples!$F$9*$A351)*(1-(Examples!$F$12*(1-EXP(-Examples!$F$13*$A351))/(1+EXP(MIN(700,MAX(-700,(Examples!$F$14*$A351-Examples!$F$15)/Examples!$F$16))))))+Examples!$F$17*$A351^2)</f>
        <v>249744.02413310786</v>
      </c>
      <c r="J351" s="33">
        <f>Examples!$G$18-(Examples!$G$10+Examples!$G$11)*$A351-(Examples!$G$6*Examples!$G$7*Examples!$G$8*EXP(-Examples!$G$9*$A351)*(1-(Examples!$G$12*(1-EXP(-Examples!$G$13*$A351))/(1+EXP(MIN(700,MAX(-700,(Examples!$G$14*$A351-Examples!$G$15)/Examples!$G$16))))))+Examples!$G$17*$A351^2)</f>
        <v>720552.7448041538</v>
      </c>
      <c r="K351" s="33">
        <f>(Examples!$G$6*Examples!$G$7*Examples!$G$8*EXP(-Examples!$G$9*$A351)*(1-(Examples!$G$12*(1-EXP(-Examples!$G$13*$A351))/(1+EXP(MIN(700,MAX(-700,(Examples!$G$14*$A351-Examples!$G$15)/Examples!$G$16))))))+Examples!$G$17*$A351^2)</f>
        <v>604947.2551958462</v>
      </c>
      <c r="L351" s="33">
        <f>Examples!$H$18-(Examples!$H$10+Examples!$H$11)*$A351-(Examples!$H$6*Examples!$H$7*Examples!$H$8*EXP(-Examples!$H$9*$A351)*(1-(Examples!$H$12*(1-EXP(-Examples!$H$13*$A351))/(1+EXP(MIN(700,MAX(-700,(Examples!$H$14*$A351-Examples!$H$15)/Examples!$H$16))))))+Examples!$H$17*$A351^2)</f>
        <v>654206.36657875159</v>
      </c>
      <c r="M351" s="33">
        <f>(Examples!$H$6*Examples!$H$7*Examples!$H$8*EXP(-Examples!$H$9*$A351)*(1-(Examples!$H$12*(1-EXP(-Examples!$H$13*$A351))/(1+EXP(MIN(700,MAX(-700,(Examples!$H$14*$A351-Examples!$H$15)/Examples!$H$16))))))+Examples!$H$17*$A351^2)</f>
        <v>671293.63342124841</v>
      </c>
    </row>
    <row r="352" spans="1:13" x14ac:dyDescent="0.25">
      <c r="A352">
        <f>(352-2)/100</f>
        <v>3.5</v>
      </c>
      <c r="B352" s="33">
        <f>Examples!$C$18-(Examples!$C$10+Examples!$C$11)*$A352-(Examples!$C$6*Examples!$C$7*Examples!$C$8*EXP(-Examples!$C$9*$A352)*(1-(Examples!$C$12*(1-EXP(-Examples!$C$13*$A352))/(1+EXP(MIN(700,MAX(-700,(Examples!$C$14*$A352-Examples!$C$15)/Examples!$C$16))))))+Examples!$C$17*$A352^2)</f>
        <v>83997.407259046857</v>
      </c>
      <c r="C352" s="33">
        <f>(Examples!$C$6*Examples!$C$7*Examples!$C$8*EXP(-Examples!$C$9*$A352)*(1-(Examples!$C$12*(1-EXP(-Examples!$C$13*$A352))/(1+EXP(MIN(700,MAX(-700,(Examples!$C$14*$A352-Examples!$C$15)/Examples!$C$16))))))+Examples!$C$17*$A352^2)</f>
        <v>393502.59274095314</v>
      </c>
      <c r="D352" s="33">
        <f>Examples!$D$18-(Examples!$D$10+Examples!$D$11)*$A352-(Examples!$D$6*Examples!$D$7*Examples!$D$8*EXP(-Examples!$D$9*$A352)*(1-(Examples!$D$12*(1-EXP(-Examples!$D$13*$A352))/(1+EXP(MIN(700,MAX(-700,(Examples!$D$14*$A352-Examples!$D$15)/Examples!$D$16))))))+Examples!$D$17*$A352^2)</f>
        <v>1515433.4932434948</v>
      </c>
      <c r="E352" s="33">
        <f>(Examples!$D$6*Examples!$D$7*Examples!$D$8*EXP(-Examples!$D$9*$A352)*(1-(Examples!$D$12*(1-EXP(-Examples!$D$13*$A352))/(1+EXP(MIN(700,MAX(-700,(Examples!$D$14*$A352-Examples!$D$15)/Examples!$D$16))))))+Examples!$D$17*$A352^2)</f>
        <v>827066.50675650523</v>
      </c>
      <c r="F352" s="33">
        <f>Examples!$E$18-(Examples!$E$10+Examples!$E$11)*$A352-(Examples!$E$6*Examples!$E$7*Examples!$E$8*EXP(-Examples!$E$9*$A352)*(1-(Examples!$E$12*(1-EXP(-Examples!$E$13*$A352))/(1+EXP(MIN(700,MAX(-700,(Examples!$E$14*$A352-Examples!$E$15)/Examples!$E$16))))))+Examples!$E$17*$A352^2)</f>
        <v>2476607.9797634389</v>
      </c>
      <c r="G352" s="33">
        <f>(Examples!$E$6*Examples!$E$7*Examples!$E$8*EXP(-Examples!$E$9*$A352)*(1-(Examples!$E$12*(1-EXP(-Examples!$E$13*$A352))/(1+EXP(MIN(700,MAX(-700,(Examples!$E$14*$A352-Examples!$E$15)/Examples!$E$16))))))+Examples!$E$17*$A352^2)</f>
        <v>225892.02023656128</v>
      </c>
      <c r="H352" s="33">
        <f>Examples!$F$18-(Examples!$F$10+Examples!$F$11)*$A352-(Examples!$F$6*Examples!$F$7*Examples!$F$8*EXP(-Examples!$F$9*$A352)*(1-(Examples!$F$12*(1-EXP(-Examples!$F$13*$A352))/(1+EXP(MIN(700,MAX(-700,(Examples!$F$14*$A352-Examples!$F$15)/Examples!$F$16))))))+Examples!$F$17*$A352^2)</f>
        <v>-171123.63639932548</v>
      </c>
      <c r="I352" s="33">
        <f>(Examples!$F$6*Examples!$F$7*Examples!$F$8*EXP(-Examples!$F$9*$A352)*(1-(Examples!$F$12*(1-EXP(-Examples!$F$13*$A352))/(1+EXP(MIN(700,MAX(-700,(Examples!$F$14*$A352-Examples!$F$15)/Examples!$F$16))))))+Examples!$F$17*$A352^2)</f>
        <v>251123.63639932548</v>
      </c>
      <c r="J352" s="33">
        <f>Examples!$G$18-(Examples!$G$10+Examples!$G$11)*$A352-(Examples!$G$6*Examples!$G$7*Examples!$G$8*EXP(-Examples!$G$9*$A352)*(1-(Examples!$G$12*(1-EXP(-Examples!$G$13*$A352))/(1+EXP(MIN(700,MAX(-700,(Examples!$G$14*$A352-Examples!$G$15)/Examples!$G$16))))))+Examples!$G$17*$A352^2)</f>
        <v>720494.8893110106</v>
      </c>
      <c r="K352" s="33">
        <f>(Examples!$G$6*Examples!$G$7*Examples!$G$8*EXP(-Examples!$G$9*$A352)*(1-(Examples!$G$12*(1-EXP(-Examples!$G$13*$A352))/(1+EXP(MIN(700,MAX(-700,(Examples!$G$14*$A352-Examples!$G$15)/Examples!$G$16))))))+Examples!$G$17*$A352^2)</f>
        <v>604505.1106889894</v>
      </c>
      <c r="L352" s="33">
        <f>Examples!$H$18-(Examples!$H$10+Examples!$H$11)*$A352-(Examples!$H$6*Examples!$H$7*Examples!$H$8*EXP(-Examples!$H$9*$A352)*(1-(Examples!$H$12*(1-EXP(-Examples!$H$13*$A352))/(1+EXP(MIN(700,MAX(-700,(Examples!$H$14*$A352-Examples!$H$15)/Examples!$H$16))))))+Examples!$H$17*$A352^2)</f>
        <v>654694.07616988407</v>
      </c>
      <c r="M352" s="33">
        <f>(Examples!$H$6*Examples!$H$7*Examples!$H$8*EXP(-Examples!$H$9*$A352)*(1-(Examples!$H$12*(1-EXP(-Examples!$H$13*$A352))/(1+EXP(MIN(700,MAX(-700,(Examples!$H$14*$A352-Examples!$H$15)/Examples!$H$16))))))+Examples!$H$17*$A352^2)</f>
        <v>670305.92383011593</v>
      </c>
    </row>
    <row r="353" spans="1:13" x14ac:dyDescent="0.25">
      <c r="A353">
        <f>(353-2)/100</f>
        <v>3.51</v>
      </c>
      <c r="B353" s="33">
        <f>Examples!$C$18-(Examples!$C$10+Examples!$C$11)*$A353-(Examples!$C$6*Examples!$C$7*Examples!$C$8*EXP(-Examples!$C$9*$A353)*(1-(Examples!$C$12*(1-EXP(-Examples!$C$13*$A353))/(1+EXP(MIN(700,MAX(-700,(Examples!$C$14*$A353-Examples!$C$15)/Examples!$C$16))))))+Examples!$C$17*$A353^2)</f>
        <v>83217.635633891216</v>
      </c>
      <c r="C353" s="33">
        <f>(Examples!$C$6*Examples!$C$7*Examples!$C$8*EXP(-Examples!$C$9*$A353)*(1-(Examples!$C$12*(1-EXP(-Examples!$C$13*$A353))/(1+EXP(MIN(700,MAX(-700,(Examples!$C$14*$A353-Examples!$C$15)/Examples!$C$16))))))+Examples!$C$17*$A353^2)</f>
        <v>393932.36436610878</v>
      </c>
      <c r="D353" s="33">
        <f>Examples!$D$18-(Examples!$D$10+Examples!$D$11)*$A353-(Examples!$D$6*Examples!$D$7*Examples!$D$8*EXP(-Examples!$D$9*$A353)*(1-(Examples!$D$12*(1-EXP(-Examples!$D$13*$A353))/(1+EXP(MIN(700,MAX(-700,(Examples!$D$14*$A353-Examples!$D$15)/Examples!$D$16))))))+Examples!$D$17*$A353^2)</f>
        <v>1515823.4427906154</v>
      </c>
      <c r="E353" s="33">
        <f>(Examples!$D$6*Examples!$D$7*Examples!$D$8*EXP(-Examples!$D$9*$A353)*(1-(Examples!$D$12*(1-EXP(-Examples!$D$13*$A353))/(1+EXP(MIN(700,MAX(-700,(Examples!$D$14*$A353-Examples!$D$15)/Examples!$D$16))))))+Examples!$D$17*$A353^2)</f>
        <v>826226.55720938474</v>
      </c>
      <c r="F353" s="33">
        <f>Examples!$E$18-(Examples!$E$10+Examples!$E$11)*$A353-(Examples!$E$6*Examples!$E$7*Examples!$E$8*EXP(-Examples!$E$9*$A353)*(1-(Examples!$E$12*(1-EXP(-Examples!$E$13*$A353))/(1+EXP(MIN(700,MAX(-700,(Examples!$E$14*$A353-Examples!$E$15)/Examples!$E$16))))))+Examples!$E$17*$A353^2)</f>
        <v>2476157.1485552154</v>
      </c>
      <c r="G353" s="33">
        <f>(Examples!$E$6*Examples!$E$7*Examples!$E$8*EXP(-Examples!$E$9*$A353)*(1-(Examples!$E$12*(1-EXP(-Examples!$E$13*$A353))/(1+EXP(MIN(700,MAX(-700,(Examples!$E$14*$A353-Examples!$E$15)/Examples!$E$16))))))+Examples!$E$17*$A353^2)</f>
        <v>225492.85144478467</v>
      </c>
      <c r="H353" s="33">
        <f>Examples!$F$18-(Examples!$F$10+Examples!$F$11)*$A353-(Examples!$F$6*Examples!$F$7*Examples!$F$8*EXP(-Examples!$F$9*$A353)*(1-(Examples!$F$12*(1-EXP(-Examples!$F$13*$A353))/(1+EXP(MIN(700,MAX(-700,(Examples!$F$14*$A353-Examples!$F$15)/Examples!$F$16))))))+Examples!$F$17*$A353^2)</f>
        <v>-172707.30331334454</v>
      </c>
      <c r="I353" s="33">
        <f>(Examples!$F$6*Examples!$F$7*Examples!$F$8*EXP(-Examples!$F$9*$A353)*(1-(Examples!$F$12*(1-EXP(-Examples!$F$13*$A353))/(1+EXP(MIN(700,MAX(-700,(Examples!$F$14*$A353-Examples!$F$15)/Examples!$F$16))))))+Examples!$F$17*$A353^2)</f>
        <v>252507.30331334454</v>
      </c>
      <c r="J353" s="33">
        <f>Examples!$G$18-(Examples!$G$10+Examples!$G$11)*$A353-(Examples!$G$6*Examples!$G$7*Examples!$G$8*EXP(-Examples!$G$9*$A353)*(1-(Examples!$G$12*(1-EXP(-Examples!$G$13*$A353))/(1+EXP(MIN(700,MAX(-700,(Examples!$G$14*$A353-Examples!$G$15)/Examples!$G$16))))))+Examples!$G$17*$A353^2)</f>
        <v>720439.0347794611</v>
      </c>
      <c r="K353" s="33">
        <f>(Examples!$G$6*Examples!$G$7*Examples!$G$8*EXP(-Examples!$G$9*$A353)*(1-(Examples!$G$12*(1-EXP(-Examples!$G$13*$A353))/(1+EXP(MIN(700,MAX(-700,(Examples!$G$14*$A353-Examples!$G$15)/Examples!$G$16))))))+Examples!$G$17*$A353^2)</f>
        <v>604060.9652205389</v>
      </c>
      <c r="L353" s="33">
        <f>Examples!$H$18-(Examples!$H$10+Examples!$H$11)*$A353-(Examples!$H$6*Examples!$H$7*Examples!$H$8*EXP(-Examples!$H$9*$A353)*(1-(Examples!$H$12*(1-EXP(-Examples!$H$13*$A353))/(1+EXP(MIN(700,MAX(-700,(Examples!$H$14*$A353-Examples!$H$15)/Examples!$H$16))))))+Examples!$H$17*$A353^2)</f>
        <v>655189.06626340398</v>
      </c>
      <c r="M353" s="33">
        <f>(Examples!$H$6*Examples!$H$7*Examples!$H$8*EXP(-Examples!$H$9*$A353)*(1-(Examples!$H$12*(1-EXP(-Examples!$H$13*$A353))/(1+EXP(MIN(700,MAX(-700,(Examples!$H$14*$A353-Examples!$H$15)/Examples!$H$16))))))+Examples!$H$17*$A353^2)</f>
        <v>669310.93373659602</v>
      </c>
    </row>
    <row r="354" spans="1:13" x14ac:dyDescent="0.25">
      <c r="A354">
        <f>(354-2)/100</f>
        <v>3.52</v>
      </c>
      <c r="B354" s="33">
        <f>Examples!$C$18-(Examples!$C$10+Examples!$C$11)*$A354-(Examples!$C$6*Examples!$C$7*Examples!$C$8*EXP(-Examples!$C$9*$A354)*(1-(Examples!$C$12*(1-EXP(-Examples!$C$13*$A354))/(1+EXP(MIN(700,MAX(-700,(Examples!$C$14*$A354-Examples!$C$15)/Examples!$C$16))))))+Examples!$C$17*$A354^2)</f>
        <v>82433.226053413586</v>
      </c>
      <c r="C354" s="33">
        <f>(Examples!$C$6*Examples!$C$7*Examples!$C$8*EXP(-Examples!$C$9*$A354)*(1-(Examples!$C$12*(1-EXP(-Examples!$C$13*$A354))/(1+EXP(MIN(700,MAX(-700,(Examples!$C$14*$A354-Examples!$C$15)/Examples!$C$16))))))+Examples!$C$17*$A354^2)</f>
        <v>394366.77394658641</v>
      </c>
      <c r="D354" s="33">
        <f>Examples!$D$18-(Examples!$D$10+Examples!$D$11)*$A354-(Examples!$D$6*Examples!$D$7*Examples!$D$8*EXP(-Examples!$D$9*$A354)*(1-(Examples!$D$12*(1-EXP(-Examples!$D$13*$A354))/(1+EXP(MIN(700,MAX(-700,(Examples!$D$14*$A354-Examples!$D$15)/Examples!$D$16))))))+Examples!$D$17*$A354^2)</f>
        <v>1516204.8420941893</v>
      </c>
      <c r="E354" s="33">
        <f>(Examples!$D$6*Examples!$D$7*Examples!$D$8*EXP(-Examples!$D$9*$A354)*(1-(Examples!$D$12*(1-EXP(-Examples!$D$13*$A354))/(1+EXP(MIN(700,MAX(-700,(Examples!$D$14*$A354-Examples!$D$15)/Examples!$D$16))))))+Examples!$D$17*$A354^2)</f>
        <v>825395.15790581075</v>
      </c>
      <c r="F354" s="33">
        <f>Examples!$E$18-(Examples!$E$10+Examples!$E$11)*$A354-(Examples!$E$6*Examples!$E$7*Examples!$E$8*EXP(-Examples!$E$9*$A354)*(1-(Examples!$E$12*(1-EXP(-Examples!$E$13*$A354))/(1+EXP(MIN(700,MAX(-700,(Examples!$E$14*$A354-Examples!$E$15)/Examples!$E$16))))))+Examples!$E$17*$A354^2)</f>
        <v>2475700.1889887499</v>
      </c>
      <c r="G354" s="33">
        <f>(Examples!$E$6*Examples!$E$7*Examples!$E$8*EXP(-Examples!$E$9*$A354)*(1-(Examples!$E$12*(1-EXP(-Examples!$E$13*$A354))/(1+EXP(MIN(700,MAX(-700,(Examples!$E$14*$A354-Examples!$E$15)/Examples!$E$16))))))+Examples!$E$17*$A354^2)</f>
        <v>225099.81101125013</v>
      </c>
      <c r="H354" s="33">
        <f>Examples!$F$18-(Examples!$F$10+Examples!$F$11)*$A354-(Examples!$F$6*Examples!$F$7*Examples!$F$8*EXP(-Examples!$F$9*$A354)*(1-(Examples!$F$12*(1-EXP(-Examples!$F$13*$A354))/(1+EXP(MIN(700,MAX(-700,(Examples!$F$14*$A354-Examples!$F$15)/Examples!$F$16))))))+Examples!$F$17*$A354^2)</f>
        <v>-174295.02472883303</v>
      </c>
      <c r="I354" s="33">
        <f>(Examples!$F$6*Examples!$F$7*Examples!$F$8*EXP(-Examples!$F$9*$A354)*(1-(Examples!$F$12*(1-EXP(-Examples!$F$13*$A354))/(1+EXP(MIN(700,MAX(-700,(Examples!$F$14*$A354-Examples!$F$15)/Examples!$F$16))))))+Examples!$F$17*$A354^2)</f>
        <v>253895.02472883303</v>
      </c>
      <c r="J354" s="33">
        <f>Examples!$G$18-(Examples!$G$10+Examples!$G$11)*$A354-(Examples!$G$6*Examples!$G$7*Examples!$G$8*EXP(-Examples!$G$9*$A354)*(1-(Examples!$G$12*(1-EXP(-Examples!$G$13*$A354))/(1+EXP(MIN(700,MAX(-700,(Examples!$G$14*$A354-Examples!$G$15)/Examples!$G$16))))))+Examples!$G$17*$A354^2)</f>
        <v>720385.16259881691</v>
      </c>
      <c r="K354" s="33">
        <f>(Examples!$G$6*Examples!$G$7*Examples!$G$8*EXP(-Examples!$G$9*$A354)*(1-(Examples!$G$12*(1-EXP(-Examples!$G$13*$A354))/(1+EXP(MIN(700,MAX(-700,(Examples!$G$14*$A354-Examples!$G$15)/Examples!$G$16))))))+Examples!$G$17*$A354^2)</f>
        <v>603614.83740118309</v>
      </c>
      <c r="L354" s="33">
        <f>Examples!$H$18-(Examples!$H$10+Examples!$H$11)*$A354-(Examples!$H$6*Examples!$H$7*Examples!$H$8*EXP(-Examples!$H$9*$A354)*(1-(Examples!$H$12*(1-EXP(-Examples!$H$13*$A354))/(1+EXP(MIN(700,MAX(-700,(Examples!$H$14*$A354-Examples!$H$15)/Examples!$H$16))))))+Examples!$H$17*$A354^2)</f>
        <v>655690.89721775171</v>
      </c>
      <c r="M354" s="33">
        <f>(Examples!$H$6*Examples!$H$7*Examples!$H$8*EXP(-Examples!$H$9*$A354)*(1-(Examples!$H$12*(1-EXP(-Examples!$H$13*$A354))/(1+EXP(MIN(700,MAX(-700,(Examples!$H$14*$A354-Examples!$H$15)/Examples!$H$16))))))+Examples!$H$17*$A354^2)</f>
        <v>668309.10278224829</v>
      </c>
    </row>
    <row r="355" spans="1:13" x14ac:dyDescent="0.25">
      <c r="A355">
        <f>(355-2)/100</f>
        <v>3.53</v>
      </c>
      <c r="B355" s="33">
        <f>Examples!$C$18-(Examples!$C$10+Examples!$C$11)*$A355-(Examples!$C$6*Examples!$C$7*Examples!$C$8*EXP(-Examples!$C$9*$A355)*(1-(Examples!$C$12*(1-EXP(-Examples!$C$13*$A355))/(1+EXP(MIN(700,MAX(-700,(Examples!$C$14*$A355-Examples!$C$15)/Examples!$C$16))))))+Examples!$C$17*$A355^2)</f>
        <v>81644.175857245573</v>
      </c>
      <c r="C355" s="33">
        <f>(Examples!$C$6*Examples!$C$7*Examples!$C$8*EXP(-Examples!$C$9*$A355)*(1-(Examples!$C$12*(1-EXP(-Examples!$C$13*$A355))/(1+EXP(MIN(700,MAX(-700,(Examples!$C$14*$A355-Examples!$C$15)/Examples!$C$16))))))+Examples!$C$17*$A355^2)</f>
        <v>394805.82414275443</v>
      </c>
      <c r="D355" s="33">
        <f>Examples!$D$18-(Examples!$D$10+Examples!$D$11)*$A355-(Examples!$D$6*Examples!$D$7*Examples!$D$8*EXP(-Examples!$D$9*$A355)*(1-(Examples!$D$12*(1-EXP(-Examples!$D$13*$A355))/(1+EXP(MIN(700,MAX(-700,(Examples!$D$14*$A355-Examples!$D$15)/Examples!$D$16))))))+Examples!$D$17*$A355^2)</f>
        <v>1516578.0463039442</v>
      </c>
      <c r="E355" s="33">
        <f>(Examples!$D$6*Examples!$D$7*Examples!$D$8*EXP(-Examples!$D$9*$A355)*(1-(Examples!$D$12*(1-EXP(-Examples!$D$13*$A355))/(1+EXP(MIN(700,MAX(-700,(Examples!$D$14*$A355-Examples!$D$15)/Examples!$D$16))))))+Examples!$D$17*$A355^2)</f>
        <v>824571.95369605569</v>
      </c>
      <c r="F355" s="33">
        <f>Examples!$E$18-(Examples!$E$10+Examples!$E$11)*$A355-(Examples!$E$6*Examples!$E$7*Examples!$E$8*EXP(-Examples!$E$9*$A355)*(1-(Examples!$E$12*(1-EXP(-Examples!$E$13*$A355))/(1+EXP(MIN(700,MAX(-700,(Examples!$E$14*$A355-Examples!$E$15)/Examples!$E$16))))))+Examples!$E$17*$A355^2)</f>
        <v>2475237.17579355</v>
      </c>
      <c r="G355" s="33">
        <f>(Examples!$E$6*Examples!$E$7*Examples!$E$8*EXP(-Examples!$E$9*$A355)*(1-(Examples!$E$12*(1-EXP(-Examples!$E$13*$A355))/(1+EXP(MIN(700,MAX(-700,(Examples!$E$14*$A355-Examples!$E$15)/Examples!$E$16))))))+Examples!$E$17*$A355^2)</f>
        <v>224712.8242064502</v>
      </c>
      <c r="H355" s="33">
        <f>Examples!$F$18-(Examples!$F$10+Examples!$F$11)*$A355-(Examples!$F$6*Examples!$F$7*Examples!$F$8*EXP(-Examples!$F$9*$A355)*(1-(Examples!$F$12*(1-EXP(-Examples!$F$13*$A355))/(1+EXP(MIN(700,MAX(-700,(Examples!$F$14*$A355-Examples!$F$15)/Examples!$F$16))))))+Examples!$F$17*$A355^2)</f>
        <v>-175886.80049920478</v>
      </c>
      <c r="I355" s="33">
        <f>(Examples!$F$6*Examples!$F$7*Examples!$F$8*EXP(-Examples!$F$9*$A355)*(1-(Examples!$F$12*(1-EXP(-Examples!$F$13*$A355))/(1+EXP(MIN(700,MAX(-700,(Examples!$F$14*$A355-Examples!$F$15)/Examples!$F$16))))))+Examples!$F$17*$A355^2)</f>
        <v>255286.80049920478</v>
      </c>
      <c r="J355" s="33">
        <f>Examples!$G$18-(Examples!$G$10+Examples!$G$11)*$A355-(Examples!$G$6*Examples!$G$7*Examples!$G$8*EXP(-Examples!$G$9*$A355)*(1-(Examples!$G$12*(1-EXP(-Examples!$G$13*$A355))/(1+EXP(MIN(700,MAX(-700,(Examples!$G$14*$A355-Examples!$G$15)/Examples!$G$16))))))+Examples!$G$17*$A355^2)</f>
        <v>720333.25261514331</v>
      </c>
      <c r="K355" s="33">
        <f>(Examples!$G$6*Examples!$G$7*Examples!$G$8*EXP(-Examples!$G$9*$A355)*(1-(Examples!$G$12*(1-EXP(-Examples!$G$13*$A355))/(1+EXP(MIN(700,MAX(-700,(Examples!$G$14*$A355-Examples!$G$15)/Examples!$G$16))))))+Examples!$G$17*$A355^2)</f>
        <v>603166.74738485669</v>
      </c>
      <c r="L355" s="33">
        <f>Examples!$H$18-(Examples!$H$10+Examples!$H$11)*$A355-(Examples!$H$6*Examples!$H$7*Examples!$H$8*EXP(-Examples!$H$9*$A355)*(1-(Examples!$H$12*(1-EXP(-Examples!$H$13*$A355))/(1+EXP(MIN(700,MAX(-700,(Examples!$H$14*$A355-Examples!$H$15)/Examples!$H$16))))))+Examples!$H$17*$A355^2)</f>
        <v>656199.1403830027</v>
      </c>
      <c r="M355" s="33">
        <f>(Examples!$H$6*Examples!$H$7*Examples!$H$8*EXP(-Examples!$H$9*$A355)*(1-(Examples!$H$12*(1-EXP(-Examples!$H$13*$A355))/(1+EXP(MIN(700,MAX(-700,(Examples!$H$14*$A355-Examples!$H$15)/Examples!$H$16))))))+Examples!$H$17*$A355^2)</f>
        <v>667300.8596169973</v>
      </c>
    </row>
    <row r="356" spans="1:13" x14ac:dyDescent="0.25">
      <c r="A356">
        <f>(356-2)/100</f>
        <v>3.54</v>
      </c>
      <c r="B356" s="33">
        <f>Examples!$C$18-(Examples!$C$10+Examples!$C$11)*$A356-(Examples!$C$6*Examples!$C$7*Examples!$C$8*EXP(-Examples!$C$9*$A356)*(1-(Examples!$C$12*(1-EXP(-Examples!$C$13*$A356))/(1+EXP(MIN(700,MAX(-700,(Examples!$C$14*$A356-Examples!$C$15)/Examples!$C$16))))))+Examples!$C$17*$A356^2)</f>
        <v>80850.482644040603</v>
      </c>
      <c r="C356" s="33">
        <f>(Examples!$C$6*Examples!$C$7*Examples!$C$8*EXP(-Examples!$C$9*$A356)*(1-(Examples!$C$12*(1-EXP(-Examples!$C$13*$A356))/(1+EXP(MIN(700,MAX(-700,(Examples!$C$14*$A356-Examples!$C$15)/Examples!$C$16))))))+Examples!$C$17*$A356^2)</f>
        <v>395249.5173559594</v>
      </c>
      <c r="D356" s="33">
        <f>Examples!$D$18-(Examples!$D$10+Examples!$D$11)*$A356-(Examples!$D$6*Examples!$D$7*Examples!$D$8*EXP(-Examples!$D$9*$A356)*(1-(Examples!$D$12*(1-EXP(-Examples!$D$13*$A356))/(1+EXP(MIN(700,MAX(-700,(Examples!$D$14*$A356-Examples!$D$15)/Examples!$D$16))))))+Examples!$D$17*$A356^2)</f>
        <v>1516943.4072870808</v>
      </c>
      <c r="E356" s="33">
        <f>(Examples!$D$6*Examples!$D$7*Examples!$D$8*EXP(-Examples!$D$9*$A356)*(1-(Examples!$D$12*(1-EXP(-Examples!$D$13*$A356))/(1+EXP(MIN(700,MAX(-700,(Examples!$D$14*$A356-Examples!$D$15)/Examples!$D$16))))))+Examples!$D$17*$A356^2)</f>
        <v>823756.59271291923</v>
      </c>
      <c r="F356" s="33">
        <f>Examples!$E$18-(Examples!$E$10+Examples!$E$11)*$A356-(Examples!$E$6*Examples!$E$7*Examples!$E$8*EXP(-Examples!$E$9*$A356)*(1-(Examples!$E$12*(1-EXP(-Examples!$E$13*$A356))/(1+EXP(MIN(700,MAX(-700,(Examples!$E$14*$A356-Examples!$E$15)/Examples!$E$16))))))+Examples!$E$17*$A356^2)</f>
        <v>2474768.1829485451</v>
      </c>
      <c r="G356" s="33">
        <f>(Examples!$E$6*Examples!$E$7*Examples!$E$8*EXP(-Examples!$E$9*$A356)*(1-(Examples!$E$12*(1-EXP(-Examples!$E$13*$A356))/(1+EXP(MIN(700,MAX(-700,(Examples!$E$14*$A356-Examples!$E$15)/Examples!$E$16))))))+Examples!$E$17*$A356^2)</f>
        <v>224331.81705145491</v>
      </c>
      <c r="H356" s="33">
        <f>Examples!$F$18-(Examples!$F$10+Examples!$F$11)*$A356-(Examples!$F$6*Examples!$F$7*Examples!$F$8*EXP(-Examples!$F$9*$A356)*(1-(Examples!$F$12*(1-EXP(-Examples!$F$13*$A356))/(1+EXP(MIN(700,MAX(-700,(Examples!$F$14*$A356-Examples!$F$15)/Examples!$F$16))))))+Examples!$F$17*$A356^2)</f>
        <v>-177482.63047764782</v>
      </c>
      <c r="I356" s="33">
        <f>(Examples!$F$6*Examples!$F$7*Examples!$F$8*EXP(-Examples!$F$9*$A356)*(1-(Examples!$F$12*(1-EXP(-Examples!$F$13*$A356))/(1+EXP(MIN(700,MAX(-700,(Examples!$F$14*$A356-Examples!$F$15)/Examples!$F$16))))))+Examples!$F$17*$A356^2)</f>
        <v>256682.63047764782</v>
      </c>
      <c r="J356" s="33">
        <f>Examples!$G$18-(Examples!$G$10+Examples!$G$11)*$A356-(Examples!$G$6*Examples!$G$7*Examples!$G$8*EXP(-Examples!$G$9*$A356)*(1-(Examples!$G$12*(1-EXP(-Examples!$G$13*$A356))/(1+EXP(MIN(700,MAX(-700,(Examples!$G$14*$A356-Examples!$G$15)/Examples!$G$16))))))+Examples!$G$17*$A356^2)</f>
        <v>720283.28317358217</v>
      </c>
      <c r="K356" s="33">
        <f>(Examples!$G$6*Examples!$G$7*Examples!$G$8*EXP(-Examples!$G$9*$A356)*(1-(Examples!$G$12*(1-EXP(-Examples!$G$13*$A356))/(1+EXP(MIN(700,MAX(-700,(Examples!$G$14*$A356-Examples!$G$15)/Examples!$G$16))))))+Examples!$G$17*$A356^2)</f>
        <v>602716.71682641783</v>
      </c>
      <c r="L356" s="33">
        <f>Examples!$H$18-(Examples!$H$10+Examples!$H$11)*$A356-(Examples!$H$6*Examples!$H$7*Examples!$H$8*EXP(-Examples!$H$9*$A356)*(1-(Examples!$H$12*(1-EXP(-Examples!$H$13*$A356))/(1+EXP(MIN(700,MAX(-700,(Examples!$H$14*$A356-Examples!$H$15)/Examples!$H$16))))))+Examples!$H$17*$A356^2)</f>
        <v>656713.3779848679</v>
      </c>
      <c r="M356" s="33">
        <f>(Examples!$H$6*Examples!$H$7*Examples!$H$8*EXP(-Examples!$H$9*$A356)*(1-(Examples!$H$12*(1-EXP(-Examples!$H$13*$A356))/(1+EXP(MIN(700,MAX(-700,(Examples!$H$14*$A356-Examples!$H$15)/Examples!$H$16))))))+Examples!$H$17*$A356^2)</f>
        <v>666286.6220151321</v>
      </c>
    </row>
    <row r="357" spans="1:13" x14ac:dyDescent="0.25">
      <c r="A357">
        <f>(357-2)/100</f>
        <v>3.55</v>
      </c>
      <c r="B357" s="33">
        <f>Examples!$C$18-(Examples!$C$10+Examples!$C$11)*$A357-(Examples!$C$6*Examples!$C$7*Examples!$C$8*EXP(-Examples!$C$9*$A357)*(1-(Examples!$C$12*(1-EXP(-Examples!$C$13*$A357))/(1+EXP(MIN(700,MAX(-700,(Examples!$C$14*$A357-Examples!$C$15)/Examples!$C$16))))))+Examples!$C$17*$A357^2)</f>
        <v>80052.144262585789</v>
      </c>
      <c r="C357" s="33">
        <f>(Examples!$C$6*Examples!$C$7*Examples!$C$8*EXP(-Examples!$C$9*$A357)*(1-(Examples!$C$12*(1-EXP(-Examples!$C$13*$A357))/(1+EXP(MIN(700,MAX(-700,(Examples!$C$14*$A357-Examples!$C$15)/Examples!$C$16))))))+Examples!$C$17*$A357^2)</f>
        <v>395697.85573741421</v>
      </c>
      <c r="D357" s="33">
        <f>Examples!$D$18-(Examples!$D$10+Examples!$D$11)*$A357-(Examples!$D$6*Examples!$D$7*Examples!$D$8*EXP(-Examples!$D$9*$A357)*(1-(Examples!$D$12*(1-EXP(-Examples!$D$13*$A357))/(1+EXP(MIN(700,MAX(-700,(Examples!$D$14*$A357-Examples!$D$15)/Examples!$D$16))))))+Examples!$D$17*$A357^2)</f>
        <v>1517301.2735650036</v>
      </c>
      <c r="E357" s="33">
        <f>(Examples!$D$6*Examples!$D$7*Examples!$D$8*EXP(-Examples!$D$9*$A357)*(1-(Examples!$D$12*(1-EXP(-Examples!$D$13*$A357))/(1+EXP(MIN(700,MAX(-700,(Examples!$D$14*$A357-Examples!$D$15)/Examples!$D$16))))))+Examples!$D$17*$A357^2)</f>
        <v>822948.72643499624</v>
      </c>
      <c r="F357" s="33">
        <f>Examples!$E$18-(Examples!$E$10+Examples!$E$11)*$A357-(Examples!$E$6*Examples!$E$7*Examples!$E$8*EXP(-Examples!$E$9*$A357)*(1-(Examples!$E$12*(1-EXP(-Examples!$E$13*$A357))/(1+EXP(MIN(700,MAX(-700,(Examples!$E$14*$A357-Examples!$E$15)/Examples!$E$16))))))+Examples!$E$17*$A357^2)</f>
        <v>2474293.2836895613</v>
      </c>
      <c r="G357" s="33">
        <f>(Examples!$E$6*Examples!$E$7*Examples!$E$8*EXP(-Examples!$E$9*$A357)*(1-(Examples!$E$12*(1-EXP(-Examples!$E$13*$A357))/(1+EXP(MIN(700,MAX(-700,(Examples!$E$14*$A357-Examples!$E$15)/Examples!$E$16))))))+Examples!$E$17*$A357^2)</f>
        <v>223956.71631043893</v>
      </c>
      <c r="H357" s="33">
        <f>Examples!$F$18-(Examples!$F$10+Examples!$F$11)*$A357-(Examples!$F$6*Examples!$F$7*Examples!$F$8*EXP(-Examples!$F$9*$A357)*(1-(Examples!$F$12*(1-EXP(-Examples!$F$13*$A357))/(1+EXP(MIN(700,MAX(-700,(Examples!$F$14*$A357-Examples!$F$15)/Examples!$F$16))))))+Examples!$F$17*$A357^2)</f>
        <v>-179082.51451715094</v>
      </c>
      <c r="I357" s="33">
        <f>(Examples!$F$6*Examples!$F$7*Examples!$F$8*EXP(-Examples!$F$9*$A357)*(1-(Examples!$F$12*(1-EXP(-Examples!$F$13*$A357))/(1+EXP(MIN(700,MAX(-700,(Examples!$F$14*$A357-Examples!$F$15)/Examples!$F$16))))))+Examples!$F$17*$A357^2)</f>
        <v>258082.51451715094</v>
      </c>
      <c r="J357" s="33">
        <f>Examples!$G$18-(Examples!$G$10+Examples!$G$11)*$A357-(Examples!$G$6*Examples!$G$7*Examples!$G$8*EXP(-Examples!$G$9*$A357)*(1-(Examples!$G$12*(1-EXP(-Examples!$G$13*$A357))/(1+EXP(MIN(700,MAX(-700,(Examples!$G$14*$A357-Examples!$G$15)/Examples!$G$16))))))+Examples!$G$17*$A357^2)</f>
        <v>720235.23116041336</v>
      </c>
      <c r="K357" s="33">
        <f>(Examples!$G$6*Examples!$G$7*Examples!$G$8*EXP(-Examples!$G$9*$A357)*(1-(Examples!$G$12*(1-EXP(-Examples!$G$13*$A357))/(1+EXP(MIN(700,MAX(-700,(Examples!$G$14*$A357-Examples!$G$15)/Examples!$G$16))))))+Examples!$G$17*$A357^2)</f>
        <v>602264.76883958664</v>
      </c>
      <c r="L357" s="33">
        <f>Examples!$H$18-(Examples!$H$10+Examples!$H$11)*$A357-(Examples!$H$6*Examples!$H$7*Examples!$H$8*EXP(-Examples!$H$9*$A357)*(1-(Examples!$H$12*(1-EXP(-Examples!$H$13*$A357))/(1+EXP(MIN(700,MAX(-700,(Examples!$H$14*$A357-Examples!$H$15)/Examples!$H$16))))))+Examples!$H$17*$A357^2)</f>
        <v>657233.20299930195</v>
      </c>
      <c r="M357" s="33">
        <f>(Examples!$H$6*Examples!$H$7*Examples!$H$8*EXP(-Examples!$H$9*$A357)*(1-(Examples!$H$12*(1-EXP(-Examples!$H$13*$A357))/(1+EXP(MIN(700,MAX(-700,(Examples!$H$14*$A357-Examples!$H$15)/Examples!$H$16))))))+Examples!$H$17*$A357^2)</f>
        <v>665266.79700069805</v>
      </c>
    </row>
    <row r="358" spans="1:13" x14ac:dyDescent="0.25">
      <c r="A358">
        <f>(358-2)/100</f>
        <v>3.56</v>
      </c>
      <c r="B358" s="33">
        <f>Examples!$C$18-(Examples!$C$10+Examples!$C$11)*$A358-(Examples!$C$6*Examples!$C$7*Examples!$C$8*EXP(-Examples!$C$9*$A358)*(1-(Examples!$C$12*(1-EXP(-Examples!$C$13*$A358))/(1+EXP(MIN(700,MAX(-700,(Examples!$C$14*$A358-Examples!$C$15)/Examples!$C$16))))))+Examples!$C$17*$A358^2)</f>
        <v>79249.158803190279</v>
      </c>
      <c r="C358" s="33">
        <f>(Examples!$C$6*Examples!$C$7*Examples!$C$8*EXP(-Examples!$C$9*$A358)*(1-(Examples!$C$12*(1-EXP(-Examples!$C$13*$A358))/(1+EXP(MIN(700,MAX(-700,(Examples!$C$14*$A358-Examples!$C$15)/Examples!$C$16))))))+Examples!$C$17*$A358^2)</f>
        <v>396150.84119680972</v>
      </c>
      <c r="D358" s="33">
        <f>Examples!$D$18-(Examples!$D$10+Examples!$D$11)*$A358-(Examples!$D$6*Examples!$D$7*Examples!$D$8*EXP(-Examples!$D$9*$A358)*(1-(Examples!$D$12*(1-EXP(-Examples!$D$13*$A358))/(1+EXP(MIN(700,MAX(-700,(Examples!$D$14*$A358-Examples!$D$15)/Examples!$D$16))))))+Examples!$D$17*$A358^2)</f>
        <v>1517651.9902505414</v>
      </c>
      <c r="E358" s="33">
        <f>(Examples!$D$6*Examples!$D$7*Examples!$D$8*EXP(-Examples!$D$9*$A358)*(1-(Examples!$D$12*(1-EXP(-Examples!$D$13*$A358))/(1+EXP(MIN(700,MAX(-700,(Examples!$D$14*$A358-Examples!$D$15)/Examples!$D$16))))))+Examples!$D$17*$A358^2)</f>
        <v>822148.00974945875</v>
      </c>
      <c r="F358" s="33">
        <f>Examples!$E$18-(Examples!$E$10+Examples!$E$11)*$A358-(Examples!$E$6*Examples!$E$7*Examples!$E$8*EXP(-Examples!$E$9*$A358)*(1-(Examples!$E$12*(1-EXP(-Examples!$E$13*$A358))/(1+EXP(MIN(700,MAX(-700,(Examples!$E$14*$A358-Examples!$E$15)/Examples!$E$16))))))+Examples!$E$17*$A358^2)</f>
        <v>2473812.5505166827</v>
      </c>
      <c r="G358" s="33">
        <f>(Examples!$E$6*Examples!$E$7*Examples!$E$8*EXP(-Examples!$E$9*$A358)*(1-(Examples!$E$12*(1-EXP(-Examples!$E$13*$A358))/(1+EXP(MIN(700,MAX(-700,(Examples!$E$14*$A358-Examples!$E$15)/Examples!$E$16))))))+Examples!$E$17*$A358^2)</f>
        <v>223587.44948331738</v>
      </c>
      <c r="H358" s="33">
        <f>Examples!$F$18-(Examples!$F$10+Examples!$F$11)*$A358-(Examples!$F$6*Examples!$F$7*Examples!$F$8*EXP(-Examples!$F$9*$A358)*(1-(Examples!$F$12*(1-EXP(-Examples!$F$13*$A358))/(1+EXP(MIN(700,MAX(-700,(Examples!$F$14*$A358-Examples!$F$15)/Examples!$F$16))))))+Examples!$F$17*$A358^2)</f>
        <v>-180686.45247053023</v>
      </c>
      <c r="I358" s="33">
        <f>(Examples!$F$6*Examples!$F$7*Examples!$F$8*EXP(-Examples!$F$9*$A358)*(1-(Examples!$F$12*(1-EXP(-Examples!$F$13*$A358))/(1+EXP(MIN(700,MAX(-700,(Examples!$F$14*$A358-Examples!$F$15)/Examples!$F$16))))))+Examples!$F$17*$A358^2)</f>
        <v>259486.45247053023</v>
      </c>
      <c r="J358" s="33">
        <f>Examples!$G$18-(Examples!$G$10+Examples!$G$11)*$A358-(Examples!$G$6*Examples!$G$7*Examples!$G$8*EXP(-Examples!$G$9*$A358)*(1-(Examples!$G$12*(1-EXP(-Examples!$G$13*$A358))/(1+EXP(MIN(700,MAX(-700,(Examples!$G$14*$A358-Examples!$G$15)/Examples!$G$16))))))+Examples!$G$17*$A358^2)</f>
        <v>720189.07204484008</v>
      </c>
      <c r="K358" s="33">
        <f>(Examples!$G$6*Examples!$G$7*Examples!$G$8*EXP(-Examples!$G$9*$A358)*(1-(Examples!$G$12*(1-EXP(-Examples!$G$13*$A358))/(1+EXP(MIN(700,MAX(-700,(Examples!$G$14*$A358-Examples!$G$15)/Examples!$G$16))))))+Examples!$G$17*$A358^2)</f>
        <v>601810.92795515992</v>
      </c>
      <c r="L358" s="33">
        <f>Examples!$H$18-(Examples!$H$10+Examples!$H$11)*$A358-(Examples!$H$6*Examples!$H$7*Examples!$H$8*EXP(-Examples!$H$9*$A358)*(1-(Examples!$H$12*(1-EXP(-Examples!$H$13*$A358))/(1+EXP(MIN(700,MAX(-700,(Examples!$H$14*$A358-Examples!$H$15)/Examples!$H$16))))))+Examples!$H$17*$A358^2)</f>
        <v>657758.21901863208</v>
      </c>
      <c r="M358" s="33">
        <f>(Examples!$H$6*Examples!$H$7*Examples!$H$8*EXP(-Examples!$H$9*$A358)*(1-(Examples!$H$12*(1-EXP(-Examples!$H$13*$A358))/(1+EXP(MIN(700,MAX(-700,(Examples!$H$14*$A358-Examples!$H$15)/Examples!$H$16))))))+Examples!$H$17*$A358^2)</f>
        <v>664241.78098136792</v>
      </c>
    </row>
    <row r="359" spans="1:13" x14ac:dyDescent="0.25">
      <c r="A359">
        <f>(359-2)/100</f>
        <v>3.57</v>
      </c>
      <c r="B359" s="33">
        <f>Examples!$C$18-(Examples!$C$10+Examples!$C$11)*$A359-(Examples!$C$6*Examples!$C$7*Examples!$C$8*EXP(-Examples!$C$9*$A359)*(1-(Examples!$C$12*(1-EXP(-Examples!$C$13*$A359))/(1+EXP(MIN(700,MAX(-700,(Examples!$C$14*$A359-Examples!$C$15)/Examples!$C$16))))))+Examples!$C$17*$A359^2)</f>
        <v>78441.524589342414</v>
      </c>
      <c r="C359" s="33">
        <f>(Examples!$C$6*Examples!$C$7*Examples!$C$8*EXP(-Examples!$C$9*$A359)*(1-(Examples!$C$12*(1-EXP(-Examples!$C$13*$A359))/(1+EXP(MIN(700,MAX(-700,(Examples!$C$14*$A359-Examples!$C$15)/Examples!$C$16))))))+Examples!$C$17*$A359^2)</f>
        <v>396608.47541065759</v>
      </c>
      <c r="D359" s="33">
        <f>Examples!$D$18-(Examples!$D$10+Examples!$D$11)*$A359-(Examples!$D$6*Examples!$D$7*Examples!$D$8*EXP(-Examples!$D$9*$A359)*(1-(Examples!$D$12*(1-EXP(-Examples!$D$13*$A359))/(1+EXP(MIN(700,MAX(-700,(Examples!$D$14*$A359-Examples!$D$15)/Examples!$D$16))))))+Examples!$D$17*$A359^2)</f>
        <v>1517995.898985716</v>
      </c>
      <c r="E359" s="33">
        <f>(Examples!$D$6*Examples!$D$7*Examples!$D$8*EXP(-Examples!$D$9*$A359)*(1-(Examples!$D$12*(1-EXP(-Examples!$D$13*$A359))/(1+EXP(MIN(700,MAX(-700,(Examples!$D$14*$A359-Examples!$D$15)/Examples!$D$16))))))+Examples!$D$17*$A359^2)</f>
        <v>821354.10101428395</v>
      </c>
      <c r="F359" s="33">
        <f>Examples!$E$18-(Examples!$E$10+Examples!$E$11)*$A359-(Examples!$E$6*Examples!$E$7*Examples!$E$8*EXP(-Examples!$E$9*$A359)*(1-(Examples!$E$12*(1-EXP(-Examples!$E$13*$A359))/(1+EXP(MIN(700,MAX(-700,(Examples!$E$14*$A359-Examples!$E$15)/Examples!$E$16))))))+Examples!$E$17*$A359^2)</f>
        <v>2473326.0552015114</v>
      </c>
      <c r="G359" s="33">
        <f>(Examples!$E$6*Examples!$E$7*Examples!$E$8*EXP(-Examples!$E$9*$A359)*(1-(Examples!$E$12*(1-EXP(-Examples!$E$13*$A359))/(1+EXP(MIN(700,MAX(-700,(Examples!$E$14*$A359-Examples!$E$15)/Examples!$E$16))))))+Examples!$E$17*$A359^2)</f>
        <v>223223.94479848869</v>
      </c>
      <c r="H359" s="33">
        <f>Examples!$F$18-(Examples!$F$10+Examples!$F$11)*$A359-(Examples!$F$6*Examples!$F$7*Examples!$F$8*EXP(-Examples!$F$9*$A359)*(1-(Examples!$F$12*(1-EXP(-Examples!$F$13*$A359))/(1+EXP(MIN(700,MAX(-700,(Examples!$F$14*$A359-Examples!$F$15)/Examples!$F$16))))))+Examples!$F$17*$A359^2)</f>
        <v>-182294.44419045324</v>
      </c>
      <c r="I359" s="33">
        <f>(Examples!$F$6*Examples!$F$7*Examples!$F$8*EXP(-Examples!$F$9*$A359)*(1-(Examples!$F$12*(1-EXP(-Examples!$F$13*$A359))/(1+EXP(MIN(700,MAX(-700,(Examples!$F$14*$A359-Examples!$F$15)/Examples!$F$16))))))+Examples!$F$17*$A359^2)</f>
        <v>260894.44419045324</v>
      </c>
      <c r="J359" s="33">
        <f>Examples!$G$18-(Examples!$G$10+Examples!$G$11)*$A359-(Examples!$G$6*Examples!$G$7*Examples!$G$8*EXP(-Examples!$G$9*$A359)*(1-(Examples!$G$12*(1-EXP(-Examples!$G$13*$A359))/(1+EXP(MIN(700,MAX(-700,(Examples!$G$14*$A359-Examples!$G$15)/Examples!$G$16))))))+Examples!$G$17*$A359^2)</f>
        <v>720144.77992047637</v>
      </c>
      <c r="K359" s="33">
        <f>(Examples!$G$6*Examples!$G$7*Examples!$G$8*EXP(-Examples!$G$9*$A359)*(1-(Examples!$G$12*(1-EXP(-Examples!$G$13*$A359))/(1+EXP(MIN(700,MAX(-700,(Examples!$G$14*$A359-Examples!$G$15)/Examples!$G$16))))))+Examples!$G$17*$A359^2)</f>
        <v>601355.22007952363</v>
      </c>
      <c r="L359" s="33">
        <f>Examples!$H$18-(Examples!$H$10+Examples!$H$11)*$A359-(Examples!$H$6*Examples!$H$7*Examples!$H$8*EXP(-Examples!$H$9*$A359)*(1-(Examples!$H$12*(1-EXP(-Examples!$H$13*$A359))/(1+EXP(MIN(700,MAX(-700,(Examples!$H$14*$A359-Examples!$H$15)/Examples!$H$16))))))+Examples!$H$17*$A359^2)</f>
        <v>658288.04011007212</v>
      </c>
      <c r="M359" s="33">
        <f>(Examples!$H$6*Examples!$H$7*Examples!$H$8*EXP(-Examples!$H$9*$A359)*(1-(Examples!$H$12*(1-EXP(-Examples!$H$13*$A359))/(1+EXP(MIN(700,MAX(-700,(Examples!$H$14*$A359-Examples!$H$15)/Examples!$H$16))))))+Examples!$H$17*$A359^2)</f>
        <v>663211.95988992788</v>
      </c>
    </row>
    <row r="360" spans="1:13" x14ac:dyDescent="0.25">
      <c r="A360">
        <f>(360-2)/100</f>
        <v>3.58</v>
      </c>
      <c r="B360" s="33">
        <f>Examples!$C$18-(Examples!$C$10+Examples!$C$11)*$A360-(Examples!$C$6*Examples!$C$7*Examples!$C$8*EXP(-Examples!$C$9*$A360)*(1-(Examples!$C$12*(1-EXP(-Examples!$C$13*$A360))/(1+EXP(MIN(700,MAX(-700,(Examples!$C$14*$A360-Examples!$C$15)/Examples!$C$16))))))+Examples!$C$17*$A360^2)</f>
        <v>77629.240169628058</v>
      </c>
      <c r="C360" s="33">
        <f>(Examples!$C$6*Examples!$C$7*Examples!$C$8*EXP(-Examples!$C$9*$A360)*(1-(Examples!$C$12*(1-EXP(-Examples!$C$13*$A360))/(1+EXP(MIN(700,MAX(-700,(Examples!$C$14*$A360-Examples!$C$15)/Examples!$C$16))))))+Examples!$C$17*$A360^2)</f>
        <v>397070.75983037194</v>
      </c>
      <c r="D360" s="33">
        <f>Examples!$D$18-(Examples!$D$10+Examples!$D$11)*$A360-(Examples!$D$6*Examples!$D$7*Examples!$D$8*EXP(-Examples!$D$9*$A360)*(1-(Examples!$D$12*(1-EXP(-Examples!$D$13*$A360))/(1+EXP(MIN(700,MAX(-700,(Examples!$D$14*$A360-Examples!$D$15)/Examples!$D$16))))))+Examples!$D$17*$A360^2)</f>
        <v>1518333.3378801302</v>
      </c>
      <c r="E360" s="33">
        <f>(Examples!$D$6*Examples!$D$7*Examples!$D$8*EXP(-Examples!$D$9*$A360)*(1-(Examples!$D$12*(1-EXP(-Examples!$D$13*$A360))/(1+EXP(MIN(700,MAX(-700,(Examples!$D$14*$A360-Examples!$D$15)/Examples!$D$16))))))+Examples!$D$17*$A360^2)</f>
        <v>820566.66211986984</v>
      </c>
      <c r="F360" s="33">
        <f>Examples!$E$18-(Examples!$E$10+Examples!$E$11)*$A360-(Examples!$E$6*Examples!$E$7*Examples!$E$8*EXP(-Examples!$E$9*$A360)*(1-(Examples!$E$12*(1-EXP(-Examples!$E$13*$A360))/(1+EXP(MIN(700,MAX(-700,(Examples!$E$14*$A360-Examples!$E$15)/Examples!$E$16))))))+Examples!$E$17*$A360^2)</f>
        <v>2472833.8687943178</v>
      </c>
      <c r="G360" s="33">
        <f>(Examples!$E$6*Examples!$E$7*Examples!$E$8*EXP(-Examples!$E$9*$A360)*(1-(Examples!$E$12*(1-EXP(-Examples!$E$13*$A360))/(1+EXP(MIN(700,MAX(-700,(Examples!$E$14*$A360-Examples!$E$15)/Examples!$E$16))))))+Examples!$E$17*$A360^2)</f>
        <v>222866.13120568224</v>
      </c>
      <c r="H360" s="33">
        <f>Examples!$F$18-(Examples!$F$10+Examples!$F$11)*$A360-(Examples!$F$6*Examples!$F$7*Examples!$F$8*EXP(-Examples!$F$9*$A360)*(1-(Examples!$F$12*(1-EXP(-Examples!$F$13*$A360))/(1+EXP(MIN(700,MAX(-700,(Examples!$F$14*$A360-Examples!$F$15)/Examples!$F$16))))))+Examples!$F$17*$A360^2)</f>
        <v>-183906.48952946311</v>
      </c>
      <c r="I360" s="33">
        <f>(Examples!$F$6*Examples!$F$7*Examples!$F$8*EXP(-Examples!$F$9*$A360)*(1-(Examples!$F$12*(1-EXP(-Examples!$F$13*$A360))/(1+EXP(MIN(700,MAX(-700,(Examples!$F$14*$A360-Examples!$F$15)/Examples!$F$16))))))+Examples!$F$17*$A360^2)</f>
        <v>262306.48952946311</v>
      </c>
      <c r="J360" s="33">
        <f>Examples!$G$18-(Examples!$G$10+Examples!$G$11)*$A360-(Examples!$G$6*Examples!$G$7*Examples!$G$8*EXP(-Examples!$G$9*$A360)*(1-(Examples!$G$12*(1-EXP(-Examples!$G$13*$A360))/(1+EXP(MIN(700,MAX(-700,(Examples!$G$14*$A360-Examples!$G$15)/Examples!$G$16))))))+Examples!$G$17*$A360^2)</f>
        <v>720102.32754652156</v>
      </c>
      <c r="K360" s="33">
        <f>(Examples!$G$6*Examples!$G$7*Examples!$G$8*EXP(-Examples!$G$9*$A360)*(1-(Examples!$G$12*(1-EXP(-Examples!$G$13*$A360))/(1+EXP(MIN(700,MAX(-700,(Examples!$G$14*$A360-Examples!$G$15)/Examples!$G$16))))))+Examples!$G$17*$A360^2)</f>
        <v>600897.67245347844</v>
      </c>
      <c r="L360" s="33">
        <f>Examples!$H$18-(Examples!$H$10+Examples!$H$11)*$A360-(Examples!$H$6*Examples!$H$7*Examples!$H$8*EXP(-Examples!$H$9*$A360)*(1-(Examples!$H$12*(1-EXP(-Examples!$H$13*$A360))/(1+EXP(MIN(700,MAX(-700,(Examples!$H$14*$A360-Examples!$H$15)/Examples!$H$16))))))+Examples!$H$17*$A360^2)</f>
        <v>658822.2906674369</v>
      </c>
      <c r="M360" s="33">
        <f>(Examples!$H$6*Examples!$H$7*Examples!$H$8*EXP(-Examples!$H$9*$A360)*(1-(Examples!$H$12*(1-EXP(-Examples!$H$13*$A360))/(1+EXP(MIN(700,MAX(-700,(Examples!$H$14*$A360-Examples!$H$15)/Examples!$H$16))))))+Examples!$H$17*$A360^2)</f>
        <v>662177.7093325631</v>
      </c>
    </row>
    <row r="361" spans="1:13" x14ac:dyDescent="0.25">
      <c r="A361">
        <f>(361-2)/100</f>
        <v>3.59</v>
      </c>
      <c r="B361" s="33">
        <f>Examples!$C$18-(Examples!$C$10+Examples!$C$11)*$A361-(Examples!$C$6*Examples!$C$7*Examples!$C$8*EXP(-Examples!$C$9*$A361)*(1-(Examples!$C$12*(1-EXP(-Examples!$C$13*$A361))/(1+EXP(MIN(700,MAX(-700,(Examples!$C$14*$A361-Examples!$C$15)/Examples!$C$16))))))+Examples!$C$17*$A361^2)</f>
        <v>76812.30430990184</v>
      </c>
      <c r="C361" s="33">
        <f>(Examples!$C$6*Examples!$C$7*Examples!$C$8*EXP(-Examples!$C$9*$A361)*(1-(Examples!$C$12*(1-EXP(-Examples!$C$13*$A361))/(1+EXP(MIN(700,MAX(-700,(Examples!$C$14*$A361-Examples!$C$15)/Examples!$C$16))))))+Examples!$C$17*$A361^2)</f>
        <v>397537.69569009816</v>
      </c>
      <c r="D361" s="33">
        <f>Examples!$D$18-(Examples!$D$10+Examples!$D$11)*$A361-(Examples!$D$6*Examples!$D$7*Examples!$D$8*EXP(-Examples!$D$9*$A361)*(1-(Examples!$D$12*(1-EXP(-Examples!$D$13*$A361))/(1+EXP(MIN(700,MAX(-700,(Examples!$D$14*$A361-Examples!$D$15)/Examples!$D$16))))))+Examples!$D$17*$A361^2)</f>
        <v>1518664.6414500268</v>
      </c>
      <c r="E361" s="33">
        <f>(Examples!$D$6*Examples!$D$7*Examples!$D$8*EXP(-Examples!$D$9*$A361)*(1-(Examples!$D$12*(1-EXP(-Examples!$D$13*$A361))/(1+EXP(MIN(700,MAX(-700,(Examples!$D$14*$A361-Examples!$D$15)/Examples!$D$16))))))+Examples!$D$17*$A361^2)</f>
        <v>819785.35854997323</v>
      </c>
      <c r="F361" s="33">
        <f>Examples!$E$18-(Examples!$E$10+Examples!$E$11)*$A361-(Examples!$E$6*Examples!$E$7*Examples!$E$8*EXP(-Examples!$E$9*$A361)*(1-(Examples!$E$12*(1-EXP(-Examples!$E$13*$A361))/(1+EXP(MIN(700,MAX(-700,(Examples!$E$14*$A361-Examples!$E$15)/Examples!$E$16))))))+Examples!$E$17*$A361^2)</f>
        <v>2472336.0616310886</v>
      </c>
      <c r="G361" s="33">
        <f>(Examples!$E$6*Examples!$E$7*Examples!$E$8*EXP(-Examples!$E$9*$A361)*(1-(Examples!$E$12*(1-EXP(-Examples!$E$13*$A361))/(1+EXP(MIN(700,MAX(-700,(Examples!$E$14*$A361-Examples!$E$15)/Examples!$E$16))))))+Examples!$E$17*$A361^2)</f>
        <v>222513.93836891151</v>
      </c>
      <c r="H361" s="33">
        <f>Examples!$F$18-(Examples!$F$10+Examples!$F$11)*$A361-(Examples!$F$6*Examples!$F$7*Examples!$F$8*EXP(-Examples!$F$9*$A361)*(1-(Examples!$F$12*(1-EXP(-Examples!$F$13*$A361))/(1+EXP(MIN(700,MAX(-700,(Examples!$F$14*$A361-Examples!$F$15)/Examples!$F$16))))))+Examples!$F$17*$A361^2)</f>
        <v>-185522.5883400013</v>
      </c>
      <c r="I361" s="33">
        <f>(Examples!$F$6*Examples!$F$7*Examples!$F$8*EXP(-Examples!$F$9*$A361)*(1-(Examples!$F$12*(1-EXP(-Examples!$F$13*$A361))/(1+EXP(MIN(700,MAX(-700,(Examples!$F$14*$A361-Examples!$F$15)/Examples!$F$16))))))+Examples!$F$17*$A361^2)</f>
        <v>263722.5883400013</v>
      </c>
      <c r="J361" s="33">
        <f>Examples!$G$18-(Examples!$G$10+Examples!$G$11)*$A361-(Examples!$G$6*Examples!$G$7*Examples!$G$8*EXP(-Examples!$G$9*$A361)*(1-(Examples!$G$12*(1-EXP(-Examples!$G$13*$A361))/(1+EXP(MIN(700,MAX(-700,(Examples!$G$14*$A361-Examples!$G$15)/Examples!$G$16))))))+Examples!$G$17*$A361^2)</f>
        <v>720061.68638860248</v>
      </c>
      <c r="K361" s="33">
        <f>(Examples!$G$6*Examples!$G$7*Examples!$G$8*EXP(-Examples!$G$9*$A361)*(1-(Examples!$G$12*(1-EXP(-Examples!$G$13*$A361))/(1+EXP(MIN(700,MAX(-700,(Examples!$G$14*$A361-Examples!$G$15)/Examples!$G$16))))))+Examples!$G$17*$A361^2)</f>
        <v>600438.31361139752</v>
      </c>
      <c r="L361" s="33">
        <f>Examples!$H$18-(Examples!$H$10+Examples!$H$11)*$A361-(Examples!$H$6*Examples!$H$7*Examples!$H$8*EXP(-Examples!$H$9*$A361)*(1-(Examples!$H$12*(1-EXP(-Examples!$H$13*$A361))/(1+EXP(MIN(700,MAX(-700,(Examples!$H$14*$A361-Examples!$H$15)/Examples!$H$16))))))+Examples!$H$17*$A361^2)</f>
        <v>659360.60525682545</v>
      </c>
      <c r="M361" s="33">
        <f>(Examples!$H$6*Examples!$H$7*Examples!$H$8*EXP(-Examples!$H$9*$A361)*(1-(Examples!$H$12*(1-EXP(-Examples!$H$13*$A361))/(1+EXP(MIN(700,MAX(-700,(Examples!$H$14*$A361-Examples!$H$15)/Examples!$H$16))))))+Examples!$H$17*$A361^2)</f>
        <v>661139.39474317455</v>
      </c>
    </row>
    <row r="362" spans="1:13" x14ac:dyDescent="0.25">
      <c r="A362">
        <f>(362-2)/100</f>
        <v>3.6</v>
      </c>
      <c r="B362" s="33">
        <f>Examples!$C$18-(Examples!$C$10+Examples!$C$11)*$A362-(Examples!$C$6*Examples!$C$7*Examples!$C$8*EXP(-Examples!$C$9*$A362)*(1-(Examples!$C$12*(1-EXP(-Examples!$C$13*$A362))/(1+EXP(MIN(700,MAX(-700,(Examples!$C$14*$A362-Examples!$C$15)/Examples!$C$16))))))+Examples!$C$17*$A362^2)</f>
        <v>75990.715985705843</v>
      </c>
      <c r="C362" s="33">
        <f>(Examples!$C$6*Examples!$C$7*Examples!$C$8*EXP(-Examples!$C$9*$A362)*(1-(Examples!$C$12*(1-EXP(-Examples!$C$13*$A362))/(1+EXP(MIN(700,MAX(-700,(Examples!$C$14*$A362-Examples!$C$15)/Examples!$C$16))))))+Examples!$C$17*$A362^2)</f>
        <v>398009.28401429416</v>
      </c>
      <c r="D362" s="33">
        <f>Examples!$D$18-(Examples!$D$10+Examples!$D$11)*$A362-(Examples!$D$6*Examples!$D$7*Examples!$D$8*EXP(-Examples!$D$9*$A362)*(1-(Examples!$D$12*(1-EXP(-Examples!$D$13*$A362))/(1+EXP(MIN(700,MAX(-700,(Examples!$D$14*$A362-Examples!$D$15)/Examples!$D$16))))))+Examples!$D$17*$A362^2)</f>
        <v>1518990.1405580896</v>
      </c>
      <c r="E362" s="33">
        <f>(Examples!$D$6*Examples!$D$7*Examples!$D$8*EXP(-Examples!$D$9*$A362)*(1-(Examples!$D$12*(1-EXP(-Examples!$D$13*$A362))/(1+EXP(MIN(700,MAX(-700,(Examples!$D$14*$A362-Examples!$D$15)/Examples!$D$16))))))+Examples!$D$17*$A362^2)</f>
        <v>819009.85944191052</v>
      </c>
      <c r="F362" s="33">
        <f>Examples!$E$18-(Examples!$E$10+Examples!$E$11)*$A362-(Examples!$E$6*Examples!$E$7*Examples!$E$8*EXP(-Examples!$E$9*$A362)*(1-(Examples!$E$12*(1-EXP(-Examples!$E$13*$A362))/(1+EXP(MIN(700,MAX(-700,(Examples!$E$14*$A362-Examples!$E$15)/Examples!$E$16))))))+Examples!$E$17*$A362^2)</f>
        <v>2471832.7033404708</v>
      </c>
      <c r="G362" s="33">
        <f>(Examples!$E$6*Examples!$E$7*Examples!$E$8*EXP(-Examples!$E$9*$A362)*(1-(Examples!$E$12*(1-EXP(-Examples!$E$13*$A362))/(1+EXP(MIN(700,MAX(-700,(Examples!$E$14*$A362-Examples!$E$15)/Examples!$E$16))))))+Examples!$E$17*$A362^2)</f>
        <v>222167.29665952901</v>
      </c>
      <c r="H362" s="33">
        <f>Examples!$F$18-(Examples!$F$10+Examples!$F$11)*$A362-(Examples!$F$6*Examples!$F$7*Examples!$F$8*EXP(-Examples!$F$9*$A362)*(1-(Examples!$F$12*(1-EXP(-Examples!$F$13*$A362))/(1+EXP(MIN(700,MAX(-700,(Examples!$F$14*$A362-Examples!$F$15)/Examples!$F$16))))))+Examples!$F$17*$A362^2)</f>
        <v>-187142.74047442956</v>
      </c>
      <c r="I362" s="33">
        <f>(Examples!$F$6*Examples!$F$7*Examples!$F$8*EXP(-Examples!$F$9*$A362)*(1-(Examples!$F$12*(1-EXP(-Examples!$F$13*$A362))/(1+EXP(MIN(700,MAX(-700,(Examples!$F$14*$A362-Examples!$F$15)/Examples!$F$16))))))+Examples!$F$17*$A362^2)</f>
        <v>265142.74047442956</v>
      </c>
      <c r="J362" s="33">
        <f>Examples!$G$18-(Examples!$G$10+Examples!$G$11)*$A362-(Examples!$G$6*Examples!$G$7*Examples!$G$8*EXP(-Examples!$G$9*$A362)*(1-(Examples!$G$12*(1-EXP(-Examples!$G$13*$A362))/(1+EXP(MIN(700,MAX(-700,(Examples!$G$14*$A362-Examples!$G$15)/Examples!$G$16))))))+Examples!$G$17*$A362^2)</f>
        <v>720022.82665926917</v>
      </c>
      <c r="K362" s="33">
        <f>(Examples!$G$6*Examples!$G$7*Examples!$G$8*EXP(-Examples!$G$9*$A362)*(1-(Examples!$G$12*(1-EXP(-Examples!$G$13*$A362))/(1+EXP(MIN(700,MAX(-700,(Examples!$G$14*$A362-Examples!$G$15)/Examples!$G$16))))))+Examples!$G$17*$A362^2)</f>
        <v>599977.17334073083</v>
      </c>
      <c r="L362" s="33">
        <f>Examples!$H$18-(Examples!$H$10+Examples!$H$11)*$A362-(Examples!$H$6*Examples!$H$7*Examples!$H$8*EXP(-Examples!$H$9*$A362)*(1-(Examples!$H$12*(1-EXP(-Examples!$H$13*$A362))/(1+EXP(MIN(700,MAX(-700,(Examples!$H$14*$A362-Examples!$H$15)/Examples!$H$16))))))+Examples!$H$17*$A362^2)</f>
        <v>659902.62845700094</v>
      </c>
      <c r="M362" s="33">
        <f>(Examples!$H$6*Examples!$H$7*Examples!$H$8*EXP(-Examples!$H$9*$A362)*(1-(Examples!$H$12*(1-EXP(-Examples!$H$13*$A362))/(1+EXP(MIN(700,MAX(-700,(Examples!$H$14*$A362-Examples!$H$15)/Examples!$H$16))))))+Examples!$H$17*$A362^2)</f>
        <v>660097.37154299906</v>
      </c>
    </row>
    <row r="363" spans="1:13" x14ac:dyDescent="0.25">
      <c r="A363">
        <f>(363-2)/100</f>
        <v>3.61</v>
      </c>
      <c r="B363" s="33">
        <f>Examples!$C$18-(Examples!$C$10+Examples!$C$11)*$A363-(Examples!$C$6*Examples!$C$7*Examples!$C$8*EXP(-Examples!$C$9*$A363)*(1-(Examples!$C$12*(1-EXP(-Examples!$C$13*$A363))/(1+EXP(MIN(700,MAX(-700,(Examples!$C$14*$A363-Examples!$C$15)/Examples!$C$16))))))+Examples!$C$17*$A363^2)</f>
        <v>75164.474374925834</v>
      </c>
      <c r="C363" s="33">
        <f>(Examples!$C$6*Examples!$C$7*Examples!$C$8*EXP(-Examples!$C$9*$A363)*(1-(Examples!$C$12*(1-EXP(-Examples!$C$13*$A363))/(1+EXP(MIN(700,MAX(-700,(Examples!$C$14*$A363-Examples!$C$15)/Examples!$C$16))))))+Examples!$C$17*$A363^2)</f>
        <v>398485.52562507417</v>
      </c>
      <c r="D363" s="33">
        <f>Examples!$D$18-(Examples!$D$10+Examples!$D$11)*$A363-(Examples!$D$6*Examples!$D$7*Examples!$D$8*EXP(-Examples!$D$9*$A363)*(1-(Examples!$D$12*(1-EXP(-Examples!$D$13*$A363))/(1+EXP(MIN(700,MAX(-700,(Examples!$D$14*$A363-Examples!$D$15)/Examples!$D$16))))))+Examples!$D$17*$A363^2)</f>
        <v>1519310.1623540439</v>
      </c>
      <c r="E363" s="33">
        <f>(Examples!$D$6*Examples!$D$7*Examples!$D$8*EXP(-Examples!$D$9*$A363)*(1-(Examples!$D$12*(1-EXP(-Examples!$D$13*$A363))/(1+EXP(MIN(700,MAX(-700,(Examples!$D$14*$A363-Examples!$D$15)/Examples!$D$16))))))+Examples!$D$17*$A363^2)</f>
        <v>818239.83764595608</v>
      </c>
      <c r="F363" s="33">
        <f>Examples!$E$18-(Examples!$E$10+Examples!$E$11)*$A363-(Examples!$E$6*Examples!$E$7*Examples!$E$8*EXP(-Examples!$E$9*$A363)*(1-(Examples!$E$12*(1-EXP(-Examples!$E$13*$A363))/(1+EXP(MIN(700,MAX(-700,(Examples!$E$14*$A363-Examples!$E$15)/Examples!$E$16))))))+Examples!$E$17*$A363^2)</f>
        <v>2471323.8628506167</v>
      </c>
      <c r="G363" s="33">
        <f>(Examples!$E$6*Examples!$E$7*Examples!$E$8*EXP(-Examples!$E$9*$A363)*(1-(Examples!$E$12*(1-EXP(-Examples!$E$13*$A363))/(1+EXP(MIN(700,MAX(-700,(Examples!$E$14*$A363-Examples!$E$15)/Examples!$E$16))))))+Examples!$E$17*$A363^2)</f>
        <v>221826.1371493832</v>
      </c>
      <c r="H363" s="33">
        <f>Examples!$F$18-(Examples!$F$10+Examples!$F$11)*$A363-(Examples!$F$6*Examples!$F$7*Examples!$F$8*EXP(-Examples!$F$9*$A363)*(1-(Examples!$F$12*(1-EXP(-Examples!$F$13*$A363))/(1+EXP(MIN(700,MAX(-700,(Examples!$F$14*$A363-Examples!$F$15)/Examples!$F$16))))))+Examples!$F$17*$A363^2)</f>
        <v>-188766.94578505051</v>
      </c>
      <c r="I363" s="33">
        <f>(Examples!$F$6*Examples!$F$7*Examples!$F$8*EXP(-Examples!$F$9*$A363)*(1-(Examples!$F$12*(1-EXP(-Examples!$F$13*$A363))/(1+EXP(MIN(700,MAX(-700,(Examples!$F$14*$A363-Examples!$F$15)/Examples!$F$16))))))+Examples!$F$17*$A363^2)</f>
        <v>266566.94578505051</v>
      </c>
      <c r="J363" s="33">
        <f>Examples!$G$18-(Examples!$G$10+Examples!$G$11)*$A363-(Examples!$G$6*Examples!$G$7*Examples!$G$8*EXP(-Examples!$G$9*$A363)*(1-(Examples!$G$12*(1-EXP(-Examples!$G$13*$A363))/(1+EXP(MIN(700,MAX(-700,(Examples!$G$14*$A363-Examples!$G$15)/Examples!$G$16))))))+Examples!$G$17*$A363^2)</f>
        <v>719985.71735812712</v>
      </c>
      <c r="K363" s="33">
        <f>(Examples!$G$6*Examples!$G$7*Examples!$G$8*EXP(-Examples!$G$9*$A363)*(1-(Examples!$G$12*(1-EXP(-Examples!$G$13*$A363))/(1+EXP(MIN(700,MAX(-700,(Examples!$G$14*$A363-Examples!$G$15)/Examples!$G$16))))))+Examples!$G$17*$A363^2)</f>
        <v>599514.28264187288</v>
      </c>
      <c r="L363" s="33">
        <f>Examples!$H$18-(Examples!$H$10+Examples!$H$11)*$A363-(Examples!$H$6*Examples!$H$7*Examples!$H$8*EXP(-Examples!$H$9*$A363)*(1-(Examples!$H$12*(1-EXP(-Examples!$H$13*$A363))/(1+EXP(MIN(700,MAX(-700,(Examples!$H$14*$A363-Examples!$H$15)/Examples!$H$16))))))+Examples!$H$17*$A363^2)</f>
        <v>660448.01469514647</v>
      </c>
      <c r="M363" s="33">
        <f>(Examples!$H$6*Examples!$H$7*Examples!$H$8*EXP(-Examples!$H$9*$A363)*(1-(Examples!$H$12*(1-EXP(-Examples!$H$13*$A363))/(1+EXP(MIN(700,MAX(-700,(Examples!$H$14*$A363-Examples!$H$15)/Examples!$H$16))))))+Examples!$H$17*$A363^2)</f>
        <v>659051.98530485353</v>
      </c>
    </row>
    <row r="364" spans="1:13" x14ac:dyDescent="0.25">
      <c r="A364">
        <f>(364-2)/100</f>
        <v>3.62</v>
      </c>
      <c r="B364" s="33">
        <f>Examples!$C$18-(Examples!$C$10+Examples!$C$11)*$A364-(Examples!$C$6*Examples!$C$7*Examples!$C$8*EXP(-Examples!$C$9*$A364)*(1-(Examples!$C$12*(1-EXP(-Examples!$C$13*$A364))/(1+EXP(MIN(700,MAX(-700,(Examples!$C$14*$A364-Examples!$C$15)/Examples!$C$16))))))+Examples!$C$17*$A364^2)</f>
        <v>74333.578850682126</v>
      </c>
      <c r="C364" s="33">
        <f>(Examples!$C$6*Examples!$C$7*Examples!$C$8*EXP(-Examples!$C$9*$A364)*(1-(Examples!$C$12*(1-EXP(-Examples!$C$13*$A364))/(1+EXP(MIN(700,MAX(-700,(Examples!$C$14*$A364-Examples!$C$15)/Examples!$C$16))))))+Examples!$C$17*$A364^2)</f>
        <v>398966.42114931787</v>
      </c>
      <c r="D364" s="33">
        <f>Examples!$D$18-(Examples!$D$10+Examples!$D$11)*$A364-(Examples!$D$6*Examples!$D$7*Examples!$D$8*EXP(-Examples!$D$9*$A364)*(1-(Examples!$D$12*(1-EXP(-Examples!$D$13*$A364))/(1+EXP(MIN(700,MAX(-700,(Examples!$D$14*$A364-Examples!$D$15)/Examples!$D$16))))))+Examples!$D$17*$A364^2)</f>
        <v>1519625.0302161183</v>
      </c>
      <c r="E364" s="33">
        <f>(Examples!$D$6*Examples!$D$7*Examples!$D$8*EXP(-Examples!$D$9*$A364)*(1-(Examples!$D$12*(1-EXP(-Examples!$D$13*$A364))/(1+EXP(MIN(700,MAX(-700,(Examples!$D$14*$A364-Examples!$D$15)/Examples!$D$16))))))+Examples!$D$17*$A364^2)</f>
        <v>817474.96978388156</v>
      </c>
      <c r="F364" s="33">
        <f>Examples!$E$18-(Examples!$E$10+Examples!$E$11)*$A364-(Examples!$E$6*Examples!$E$7*Examples!$E$8*EXP(-Examples!$E$9*$A364)*(1-(Examples!$E$12*(1-EXP(-Examples!$E$13*$A364))/(1+EXP(MIN(700,MAX(-700,(Examples!$E$14*$A364-Examples!$E$15)/Examples!$E$16))))))+Examples!$E$17*$A364^2)</f>
        <v>2470809.6083959243</v>
      </c>
      <c r="G364" s="33">
        <f>(Examples!$E$6*Examples!$E$7*Examples!$E$8*EXP(-Examples!$E$9*$A364)*(1-(Examples!$E$12*(1-EXP(-Examples!$E$13*$A364))/(1+EXP(MIN(700,MAX(-700,(Examples!$E$14*$A364-Examples!$E$15)/Examples!$E$16))))))+Examples!$E$17*$A364^2)</f>
        <v>221490.39160407573</v>
      </c>
      <c r="H364" s="33">
        <f>Examples!$F$18-(Examples!$F$10+Examples!$F$11)*$A364-(Examples!$F$6*Examples!$F$7*Examples!$F$8*EXP(-Examples!$F$9*$A364)*(1-(Examples!$F$12*(1-EXP(-Examples!$F$13*$A364))/(1+EXP(MIN(700,MAX(-700,(Examples!$F$14*$A364-Examples!$F$15)/Examples!$F$16))))))+Examples!$F$17*$A364^2)</f>
        <v>-190395.20412412821</v>
      </c>
      <c r="I364" s="33">
        <f>(Examples!$F$6*Examples!$F$7*Examples!$F$8*EXP(-Examples!$F$9*$A364)*(1-(Examples!$F$12*(1-EXP(-Examples!$F$13*$A364))/(1+EXP(MIN(700,MAX(-700,(Examples!$F$14*$A364-Examples!$F$15)/Examples!$F$16))))))+Examples!$F$17*$A364^2)</f>
        <v>267995.20412412821</v>
      </c>
      <c r="J364" s="33">
        <f>Examples!$G$18-(Examples!$G$10+Examples!$G$11)*$A364-(Examples!$G$6*Examples!$G$7*Examples!$G$8*EXP(-Examples!$G$9*$A364)*(1-(Examples!$G$12*(1-EXP(-Examples!$G$13*$A364))/(1+EXP(MIN(700,MAX(-700,(Examples!$G$14*$A364-Examples!$G$15)/Examples!$G$16))))))+Examples!$G$17*$A364^2)</f>
        <v>719950.32631159294</v>
      </c>
      <c r="K364" s="33">
        <f>(Examples!$G$6*Examples!$G$7*Examples!$G$8*EXP(-Examples!$G$9*$A364)*(1-(Examples!$G$12*(1-EXP(-Examples!$G$13*$A364))/(1+EXP(MIN(700,MAX(-700,(Examples!$G$14*$A364-Examples!$G$15)/Examples!$G$16))))))+Examples!$G$17*$A364^2)</f>
        <v>599049.67368840706</v>
      </c>
      <c r="L364" s="33">
        <f>Examples!$H$18-(Examples!$H$10+Examples!$H$11)*$A364-(Examples!$H$6*Examples!$H$7*Examples!$H$8*EXP(-Examples!$H$9*$A364)*(1-(Examples!$H$12*(1-EXP(-Examples!$H$13*$A364))/(1+EXP(MIN(700,MAX(-700,(Examples!$H$14*$A364-Examples!$H$15)/Examples!$H$16))))))+Examples!$H$17*$A364^2)</f>
        <v>660996.42807863862</v>
      </c>
      <c r="M364" s="33">
        <f>(Examples!$H$6*Examples!$H$7*Examples!$H$8*EXP(-Examples!$H$9*$A364)*(1-(Examples!$H$12*(1-EXP(-Examples!$H$13*$A364))/(1+EXP(MIN(700,MAX(-700,(Examples!$H$14*$A364-Examples!$H$15)/Examples!$H$16))))))+Examples!$H$17*$A364^2)</f>
        <v>658003.57192136138</v>
      </c>
    </row>
    <row r="365" spans="1:13" x14ac:dyDescent="0.25">
      <c r="A365">
        <f>(365-2)/100</f>
        <v>3.63</v>
      </c>
      <c r="B365" s="33">
        <f>Examples!$C$18-(Examples!$C$10+Examples!$C$11)*$A365-(Examples!$C$6*Examples!$C$7*Examples!$C$8*EXP(-Examples!$C$9*$A365)*(1-(Examples!$C$12*(1-EXP(-Examples!$C$13*$A365))/(1+EXP(MIN(700,MAX(-700,(Examples!$C$14*$A365-Examples!$C$15)/Examples!$C$16))))))+Examples!$C$17*$A365^2)</f>
        <v>73498.028974443325</v>
      </c>
      <c r="C365" s="33">
        <f>(Examples!$C$6*Examples!$C$7*Examples!$C$8*EXP(-Examples!$C$9*$A365)*(1-(Examples!$C$12*(1-EXP(-Examples!$C$13*$A365))/(1+EXP(MIN(700,MAX(-700,(Examples!$C$14*$A365-Examples!$C$15)/Examples!$C$16))))))+Examples!$C$17*$A365^2)</f>
        <v>399451.97102555668</v>
      </c>
      <c r="D365" s="33">
        <f>Examples!$D$18-(Examples!$D$10+Examples!$D$11)*$A365-(Examples!$D$6*Examples!$D$7*Examples!$D$8*EXP(-Examples!$D$9*$A365)*(1-(Examples!$D$12*(1-EXP(-Examples!$D$13*$A365))/(1+EXP(MIN(700,MAX(-700,(Examples!$D$14*$A365-Examples!$D$15)/Examples!$D$16))))))+Examples!$D$17*$A365^2)</f>
        <v>1519935.0636934256</v>
      </c>
      <c r="E365" s="33">
        <f>(Examples!$D$6*Examples!$D$7*Examples!$D$8*EXP(-Examples!$D$9*$A365)*(1-(Examples!$D$12*(1-EXP(-Examples!$D$13*$A365))/(1+EXP(MIN(700,MAX(-700,(Examples!$D$14*$A365-Examples!$D$15)/Examples!$D$16))))))+Examples!$D$17*$A365^2)</f>
        <v>816714.93630657438</v>
      </c>
      <c r="F365" s="33">
        <f>Examples!$E$18-(Examples!$E$10+Examples!$E$11)*$A365-(Examples!$E$6*Examples!$E$7*Examples!$E$8*EXP(-Examples!$E$9*$A365)*(1-(Examples!$E$12*(1-EXP(-Examples!$E$13*$A365))/(1+EXP(MIN(700,MAX(-700,(Examples!$E$14*$A365-Examples!$E$15)/Examples!$E$16))))))+Examples!$E$17*$A365^2)</f>
        <v>2470290.007523682</v>
      </c>
      <c r="G365" s="33">
        <f>(Examples!$E$6*Examples!$E$7*Examples!$E$8*EXP(-Examples!$E$9*$A365)*(1-(Examples!$E$12*(1-EXP(-Examples!$E$13*$A365))/(1+EXP(MIN(700,MAX(-700,(Examples!$E$14*$A365-Examples!$E$15)/Examples!$E$16))))))+Examples!$E$17*$A365^2)</f>
        <v>221159.99247631815</v>
      </c>
      <c r="H365" s="33">
        <f>Examples!$F$18-(Examples!$F$10+Examples!$F$11)*$A365-(Examples!$F$6*Examples!$F$7*Examples!$F$8*EXP(-Examples!$F$9*$A365)*(1-(Examples!$F$12*(1-EXP(-Examples!$F$13*$A365))/(1+EXP(MIN(700,MAX(-700,(Examples!$F$14*$A365-Examples!$F$15)/Examples!$F$16))))))+Examples!$F$17*$A365^2)</f>
        <v>-192027.51534390688</v>
      </c>
      <c r="I365" s="33">
        <f>(Examples!$F$6*Examples!$F$7*Examples!$F$8*EXP(-Examples!$F$9*$A365)*(1-(Examples!$F$12*(1-EXP(-Examples!$F$13*$A365))/(1+EXP(MIN(700,MAX(-700,(Examples!$F$14*$A365-Examples!$F$15)/Examples!$F$16))))))+Examples!$F$17*$A365^2)</f>
        <v>269427.51534390688</v>
      </c>
      <c r="J365" s="33">
        <f>Examples!$G$18-(Examples!$G$10+Examples!$G$11)*$A365-(Examples!$G$6*Examples!$G$7*Examples!$G$8*EXP(-Examples!$G$9*$A365)*(1-(Examples!$G$12*(1-EXP(-Examples!$G$13*$A365))/(1+EXP(MIN(700,MAX(-700,(Examples!$G$14*$A365-Examples!$G$15)/Examples!$G$16))))))+Examples!$G$17*$A365^2)</f>
        <v>719916.62021225586</v>
      </c>
      <c r="K365" s="33">
        <f>(Examples!$G$6*Examples!$G$7*Examples!$G$8*EXP(-Examples!$G$9*$A365)*(1-(Examples!$G$12*(1-EXP(-Examples!$G$13*$A365))/(1+EXP(MIN(700,MAX(-700,(Examples!$G$14*$A365-Examples!$G$15)/Examples!$G$16))))))+Examples!$G$17*$A365^2)</f>
        <v>598583.37978774414</v>
      </c>
      <c r="L365" s="33">
        <f>Examples!$H$18-(Examples!$H$10+Examples!$H$11)*$A365-(Examples!$H$6*Examples!$H$7*Examples!$H$8*EXP(-Examples!$H$9*$A365)*(1-(Examples!$H$12*(1-EXP(-Examples!$H$13*$A365))/(1+EXP(MIN(700,MAX(-700,(Examples!$H$14*$A365-Examples!$H$15)/Examples!$H$16))))))+Examples!$H$17*$A365^2)</f>
        <v>661547.54222343781</v>
      </c>
      <c r="M365" s="33">
        <f>(Examples!$H$6*Examples!$H$7*Examples!$H$8*EXP(-Examples!$H$9*$A365)*(1-(Examples!$H$12*(1-EXP(-Examples!$H$13*$A365))/(1+EXP(MIN(700,MAX(-700,(Examples!$H$14*$A365-Examples!$H$15)/Examples!$H$16))))))+Examples!$H$17*$A365^2)</f>
        <v>656952.45777656219</v>
      </c>
    </row>
    <row r="366" spans="1:13" x14ac:dyDescent="0.25">
      <c r="A366">
        <f>(366-2)/100</f>
        <v>3.64</v>
      </c>
      <c r="B366" s="33">
        <f>Examples!$C$18-(Examples!$C$10+Examples!$C$11)*$A366-(Examples!$C$6*Examples!$C$7*Examples!$C$8*EXP(-Examples!$C$9*$A366)*(1-(Examples!$C$12*(1-EXP(-Examples!$C$13*$A366))/(1+EXP(MIN(700,MAX(-700,(Examples!$C$14*$A366-Examples!$C$15)/Examples!$C$16))))))+Examples!$C$17*$A366^2)</f>
        <v>72657.82448936085</v>
      </c>
      <c r="C366" s="33">
        <f>(Examples!$C$6*Examples!$C$7*Examples!$C$8*EXP(-Examples!$C$9*$A366)*(1-(Examples!$C$12*(1-EXP(-Examples!$C$13*$A366))/(1+EXP(MIN(700,MAX(-700,(Examples!$C$14*$A366-Examples!$C$15)/Examples!$C$16))))))+Examples!$C$17*$A366^2)</f>
        <v>399942.17551063915</v>
      </c>
      <c r="D366" s="33">
        <f>Examples!$D$18-(Examples!$D$10+Examples!$D$11)*$A366-(Examples!$D$6*Examples!$D$7*Examples!$D$8*EXP(-Examples!$D$9*$A366)*(1-(Examples!$D$12*(1-EXP(-Examples!$D$13*$A366))/(1+EXP(MIN(700,MAX(-700,(Examples!$D$14*$A366-Examples!$D$15)/Examples!$D$16))))))+Examples!$D$17*$A366^2)</f>
        <v>1520240.5784493254</v>
      </c>
      <c r="E366" s="33">
        <f>(Examples!$D$6*Examples!$D$7*Examples!$D$8*EXP(-Examples!$D$9*$A366)*(1-(Examples!$D$12*(1-EXP(-Examples!$D$13*$A366))/(1+EXP(MIN(700,MAX(-700,(Examples!$D$14*$A366-Examples!$D$15)/Examples!$D$16))))))+Examples!$D$17*$A366^2)</f>
        <v>815959.4215506746</v>
      </c>
      <c r="F366" s="33">
        <f>Examples!$E$18-(Examples!$E$10+Examples!$E$11)*$A366-(Examples!$E$6*Examples!$E$7*Examples!$E$8*EXP(-Examples!$E$9*$A366)*(1-(Examples!$E$12*(1-EXP(-Examples!$E$13*$A366))/(1+EXP(MIN(700,MAX(-700,(Examples!$E$14*$A366-Examples!$E$15)/Examples!$E$16))))))+Examples!$E$17*$A366^2)</f>
        <v>2469765.1271006148</v>
      </c>
      <c r="G366" s="33">
        <f>(Examples!$E$6*Examples!$E$7*Examples!$E$8*EXP(-Examples!$E$9*$A366)*(1-(Examples!$E$12*(1-EXP(-Examples!$E$13*$A366))/(1+EXP(MIN(700,MAX(-700,(Examples!$E$14*$A366-Examples!$E$15)/Examples!$E$16))))))+Examples!$E$17*$A366^2)</f>
        <v>220834.87289938529</v>
      </c>
      <c r="H366" s="33">
        <f>Examples!$F$18-(Examples!$F$10+Examples!$F$11)*$A366-(Examples!$F$6*Examples!$F$7*Examples!$F$8*EXP(-Examples!$F$9*$A366)*(1-(Examples!$F$12*(1-EXP(-Examples!$F$13*$A366))/(1+EXP(MIN(700,MAX(-700,(Examples!$F$14*$A366-Examples!$F$15)/Examples!$F$16))))))+Examples!$F$17*$A366^2)</f>
        <v>-193663.87929662981</v>
      </c>
      <c r="I366" s="33">
        <f>(Examples!$F$6*Examples!$F$7*Examples!$F$8*EXP(-Examples!$F$9*$A366)*(1-(Examples!$F$12*(1-EXP(-Examples!$F$13*$A366))/(1+EXP(MIN(700,MAX(-700,(Examples!$F$14*$A366-Examples!$F$15)/Examples!$F$16))))))+Examples!$F$17*$A366^2)</f>
        <v>270863.87929662981</v>
      </c>
      <c r="J366" s="33">
        <f>Examples!$G$18-(Examples!$G$10+Examples!$G$11)*$A366-(Examples!$G$6*Examples!$G$7*Examples!$G$8*EXP(-Examples!$G$9*$A366)*(1-(Examples!$G$12*(1-EXP(-Examples!$G$13*$A366))/(1+EXP(MIN(700,MAX(-700,(Examples!$G$14*$A366-Examples!$G$15)/Examples!$G$16))))))+Examples!$G$17*$A366^2)</f>
        <v>719884.56465783541</v>
      </c>
      <c r="K366" s="33">
        <f>(Examples!$G$6*Examples!$G$7*Examples!$G$8*EXP(-Examples!$G$9*$A366)*(1-(Examples!$G$12*(1-EXP(-Examples!$G$13*$A366))/(1+EXP(MIN(700,MAX(-700,(Examples!$G$14*$A366-Examples!$G$15)/Examples!$G$16))))))+Examples!$G$17*$A366^2)</f>
        <v>598115.43534216459</v>
      </c>
      <c r="L366" s="33">
        <f>Examples!$H$18-(Examples!$H$10+Examples!$H$11)*$A366-(Examples!$H$6*Examples!$H$7*Examples!$H$8*EXP(-Examples!$H$9*$A366)*(1-(Examples!$H$12*(1-EXP(-Examples!$H$13*$A366))/(1+EXP(MIN(700,MAX(-700,(Examples!$H$14*$A366-Examples!$H$15)/Examples!$H$16))))))+Examples!$H$17*$A366^2)</f>
        <v>662101.04007965827</v>
      </c>
      <c r="M366" s="33">
        <f>(Examples!$H$6*Examples!$H$7*Examples!$H$8*EXP(-Examples!$H$9*$A366)*(1-(Examples!$H$12*(1-EXP(-Examples!$H$13*$A366))/(1+EXP(MIN(700,MAX(-700,(Examples!$H$14*$A366-Examples!$H$15)/Examples!$H$16))))))+Examples!$H$17*$A366^2)</f>
        <v>655898.95992034173</v>
      </c>
    </row>
    <row r="367" spans="1:13" x14ac:dyDescent="0.25">
      <c r="A367">
        <f>(367-2)/100</f>
        <v>3.65</v>
      </c>
      <c r="B367" s="33">
        <f>Examples!$C$18-(Examples!$C$10+Examples!$C$11)*$A367-(Examples!$C$6*Examples!$C$7*Examples!$C$8*EXP(-Examples!$C$9*$A367)*(1-(Examples!$C$12*(1-EXP(-Examples!$C$13*$A367))/(1+EXP(MIN(700,MAX(-700,(Examples!$C$14*$A367-Examples!$C$15)/Examples!$C$16))))))+Examples!$C$17*$A367^2)</f>
        <v>71812.965313815279</v>
      </c>
      <c r="C367" s="33">
        <f>(Examples!$C$6*Examples!$C$7*Examples!$C$8*EXP(-Examples!$C$9*$A367)*(1-(Examples!$C$12*(1-EXP(-Examples!$C$13*$A367))/(1+EXP(MIN(700,MAX(-700,(Examples!$C$14*$A367-Examples!$C$15)/Examples!$C$16))))))+Examples!$C$17*$A367^2)</f>
        <v>400437.03468618472</v>
      </c>
      <c r="D367" s="33">
        <f>Examples!$D$18-(Examples!$D$10+Examples!$D$11)*$A367-(Examples!$D$6*Examples!$D$7*Examples!$D$8*EXP(-Examples!$D$9*$A367)*(1-(Examples!$D$12*(1-EXP(-Examples!$D$13*$A367))/(1+EXP(MIN(700,MAX(-700,(Examples!$D$14*$A367-Examples!$D$15)/Examples!$D$16))))))+Examples!$D$17*$A367^2)</f>
        <v>1520541.8862058232</v>
      </c>
      <c r="E367" s="33">
        <f>(Examples!$D$6*Examples!$D$7*Examples!$D$8*EXP(-Examples!$D$9*$A367)*(1-(Examples!$D$12*(1-EXP(-Examples!$D$13*$A367))/(1+EXP(MIN(700,MAX(-700,(Examples!$D$14*$A367-Examples!$D$15)/Examples!$D$16))))))+Examples!$D$17*$A367^2)</f>
        <v>815208.11379417672</v>
      </c>
      <c r="F367" s="33">
        <f>Examples!$E$18-(Examples!$E$10+Examples!$E$11)*$A367-(Examples!$E$6*Examples!$E$7*Examples!$E$8*EXP(-Examples!$E$9*$A367)*(1-(Examples!$E$12*(1-EXP(-Examples!$E$13*$A367))/(1+EXP(MIN(700,MAX(-700,(Examples!$E$14*$A367-Examples!$E$15)/Examples!$E$16))))))+Examples!$E$17*$A367^2)</f>
        <v>2469235.033319334</v>
      </c>
      <c r="G367" s="33">
        <f>(Examples!$E$6*Examples!$E$7*Examples!$E$8*EXP(-Examples!$E$9*$A367)*(1-(Examples!$E$12*(1-EXP(-Examples!$E$13*$A367))/(1+EXP(MIN(700,MAX(-700,(Examples!$E$14*$A367-Examples!$E$15)/Examples!$E$16))))))+Examples!$E$17*$A367^2)</f>
        <v>220514.96668066611</v>
      </c>
      <c r="H367" s="33">
        <f>Examples!$F$18-(Examples!$F$10+Examples!$F$11)*$A367-(Examples!$F$6*Examples!$F$7*Examples!$F$8*EXP(-Examples!$F$9*$A367)*(1-(Examples!$F$12*(1-EXP(-Examples!$F$13*$A367))/(1+EXP(MIN(700,MAX(-700,(Examples!$F$14*$A367-Examples!$F$15)/Examples!$F$16))))))+Examples!$F$17*$A367^2)</f>
        <v>-195304.29583455645</v>
      </c>
      <c r="I367" s="33">
        <f>(Examples!$F$6*Examples!$F$7*Examples!$F$8*EXP(-Examples!$F$9*$A367)*(1-(Examples!$F$12*(1-EXP(-Examples!$F$13*$A367))/(1+EXP(MIN(700,MAX(-700,(Examples!$F$14*$A367-Examples!$F$15)/Examples!$F$16))))))+Examples!$F$17*$A367^2)</f>
        <v>272304.29583455645</v>
      </c>
      <c r="J367" s="33">
        <f>Examples!$G$18-(Examples!$G$10+Examples!$G$11)*$A367-(Examples!$G$6*Examples!$G$7*Examples!$G$8*EXP(-Examples!$G$9*$A367)*(1-(Examples!$G$12*(1-EXP(-Examples!$G$13*$A367))/(1+EXP(MIN(700,MAX(-700,(Examples!$G$14*$A367-Examples!$G$15)/Examples!$G$16))))))+Examples!$G$17*$A367^2)</f>
        <v>719854.12418972084</v>
      </c>
      <c r="K367" s="33">
        <f>(Examples!$G$6*Examples!$G$7*Examples!$G$8*EXP(-Examples!$G$9*$A367)*(1-(Examples!$G$12*(1-EXP(-Examples!$G$13*$A367))/(1+EXP(MIN(700,MAX(-700,(Examples!$G$14*$A367-Examples!$G$15)/Examples!$G$16))))))+Examples!$G$17*$A367^2)</f>
        <v>597645.87581027916</v>
      </c>
      <c r="L367" s="33">
        <f>Examples!$H$18-(Examples!$H$10+Examples!$H$11)*$A367-(Examples!$H$6*Examples!$H$7*Examples!$H$8*EXP(-Examples!$H$9*$A367)*(1-(Examples!$H$12*(1-EXP(-Examples!$H$13*$A367))/(1+EXP(MIN(700,MAX(-700,(Examples!$H$14*$A367-Examples!$H$15)/Examples!$H$16))))))+Examples!$H$17*$A367^2)</f>
        <v>662656.61375484196</v>
      </c>
      <c r="M367" s="33">
        <f>(Examples!$H$6*Examples!$H$7*Examples!$H$8*EXP(-Examples!$H$9*$A367)*(1-(Examples!$H$12*(1-EXP(-Examples!$H$13*$A367))/(1+EXP(MIN(700,MAX(-700,(Examples!$H$14*$A367-Examples!$H$15)/Examples!$H$16))))))+Examples!$H$17*$A367^2)</f>
        <v>654843.38624515804</v>
      </c>
    </row>
    <row r="368" spans="1:13" x14ac:dyDescent="0.25">
      <c r="A368">
        <f>(368-2)/100</f>
        <v>3.66</v>
      </c>
      <c r="B368" s="33">
        <f>Examples!$C$18-(Examples!$C$10+Examples!$C$11)*$A368-(Examples!$C$6*Examples!$C$7*Examples!$C$8*EXP(-Examples!$C$9*$A368)*(1-(Examples!$C$12*(1-EXP(-Examples!$C$13*$A368))/(1+EXP(MIN(700,MAX(-700,(Examples!$C$14*$A368-Examples!$C$15)/Examples!$C$16))))))+Examples!$C$17*$A368^2)</f>
        <v>70963.451535168744</v>
      </c>
      <c r="C368" s="33">
        <f>(Examples!$C$6*Examples!$C$7*Examples!$C$8*EXP(-Examples!$C$9*$A368)*(1-(Examples!$C$12*(1-EXP(-Examples!$C$13*$A368))/(1+EXP(MIN(700,MAX(-700,(Examples!$C$14*$A368-Examples!$C$15)/Examples!$C$16))))))+Examples!$C$17*$A368^2)</f>
        <v>400936.54846483126</v>
      </c>
      <c r="D368" s="33">
        <f>Examples!$D$18-(Examples!$D$10+Examples!$D$11)*$A368-(Examples!$D$6*Examples!$D$7*Examples!$D$8*EXP(-Examples!$D$9*$A368)*(1-(Examples!$D$12*(1-EXP(-Examples!$D$13*$A368))/(1+EXP(MIN(700,MAX(-700,(Examples!$D$14*$A368-Examples!$D$15)/Examples!$D$16))))))+Examples!$D$17*$A368^2)</f>
        <v>1520839.2946890683</v>
      </c>
      <c r="E368" s="33">
        <f>(Examples!$D$6*Examples!$D$7*Examples!$D$8*EXP(-Examples!$D$9*$A368)*(1-(Examples!$D$12*(1-EXP(-Examples!$D$13*$A368))/(1+EXP(MIN(700,MAX(-700,(Examples!$D$14*$A368-Examples!$D$15)/Examples!$D$16))))))+Examples!$D$17*$A368^2)</f>
        <v>814460.70531093166</v>
      </c>
      <c r="F368" s="33">
        <f>Examples!$E$18-(Examples!$E$10+Examples!$E$11)*$A368-(Examples!$E$6*Examples!$E$7*Examples!$E$8*EXP(-Examples!$E$9*$A368)*(1-(Examples!$E$12*(1-EXP(-Examples!$E$13*$A368))/(1+EXP(MIN(700,MAX(-700,(Examples!$E$14*$A368-Examples!$E$15)/Examples!$E$16))))))+Examples!$E$17*$A368^2)</f>
        <v>2468699.791704691</v>
      </c>
      <c r="G368" s="33">
        <f>(Examples!$E$6*Examples!$E$7*Examples!$E$8*EXP(-Examples!$E$9*$A368)*(1-(Examples!$E$12*(1-EXP(-Examples!$E$13*$A368))/(1+EXP(MIN(700,MAX(-700,(Examples!$E$14*$A368-Examples!$E$15)/Examples!$E$16))))))+Examples!$E$17*$A368^2)</f>
        <v>220200.20829530904</v>
      </c>
      <c r="H368" s="33">
        <f>Examples!$F$18-(Examples!$F$10+Examples!$F$11)*$A368-(Examples!$F$6*Examples!$F$7*Examples!$F$8*EXP(-Examples!$F$9*$A368)*(1-(Examples!$F$12*(1-EXP(-Examples!$F$13*$A368))/(1+EXP(MIN(700,MAX(-700,(Examples!$F$14*$A368-Examples!$F$15)/Examples!$F$16))))))+Examples!$F$17*$A368^2)</f>
        <v>-196948.76480997988</v>
      </c>
      <c r="I368" s="33">
        <f>(Examples!$F$6*Examples!$F$7*Examples!$F$8*EXP(-Examples!$F$9*$A368)*(1-(Examples!$F$12*(1-EXP(-Examples!$F$13*$A368))/(1+EXP(MIN(700,MAX(-700,(Examples!$F$14*$A368-Examples!$F$15)/Examples!$F$16))))))+Examples!$F$17*$A368^2)</f>
        <v>273748.76480997988</v>
      </c>
      <c r="J368" s="33">
        <f>Examples!$G$18-(Examples!$G$10+Examples!$G$11)*$A368-(Examples!$G$6*Examples!$G$7*Examples!$G$8*EXP(-Examples!$G$9*$A368)*(1-(Examples!$G$12*(1-EXP(-Examples!$G$13*$A368))/(1+EXP(MIN(700,MAX(-700,(Examples!$G$14*$A368-Examples!$G$15)/Examples!$G$16))))))+Examples!$G$17*$A368^2)</f>
        <v>719825.26233107748</v>
      </c>
      <c r="K368" s="33">
        <f>(Examples!$G$6*Examples!$G$7*Examples!$G$8*EXP(-Examples!$G$9*$A368)*(1-(Examples!$G$12*(1-EXP(-Examples!$G$13*$A368))/(1+EXP(MIN(700,MAX(-700,(Examples!$G$14*$A368-Examples!$G$15)/Examples!$G$16))))))+Examples!$G$17*$A368^2)</f>
        <v>597174.73766892252</v>
      </c>
      <c r="L368" s="33">
        <f>Examples!$H$18-(Examples!$H$10+Examples!$H$11)*$A368-(Examples!$H$6*Examples!$H$7*Examples!$H$8*EXP(-Examples!$H$9*$A368)*(1-(Examples!$H$12*(1-EXP(-Examples!$H$13*$A368))/(1+EXP(MIN(700,MAX(-700,(Examples!$H$14*$A368-Examples!$H$15)/Examples!$H$16))))))+Examples!$H$17*$A368^2)</f>
        <v>663213.9643354232</v>
      </c>
      <c r="M368" s="33">
        <f>(Examples!$H$6*Examples!$H$7*Examples!$H$8*EXP(-Examples!$H$9*$A368)*(1-(Examples!$H$12*(1-EXP(-Examples!$H$13*$A368))/(1+EXP(MIN(700,MAX(-700,(Examples!$H$14*$A368-Examples!$H$15)/Examples!$H$16))))))+Examples!$H$17*$A368^2)</f>
        <v>653786.0356645768</v>
      </c>
    </row>
    <row r="369" spans="1:13" x14ac:dyDescent="0.25">
      <c r="A369">
        <f>(369-2)/100</f>
        <v>3.67</v>
      </c>
      <c r="B369" s="33">
        <f>Examples!$C$18-(Examples!$C$10+Examples!$C$11)*$A369-(Examples!$C$6*Examples!$C$7*Examples!$C$8*EXP(-Examples!$C$9*$A369)*(1-(Examples!$C$12*(1-EXP(-Examples!$C$13*$A369))/(1+EXP(MIN(700,MAX(-700,(Examples!$C$14*$A369-Examples!$C$15)/Examples!$C$16))))))+Examples!$C$17*$A369^2)</f>
        <v>70109.283403717447</v>
      </c>
      <c r="C369" s="33">
        <f>(Examples!$C$6*Examples!$C$7*Examples!$C$8*EXP(-Examples!$C$9*$A369)*(1-(Examples!$C$12*(1-EXP(-Examples!$C$13*$A369))/(1+EXP(MIN(700,MAX(-700,(Examples!$C$14*$A369-Examples!$C$15)/Examples!$C$16))))))+Examples!$C$17*$A369^2)</f>
        <v>401440.71659628255</v>
      </c>
      <c r="D369" s="33">
        <f>Examples!$D$18-(Examples!$D$10+Examples!$D$11)*$A369-(Examples!$D$6*Examples!$D$7*Examples!$D$8*EXP(-Examples!$D$9*$A369)*(1-(Examples!$D$12*(1-EXP(-Examples!$D$13*$A369))/(1+EXP(MIN(700,MAX(-700,(Examples!$D$14*$A369-Examples!$D$15)/Examples!$D$16))))))+Examples!$D$17*$A369^2)</f>
        <v>1521133.1075759979</v>
      </c>
      <c r="E369" s="33">
        <f>(Examples!$D$6*Examples!$D$7*Examples!$D$8*EXP(-Examples!$D$9*$A369)*(1-(Examples!$D$12*(1-EXP(-Examples!$D$13*$A369))/(1+EXP(MIN(700,MAX(-700,(Examples!$D$14*$A369-Examples!$D$15)/Examples!$D$16))))))+Examples!$D$17*$A369^2)</f>
        <v>813716.89242400206</v>
      </c>
      <c r="F369" s="33">
        <f>Examples!$E$18-(Examples!$E$10+Examples!$E$11)*$A369-(Examples!$E$6*Examples!$E$7*Examples!$E$8*EXP(-Examples!$E$9*$A369)*(1-(Examples!$E$12*(1-EXP(-Examples!$E$13*$A369))/(1+EXP(MIN(700,MAX(-700,(Examples!$E$14*$A369-Examples!$E$15)/Examples!$E$16))))))+Examples!$E$17*$A369^2)</f>
        <v>2468159.4671200379</v>
      </c>
      <c r="G369" s="33">
        <f>(Examples!$E$6*Examples!$E$7*Examples!$E$8*EXP(-Examples!$E$9*$A369)*(1-(Examples!$E$12*(1-EXP(-Examples!$E$13*$A369))/(1+EXP(MIN(700,MAX(-700,(Examples!$E$14*$A369-Examples!$E$15)/Examples!$E$16))))))+Examples!$E$17*$A369^2)</f>
        <v>219890.53287996212</v>
      </c>
      <c r="H369" s="33">
        <f>Examples!$F$18-(Examples!$F$10+Examples!$F$11)*$A369-(Examples!$F$6*Examples!$F$7*Examples!$F$8*EXP(-Examples!$F$9*$A369)*(1-(Examples!$F$12*(1-EXP(-Examples!$F$13*$A369))/(1+EXP(MIN(700,MAX(-700,(Examples!$F$14*$A369-Examples!$F$15)/Examples!$F$16))))))+Examples!$F$17*$A369^2)</f>
        <v>-198597.28607524233</v>
      </c>
      <c r="I369" s="33">
        <f>(Examples!$F$6*Examples!$F$7*Examples!$F$8*EXP(-Examples!$F$9*$A369)*(1-(Examples!$F$12*(1-EXP(-Examples!$F$13*$A369))/(1+EXP(MIN(700,MAX(-700,(Examples!$F$14*$A369-Examples!$F$15)/Examples!$F$16))))))+Examples!$F$17*$A369^2)</f>
        <v>275197.28607524233</v>
      </c>
      <c r="J369" s="33">
        <f>Examples!$G$18-(Examples!$G$10+Examples!$G$11)*$A369-(Examples!$G$6*Examples!$G$7*Examples!$G$8*EXP(-Examples!$G$9*$A369)*(1-(Examples!$G$12*(1-EXP(-Examples!$G$13*$A369))/(1+EXP(MIN(700,MAX(-700,(Examples!$G$14*$A369-Examples!$G$15)/Examples!$G$16))))))+Examples!$G$17*$A369^2)</f>
        <v>719797.94162451336</v>
      </c>
      <c r="K369" s="33">
        <f>(Examples!$G$6*Examples!$G$7*Examples!$G$8*EXP(-Examples!$G$9*$A369)*(1-(Examples!$G$12*(1-EXP(-Examples!$G$13*$A369))/(1+EXP(MIN(700,MAX(-700,(Examples!$G$14*$A369-Examples!$G$15)/Examples!$G$16))))))+Examples!$G$17*$A369^2)</f>
        <v>596702.05837548664</v>
      </c>
      <c r="L369" s="33">
        <f>Examples!$H$18-(Examples!$H$10+Examples!$H$11)*$A369-(Examples!$H$6*Examples!$H$7*Examples!$H$8*EXP(-Examples!$H$9*$A369)*(1-(Examples!$H$12*(1-EXP(-Examples!$H$13*$A369))/(1+EXP(MIN(700,MAX(-700,(Examples!$H$14*$A369-Examples!$H$15)/Examples!$H$16))))))+Examples!$H$17*$A369^2)</f>
        <v>663772.80170684552</v>
      </c>
      <c r="M369" s="33">
        <f>(Examples!$H$6*Examples!$H$7*Examples!$H$8*EXP(-Examples!$H$9*$A369)*(1-(Examples!$H$12*(1-EXP(-Examples!$H$13*$A369))/(1+EXP(MIN(700,MAX(-700,(Examples!$H$14*$A369-Examples!$H$15)/Examples!$H$16))))))+Examples!$H$17*$A369^2)</f>
        <v>652727.19829315448</v>
      </c>
    </row>
    <row r="370" spans="1:13" x14ac:dyDescent="0.25">
      <c r="A370">
        <f>(370-2)/100</f>
        <v>3.68</v>
      </c>
      <c r="B370" s="33">
        <f>Examples!$C$18-(Examples!$C$10+Examples!$C$11)*$A370-(Examples!$C$6*Examples!$C$7*Examples!$C$8*EXP(-Examples!$C$9*$A370)*(1-(Examples!$C$12*(1-EXP(-Examples!$C$13*$A370))/(1+EXP(MIN(700,MAX(-700,(Examples!$C$14*$A370-Examples!$C$15)/Examples!$C$16))))))+Examples!$C$17*$A370^2)</f>
        <v>69250.461326838413</v>
      </c>
      <c r="C370" s="33">
        <f>(Examples!$C$6*Examples!$C$7*Examples!$C$8*EXP(-Examples!$C$9*$A370)*(1-(Examples!$C$12*(1-EXP(-Examples!$C$13*$A370))/(1+EXP(MIN(700,MAX(-700,(Examples!$C$14*$A370-Examples!$C$15)/Examples!$C$16))))))+Examples!$C$17*$A370^2)</f>
        <v>401949.53867316159</v>
      </c>
      <c r="D370" s="33">
        <f>Examples!$D$18-(Examples!$D$10+Examples!$D$11)*$A370-(Examples!$D$6*Examples!$D$7*Examples!$D$8*EXP(-Examples!$D$9*$A370)*(1-(Examples!$D$12*(1-EXP(-Examples!$D$13*$A370))/(1+EXP(MIN(700,MAX(-700,(Examples!$D$14*$A370-Examples!$D$15)/Examples!$D$16))))))+Examples!$D$17*$A370^2)</f>
        <v>1521423.6244421946</v>
      </c>
      <c r="E370" s="33">
        <f>(Examples!$D$6*Examples!$D$7*Examples!$D$8*EXP(-Examples!$D$9*$A370)*(1-(Examples!$D$12*(1-EXP(-Examples!$D$13*$A370))/(1+EXP(MIN(700,MAX(-700,(Examples!$D$14*$A370-Examples!$D$15)/Examples!$D$16))))))+Examples!$D$17*$A370^2)</f>
        <v>812976.37555780553</v>
      </c>
      <c r="F370" s="33">
        <f>Examples!$E$18-(Examples!$E$10+Examples!$E$11)*$A370-(Examples!$E$6*Examples!$E$7*Examples!$E$8*EXP(-Examples!$E$9*$A370)*(1-(Examples!$E$12*(1-EXP(-Examples!$E$13*$A370))/(1+EXP(MIN(700,MAX(-700,(Examples!$E$14*$A370-Examples!$E$15)/Examples!$E$16))))))+Examples!$E$17*$A370^2)</f>
        <v>2467614.1237733955</v>
      </c>
      <c r="G370" s="33">
        <f>(Examples!$E$6*Examples!$E$7*Examples!$E$8*EXP(-Examples!$E$9*$A370)*(1-(Examples!$E$12*(1-EXP(-Examples!$E$13*$A370))/(1+EXP(MIN(700,MAX(-700,(Examples!$E$14*$A370-Examples!$E$15)/Examples!$E$16))))))+Examples!$E$17*$A370^2)</f>
        <v>219585.8762266043</v>
      </c>
      <c r="H370" s="33">
        <f>Examples!$F$18-(Examples!$F$10+Examples!$F$11)*$A370-(Examples!$F$6*Examples!$F$7*Examples!$F$8*EXP(-Examples!$F$9*$A370)*(1-(Examples!$F$12*(1-EXP(-Examples!$F$13*$A370))/(1+EXP(MIN(700,MAX(-700,(Examples!$F$14*$A370-Examples!$F$15)/Examples!$F$16))))))+Examples!$F$17*$A370^2)</f>
        <v>-200249.85948275146</v>
      </c>
      <c r="I370" s="33">
        <f>(Examples!$F$6*Examples!$F$7*Examples!$F$8*EXP(-Examples!$F$9*$A370)*(1-(Examples!$F$12*(1-EXP(-Examples!$F$13*$A370))/(1+EXP(MIN(700,MAX(-700,(Examples!$F$14*$A370-Examples!$F$15)/Examples!$F$16))))))+Examples!$F$17*$A370^2)</f>
        <v>276649.85948275146</v>
      </c>
      <c r="J370" s="33">
        <f>Examples!$G$18-(Examples!$G$10+Examples!$G$11)*$A370-(Examples!$G$6*Examples!$G$7*Examples!$G$8*EXP(-Examples!$G$9*$A370)*(1-(Examples!$G$12*(1-EXP(-Examples!$G$13*$A370))/(1+EXP(MIN(700,MAX(-700,(Examples!$G$14*$A370-Examples!$G$15)/Examples!$G$16))))))+Examples!$G$17*$A370^2)</f>
        <v>719772.12366929092</v>
      </c>
      <c r="K370" s="33">
        <f>(Examples!$G$6*Examples!$G$7*Examples!$G$8*EXP(-Examples!$G$9*$A370)*(1-(Examples!$G$12*(1-EXP(-Examples!$G$13*$A370))/(1+EXP(MIN(700,MAX(-700,(Examples!$G$14*$A370-Examples!$G$15)/Examples!$G$16))))))+Examples!$G$17*$A370^2)</f>
        <v>596227.87633070908</v>
      </c>
      <c r="L370" s="33">
        <f>Examples!$H$18-(Examples!$H$10+Examples!$H$11)*$A370-(Examples!$H$6*Examples!$H$7*Examples!$H$8*EXP(-Examples!$H$9*$A370)*(1-(Examples!$H$12*(1-EXP(-Examples!$H$13*$A370))/(1+EXP(MIN(700,MAX(-700,(Examples!$H$14*$A370-Examples!$H$15)/Examples!$H$16))))))+Examples!$H$17*$A370^2)</f>
        <v>664332.844372747</v>
      </c>
      <c r="M370" s="33">
        <f>(Examples!$H$6*Examples!$H$7*Examples!$H$8*EXP(-Examples!$H$9*$A370)*(1-(Examples!$H$12*(1-EXP(-Examples!$H$13*$A370))/(1+EXP(MIN(700,MAX(-700,(Examples!$H$14*$A370-Examples!$H$15)/Examples!$H$16))))))+Examples!$H$17*$A370^2)</f>
        <v>651667.155627253</v>
      </c>
    </row>
    <row r="371" spans="1:13" x14ac:dyDescent="0.25">
      <c r="A371">
        <f>(371-2)/100</f>
        <v>3.69</v>
      </c>
      <c r="B371" s="33">
        <f>Examples!$C$18-(Examples!$C$10+Examples!$C$11)*$A371-(Examples!$C$6*Examples!$C$7*Examples!$C$8*EXP(-Examples!$C$9*$A371)*(1-(Examples!$C$12*(1-EXP(-Examples!$C$13*$A371))/(1+EXP(MIN(700,MAX(-700,(Examples!$C$14*$A371-Examples!$C$15)/Examples!$C$16))))))+Examples!$C$17*$A371^2)</f>
        <v>68386.985863324022</v>
      </c>
      <c r="C371" s="33">
        <f>(Examples!$C$6*Examples!$C$7*Examples!$C$8*EXP(-Examples!$C$9*$A371)*(1-(Examples!$C$12*(1-EXP(-Examples!$C$13*$A371))/(1+EXP(MIN(700,MAX(-700,(Examples!$C$14*$A371-Examples!$C$15)/Examples!$C$16))))))+Examples!$C$17*$A371^2)</f>
        <v>402463.01413667598</v>
      </c>
      <c r="D371" s="33">
        <f>Examples!$D$18-(Examples!$D$10+Examples!$D$11)*$A371-(Examples!$D$6*Examples!$D$7*Examples!$D$8*EXP(-Examples!$D$9*$A371)*(1-(Examples!$D$12*(1-EXP(-Examples!$D$13*$A371))/(1+EXP(MIN(700,MAX(-700,(Examples!$D$14*$A371-Examples!$D$15)/Examples!$D$16))))))+Examples!$D$17*$A371^2)</f>
        <v>1521711.1407109965</v>
      </c>
      <c r="E371" s="33">
        <f>(Examples!$D$6*Examples!$D$7*Examples!$D$8*EXP(-Examples!$D$9*$A371)*(1-(Examples!$D$12*(1-EXP(-Examples!$D$13*$A371))/(1+EXP(MIN(700,MAX(-700,(Examples!$D$14*$A371-Examples!$D$15)/Examples!$D$16))))))+Examples!$D$17*$A371^2)</f>
        <v>812238.85928900342</v>
      </c>
      <c r="F371" s="33">
        <f>Examples!$E$18-(Examples!$E$10+Examples!$E$11)*$A371-(Examples!$E$6*Examples!$E$7*Examples!$E$8*EXP(-Examples!$E$9*$A371)*(1-(Examples!$E$12*(1-EXP(-Examples!$E$13*$A371))/(1+EXP(MIN(700,MAX(-700,(Examples!$E$14*$A371-Examples!$E$15)/Examples!$E$16))))))+Examples!$E$17*$A371^2)</f>
        <v>2467063.8252235297</v>
      </c>
      <c r="G371" s="33">
        <f>(Examples!$E$6*Examples!$E$7*Examples!$E$8*EXP(-Examples!$E$9*$A371)*(1-(Examples!$E$12*(1-EXP(-Examples!$E$13*$A371))/(1+EXP(MIN(700,MAX(-700,(Examples!$E$14*$A371-Examples!$E$15)/Examples!$E$16))))))+Examples!$E$17*$A371^2)</f>
        <v>219286.17477647008</v>
      </c>
      <c r="H371" s="33">
        <f>Examples!$F$18-(Examples!$F$10+Examples!$F$11)*$A371-(Examples!$F$6*Examples!$F$7*Examples!$F$8*EXP(-Examples!$F$9*$A371)*(1-(Examples!$F$12*(1-EXP(-Examples!$F$13*$A371))/(1+EXP(MIN(700,MAX(-700,(Examples!$F$14*$A371-Examples!$F$15)/Examples!$F$16))))))+Examples!$F$17*$A371^2)</f>
        <v>-201906.48488499434</v>
      </c>
      <c r="I371" s="33">
        <f>(Examples!$F$6*Examples!$F$7*Examples!$F$8*EXP(-Examples!$F$9*$A371)*(1-(Examples!$F$12*(1-EXP(-Examples!$F$13*$A371))/(1+EXP(MIN(700,MAX(-700,(Examples!$F$14*$A371-Examples!$F$15)/Examples!$F$16))))))+Examples!$F$17*$A371^2)</f>
        <v>278106.48488499434</v>
      </c>
      <c r="J371" s="33">
        <f>Examples!$G$18-(Examples!$G$10+Examples!$G$11)*$A371-(Examples!$G$6*Examples!$G$7*Examples!$G$8*EXP(-Examples!$G$9*$A371)*(1-(Examples!$G$12*(1-EXP(-Examples!$G$13*$A371))/(1+EXP(MIN(700,MAX(-700,(Examples!$G$14*$A371-Examples!$G$15)/Examples!$G$16))))))+Examples!$G$17*$A371^2)</f>
        <v>719747.76915807556</v>
      </c>
      <c r="K371" s="33">
        <f>(Examples!$G$6*Examples!$G$7*Examples!$G$8*EXP(-Examples!$G$9*$A371)*(1-(Examples!$G$12*(1-EXP(-Examples!$G$13*$A371))/(1+EXP(MIN(700,MAX(-700,(Examples!$G$14*$A371-Examples!$G$15)/Examples!$G$16))))))+Examples!$G$17*$A371^2)</f>
        <v>595752.23084192444</v>
      </c>
      <c r="L371" s="33">
        <f>Examples!$H$18-(Examples!$H$10+Examples!$H$11)*$A371-(Examples!$H$6*Examples!$H$7*Examples!$H$8*EXP(-Examples!$H$9*$A371)*(1-(Examples!$H$12*(1-EXP(-Examples!$H$13*$A371))/(1+EXP(MIN(700,MAX(-700,(Examples!$H$14*$A371-Examples!$H$15)/Examples!$H$16))))))+Examples!$H$17*$A371^2)</f>
        <v>664893.81927361223</v>
      </c>
      <c r="M371" s="33">
        <f>(Examples!$H$6*Examples!$H$7*Examples!$H$8*EXP(-Examples!$H$9*$A371)*(1-(Examples!$H$12*(1-EXP(-Examples!$H$13*$A371))/(1+EXP(MIN(700,MAX(-700,(Examples!$H$14*$A371-Examples!$H$15)/Examples!$H$16))))))+Examples!$H$17*$A371^2)</f>
        <v>650606.18072638777</v>
      </c>
    </row>
    <row r="372" spans="1:13" x14ac:dyDescent="0.25">
      <c r="A372">
        <f>(372-2)/100</f>
        <v>3.7</v>
      </c>
      <c r="B372" s="33">
        <f>Examples!$C$18-(Examples!$C$10+Examples!$C$11)*$A372-(Examples!$C$6*Examples!$C$7*Examples!$C$8*EXP(-Examples!$C$9*$A372)*(1-(Examples!$C$12*(1-EXP(-Examples!$C$13*$A372))/(1+EXP(MIN(700,MAX(-700,(Examples!$C$14*$A372-Examples!$C$15)/Examples!$C$16))))))+Examples!$C$17*$A372^2)</f>
        <v>67518.857717899722</v>
      </c>
      <c r="C372" s="33">
        <f>(Examples!$C$6*Examples!$C$7*Examples!$C$8*EXP(-Examples!$C$9*$A372)*(1-(Examples!$C$12*(1-EXP(-Examples!$C$13*$A372))/(1+EXP(MIN(700,MAX(-700,(Examples!$C$14*$A372-Examples!$C$15)/Examples!$C$16))))))+Examples!$C$17*$A372^2)</f>
        <v>402981.14228210028</v>
      </c>
      <c r="D372" s="33">
        <f>Examples!$D$18-(Examples!$D$10+Examples!$D$11)*$A372-(Examples!$D$6*Examples!$D$7*Examples!$D$8*EXP(-Examples!$D$9*$A372)*(1-(Examples!$D$12*(1-EXP(-Examples!$D$13*$A372))/(1+EXP(MIN(700,MAX(-700,(Examples!$D$14*$A372-Examples!$D$15)/Examples!$D$16))))))+Examples!$D$17*$A372^2)</f>
        <v>1521995.9476039305</v>
      </c>
      <c r="E372" s="33">
        <f>(Examples!$D$6*Examples!$D$7*Examples!$D$8*EXP(-Examples!$D$9*$A372)*(1-(Examples!$D$12*(1-EXP(-Examples!$D$13*$A372))/(1+EXP(MIN(700,MAX(-700,(Examples!$D$14*$A372-Examples!$D$15)/Examples!$D$16))))))+Examples!$D$17*$A372^2)</f>
        <v>811504.05239606951</v>
      </c>
      <c r="F372" s="33">
        <f>Examples!$E$18-(Examples!$E$10+Examples!$E$11)*$A372-(Examples!$E$6*Examples!$E$7*Examples!$E$8*EXP(-Examples!$E$9*$A372)*(1-(Examples!$E$12*(1-EXP(-Examples!$E$13*$A372))/(1+EXP(MIN(700,MAX(-700,(Examples!$E$14*$A372-Examples!$E$15)/Examples!$E$16))))))+Examples!$E$17*$A372^2)</f>
        <v>2466508.6343859369</v>
      </c>
      <c r="G372" s="33">
        <f>(Examples!$E$6*Examples!$E$7*Examples!$E$8*EXP(-Examples!$E$9*$A372)*(1-(Examples!$E$12*(1-EXP(-Examples!$E$13*$A372))/(1+EXP(MIN(700,MAX(-700,(Examples!$E$14*$A372-Examples!$E$15)/Examples!$E$16))))))+Examples!$E$17*$A372^2)</f>
        <v>218991.36561406287</v>
      </c>
      <c r="H372" s="33">
        <f>Examples!$F$18-(Examples!$F$10+Examples!$F$11)*$A372-(Examples!$F$6*Examples!$F$7*Examples!$F$8*EXP(-Examples!$F$9*$A372)*(1-(Examples!$F$12*(1-EXP(-Examples!$F$13*$A372))/(1+EXP(MIN(700,MAX(-700,(Examples!$F$14*$A372-Examples!$F$15)/Examples!$F$16))))))+Examples!$F$17*$A372^2)</f>
        <v>-203567.16213455226</v>
      </c>
      <c r="I372" s="33">
        <f>(Examples!$F$6*Examples!$F$7*Examples!$F$8*EXP(-Examples!$F$9*$A372)*(1-(Examples!$F$12*(1-EXP(-Examples!$F$13*$A372))/(1+EXP(MIN(700,MAX(-700,(Examples!$F$14*$A372-Examples!$F$15)/Examples!$F$16))))))+Examples!$F$17*$A372^2)</f>
        <v>279567.16213455226</v>
      </c>
      <c r="J372" s="33">
        <f>Examples!$G$18-(Examples!$G$10+Examples!$G$11)*$A372-(Examples!$G$6*Examples!$G$7*Examples!$G$8*EXP(-Examples!$G$9*$A372)*(1-(Examples!$G$12*(1-EXP(-Examples!$G$13*$A372))/(1+EXP(MIN(700,MAX(-700,(Examples!$G$14*$A372-Examples!$G$15)/Examples!$G$16))))))+Examples!$G$17*$A372^2)</f>
        <v>719724.83791321155</v>
      </c>
      <c r="K372" s="33">
        <f>(Examples!$G$6*Examples!$G$7*Examples!$G$8*EXP(-Examples!$G$9*$A372)*(1-(Examples!$G$12*(1-EXP(-Examples!$G$13*$A372))/(1+EXP(MIN(700,MAX(-700,(Examples!$G$14*$A372-Examples!$G$15)/Examples!$G$16))))))+Examples!$G$17*$A372^2)</f>
        <v>595275.16208678845</v>
      </c>
      <c r="L372" s="33">
        <f>Examples!$H$18-(Examples!$H$10+Examples!$H$11)*$A372-(Examples!$H$6*Examples!$H$7*Examples!$H$8*EXP(-Examples!$H$9*$A372)*(1-(Examples!$H$12*(1-EXP(-Examples!$H$13*$A372))/(1+EXP(MIN(700,MAX(-700,(Examples!$H$14*$A372-Examples!$H$15)/Examples!$H$16))))))+Examples!$H$17*$A372^2)</f>
        <v>665455.46160525212</v>
      </c>
      <c r="M372" s="33">
        <f>(Examples!$H$6*Examples!$H$7*Examples!$H$8*EXP(-Examples!$H$9*$A372)*(1-(Examples!$H$12*(1-EXP(-Examples!$H$13*$A372))/(1+EXP(MIN(700,MAX(-700,(Examples!$H$14*$A372-Examples!$H$15)/Examples!$H$16))))))+Examples!$H$17*$A372^2)</f>
        <v>649544.53839474788</v>
      </c>
    </row>
    <row r="373" spans="1:13" x14ac:dyDescent="0.25">
      <c r="A373">
        <f>(373-2)/100</f>
        <v>3.71</v>
      </c>
      <c r="B373" s="33">
        <f>Examples!$C$18-(Examples!$C$10+Examples!$C$11)*$A373-(Examples!$C$6*Examples!$C$7*Examples!$C$8*EXP(-Examples!$C$9*$A373)*(1-(Examples!$C$12*(1-EXP(-Examples!$C$13*$A373))/(1+EXP(MIN(700,MAX(-700,(Examples!$C$14*$A373-Examples!$C$15)/Examples!$C$16))))))+Examples!$C$17*$A373^2)</f>
        <v>66646.077735918458</v>
      </c>
      <c r="C373" s="33">
        <f>(Examples!$C$6*Examples!$C$7*Examples!$C$8*EXP(-Examples!$C$9*$A373)*(1-(Examples!$C$12*(1-EXP(-Examples!$C$13*$A373))/(1+EXP(MIN(700,MAX(-700,(Examples!$C$14*$A373-Examples!$C$15)/Examples!$C$16))))))+Examples!$C$17*$A373^2)</f>
        <v>403503.92226408154</v>
      </c>
      <c r="D373" s="33">
        <f>Examples!$D$18-(Examples!$D$10+Examples!$D$11)*$A373-(Examples!$D$6*Examples!$D$7*Examples!$D$8*EXP(-Examples!$D$9*$A373)*(1-(Examples!$D$12*(1-EXP(-Examples!$D$13*$A373))/(1+EXP(MIN(700,MAX(-700,(Examples!$D$14*$A373-Examples!$D$15)/Examples!$D$16))))))+Examples!$D$17*$A373^2)</f>
        <v>1522278.3320924987</v>
      </c>
      <c r="E373" s="33">
        <f>(Examples!$D$6*Examples!$D$7*Examples!$D$8*EXP(-Examples!$D$9*$A373)*(1-(Examples!$D$12*(1-EXP(-Examples!$D$13*$A373))/(1+EXP(MIN(700,MAX(-700,(Examples!$D$14*$A373-Examples!$D$15)/Examples!$D$16))))))+Examples!$D$17*$A373^2)</f>
        <v>810771.66790750134</v>
      </c>
      <c r="F373" s="33">
        <f>Examples!$E$18-(Examples!$E$10+Examples!$E$11)*$A373-(Examples!$E$6*Examples!$E$7*Examples!$E$8*EXP(-Examples!$E$9*$A373)*(1-(Examples!$E$12*(1-EXP(-Examples!$E$13*$A373))/(1+EXP(MIN(700,MAX(-700,(Examples!$E$14*$A373-Examples!$E$15)/Examples!$E$16))))))+Examples!$E$17*$A373^2)</f>
        <v>2465948.6135387421</v>
      </c>
      <c r="G373" s="33">
        <f>(Examples!$E$6*Examples!$E$7*Examples!$E$8*EXP(-Examples!$E$9*$A373)*(1-(Examples!$E$12*(1-EXP(-Examples!$E$13*$A373))/(1+EXP(MIN(700,MAX(-700,(Examples!$E$14*$A373-Examples!$E$15)/Examples!$E$16))))))+Examples!$E$17*$A373^2)</f>
        <v>218701.38646125788</v>
      </c>
      <c r="H373" s="33">
        <f>Examples!$F$18-(Examples!$F$10+Examples!$F$11)*$A373-(Examples!$F$6*Examples!$F$7*Examples!$F$8*EXP(-Examples!$F$9*$A373)*(1-(Examples!$F$12*(1-EXP(-Examples!$F$13*$A373))/(1+EXP(MIN(700,MAX(-700,(Examples!$F$14*$A373-Examples!$F$15)/Examples!$F$16))))))+Examples!$F$17*$A373^2)</f>
        <v>-205231.89108411397</v>
      </c>
      <c r="I373" s="33">
        <f>(Examples!$F$6*Examples!$F$7*Examples!$F$8*EXP(-Examples!$F$9*$A373)*(1-(Examples!$F$12*(1-EXP(-Examples!$F$13*$A373))/(1+EXP(MIN(700,MAX(-700,(Examples!$F$14*$A373-Examples!$F$15)/Examples!$F$16))))))+Examples!$F$17*$A373^2)</f>
        <v>281031.89108411397</v>
      </c>
      <c r="J373" s="33">
        <f>Examples!$G$18-(Examples!$G$10+Examples!$G$11)*$A373-(Examples!$G$6*Examples!$G$7*Examples!$G$8*EXP(-Examples!$G$9*$A373)*(1-(Examples!$G$12*(1-EXP(-Examples!$G$13*$A373))/(1+EXP(MIN(700,MAX(-700,(Examples!$G$14*$A373-Examples!$G$15)/Examples!$G$16))))))+Examples!$G$17*$A373^2)</f>
        <v>719703.28892251418</v>
      </c>
      <c r="K373" s="33">
        <f>(Examples!$G$6*Examples!$G$7*Examples!$G$8*EXP(-Examples!$G$9*$A373)*(1-(Examples!$G$12*(1-EXP(-Examples!$G$13*$A373))/(1+EXP(MIN(700,MAX(-700,(Examples!$G$14*$A373-Examples!$G$15)/Examples!$G$16))))))+Examples!$G$17*$A373^2)</f>
        <v>594796.71107748582</v>
      </c>
      <c r="L373" s="33">
        <f>Examples!$H$18-(Examples!$H$10+Examples!$H$11)*$A373-(Examples!$H$6*Examples!$H$7*Examples!$H$8*EXP(-Examples!$H$9*$A373)*(1-(Examples!$H$12*(1-EXP(-Examples!$H$13*$A373))/(1+EXP(MIN(700,MAX(-700,(Examples!$H$14*$A373-Examples!$H$15)/Examples!$H$16))))))+Examples!$H$17*$A373^2)</f>
        <v>666017.51463744557</v>
      </c>
      <c r="M373" s="33">
        <f>(Examples!$H$6*Examples!$H$7*Examples!$H$8*EXP(-Examples!$H$9*$A373)*(1-(Examples!$H$12*(1-EXP(-Examples!$H$13*$A373))/(1+EXP(MIN(700,MAX(-700,(Examples!$H$14*$A373-Examples!$H$15)/Examples!$H$16))))))+Examples!$H$17*$A373^2)</f>
        <v>648482.48536255443</v>
      </c>
    </row>
    <row r="374" spans="1:13" x14ac:dyDescent="0.25">
      <c r="A374">
        <f>(374-2)/100</f>
        <v>3.72</v>
      </c>
      <c r="B374" s="33">
        <f>Examples!$C$18-(Examples!$C$10+Examples!$C$11)*$A374-(Examples!$C$6*Examples!$C$7*Examples!$C$8*EXP(-Examples!$C$9*$A374)*(1-(Examples!$C$12*(1-EXP(-Examples!$C$13*$A374))/(1+EXP(MIN(700,MAX(-700,(Examples!$C$14*$A374-Examples!$C$15)/Examples!$C$16))))))+Examples!$C$17*$A374^2)</f>
        <v>65768.646898226929</v>
      </c>
      <c r="C374" s="33">
        <f>(Examples!$C$6*Examples!$C$7*Examples!$C$8*EXP(-Examples!$C$9*$A374)*(1-(Examples!$C$12*(1-EXP(-Examples!$C$13*$A374))/(1+EXP(MIN(700,MAX(-700,(Examples!$C$14*$A374-Examples!$C$15)/Examples!$C$16))))))+Examples!$C$17*$A374^2)</f>
        <v>404031.35310177307</v>
      </c>
      <c r="D374" s="33">
        <f>Examples!$D$18-(Examples!$D$10+Examples!$D$11)*$A374-(Examples!$D$6*Examples!$D$7*Examples!$D$8*EXP(-Examples!$D$9*$A374)*(1-(Examples!$D$12*(1-EXP(-Examples!$D$13*$A374))/(1+EXP(MIN(700,MAX(-700,(Examples!$D$14*$A374-Examples!$D$15)/Examples!$D$16))))))+Examples!$D$17*$A374^2)</f>
        <v>1522558.5768513889</v>
      </c>
      <c r="E374" s="33">
        <f>(Examples!$D$6*Examples!$D$7*Examples!$D$8*EXP(-Examples!$D$9*$A374)*(1-(Examples!$D$12*(1-EXP(-Examples!$D$13*$A374))/(1+EXP(MIN(700,MAX(-700,(Examples!$D$14*$A374-Examples!$D$15)/Examples!$D$16))))))+Examples!$D$17*$A374^2)</f>
        <v>810041.42314861121</v>
      </c>
      <c r="F374" s="33">
        <f>Examples!$E$18-(Examples!$E$10+Examples!$E$11)*$A374-(Examples!$E$6*Examples!$E$7*Examples!$E$8*EXP(-Examples!$E$9*$A374)*(1-(Examples!$E$12*(1-EXP(-Examples!$E$13*$A374))/(1+EXP(MIN(700,MAX(-700,(Examples!$E$14*$A374-Examples!$E$15)/Examples!$E$16))))))+Examples!$E$17*$A374^2)</f>
        <v>2465383.8243285073</v>
      </c>
      <c r="G374" s="33">
        <f>(Examples!$E$6*Examples!$E$7*Examples!$E$8*EXP(-Examples!$E$9*$A374)*(1-(Examples!$E$12*(1-EXP(-Examples!$E$13*$A374))/(1+EXP(MIN(700,MAX(-700,(Examples!$E$14*$A374-Examples!$E$15)/Examples!$E$16))))))+Examples!$E$17*$A374^2)</f>
        <v>218416.17567149288</v>
      </c>
      <c r="H374" s="33">
        <f>Examples!$F$18-(Examples!$F$10+Examples!$F$11)*$A374-(Examples!$F$6*Examples!$F$7*Examples!$F$8*EXP(-Examples!$F$9*$A374)*(1-(Examples!$F$12*(1-EXP(-Examples!$F$13*$A374))/(1+EXP(MIN(700,MAX(-700,(Examples!$F$14*$A374-Examples!$F$15)/Examples!$F$16))))))+Examples!$F$17*$A374^2)</f>
        <v>-206900.67158648884</v>
      </c>
      <c r="I374" s="33">
        <f>(Examples!$F$6*Examples!$F$7*Examples!$F$8*EXP(-Examples!$F$9*$A374)*(1-(Examples!$F$12*(1-EXP(-Examples!$F$13*$A374))/(1+EXP(MIN(700,MAX(-700,(Examples!$F$14*$A374-Examples!$F$15)/Examples!$F$16))))))+Examples!$F$17*$A374^2)</f>
        <v>282500.67158648884</v>
      </c>
      <c r="J374" s="33">
        <f>Examples!$G$18-(Examples!$G$10+Examples!$G$11)*$A374-(Examples!$G$6*Examples!$G$7*Examples!$G$8*EXP(-Examples!$G$9*$A374)*(1-(Examples!$G$12*(1-EXP(-Examples!$G$13*$A374))/(1+EXP(MIN(700,MAX(-700,(Examples!$G$14*$A374-Examples!$G$15)/Examples!$G$16))))))+Examples!$G$17*$A374^2)</f>
        <v>719683.08037457173</v>
      </c>
      <c r="K374" s="33">
        <f>(Examples!$G$6*Examples!$G$7*Examples!$G$8*EXP(-Examples!$G$9*$A374)*(1-(Examples!$G$12*(1-EXP(-Examples!$G$13*$A374))/(1+EXP(MIN(700,MAX(-700,(Examples!$G$14*$A374-Examples!$G$15)/Examples!$G$16))))))+Examples!$G$17*$A374^2)</f>
        <v>594316.91962542827</v>
      </c>
      <c r="L374" s="33">
        <f>Examples!$H$18-(Examples!$H$10+Examples!$H$11)*$A374-(Examples!$H$6*Examples!$H$7*Examples!$H$8*EXP(-Examples!$H$9*$A374)*(1-(Examples!$H$12*(1-EXP(-Examples!$H$13*$A374))/(1+EXP(MIN(700,MAX(-700,(Examples!$H$14*$A374-Examples!$H$15)/Examples!$H$16))))))+Examples!$H$17*$A374^2)</f>
        <v>666579.7295330544</v>
      </c>
      <c r="M374" s="33">
        <f>(Examples!$H$6*Examples!$H$7*Examples!$H$8*EXP(-Examples!$H$9*$A374)*(1-(Examples!$H$12*(1-EXP(-Examples!$H$13*$A374))/(1+EXP(MIN(700,MAX(-700,(Examples!$H$14*$A374-Examples!$H$15)/Examples!$H$16))))))+Examples!$H$17*$A374^2)</f>
        <v>647420.2704669456</v>
      </c>
    </row>
    <row r="375" spans="1:13" x14ac:dyDescent="0.25">
      <c r="A375">
        <f>(375-2)/100</f>
        <v>3.73</v>
      </c>
      <c r="B375" s="33">
        <f>Examples!$C$18-(Examples!$C$10+Examples!$C$11)*$A375-(Examples!$C$6*Examples!$C$7*Examples!$C$8*EXP(-Examples!$C$9*$A375)*(1-(Examples!$C$12*(1-EXP(-Examples!$C$13*$A375))/(1+EXP(MIN(700,MAX(-700,(Examples!$C$14*$A375-Examples!$C$15)/Examples!$C$16))))))+Examples!$C$17*$A375^2)</f>
        <v>64886.566316197859</v>
      </c>
      <c r="C375" s="33">
        <f>(Examples!$C$6*Examples!$C$7*Examples!$C$8*EXP(-Examples!$C$9*$A375)*(1-(Examples!$C$12*(1-EXP(-Examples!$C$13*$A375))/(1+EXP(MIN(700,MAX(-700,(Examples!$C$14*$A375-Examples!$C$15)/Examples!$C$16))))))+Examples!$C$17*$A375^2)</f>
        <v>404563.43368380214</v>
      </c>
      <c r="D375" s="33">
        <f>Examples!$D$18-(Examples!$D$10+Examples!$D$11)*$A375-(Examples!$D$6*Examples!$D$7*Examples!$D$8*EXP(-Examples!$D$9*$A375)*(1-(Examples!$D$12*(1-EXP(-Examples!$D$13*$A375))/(1+EXP(MIN(700,MAX(-700,(Examples!$D$14*$A375-Examples!$D$15)/Examples!$D$16))))))+Examples!$D$17*$A375^2)</f>
        <v>1522836.9602131392</v>
      </c>
      <c r="E375" s="33">
        <f>(Examples!$D$6*Examples!$D$7*Examples!$D$8*EXP(-Examples!$D$9*$A375)*(1-(Examples!$D$12*(1-EXP(-Examples!$D$13*$A375))/(1+EXP(MIN(700,MAX(-700,(Examples!$D$14*$A375-Examples!$D$15)/Examples!$D$16))))))+Examples!$D$17*$A375^2)</f>
        <v>809313.0397868607</v>
      </c>
      <c r="F375" s="33">
        <f>Examples!$E$18-(Examples!$E$10+Examples!$E$11)*$A375-(Examples!$E$6*Examples!$E$7*Examples!$E$8*EXP(-Examples!$E$9*$A375)*(1-(Examples!$E$12*(1-EXP(-Examples!$E$13*$A375))/(1+EXP(MIN(700,MAX(-700,(Examples!$E$14*$A375-Examples!$E$15)/Examples!$E$16))))))+Examples!$E$17*$A375^2)</f>
        <v>2464814.3277759547</v>
      </c>
      <c r="G375" s="33">
        <f>(Examples!$E$6*Examples!$E$7*Examples!$E$8*EXP(-Examples!$E$9*$A375)*(1-(Examples!$E$12*(1-EXP(-Examples!$E$13*$A375))/(1+EXP(MIN(700,MAX(-700,(Examples!$E$14*$A375-Examples!$E$15)/Examples!$E$16))))))+Examples!$E$17*$A375^2)</f>
        <v>218135.67222404532</v>
      </c>
      <c r="H375" s="33">
        <f>Examples!$F$18-(Examples!$F$10+Examples!$F$11)*$A375-(Examples!$F$6*Examples!$F$7*Examples!$F$8*EXP(-Examples!$F$9*$A375)*(1-(Examples!$F$12*(1-EXP(-Examples!$F$13*$A375))/(1+EXP(MIN(700,MAX(-700,(Examples!$F$14*$A375-Examples!$F$15)/Examples!$F$16))))))+Examples!$F$17*$A375^2)</f>
        <v>-208573.50349461898</v>
      </c>
      <c r="I375" s="33">
        <f>(Examples!$F$6*Examples!$F$7*Examples!$F$8*EXP(-Examples!$F$9*$A375)*(1-(Examples!$F$12*(1-EXP(-Examples!$F$13*$A375))/(1+EXP(MIN(700,MAX(-700,(Examples!$F$14*$A375-Examples!$F$15)/Examples!$F$16))))))+Examples!$F$17*$A375^2)</f>
        <v>283973.50349461898</v>
      </c>
      <c r="J375" s="33">
        <f>Examples!$G$18-(Examples!$G$10+Examples!$G$11)*$A375-(Examples!$G$6*Examples!$G$7*Examples!$G$8*EXP(-Examples!$G$9*$A375)*(1-(Examples!$G$12*(1-EXP(-Examples!$G$13*$A375))/(1+EXP(MIN(700,MAX(-700,(Examples!$G$14*$A375-Examples!$G$15)/Examples!$G$16))))))+Examples!$G$17*$A375^2)</f>
        <v>719664.16969354893</v>
      </c>
      <c r="K375" s="33">
        <f>(Examples!$G$6*Examples!$G$7*Examples!$G$8*EXP(-Examples!$G$9*$A375)*(1-(Examples!$G$12*(1-EXP(-Examples!$G$13*$A375))/(1+EXP(MIN(700,MAX(-700,(Examples!$G$14*$A375-Examples!$G$15)/Examples!$G$16))))))+Examples!$G$17*$A375^2)</f>
        <v>593835.83030645107</v>
      </c>
      <c r="L375" s="33">
        <f>Examples!$H$18-(Examples!$H$10+Examples!$H$11)*$A375-(Examples!$H$6*Examples!$H$7*Examples!$H$8*EXP(-Examples!$H$9*$A375)*(1-(Examples!$H$12*(1-EXP(-Examples!$H$13*$A375))/(1+EXP(MIN(700,MAX(-700,(Examples!$H$14*$A375-Examples!$H$15)/Examples!$H$16))))))+Examples!$H$17*$A375^2)</f>
        <v>667141.86516789545</v>
      </c>
      <c r="M375" s="33">
        <f>(Examples!$H$6*Examples!$H$7*Examples!$H$8*EXP(-Examples!$H$9*$A375)*(1-(Examples!$H$12*(1-EXP(-Examples!$H$13*$A375))/(1+EXP(MIN(700,MAX(-700,(Examples!$H$14*$A375-Examples!$H$15)/Examples!$H$16))))))+Examples!$H$17*$A375^2)</f>
        <v>646358.13483210455</v>
      </c>
    </row>
    <row r="376" spans="1:13" x14ac:dyDescent="0.25">
      <c r="A376">
        <f>(376-2)/100</f>
        <v>3.74</v>
      </c>
      <c r="B376" s="33">
        <f>Examples!$C$18-(Examples!$C$10+Examples!$C$11)*$A376-(Examples!$C$6*Examples!$C$7*Examples!$C$8*EXP(-Examples!$C$9*$A376)*(1-(Examples!$C$12*(1-EXP(-Examples!$C$13*$A376))/(1+EXP(MIN(700,MAX(-700,(Examples!$C$14*$A376-Examples!$C$15)/Examples!$C$16))))))+Examples!$C$17*$A376^2)</f>
        <v>63999.83722692437</v>
      </c>
      <c r="C376" s="33">
        <f>(Examples!$C$6*Examples!$C$7*Examples!$C$8*EXP(-Examples!$C$9*$A376)*(1-(Examples!$C$12*(1-EXP(-Examples!$C$13*$A376))/(1+EXP(MIN(700,MAX(-700,(Examples!$C$14*$A376-Examples!$C$15)/Examples!$C$16))))))+Examples!$C$17*$A376^2)</f>
        <v>405100.16277307563</v>
      </c>
      <c r="D376" s="33">
        <f>Examples!$D$18-(Examples!$D$10+Examples!$D$11)*$A376-(Examples!$D$6*Examples!$D$7*Examples!$D$8*EXP(-Examples!$D$9*$A376)*(1-(Examples!$D$12*(1-EXP(-Examples!$D$13*$A376))/(1+EXP(MIN(700,MAX(-700,(Examples!$D$14*$A376-Examples!$D$15)/Examples!$D$16))))))+Examples!$D$17*$A376^2)</f>
        <v>1523113.75612432</v>
      </c>
      <c r="E376" s="33">
        <f>(Examples!$D$6*Examples!$D$7*Examples!$D$8*EXP(-Examples!$D$9*$A376)*(1-(Examples!$D$12*(1-EXP(-Examples!$D$13*$A376))/(1+EXP(MIN(700,MAX(-700,(Examples!$D$14*$A376-Examples!$D$15)/Examples!$D$16))))))+Examples!$D$17*$A376^2)</f>
        <v>808586.24387567991</v>
      </c>
      <c r="F376" s="33">
        <f>Examples!$E$18-(Examples!$E$10+Examples!$E$11)*$A376-(Examples!$E$6*Examples!$E$7*Examples!$E$8*EXP(-Examples!$E$9*$A376)*(1-(Examples!$E$12*(1-EXP(-Examples!$E$13*$A376))/(1+EXP(MIN(700,MAX(-700,(Examples!$E$14*$A376-Examples!$E$15)/Examples!$E$16))))))+Examples!$E$17*$A376^2)</f>
        <v>2464240.1842816053</v>
      </c>
      <c r="G376" s="33">
        <f>(Examples!$E$6*Examples!$E$7*Examples!$E$8*EXP(-Examples!$E$9*$A376)*(1-(Examples!$E$12*(1-EXP(-Examples!$E$13*$A376))/(1+EXP(MIN(700,MAX(-700,(Examples!$E$14*$A376-Examples!$E$15)/Examples!$E$16))))))+Examples!$E$17*$A376^2)</f>
        <v>217859.81571839447</v>
      </c>
      <c r="H376" s="33">
        <f>Examples!$F$18-(Examples!$F$10+Examples!$F$11)*$A376-(Examples!$F$6*Examples!$F$7*Examples!$F$8*EXP(-Examples!$F$9*$A376)*(1-(Examples!$F$12*(1-EXP(-Examples!$F$13*$A376))/(1+EXP(MIN(700,MAX(-700,(Examples!$F$14*$A376-Examples!$F$15)/Examples!$F$16))))))+Examples!$F$17*$A376^2)</f>
        <v>-210250.38666159182</v>
      </c>
      <c r="I376" s="33">
        <f>(Examples!$F$6*Examples!$F$7*Examples!$F$8*EXP(-Examples!$F$9*$A376)*(1-(Examples!$F$12*(1-EXP(-Examples!$F$13*$A376))/(1+EXP(MIN(700,MAX(-700,(Examples!$F$14*$A376-Examples!$F$15)/Examples!$F$16))))))+Examples!$F$17*$A376^2)</f>
        <v>285450.38666159182</v>
      </c>
      <c r="J376" s="33">
        <f>Examples!$G$18-(Examples!$G$10+Examples!$G$11)*$A376-(Examples!$G$6*Examples!$G$7*Examples!$G$8*EXP(-Examples!$G$9*$A376)*(1-(Examples!$G$12*(1-EXP(-Examples!$G$13*$A376))/(1+EXP(MIN(700,MAX(-700,(Examples!$G$14*$A376-Examples!$G$15)/Examples!$G$16))))))+Examples!$G$17*$A376^2)</f>
        <v>719646.51357348484</v>
      </c>
      <c r="K376" s="33">
        <f>(Examples!$G$6*Examples!$G$7*Examples!$G$8*EXP(-Examples!$G$9*$A376)*(1-(Examples!$G$12*(1-EXP(-Examples!$G$13*$A376))/(1+EXP(MIN(700,MAX(-700,(Examples!$G$14*$A376-Examples!$G$15)/Examples!$G$16))))))+Examples!$G$17*$A376^2)</f>
        <v>593353.48642651516</v>
      </c>
      <c r="L376" s="33">
        <f>Examples!$H$18-(Examples!$H$10+Examples!$H$11)*$A376-(Examples!$H$6*Examples!$H$7*Examples!$H$8*EXP(-Examples!$H$9*$A376)*(1-(Examples!$H$12*(1-EXP(-Examples!$H$13*$A376))/(1+EXP(MIN(700,MAX(-700,(Examples!$H$14*$A376-Examples!$H$15)/Examples!$H$16))))))+Examples!$H$17*$A376^2)</f>
        <v>667703.68795162963</v>
      </c>
      <c r="M376" s="33">
        <f>(Examples!$H$6*Examples!$H$7*Examples!$H$8*EXP(-Examples!$H$9*$A376)*(1-(Examples!$H$12*(1-EXP(-Examples!$H$13*$A376))/(1+EXP(MIN(700,MAX(-700,(Examples!$H$14*$A376-Examples!$H$15)/Examples!$H$16))))))+Examples!$H$17*$A376^2)</f>
        <v>645296.31204837037</v>
      </c>
    </row>
    <row r="377" spans="1:13" x14ac:dyDescent="0.25">
      <c r="A377">
        <f>(377-2)/100</f>
        <v>3.75</v>
      </c>
      <c r="B377" s="33">
        <f>Examples!$C$18-(Examples!$C$10+Examples!$C$11)*$A377-(Examples!$C$6*Examples!$C$7*Examples!$C$8*EXP(-Examples!$C$9*$A377)*(1-(Examples!$C$12*(1-EXP(-Examples!$C$13*$A377))/(1+EXP(MIN(700,MAX(-700,(Examples!$C$14*$A377-Examples!$C$15)/Examples!$C$16))))))+Examples!$C$17*$A377^2)</f>
        <v>63108.460988570354</v>
      </c>
      <c r="C377" s="33">
        <f>(Examples!$C$6*Examples!$C$7*Examples!$C$8*EXP(-Examples!$C$9*$A377)*(1-(Examples!$C$12*(1-EXP(-Examples!$C$13*$A377))/(1+EXP(MIN(700,MAX(-700,(Examples!$C$14*$A377-Examples!$C$15)/Examples!$C$16))))))+Examples!$C$17*$A377^2)</f>
        <v>405641.53901142965</v>
      </c>
      <c r="D377" s="33">
        <f>Examples!$D$18-(Examples!$D$10+Examples!$D$11)*$A377-(Examples!$D$6*Examples!$D$7*Examples!$D$8*EXP(-Examples!$D$9*$A377)*(1-(Examples!$D$12*(1-EXP(-Examples!$D$13*$A377))/(1+EXP(MIN(700,MAX(-700,(Examples!$D$14*$A377-Examples!$D$15)/Examples!$D$16))))))+Examples!$D$17*$A377^2)</f>
        <v>1523389.2341032634</v>
      </c>
      <c r="E377" s="33">
        <f>(Examples!$D$6*Examples!$D$7*Examples!$D$8*EXP(-Examples!$D$9*$A377)*(1-(Examples!$D$12*(1-EXP(-Examples!$D$13*$A377))/(1+EXP(MIN(700,MAX(-700,(Examples!$D$14*$A377-Examples!$D$15)/Examples!$D$16))))))+Examples!$D$17*$A377^2)</f>
        <v>807860.76589673664</v>
      </c>
      <c r="F377" s="33">
        <f>Examples!$E$18-(Examples!$E$10+Examples!$E$11)*$A377-(Examples!$E$6*Examples!$E$7*Examples!$E$8*EXP(-Examples!$E$9*$A377)*(1-(Examples!$E$12*(1-EXP(-Examples!$E$13*$A377))/(1+EXP(MIN(700,MAX(-700,(Examples!$E$14*$A377-Examples!$E$15)/Examples!$E$16))))))+Examples!$E$17*$A377^2)</f>
        <v>2463661.4536313312</v>
      </c>
      <c r="G377" s="33">
        <f>(Examples!$E$6*Examples!$E$7*Examples!$E$8*EXP(-Examples!$E$9*$A377)*(1-(Examples!$E$12*(1-EXP(-Examples!$E$13*$A377))/(1+EXP(MIN(700,MAX(-700,(Examples!$E$14*$A377-Examples!$E$15)/Examples!$E$16))))))+Examples!$E$17*$A377^2)</f>
        <v>217588.54636866885</v>
      </c>
      <c r="H377" s="33">
        <f>Examples!$F$18-(Examples!$F$10+Examples!$F$11)*$A377-(Examples!$F$6*Examples!$F$7*Examples!$F$8*EXP(-Examples!$F$9*$A377)*(1-(Examples!$F$12*(1-EXP(-Examples!$F$13*$A377))/(1+EXP(MIN(700,MAX(-700,(Examples!$F$14*$A377-Examples!$F$15)/Examples!$F$16))))))+Examples!$F$17*$A377^2)</f>
        <v>-211931.3209406503</v>
      </c>
      <c r="I377" s="33">
        <f>(Examples!$F$6*Examples!$F$7*Examples!$F$8*EXP(-Examples!$F$9*$A377)*(1-(Examples!$F$12*(1-EXP(-Examples!$F$13*$A377))/(1+EXP(MIN(700,MAX(-700,(Examples!$F$14*$A377-Examples!$F$15)/Examples!$F$16))))))+Examples!$F$17*$A377^2)</f>
        <v>286931.3209406503</v>
      </c>
      <c r="J377" s="33">
        <f>Examples!$G$18-(Examples!$G$10+Examples!$G$11)*$A377-(Examples!$G$6*Examples!$G$7*Examples!$G$8*EXP(-Examples!$G$9*$A377)*(1-(Examples!$G$12*(1-EXP(-Examples!$G$13*$A377))/(1+EXP(MIN(700,MAX(-700,(Examples!$G$14*$A377-Examples!$G$15)/Examples!$G$16))))))+Examples!$G$17*$A377^2)</f>
        <v>719630.0680120762</v>
      </c>
      <c r="K377" s="33">
        <f>(Examples!$G$6*Examples!$G$7*Examples!$G$8*EXP(-Examples!$G$9*$A377)*(1-(Examples!$G$12*(1-EXP(-Examples!$G$13*$A377))/(1+EXP(MIN(700,MAX(-700,(Examples!$G$14*$A377-Examples!$G$15)/Examples!$G$16))))))+Examples!$G$17*$A377^2)</f>
        <v>592869.9319879238</v>
      </c>
      <c r="L377" s="33">
        <f>Examples!$H$18-(Examples!$H$10+Examples!$H$11)*$A377-(Examples!$H$6*Examples!$H$7*Examples!$H$8*EXP(-Examples!$H$9*$A377)*(1-(Examples!$H$12*(1-EXP(-Examples!$H$13*$A377))/(1+EXP(MIN(700,MAX(-700,(Examples!$H$14*$A377-Examples!$H$15)/Examples!$H$16))))))+Examples!$H$17*$A377^2)</f>
        <v>668264.97164990427</v>
      </c>
      <c r="M377" s="33">
        <f>(Examples!$H$6*Examples!$H$7*Examples!$H$8*EXP(-Examples!$H$9*$A377)*(1-(Examples!$H$12*(1-EXP(-Examples!$H$13*$A377))/(1+EXP(MIN(700,MAX(-700,(Examples!$H$14*$A377-Examples!$H$15)/Examples!$H$16))))))+Examples!$H$17*$A377^2)</f>
        <v>644235.02835009573</v>
      </c>
    </row>
    <row r="378" spans="1:13" x14ac:dyDescent="0.25">
      <c r="A378">
        <f>(378-2)/100</f>
        <v>3.76</v>
      </c>
      <c r="B378" s="33">
        <f>Examples!$C$18-(Examples!$C$10+Examples!$C$11)*$A378-(Examples!$C$6*Examples!$C$7*Examples!$C$8*EXP(-Examples!$C$9*$A378)*(1-(Examples!$C$12*(1-EXP(-Examples!$C$13*$A378))/(1+EXP(MIN(700,MAX(-700,(Examples!$C$14*$A378-Examples!$C$15)/Examples!$C$16))))))+Examples!$C$17*$A378^2)</f>
        <v>62212.439075872302</v>
      </c>
      <c r="C378" s="33">
        <f>(Examples!$C$6*Examples!$C$7*Examples!$C$8*EXP(-Examples!$C$9*$A378)*(1-(Examples!$C$12*(1-EXP(-Examples!$C$13*$A378))/(1+EXP(MIN(700,MAX(-700,(Examples!$C$14*$A378-Examples!$C$15)/Examples!$C$16))))))+Examples!$C$17*$A378^2)</f>
        <v>406187.5609241277</v>
      </c>
      <c r="D378" s="33">
        <f>Examples!$D$18-(Examples!$D$10+Examples!$D$11)*$A378-(Examples!$D$6*Examples!$D$7*Examples!$D$8*EXP(-Examples!$D$9*$A378)*(1-(Examples!$D$12*(1-EXP(-Examples!$D$13*$A378))/(1+EXP(MIN(700,MAX(-700,(Examples!$D$14*$A378-Examples!$D$15)/Examples!$D$16))))))+Examples!$D$17*$A378^2)</f>
        <v>1523663.6591993934</v>
      </c>
      <c r="E378" s="33">
        <f>(Examples!$D$6*Examples!$D$7*Examples!$D$8*EXP(-Examples!$D$9*$A378)*(1-(Examples!$D$12*(1-EXP(-Examples!$D$13*$A378))/(1+EXP(MIN(700,MAX(-700,(Examples!$D$14*$A378-Examples!$D$15)/Examples!$D$16))))))+Examples!$D$17*$A378^2)</f>
        <v>807136.34080060665</v>
      </c>
      <c r="F378" s="33">
        <f>Examples!$E$18-(Examples!$E$10+Examples!$E$11)*$A378-(Examples!$E$6*Examples!$E$7*Examples!$E$8*EXP(-Examples!$E$9*$A378)*(1-(Examples!$E$12*(1-EXP(-Examples!$E$13*$A378))/(1+EXP(MIN(700,MAX(-700,(Examples!$E$14*$A378-Examples!$E$15)/Examples!$E$16))))))+Examples!$E$17*$A378^2)</f>
        <v>2463078.1950018252</v>
      </c>
      <c r="G378" s="33">
        <f>(Examples!$E$6*Examples!$E$7*Examples!$E$8*EXP(-Examples!$E$9*$A378)*(1-(Examples!$E$12*(1-EXP(-Examples!$E$13*$A378))/(1+EXP(MIN(700,MAX(-700,(Examples!$E$14*$A378-Examples!$E$15)/Examples!$E$16))))))+Examples!$E$17*$A378^2)</f>
        <v>217321.80499817483</v>
      </c>
      <c r="H378" s="33">
        <f>Examples!$F$18-(Examples!$F$10+Examples!$F$11)*$A378-(Examples!$F$6*Examples!$F$7*Examples!$F$8*EXP(-Examples!$F$9*$A378)*(1-(Examples!$F$12*(1-EXP(-Examples!$F$13*$A378))/(1+EXP(MIN(700,MAX(-700,(Examples!$F$14*$A378-Examples!$F$15)/Examples!$F$16))))))+Examples!$F$17*$A378^2)</f>
        <v>-213616.306185205</v>
      </c>
      <c r="I378" s="33">
        <f>(Examples!$F$6*Examples!$F$7*Examples!$F$8*EXP(-Examples!$F$9*$A378)*(1-(Examples!$F$12*(1-EXP(-Examples!$F$13*$A378))/(1+EXP(MIN(700,MAX(-700,(Examples!$F$14*$A378-Examples!$F$15)/Examples!$F$16))))))+Examples!$F$17*$A378^2)</f>
        <v>288416.306185205</v>
      </c>
      <c r="J378" s="33">
        <f>Examples!$G$18-(Examples!$G$10+Examples!$G$11)*$A378-(Examples!$G$6*Examples!$G$7*Examples!$G$8*EXP(-Examples!$G$9*$A378)*(1-(Examples!$G$12*(1-EXP(-Examples!$G$13*$A378))/(1+EXP(MIN(700,MAX(-700,(Examples!$G$14*$A378-Examples!$G$15)/Examples!$G$16))))))+Examples!$G$17*$A378^2)</f>
        <v>719614.78834394366</v>
      </c>
      <c r="K378" s="33">
        <f>(Examples!$G$6*Examples!$G$7*Examples!$G$8*EXP(-Examples!$G$9*$A378)*(1-(Examples!$G$12*(1-EXP(-Examples!$G$13*$A378))/(1+EXP(MIN(700,MAX(-700,(Examples!$G$14*$A378-Examples!$G$15)/Examples!$G$16))))))+Examples!$G$17*$A378^2)</f>
        <v>592385.21165605634</v>
      </c>
      <c r="L378" s="33">
        <f>Examples!$H$18-(Examples!$H$10+Examples!$H$11)*$A378-(Examples!$H$6*Examples!$H$7*Examples!$H$8*EXP(-Examples!$H$9*$A378)*(1-(Examples!$H$12*(1-EXP(-Examples!$H$13*$A378))/(1+EXP(MIN(700,MAX(-700,(Examples!$H$14*$A378-Examples!$H$15)/Examples!$H$16))))))+Examples!$H$17*$A378^2)</f>
        <v>668825.4972079685</v>
      </c>
      <c r="M378" s="33">
        <f>(Examples!$H$6*Examples!$H$7*Examples!$H$8*EXP(-Examples!$H$9*$A378)*(1-(Examples!$H$12*(1-EXP(-Examples!$H$13*$A378))/(1+EXP(MIN(700,MAX(-700,(Examples!$H$14*$A378-Examples!$H$15)/Examples!$H$16))))))+Examples!$H$17*$A378^2)</f>
        <v>643174.5027920315</v>
      </c>
    </row>
    <row r="379" spans="1:13" x14ac:dyDescent="0.25">
      <c r="A379">
        <f>(379-2)/100</f>
        <v>3.77</v>
      </c>
      <c r="B379" s="33">
        <f>Examples!$C$18-(Examples!$C$10+Examples!$C$11)*$A379-(Examples!$C$6*Examples!$C$7*Examples!$C$8*EXP(-Examples!$C$9*$A379)*(1-(Examples!$C$12*(1-EXP(-Examples!$C$13*$A379))/(1+EXP(MIN(700,MAX(-700,(Examples!$C$14*$A379-Examples!$C$15)/Examples!$C$16))))))+Examples!$C$17*$A379^2)</f>
        <v>61311.773075788864</v>
      </c>
      <c r="C379" s="33">
        <f>(Examples!$C$6*Examples!$C$7*Examples!$C$8*EXP(-Examples!$C$9*$A379)*(1-(Examples!$C$12*(1-EXP(-Examples!$C$13*$A379))/(1+EXP(MIN(700,MAX(-700,(Examples!$C$14*$A379-Examples!$C$15)/Examples!$C$16))))))+Examples!$C$17*$A379^2)</f>
        <v>406738.22692421114</v>
      </c>
      <c r="D379" s="33">
        <f>Examples!$D$18-(Examples!$D$10+Examples!$D$11)*$A379-(Examples!$D$6*Examples!$D$7*Examples!$D$8*EXP(-Examples!$D$9*$A379)*(1-(Examples!$D$12*(1-EXP(-Examples!$D$13*$A379))/(1+EXP(MIN(700,MAX(-700,(Examples!$D$14*$A379-Examples!$D$15)/Examples!$D$16))))))+Examples!$D$17*$A379^2)</f>
        <v>1523937.2919541965</v>
      </c>
      <c r="E379" s="33">
        <f>(Examples!$D$6*Examples!$D$7*Examples!$D$8*EXP(-Examples!$D$9*$A379)*(1-(Examples!$D$12*(1-EXP(-Examples!$D$13*$A379))/(1+EXP(MIN(700,MAX(-700,(Examples!$D$14*$A379-Examples!$D$15)/Examples!$D$16))))))+Examples!$D$17*$A379^2)</f>
        <v>806412.70804580336</v>
      </c>
      <c r="F379" s="33">
        <f>Examples!$E$18-(Examples!$E$10+Examples!$E$11)*$A379-(Examples!$E$6*Examples!$E$7*Examples!$E$8*EXP(-Examples!$E$9*$A379)*(1-(Examples!$E$12*(1-EXP(-Examples!$E$13*$A379))/(1+EXP(MIN(700,MAX(-700,(Examples!$E$14*$A379-Examples!$E$15)/Examples!$E$16))))))+Examples!$E$17*$A379^2)</f>
        <v>2462490.4669659915</v>
      </c>
      <c r="G379" s="33">
        <f>(Examples!$E$6*Examples!$E$7*Examples!$E$8*EXP(-Examples!$E$9*$A379)*(1-(Examples!$E$12*(1-EXP(-Examples!$E$13*$A379))/(1+EXP(MIN(700,MAX(-700,(Examples!$E$14*$A379-Examples!$E$15)/Examples!$E$16))))))+Examples!$E$17*$A379^2)</f>
        <v>217059.53303400852</v>
      </c>
      <c r="H379" s="33">
        <f>Examples!$F$18-(Examples!$F$10+Examples!$F$11)*$A379-(Examples!$F$6*Examples!$F$7*Examples!$F$8*EXP(-Examples!$F$9*$A379)*(1-(Examples!$F$12*(1-EXP(-Examples!$F$13*$A379))/(1+EXP(MIN(700,MAX(-700,(Examples!$F$14*$A379-Examples!$F$15)/Examples!$F$16))))))+Examples!$F$17*$A379^2)</f>
        <v>-215305.34224884363</v>
      </c>
      <c r="I379" s="33">
        <f>(Examples!$F$6*Examples!$F$7*Examples!$F$8*EXP(-Examples!$F$9*$A379)*(1-(Examples!$F$12*(1-EXP(-Examples!$F$13*$A379))/(1+EXP(MIN(700,MAX(-700,(Examples!$F$14*$A379-Examples!$F$15)/Examples!$F$16))))))+Examples!$F$17*$A379^2)</f>
        <v>289905.34224884363</v>
      </c>
      <c r="J379" s="33">
        <f>Examples!$G$18-(Examples!$G$10+Examples!$G$11)*$A379-(Examples!$G$6*Examples!$G$7*Examples!$G$8*EXP(-Examples!$G$9*$A379)*(1-(Examples!$G$12*(1-EXP(-Examples!$G$13*$A379))/(1+EXP(MIN(700,MAX(-700,(Examples!$G$14*$A379-Examples!$G$15)/Examples!$G$16))))))+Examples!$G$17*$A379^2)</f>
        <v>719600.62927337363</v>
      </c>
      <c r="K379" s="33">
        <f>(Examples!$G$6*Examples!$G$7*Examples!$G$8*EXP(-Examples!$G$9*$A379)*(1-(Examples!$G$12*(1-EXP(-Examples!$G$13*$A379))/(1+EXP(MIN(700,MAX(-700,(Examples!$G$14*$A379-Examples!$G$15)/Examples!$G$16))))))+Examples!$G$17*$A379^2)</f>
        <v>591899.37072662637</v>
      </c>
      <c r="L379" s="33">
        <f>Examples!$H$18-(Examples!$H$10+Examples!$H$11)*$A379-(Examples!$H$6*Examples!$H$7*Examples!$H$8*EXP(-Examples!$H$9*$A379)*(1-(Examples!$H$12*(1-EXP(-Examples!$H$13*$A379))/(1+EXP(MIN(700,MAX(-700,(Examples!$H$14*$A379-Examples!$H$15)/Examples!$H$16))))))+Examples!$H$17*$A379^2)</f>
        <v>669385.05257595901</v>
      </c>
      <c r="M379" s="33">
        <f>(Examples!$H$6*Examples!$H$7*Examples!$H$8*EXP(-Examples!$H$9*$A379)*(1-(Examples!$H$12*(1-EXP(-Examples!$H$13*$A379))/(1+EXP(MIN(700,MAX(-700,(Examples!$H$14*$A379-Examples!$H$15)/Examples!$H$16))))))+Examples!$H$17*$A379^2)</f>
        <v>642114.94742404099</v>
      </c>
    </row>
    <row r="380" spans="1:13" x14ac:dyDescent="0.25">
      <c r="A380">
        <f>(380-2)/100</f>
        <v>3.78</v>
      </c>
      <c r="B380" s="33">
        <f>Examples!$C$18-(Examples!$C$10+Examples!$C$11)*$A380-(Examples!$C$6*Examples!$C$7*Examples!$C$8*EXP(-Examples!$C$9*$A380)*(1-(Examples!$C$12*(1-EXP(-Examples!$C$13*$A380))/(1+EXP(MIN(700,MAX(-700,(Examples!$C$14*$A380-Examples!$C$15)/Examples!$C$16))))))+Examples!$C$17*$A380^2)</f>
        <v>60406.464683291502</v>
      </c>
      <c r="C380" s="33">
        <f>(Examples!$C$6*Examples!$C$7*Examples!$C$8*EXP(-Examples!$C$9*$A380)*(1-(Examples!$C$12*(1-EXP(-Examples!$C$13*$A380))/(1+EXP(MIN(700,MAX(-700,(Examples!$C$14*$A380-Examples!$C$15)/Examples!$C$16))))))+Examples!$C$17*$A380^2)</f>
        <v>407293.5353167085</v>
      </c>
      <c r="D380" s="33">
        <f>Examples!$D$18-(Examples!$D$10+Examples!$D$11)*$A380-(Examples!$D$6*Examples!$D$7*Examples!$D$8*EXP(-Examples!$D$9*$A380)*(1-(Examples!$D$12*(1-EXP(-Examples!$D$13*$A380))/(1+EXP(MIN(700,MAX(-700,(Examples!$D$14*$A380-Examples!$D$15)/Examples!$D$16))))))+Examples!$D$17*$A380^2)</f>
        <v>1524210.3883638699</v>
      </c>
      <c r="E380" s="33">
        <f>(Examples!$D$6*Examples!$D$7*Examples!$D$8*EXP(-Examples!$D$9*$A380)*(1-(Examples!$D$12*(1-EXP(-Examples!$D$13*$A380))/(1+EXP(MIN(700,MAX(-700,(Examples!$D$14*$A380-Examples!$D$15)/Examples!$D$16))))))+Examples!$D$17*$A380^2)</f>
        <v>805689.61163613014</v>
      </c>
      <c r="F380" s="33">
        <f>Examples!$E$18-(Examples!$E$10+Examples!$E$11)*$A380-(Examples!$E$6*Examples!$E$7*Examples!$E$8*EXP(-Examples!$E$9*$A380)*(1-(Examples!$E$12*(1-EXP(-Examples!$E$13*$A380))/(1+EXP(MIN(700,MAX(-700,(Examples!$E$14*$A380-Examples!$E$15)/Examples!$E$16))))))+Examples!$E$17*$A380^2)</f>
        <v>2461898.327498252</v>
      </c>
      <c r="G380" s="33">
        <f>(Examples!$E$6*Examples!$E$7*Examples!$E$8*EXP(-Examples!$E$9*$A380)*(1-(Examples!$E$12*(1-EXP(-Examples!$E$13*$A380))/(1+EXP(MIN(700,MAX(-700,(Examples!$E$14*$A380-Examples!$E$15)/Examples!$E$16))))))+Examples!$E$17*$A380^2)</f>
        <v>216801.67250174785</v>
      </c>
      <c r="H380" s="33">
        <f>Examples!$F$18-(Examples!$F$10+Examples!$F$11)*$A380-(Examples!$F$6*Examples!$F$7*Examples!$F$8*EXP(-Examples!$F$9*$A380)*(1-(Examples!$F$12*(1-EXP(-Examples!$F$13*$A380))/(1+EXP(MIN(700,MAX(-700,(Examples!$F$14*$A380-Examples!$F$15)/Examples!$F$16))))))+Examples!$F$17*$A380^2)</f>
        <v>-216998.42898534128</v>
      </c>
      <c r="I380" s="33">
        <f>(Examples!$F$6*Examples!$F$7*Examples!$F$8*EXP(-Examples!$F$9*$A380)*(1-(Examples!$F$12*(1-EXP(-Examples!$F$13*$A380))/(1+EXP(MIN(700,MAX(-700,(Examples!$F$14*$A380-Examples!$F$15)/Examples!$F$16))))))+Examples!$F$17*$A380^2)</f>
        <v>291398.42898534128</v>
      </c>
      <c r="J380" s="33">
        <f>Examples!$G$18-(Examples!$G$10+Examples!$G$11)*$A380-(Examples!$G$6*Examples!$G$7*Examples!$G$8*EXP(-Examples!$G$9*$A380)*(1-(Examples!$G$12*(1-EXP(-Examples!$G$13*$A380))/(1+EXP(MIN(700,MAX(-700,(Examples!$G$14*$A380-Examples!$G$15)/Examples!$G$16))))))+Examples!$G$17*$A380^2)</f>
        <v>719587.54490652948</v>
      </c>
      <c r="K380" s="33">
        <f>(Examples!$G$6*Examples!$G$7*Examples!$G$8*EXP(-Examples!$G$9*$A380)*(1-(Examples!$G$12*(1-EXP(-Examples!$G$13*$A380))/(1+EXP(MIN(700,MAX(-700,(Examples!$G$14*$A380-Examples!$G$15)/Examples!$G$16))))))+Examples!$G$17*$A380^2)</f>
        <v>591412.45509347052</v>
      </c>
      <c r="L380" s="33">
        <f>Examples!$H$18-(Examples!$H$10+Examples!$H$11)*$A380-(Examples!$H$6*Examples!$H$7*Examples!$H$8*EXP(-Examples!$H$9*$A380)*(1-(Examples!$H$12*(1-EXP(-Examples!$H$13*$A380))/(1+EXP(MIN(700,MAX(-700,(Examples!$H$14*$A380-Examples!$H$15)/Examples!$H$16))))))+Examples!$H$17*$A380^2)</f>
        <v>669943.43253602914</v>
      </c>
      <c r="M380" s="33">
        <f>(Examples!$H$6*Examples!$H$7*Examples!$H$8*EXP(-Examples!$H$9*$A380)*(1-(Examples!$H$12*(1-EXP(-Examples!$H$13*$A380))/(1+EXP(MIN(700,MAX(-700,(Examples!$H$14*$A380-Examples!$H$15)/Examples!$H$16))))))+Examples!$H$17*$A380^2)</f>
        <v>641056.56746397086</v>
      </c>
    </row>
    <row r="381" spans="1:13" x14ac:dyDescent="0.25">
      <c r="A381">
        <f>(381-2)/100</f>
        <v>3.79</v>
      </c>
      <c r="B381" s="33">
        <f>Examples!$C$18-(Examples!$C$10+Examples!$C$11)*$A381-(Examples!$C$6*Examples!$C$7*Examples!$C$8*EXP(-Examples!$C$9*$A381)*(1-(Examples!$C$12*(1-EXP(-Examples!$C$13*$A381))/(1+EXP(MIN(700,MAX(-700,(Examples!$C$14*$A381-Examples!$C$15)/Examples!$C$16))))))+Examples!$C$17*$A381^2)</f>
        <v>59496.51569729473</v>
      </c>
      <c r="C381" s="33">
        <f>(Examples!$C$6*Examples!$C$7*Examples!$C$8*EXP(-Examples!$C$9*$A381)*(1-(Examples!$C$12*(1-EXP(-Examples!$C$13*$A381))/(1+EXP(MIN(700,MAX(-700,(Examples!$C$14*$A381-Examples!$C$15)/Examples!$C$16))))))+Examples!$C$17*$A381^2)</f>
        <v>407853.48430270527</v>
      </c>
      <c r="D381" s="33">
        <f>Examples!$D$18-(Examples!$D$10+Examples!$D$11)*$A381-(Examples!$D$6*Examples!$D$7*Examples!$D$8*EXP(-Examples!$D$9*$A381)*(1-(Examples!$D$12*(1-EXP(-Examples!$D$13*$A381))/(1+EXP(MIN(700,MAX(-700,(Examples!$D$14*$A381-Examples!$D$15)/Examples!$D$16))))))+Examples!$D$17*$A381^2)</f>
        <v>1524483.1998436898</v>
      </c>
      <c r="E381" s="33">
        <f>(Examples!$D$6*Examples!$D$7*Examples!$D$8*EXP(-Examples!$D$9*$A381)*(1-(Examples!$D$12*(1-EXP(-Examples!$D$13*$A381))/(1+EXP(MIN(700,MAX(-700,(Examples!$D$14*$A381-Examples!$D$15)/Examples!$D$16))))))+Examples!$D$17*$A381^2)</f>
        <v>804966.80015631032</v>
      </c>
      <c r="F381" s="33">
        <f>Examples!$E$18-(Examples!$E$10+Examples!$E$11)*$A381-(Examples!$E$6*Examples!$E$7*Examples!$E$8*EXP(-Examples!$E$9*$A381)*(1-(Examples!$E$12*(1-EXP(-Examples!$E$13*$A381))/(1+EXP(MIN(700,MAX(-700,(Examples!$E$14*$A381-Examples!$E$15)/Examples!$E$16))))))+Examples!$E$17*$A381^2)</f>
        <v>2461301.8339797766</v>
      </c>
      <c r="G381" s="33">
        <f>(Examples!$E$6*Examples!$E$7*Examples!$E$8*EXP(-Examples!$E$9*$A381)*(1-(Examples!$E$12*(1-EXP(-Examples!$E$13*$A381))/(1+EXP(MIN(700,MAX(-700,(Examples!$E$14*$A381-Examples!$E$15)/Examples!$E$16))))))+Examples!$E$17*$A381^2)</f>
        <v>216548.16602022329</v>
      </c>
      <c r="H381" s="33">
        <f>Examples!$F$18-(Examples!$F$10+Examples!$F$11)*$A381-(Examples!$F$6*Examples!$F$7*Examples!$F$8*EXP(-Examples!$F$9*$A381)*(1-(Examples!$F$12*(1-EXP(-Examples!$F$13*$A381))/(1+EXP(MIN(700,MAX(-700,(Examples!$F$14*$A381-Examples!$F$15)/Examples!$F$16))))))+Examples!$F$17*$A381^2)</f>
        <v>-218695.56624866987</v>
      </c>
      <c r="I381" s="33">
        <f>(Examples!$F$6*Examples!$F$7*Examples!$F$8*EXP(-Examples!$F$9*$A381)*(1-(Examples!$F$12*(1-EXP(-Examples!$F$13*$A381))/(1+EXP(MIN(700,MAX(-700,(Examples!$F$14*$A381-Examples!$F$15)/Examples!$F$16))))))+Examples!$F$17*$A381^2)</f>
        <v>292895.56624866987</v>
      </c>
      <c r="J381" s="33">
        <f>Examples!$G$18-(Examples!$G$10+Examples!$G$11)*$A381-(Examples!$G$6*Examples!$G$7*Examples!$G$8*EXP(-Examples!$G$9*$A381)*(1-(Examples!$G$12*(1-EXP(-Examples!$G$13*$A381))/(1+EXP(MIN(700,MAX(-700,(Examples!$G$14*$A381-Examples!$G$15)/Examples!$G$16))))))+Examples!$G$17*$A381^2)</f>
        <v>719575.48878312984</v>
      </c>
      <c r="K381" s="33">
        <f>(Examples!$G$6*Examples!$G$7*Examples!$G$8*EXP(-Examples!$G$9*$A381)*(1-(Examples!$G$12*(1-EXP(-Examples!$G$13*$A381))/(1+EXP(MIN(700,MAX(-700,(Examples!$G$14*$A381-Examples!$G$15)/Examples!$G$16))))))+Examples!$G$17*$A381^2)</f>
        <v>590924.51121687016</v>
      </c>
      <c r="L381" s="33">
        <f>Examples!$H$18-(Examples!$H$10+Examples!$H$11)*$A381-(Examples!$H$6*Examples!$H$7*Examples!$H$8*EXP(-Examples!$H$9*$A381)*(1-(Examples!$H$12*(1-EXP(-Examples!$H$13*$A381))/(1+EXP(MIN(700,MAX(-700,(Examples!$H$14*$A381-Examples!$H$15)/Examples!$H$16))))))+Examples!$H$17*$A381^2)</f>
        <v>670500.43853148841</v>
      </c>
      <c r="M381" s="33">
        <f>(Examples!$H$6*Examples!$H$7*Examples!$H$8*EXP(-Examples!$H$9*$A381)*(1-(Examples!$H$12*(1-EXP(-Examples!$H$13*$A381))/(1+EXP(MIN(700,MAX(-700,(Examples!$H$14*$A381-Examples!$H$15)/Examples!$H$16))))))+Examples!$H$17*$A381^2)</f>
        <v>639999.56146851159</v>
      </c>
    </row>
    <row r="382" spans="1:13" x14ac:dyDescent="0.25">
      <c r="A382">
        <f>(382-2)/100</f>
        <v>3.8</v>
      </c>
      <c r="B382" s="33">
        <f>Examples!$C$18-(Examples!$C$10+Examples!$C$11)*$A382-(Examples!$C$6*Examples!$C$7*Examples!$C$8*EXP(-Examples!$C$9*$A382)*(1-(Examples!$C$12*(1-EXP(-Examples!$C$13*$A382))/(1+EXP(MIN(700,MAX(-700,(Examples!$C$14*$A382-Examples!$C$15)/Examples!$C$16))))))+Examples!$C$17*$A382^2)</f>
        <v>58581.928016718244</v>
      </c>
      <c r="C382" s="33">
        <f>(Examples!$C$6*Examples!$C$7*Examples!$C$8*EXP(-Examples!$C$9*$A382)*(1-(Examples!$C$12*(1-EXP(-Examples!$C$13*$A382))/(1+EXP(MIN(700,MAX(-700,(Examples!$C$14*$A382-Examples!$C$15)/Examples!$C$16))))))+Examples!$C$17*$A382^2)</f>
        <v>408418.07198328176</v>
      </c>
      <c r="D382" s="33">
        <f>Examples!$D$18-(Examples!$D$10+Examples!$D$11)*$A382-(Examples!$D$6*Examples!$D$7*Examples!$D$8*EXP(-Examples!$D$9*$A382)*(1-(Examples!$D$12*(1-EXP(-Examples!$D$13*$A382))/(1+EXP(MIN(700,MAX(-700,(Examples!$D$14*$A382-Examples!$D$15)/Examples!$D$16))))))+Examples!$D$17*$A382^2)</f>
        <v>1524755.9731941298</v>
      </c>
      <c r="E382" s="33">
        <f>(Examples!$D$6*Examples!$D$7*Examples!$D$8*EXP(-Examples!$D$9*$A382)*(1-(Examples!$D$12*(1-EXP(-Examples!$D$13*$A382))/(1+EXP(MIN(700,MAX(-700,(Examples!$D$14*$A382-Examples!$D$15)/Examples!$D$16))))))+Examples!$D$17*$A382^2)</f>
        <v>804244.02680587012</v>
      </c>
      <c r="F382" s="33">
        <f>Examples!$E$18-(Examples!$E$10+Examples!$E$11)*$A382-(Examples!$E$6*Examples!$E$7*Examples!$E$8*EXP(-Examples!$E$9*$A382)*(1-(Examples!$E$12*(1-EXP(-Examples!$E$13*$A382))/(1+EXP(MIN(700,MAX(-700,(Examples!$E$14*$A382-Examples!$E$15)/Examples!$E$16))))))+Examples!$E$17*$A382^2)</f>
        <v>2460701.0432036319</v>
      </c>
      <c r="G382" s="33">
        <f>(Examples!$E$6*Examples!$E$7*Examples!$E$8*EXP(-Examples!$E$9*$A382)*(1-(Examples!$E$12*(1-EXP(-Examples!$E$13*$A382))/(1+EXP(MIN(700,MAX(-700,(Examples!$E$14*$A382-Examples!$E$15)/Examples!$E$16))))))+Examples!$E$17*$A382^2)</f>
        <v>216298.956796368</v>
      </c>
      <c r="H382" s="33">
        <f>Examples!$F$18-(Examples!$F$10+Examples!$F$11)*$A382-(Examples!$F$6*Examples!$F$7*Examples!$F$8*EXP(-Examples!$F$9*$A382)*(1-(Examples!$F$12*(1-EXP(-Examples!$F$13*$A382))/(1+EXP(MIN(700,MAX(-700,(Examples!$F$14*$A382-Examples!$F$15)/Examples!$F$16))))))+Examples!$F$17*$A382^2)</f>
        <v>-220396.75389300712</v>
      </c>
      <c r="I382" s="33">
        <f>(Examples!$F$6*Examples!$F$7*Examples!$F$8*EXP(-Examples!$F$9*$A382)*(1-(Examples!$F$12*(1-EXP(-Examples!$F$13*$A382))/(1+EXP(MIN(700,MAX(-700,(Examples!$F$14*$A382-Examples!$F$15)/Examples!$F$16))))))+Examples!$F$17*$A382^2)</f>
        <v>294396.75389300712</v>
      </c>
      <c r="J382" s="33">
        <f>Examples!$G$18-(Examples!$G$10+Examples!$G$11)*$A382-(Examples!$G$6*Examples!$G$7*Examples!$G$8*EXP(-Examples!$G$9*$A382)*(1-(Examples!$G$12*(1-EXP(-Examples!$G$13*$A382))/(1+EXP(MIN(700,MAX(-700,(Examples!$G$14*$A382-Examples!$G$15)/Examples!$G$16))))))+Examples!$G$17*$A382^2)</f>
        <v>719564.41390758858</v>
      </c>
      <c r="K382" s="33">
        <f>(Examples!$G$6*Examples!$G$7*Examples!$G$8*EXP(-Examples!$G$9*$A382)*(1-(Examples!$G$12*(1-EXP(-Examples!$G$13*$A382))/(1+EXP(MIN(700,MAX(-700,(Examples!$G$14*$A382-Examples!$G$15)/Examples!$G$16))))))+Examples!$G$17*$A382^2)</f>
        <v>590435.58609241142</v>
      </c>
      <c r="L382" s="33">
        <f>Examples!$H$18-(Examples!$H$10+Examples!$H$11)*$A382-(Examples!$H$6*Examples!$H$7*Examples!$H$8*EXP(-Examples!$H$9*$A382)*(1-(Examples!$H$12*(1-EXP(-Examples!$H$13*$A382))/(1+EXP(MIN(700,MAX(-700,(Examples!$H$14*$A382-Examples!$H$15)/Examples!$H$16))))))+Examples!$H$17*$A382^2)</f>
        <v>671055.8784980916</v>
      </c>
      <c r="M382" s="33">
        <f>(Examples!$H$6*Examples!$H$7*Examples!$H$8*EXP(-Examples!$H$9*$A382)*(1-(Examples!$H$12*(1-EXP(-Examples!$H$13*$A382))/(1+EXP(MIN(700,MAX(-700,(Examples!$H$14*$A382-Examples!$H$15)/Examples!$H$16))))))+Examples!$H$17*$A382^2)</f>
        <v>638944.1215019084</v>
      </c>
    </row>
    <row r="383" spans="1:13" x14ac:dyDescent="0.25">
      <c r="A383">
        <f>(383-2)/100</f>
        <v>3.81</v>
      </c>
      <c r="B383" s="33">
        <f>Examples!$C$18-(Examples!$C$10+Examples!$C$11)*$A383-(Examples!$C$6*Examples!$C$7*Examples!$C$8*EXP(-Examples!$C$9*$A383)*(1-(Examples!$C$12*(1-EXP(-Examples!$C$13*$A383))/(1+EXP(MIN(700,MAX(-700,(Examples!$C$14*$A383-Examples!$C$15)/Examples!$C$16))))))+Examples!$C$17*$A383^2)</f>
        <v>57662.70363668073</v>
      </c>
      <c r="C383" s="33">
        <f>(Examples!$C$6*Examples!$C$7*Examples!$C$8*EXP(-Examples!$C$9*$A383)*(1-(Examples!$C$12*(1-EXP(-Examples!$C$13*$A383))/(1+EXP(MIN(700,MAX(-700,(Examples!$C$14*$A383-Examples!$C$15)/Examples!$C$16))))))+Examples!$C$17*$A383^2)</f>
        <v>408987.29636331927</v>
      </c>
      <c r="D383" s="33">
        <f>Examples!$D$18-(Examples!$D$10+Examples!$D$11)*$A383-(Examples!$D$6*Examples!$D$7*Examples!$D$8*EXP(-Examples!$D$9*$A383)*(1-(Examples!$D$12*(1-EXP(-Examples!$D$13*$A383))/(1+EXP(MIN(700,MAX(-700,(Examples!$D$14*$A383-Examples!$D$15)/Examples!$D$16))))))+Examples!$D$17*$A383^2)</f>
        <v>1525028.9505687738</v>
      </c>
      <c r="E383" s="33">
        <f>(Examples!$D$6*Examples!$D$7*Examples!$D$8*EXP(-Examples!$D$9*$A383)*(1-(Examples!$D$12*(1-EXP(-Examples!$D$13*$A383))/(1+EXP(MIN(700,MAX(-700,(Examples!$D$14*$A383-Examples!$D$15)/Examples!$D$16))))))+Examples!$D$17*$A383^2)</f>
        <v>803521.04943122633</v>
      </c>
      <c r="F383" s="33">
        <f>Examples!$E$18-(Examples!$E$10+Examples!$E$11)*$A383-(Examples!$E$6*Examples!$E$7*Examples!$E$8*EXP(-Examples!$E$9*$A383)*(1-(Examples!$E$12*(1-EXP(-Examples!$E$13*$A383))/(1+EXP(MIN(700,MAX(-700,(Examples!$E$14*$A383-Examples!$E$15)/Examples!$E$16))))))+Examples!$E$17*$A383^2)</f>
        <v>2460096.0113798557</v>
      </c>
      <c r="G383" s="33">
        <f>(Examples!$E$6*Examples!$E$7*Examples!$E$8*EXP(-Examples!$E$9*$A383)*(1-(Examples!$E$12*(1-EXP(-Examples!$E$13*$A383))/(1+EXP(MIN(700,MAX(-700,(Examples!$E$14*$A383-Examples!$E$15)/Examples!$E$16))))))+Examples!$E$17*$A383^2)</f>
        <v>216053.98862014414</v>
      </c>
      <c r="H383" s="33">
        <f>Examples!$F$18-(Examples!$F$10+Examples!$F$11)*$A383-(Examples!$F$6*Examples!$F$7*Examples!$F$8*EXP(-Examples!$F$9*$A383)*(1-(Examples!$F$12*(1-EXP(-Examples!$F$13*$A383))/(1+EXP(MIN(700,MAX(-700,(Examples!$F$14*$A383-Examples!$F$15)/Examples!$F$16))))))+Examples!$F$17*$A383^2)</f>
        <v>-222101.99177274521</v>
      </c>
      <c r="I383" s="33">
        <f>(Examples!$F$6*Examples!$F$7*Examples!$F$8*EXP(-Examples!$F$9*$A383)*(1-(Examples!$F$12*(1-EXP(-Examples!$F$13*$A383))/(1+EXP(MIN(700,MAX(-700,(Examples!$F$14*$A383-Examples!$F$15)/Examples!$F$16))))))+Examples!$F$17*$A383^2)</f>
        <v>295901.99177274521</v>
      </c>
      <c r="J383" s="33">
        <f>Examples!$G$18-(Examples!$G$10+Examples!$G$11)*$A383-(Examples!$G$6*Examples!$G$7*Examples!$G$8*EXP(-Examples!$G$9*$A383)*(1-(Examples!$G$12*(1-EXP(-Examples!$G$13*$A383))/(1+EXP(MIN(700,MAX(-700,(Examples!$G$14*$A383-Examples!$G$15)/Examples!$G$16))))))+Examples!$G$17*$A383^2)</f>
        <v>719554.2727796135</v>
      </c>
      <c r="K383" s="33">
        <f>(Examples!$G$6*Examples!$G$7*Examples!$G$8*EXP(-Examples!$G$9*$A383)*(1-(Examples!$G$12*(1-EXP(-Examples!$G$13*$A383))/(1+EXP(MIN(700,MAX(-700,(Examples!$G$14*$A383-Examples!$G$15)/Examples!$G$16))))))+Examples!$G$17*$A383^2)</f>
        <v>589945.7272203865</v>
      </c>
      <c r="L383" s="33">
        <f>Examples!$H$18-(Examples!$H$10+Examples!$H$11)*$A383-(Examples!$H$6*Examples!$H$7*Examples!$H$8*EXP(-Examples!$H$9*$A383)*(1-(Examples!$H$12*(1-EXP(-Examples!$H$13*$A383))/(1+EXP(MIN(700,MAX(-700,(Examples!$H$14*$A383-Examples!$H$15)/Examples!$H$16))))))+Examples!$H$17*$A383^2)</f>
        <v>671609.5666976081</v>
      </c>
      <c r="M383" s="33">
        <f>(Examples!$H$6*Examples!$H$7*Examples!$H$8*EXP(-Examples!$H$9*$A383)*(1-(Examples!$H$12*(1-EXP(-Examples!$H$13*$A383))/(1+EXP(MIN(700,MAX(-700,(Examples!$H$14*$A383-Examples!$H$15)/Examples!$H$16))))))+Examples!$H$17*$A383^2)</f>
        <v>637890.4333023919</v>
      </c>
    </row>
    <row r="384" spans="1:13" x14ac:dyDescent="0.25">
      <c r="A384">
        <f>(384-2)/100</f>
        <v>3.82</v>
      </c>
      <c r="B384" s="33">
        <f>Examples!$C$18-(Examples!$C$10+Examples!$C$11)*$A384-(Examples!$C$6*Examples!$C$7*Examples!$C$8*EXP(-Examples!$C$9*$A384)*(1-(Examples!$C$12*(1-EXP(-Examples!$C$13*$A384))/(1+EXP(MIN(700,MAX(-700,(Examples!$C$14*$A384-Examples!$C$15)/Examples!$C$16))))))+Examples!$C$17*$A384^2)</f>
        <v>56738.844644816709</v>
      </c>
      <c r="C384" s="33">
        <f>(Examples!$C$6*Examples!$C$7*Examples!$C$8*EXP(-Examples!$C$9*$A384)*(1-(Examples!$C$12*(1-EXP(-Examples!$C$13*$A384))/(1+EXP(MIN(700,MAX(-700,(Examples!$C$14*$A384-Examples!$C$15)/Examples!$C$16))))))+Examples!$C$17*$A384^2)</f>
        <v>409561.15535518329</v>
      </c>
      <c r="D384" s="33">
        <f>Examples!$D$18-(Examples!$D$10+Examples!$D$11)*$A384-(Examples!$D$6*Examples!$D$7*Examples!$D$8*EXP(-Examples!$D$9*$A384)*(1-(Examples!$D$12*(1-EXP(-Examples!$D$13*$A384))/(1+EXP(MIN(700,MAX(-700,(Examples!$D$14*$A384-Examples!$D$15)/Examples!$D$16))))))+Examples!$D$17*$A384^2)</f>
        <v>1525302.3694440422</v>
      </c>
      <c r="E384" s="33">
        <f>(Examples!$D$6*Examples!$D$7*Examples!$D$8*EXP(-Examples!$D$9*$A384)*(1-(Examples!$D$12*(1-EXP(-Examples!$D$13*$A384))/(1+EXP(MIN(700,MAX(-700,(Examples!$D$14*$A384-Examples!$D$15)/Examples!$D$16))))))+Examples!$D$17*$A384^2)</f>
        <v>802797.63055595779</v>
      </c>
      <c r="F384" s="33">
        <f>Examples!$E$18-(Examples!$E$10+Examples!$E$11)*$A384-(Examples!$E$6*Examples!$E$7*Examples!$E$8*EXP(-Examples!$E$9*$A384)*(1-(Examples!$E$12*(1-EXP(-Examples!$E$13*$A384))/(1+EXP(MIN(700,MAX(-700,(Examples!$E$14*$A384-Examples!$E$15)/Examples!$E$16))))))+Examples!$E$17*$A384^2)</f>
        <v>2459486.7941404544</v>
      </c>
      <c r="G384" s="33">
        <f>(Examples!$E$6*Examples!$E$7*Examples!$E$8*EXP(-Examples!$E$9*$A384)*(1-(Examples!$E$12*(1-EXP(-Examples!$E$13*$A384))/(1+EXP(MIN(700,MAX(-700,(Examples!$E$14*$A384-Examples!$E$15)/Examples!$E$16))))))+Examples!$E$17*$A384^2)</f>
        <v>215813.20585954568</v>
      </c>
      <c r="H384" s="33">
        <f>Examples!$F$18-(Examples!$F$10+Examples!$F$11)*$A384-(Examples!$F$6*Examples!$F$7*Examples!$F$8*EXP(-Examples!$F$9*$A384)*(1-(Examples!$F$12*(1-EXP(-Examples!$F$13*$A384))/(1+EXP(MIN(700,MAX(-700,(Examples!$F$14*$A384-Examples!$F$15)/Examples!$F$16))))))+Examples!$F$17*$A384^2)</f>
        <v>-223811.27974249923</v>
      </c>
      <c r="I384" s="33">
        <f>(Examples!$F$6*Examples!$F$7*Examples!$F$8*EXP(-Examples!$F$9*$A384)*(1-(Examples!$F$12*(1-EXP(-Examples!$F$13*$A384))/(1+EXP(MIN(700,MAX(-700,(Examples!$F$14*$A384-Examples!$F$15)/Examples!$F$16))))))+Examples!$F$17*$A384^2)</f>
        <v>297411.27974249923</v>
      </c>
      <c r="J384" s="33">
        <f>Examples!$G$18-(Examples!$G$10+Examples!$G$11)*$A384-(Examples!$G$6*Examples!$G$7*Examples!$G$8*EXP(-Examples!$G$9*$A384)*(1-(Examples!$G$12*(1-EXP(-Examples!$G$13*$A384))/(1+EXP(MIN(700,MAX(-700,(Examples!$G$14*$A384-Examples!$G$15)/Examples!$G$16))))))+Examples!$G$17*$A384^2)</f>
        <v>719545.0174242612</v>
      </c>
      <c r="K384" s="33">
        <f>(Examples!$G$6*Examples!$G$7*Examples!$G$8*EXP(-Examples!$G$9*$A384)*(1-(Examples!$G$12*(1-EXP(-Examples!$G$13*$A384))/(1+EXP(MIN(700,MAX(-700,(Examples!$G$14*$A384-Examples!$G$15)/Examples!$G$16))))))+Examples!$G$17*$A384^2)</f>
        <v>589454.9825757388</v>
      </c>
      <c r="L384" s="33">
        <f>Examples!$H$18-(Examples!$H$10+Examples!$H$11)*$A384-(Examples!$H$6*Examples!$H$7*Examples!$H$8*EXP(-Examples!$H$9*$A384)*(1-(Examples!$H$12*(1-EXP(-Examples!$H$13*$A384))/(1+EXP(MIN(700,MAX(-700,(Examples!$H$14*$A384-Examples!$H$15)/Examples!$H$16))))))+Examples!$H$17*$A384^2)</f>
        <v>672161.32355378394</v>
      </c>
      <c r="M384" s="33">
        <f>(Examples!$H$6*Examples!$H$7*Examples!$H$8*EXP(-Examples!$H$9*$A384)*(1-(Examples!$H$12*(1-EXP(-Examples!$H$13*$A384))/(1+EXP(MIN(700,MAX(-700,(Examples!$H$14*$A384-Examples!$H$15)/Examples!$H$16))))))+Examples!$H$17*$A384^2)</f>
        <v>636838.67644621606</v>
      </c>
    </row>
    <row r="385" spans="1:13" x14ac:dyDescent="0.25">
      <c r="A385">
        <f>(385-2)/100</f>
        <v>3.83</v>
      </c>
      <c r="B385" s="33">
        <f>Examples!$C$18-(Examples!$C$10+Examples!$C$11)*$A385-(Examples!$C$6*Examples!$C$7*Examples!$C$8*EXP(-Examples!$C$9*$A385)*(1-(Examples!$C$12*(1-EXP(-Examples!$C$13*$A385))/(1+EXP(MIN(700,MAX(-700,(Examples!$C$14*$A385-Examples!$C$15)/Examples!$C$16))))))+Examples!$C$17*$A385^2)</f>
        <v>55810.353217716969</v>
      </c>
      <c r="C385" s="33">
        <f>(Examples!$C$6*Examples!$C$7*Examples!$C$8*EXP(-Examples!$C$9*$A385)*(1-(Examples!$C$12*(1-EXP(-Examples!$C$13*$A385))/(1+EXP(MIN(700,MAX(-700,(Examples!$C$14*$A385-Examples!$C$15)/Examples!$C$16))))))+Examples!$C$17*$A385^2)</f>
        <v>410139.64678228303</v>
      </c>
      <c r="D385" s="33">
        <f>Examples!$D$18-(Examples!$D$10+Examples!$D$11)*$A385-(Examples!$D$6*Examples!$D$7*Examples!$D$8*EXP(-Examples!$D$9*$A385)*(1-(Examples!$D$12*(1-EXP(-Examples!$D$13*$A385))/(1+EXP(MIN(700,MAX(-700,(Examples!$D$14*$A385-Examples!$D$15)/Examples!$D$16))))))+Examples!$D$17*$A385^2)</f>
        <v>1525576.4625907764</v>
      </c>
      <c r="E385" s="33">
        <f>(Examples!$D$6*Examples!$D$7*Examples!$D$8*EXP(-Examples!$D$9*$A385)*(1-(Examples!$D$12*(1-EXP(-Examples!$D$13*$A385))/(1+EXP(MIN(700,MAX(-700,(Examples!$D$14*$A385-Examples!$D$15)/Examples!$D$16))))))+Examples!$D$17*$A385^2)</f>
        <v>802073.53740922362</v>
      </c>
      <c r="F385" s="33">
        <f>Examples!$E$18-(Examples!$E$10+Examples!$E$11)*$A385-(Examples!$E$6*Examples!$E$7*Examples!$E$8*EXP(-Examples!$E$9*$A385)*(1-(Examples!$E$12*(1-EXP(-Examples!$E$13*$A385))/(1+EXP(MIN(700,MAX(-700,(Examples!$E$14*$A385-Examples!$E$15)/Examples!$E$16))))))+Examples!$E$17*$A385^2)</f>
        <v>2458873.4465443245</v>
      </c>
      <c r="G385" s="33">
        <f>(Examples!$E$6*Examples!$E$7*Examples!$E$8*EXP(-Examples!$E$9*$A385)*(1-(Examples!$E$12*(1-EXP(-Examples!$E$13*$A385))/(1+EXP(MIN(700,MAX(-700,(Examples!$E$14*$A385-Examples!$E$15)/Examples!$E$16))))))+Examples!$E$17*$A385^2)</f>
        <v>215576.55345567566</v>
      </c>
      <c r="H385" s="33">
        <f>Examples!$F$18-(Examples!$F$10+Examples!$F$11)*$A385-(Examples!$F$6*Examples!$F$7*Examples!$F$8*EXP(-Examples!$F$9*$A385)*(1-(Examples!$F$12*(1-EXP(-Examples!$F$13*$A385))/(1+EXP(MIN(700,MAX(-700,(Examples!$F$14*$A385-Examples!$F$15)/Examples!$F$16))))))+Examples!$F$17*$A385^2)</f>
        <v>-225524.61765711458</v>
      </c>
      <c r="I385" s="33">
        <f>(Examples!$F$6*Examples!$F$7*Examples!$F$8*EXP(-Examples!$F$9*$A385)*(1-(Examples!$F$12*(1-EXP(-Examples!$F$13*$A385))/(1+EXP(MIN(700,MAX(-700,(Examples!$F$14*$A385-Examples!$F$15)/Examples!$F$16))))))+Examples!$F$17*$A385^2)</f>
        <v>298924.61765711458</v>
      </c>
      <c r="J385" s="33">
        <f>Examples!$G$18-(Examples!$G$10+Examples!$G$11)*$A385-(Examples!$G$6*Examples!$G$7*Examples!$G$8*EXP(-Examples!$G$9*$A385)*(1-(Examples!$G$12*(1-EXP(-Examples!$G$13*$A385))/(1+EXP(MIN(700,MAX(-700,(Examples!$G$14*$A385-Examples!$G$15)/Examples!$G$16))))))+Examples!$G$17*$A385^2)</f>
        <v>719536.59942144388</v>
      </c>
      <c r="K385" s="33">
        <f>(Examples!$G$6*Examples!$G$7*Examples!$G$8*EXP(-Examples!$G$9*$A385)*(1-(Examples!$G$12*(1-EXP(-Examples!$G$13*$A385))/(1+EXP(MIN(700,MAX(-700,(Examples!$G$14*$A385-Examples!$G$15)/Examples!$G$16))))))+Examples!$G$17*$A385^2)</f>
        <v>588963.40057855612</v>
      </c>
      <c r="L385" s="33">
        <f>Examples!$H$18-(Examples!$H$10+Examples!$H$11)*$A385-(Examples!$H$6*Examples!$H$7*Examples!$H$8*EXP(-Examples!$H$9*$A385)*(1-(Examples!$H$12*(1-EXP(-Examples!$H$13*$A385))/(1+EXP(MIN(700,MAX(-700,(Examples!$H$14*$A385-Examples!$H$15)/Examples!$H$16))))))+Examples!$H$17*$A385^2)</f>
        <v>672710.97549079696</v>
      </c>
      <c r="M385" s="33">
        <f>(Examples!$H$6*Examples!$H$7*Examples!$H$8*EXP(-Examples!$H$9*$A385)*(1-(Examples!$H$12*(1-EXP(-Examples!$H$13*$A385))/(1+EXP(MIN(700,MAX(-700,(Examples!$H$14*$A385-Examples!$H$15)/Examples!$H$16))))))+Examples!$H$17*$A385^2)</f>
        <v>635789.02450920304</v>
      </c>
    </row>
    <row r="386" spans="1:13" x14ac:dyDescent="0.25">
      <c r="A386">
        <f>(386-2)/100</f>
        <v>3.84</v>
      </c>
      <c r="B386" s="33">
        <f>Examples!$C$18-(Examples!$C$10+Examples!$C$11)*$A386-(Examples!$C$6*Examples!$C$7*Examples!$C$8*EXP(-Examples!$C$9*$A386)*(1-(Examples!$C$12*(1-EXP(-Examples!$C$13*$A386))/(1+EXP(MIN(700,MAX(-700,(Examples!$C$14*$A386-Examples!$C$15)/Examples!$C$16))))))+Examples!$C$17*$A386^2)</f>
        <v>54877.231617485406</v>
      </c>
      <c r="C386" s="33">
        <f>(Examples!$C$6*Examples!$C$7*Examples!$C$8*EXP(-Examples!$C$9*$A386)*(1-(Examples!$C$12*(1-EXP(-Examples!$C$13*$A386))/(1+EXP(MIN(700,MAX(-700,(Examples!$C$14*$A386-Examples!$C$15)/Examples!$C$16))))))+Examples!$C$17*$A386^2)</f>
        <v>410722.76838251459</v>
      </c>
      <c r="D386" s="33">
        <f>Examples!$D$18-(Examples!$D$10+Examples!$D$11)*$A386-(Examples!$D$6*Examples!$D$7*Examples!$D$8*EXP(-Examples!$D$9*$A386)*(1-(Examples!$D$12*(1-EXP(-Examples!$D$13*$A386))/(1+EXP(MIN(700,MAX(-700,(Examples!$D$14*$A386-Examples!$D$15)/Examples!$D$16))))))+Examples!$D$17*$A386^2)</f>
        <v>1525851.4580476978</v>
      </c>
      <c r="E386" s="33">
        <f>(Examples!$D$6*Examples!$D$7*Examples!$D$8*EXP(-Examples!$D$9*$A386)*(1-(Examples!$D$12*(1-EXP(-Examples!$D$13*$A386))/(1+EXP(MIN(700,MAX(-700,(Examples!$D$14*$A386-Examples!$D$15)/Examples!$D$16))))))+Examples!$D$17*$A386^2)</f>
        <v>801348.54195230221</v>
      </c>
      <c r="F386" s="33">
        <f>Examples!$E$18-(Examples!$E$10+Examples!$E$11)*$A386-(Examples!$E$6*Examples!$E$7*Examples!$E$8*EXP(-Examples!$E$9*$A386)*(1-(Examples!$E$12*(1-EXP(-Examples!$E$13*$A386))/(1+EXP(MIN(700,MAX(-700,(Examples!$E$14*$A386-Examples!$E$15)/Examples!$E$16))))))+Examples!$E$17*$A386^2)</f>
        <v>2458256.0230821022</v>
      </c>
      <c r="G386" s="33">
        <f>(Examples!$E$6*Examples!$E$7*Examples!$E$8*EXP(-Examples!$E$9*$A386)*(1-(Examples!$E$12*(1-EXP(-Examples!$E$13*$A386))/(1+EXP(MIN(700,MAX(-700,(Examples!$E$14*$A386-Examples!$E$15)/Examples!$E$16))))))+Examples!$E$17*$A386^2)</f>
        <v>215343.9769178977</v>
      </c>
      <c r="H386" s="33">
        <f>Examples!$F$18-(Examples!$F$10+Examples!$F$11)*$A386-(Examples!$F$6*Examples!$F$7*Examples!$F$8*EXP(-Examples!$F$9*$A386)*(1-(Examples!$F$12*(1-EXP(-Examples!$F$13*$A386))/(1+EXP(MIN(700,MAX(-700,(Examples!$F$14*$A386-Examples!$F$15)/Examples!$F$16))))))+Examples!$F$17*$A386^2)</f>
        <v>-227242.0053716749</v>
      </c>
      <c r="I386" s="33">
        <f>(Examples!$F$6*Examples!$F$7*Examples!$F$8*EXP(-Examples!$F$9*$A386)*(1-(Examples!$F$12*(1-EXP(-Examples!$F$13*$A386))/(1+EXP(MIN(700,MAX(-700,(Examples!$F$14*$A386-Examples!$F$15)/Examples!$F$16))))))+Examples!$F$17*$A386^2)</f>
        <v>300442.0053716749</v>
      </c>
      <c r="J386" s="33">
        <f>Examples!$G$18-(Examples!$G$10+Examples!$G$11)*$A386-(Examples!$G$6*Examples!$G$7*Examples!$G$8*EXP(-Examples!$G$9*$A386)*(1-(Examples!$G$12*(1-EXP(-Examples!$G$13*$A386))/(1+EXP(MIN(700,MAX(-700,(Examples!$G$14*$A386-Examples!$G$15)/Examples!$G$16))))))+Examples!$G$17*$A386^2)</f>
        <v>719528.96993488981</v>
      </c>
      <c r="K386" s="33">
        <f>(Examples!$G$6*Examples!$G$7*Examples!$G$8*EXP(-Examples!$G$9*$A386)*(1-(Examples!$G$12*(1-EXP(-Examples!$G$13*$A386))/(1+EXP(MIN(700,MAX(-700,(Examples!$G$14*$A386-Examples!$G$15)/Examples!$G$16))))))+Examples!$G$17*$A386^2)</f>
        <v>588471.03006511019</v>
      </c>
      <c r="L386" s="33">
        <f>Examples!$H$18-(Examples!$H$10+Examples!$H$11)*$A386-(Examples!$H$6*Examples!$H$7*Examples!$H$8*EXP(-Examples!$H$9*$A386)*(1-(Examples!$H$12*(1-EXP(-Examples!$H$13*$A386))/(1+EXP(MIN(700,MAX(-700,(Examples!$H$14*$A386-Examples!$H$15)/Examples!$H$16))))))+Examples!$H$17*$A386^2)</f>
        <v>673258.35477429349</v>
      </c>
      <c r="M386" s="33">
        <f>(Examples!$H$6*Examples!$H$7*Examples!$H$8*EXP(-Examples!$H$9*$A386)*(1-(Examples!$H$12*(1-EXP(-Examples!$H$13*$A386))/(1+EXP(MIN(700,MAX(-700,(Examples!$H$14*$A386-Examples!$H$15)/Examples!$H$16))))))+Examples!$H$17*$A386^2)</f>
        <v>634741.64522570651</v>
      </c>
    </row>
    <row r="387" spans="1:13" x14ac:dyDescent="0.25">
      <c r="A387">
        <f>(387-2)/100</f>
        <v>3.85</v>
      </c>
      <c r="B387" s="33">
        <f>Examples!$C$18-(Examples!$C$10+Examples!$C$11)*$A387-(Examples!$C$6*Examples!$C$7*Examples!$C$8*EXP(-Examples!$C$9*$A387)*(1-(Examples!$C$12*(1-EXP(-Examples!$C$13*$A387))/(1+EXP(MIN(700,MAX(-700,(Examples!$C$14*$A387-Examples!$C$15)/Examples!$C$16))))))+Examples!$C$17*$A387^2)</f>
        <v>53939.482188410824</v>
      </c>
      <c r="C387" s="33">
        <f>(Examples!$C$6*Examples!$C$7*Examples!$C$8*EXP(-Examples!$C$9*$A387)*(1-(Examples!$C$12*(1-EXP(-Examples!$C$13*$A387))/(1+EXP(MIN(700,MAX(-700,(Examples!$C$14*$A387-Examples!$C$15)/Examples!$C$16))))))+Examples!$C$17*$A387^2)</f>
        <v>411310.51781158918</v>
      </c>
      <c r="D387" s="33">
        <f>Examples!$D$18-(Examples!$D$10+Examples!$D$11)*$A387-(Examples!$D$6*Examples!$D$7*Examples!$D$8*EXP(-Examples!$D$9*$A387)*(1-(Examples!$D$12*(1-EXP(-Examples!$D$13*$A387))/(1+EXP(MIN(700,MAX(-700,(Examples!$D$14*$A387-Examples!$D$15)/Examples!$D$16))))))+Examples!$D$17*$A387^2)</f>
        <v>1526127.5790967743</v>
      </c>
      <c r="E387" s="33">
        <f>(Examples!$D$6*Examples!$D$7*Examples!$D$8*EXP(-Examples!$D$9*$A387)*(1-(Examples!$D$12*(1-EXP(-Examples!$D$13*$A387))/(1+EXP(MIN(700,MAX(-700,(Examples!$D$14*$A387-Examples!$D$15)/Examples!$D$16))))))+Examples!$D$17*$A387^2)</f>
        <v>800622.42090322566</v>
      </c>
      <c r="F387" s="33">
        <f>Examples!$E$18-(Examples!$E$10+Examples!$E$11)*$A387-(Examples!$E$6*Examples!$E$7*Examples!$E$8*EXP(-Examples!$E$9*$A387)*(1-(Examples!$E$12*(1-EXP(-Examples!$E$13*$A387))/(1+EXP(MIN(700,MAX(-700,(Examples!$E$14*$A387-Examples!$E$15)/Examples!$E$16))))))+Examples!$E$17*$A387^2)</f>
        <v>2457634.5776809412</v>
      </c>
      <c r="G387" s="33">
        <f>(Examples!$E$6*Examples!$E$7*Examples!$E$8*EXP(-Examples!$E$9*$A387)*(1-(Examples!$E$12*(1-EXP(-Examples!$E$13*$A387))/(1+EXP(MIN(700,MAX(-700,(Examples!$E$14*$A387-Examples!$E$15)/Examples!$E$16))))))+Examples!$E$17*$A387^2)</f>
        <v>215115.42231905882</v>
      </c>
      <c r="H387" s="33">
        <f>Examples!$F$18-(Examples!$F$10+Examples!$F$11)*$A387-(Examples!$F$6*Examples!$F$7*Examples!$F$8*EXP(-Examples!$F$9*$A387)*(1-(Examples!$F$12*(1-EXP(-Examples!$F$13*$A387))/(1+EXP(MIN(700,MAX(-700,(Examples!$F$14*$A387-Examples!$F$15)/Examples!$F$16))))))+Examples!$F$17*$A387^2)</f>
        <v>-228963.44274150912</v>
      </c>
      <c r="I387" s="33">
        <f>(Examples!$F$6*Examples!$F$7*Examples!$F$8*EXP(-Examples!$F$9*$A387)*(1-(Examples!$F$12*(1-EXP(-Examples!$F$13*$A387))/(1+EXP(MIN(700,MAX(-700,(Examples!$F$14*$A387-Examples!$F$15)/Examples!$F$16))))))+Examples!$F$17*$A387^2)</f>
        <v>301963.44274150912</v>
      </c>
      <c r="J387" s="33">
        <f>Examples!$G$18-(Examples!$G$10+Examples!$G$11)*$A387-(Examples!$G$6*Examples!$G$7*Examples!$G$8*EXP(-Examples!$G$9*$A387)*(1-(Examples!$G$12*(1-EXP(-Examples!$G$13*$A387))/(1+EXP(MIN(700,MAX(-700,(Examples!$G$14*$A387-Examples!$G$15)/Examples!$G$16))))))+Examples!$G$17*$A387^2)</f>
        <v>719522.07974055025</v>
      </c>
      <c r="K387" s="33">
        <f>(Examples!$G$6*Examples!$G$7*Examples!$G$8*EXP(-Examples!$G$9*$A387)*(1-(Examples!$G$12*(1-EXP(-Examples!$G$13*$A387))/(1+EXP(MIN(700,MAX(-700,(Examples!$G$14*$A387-Examples!$G$15)/Examples!$G$16))))))+Examples!$G$17*$A387^2)</f>
        <v>587977.92025944975</v>
      </c>
      <c r="L387" s="33">
        <f>Examples!$H$18-(Examples!$H$10+Examples!$H$11)*$A387-(Examples!$H$6*Examples!$H$7*Examples!$H$8*EXP(-Examples!$H$9*$A387)*(1-(Examples!$H$12*(1-EXP(-Examples!$H$13*$A387))/(1+EXP(MIN(700,MAX(-700,(Examples!$H$14*$A387-Examples!$H$15)/Examples!$H$16))))))+Examples!$H$17*$A387^2)</f>
        <v>673803.29935507965</v>
      </c>
      <c r="M387" s="33">
        <f>(Examples!$H$6*Examples!$H$7*Examples!$H$8*EXP(-Examples!$H$9*$A387)*(1-(Examples!$H$12*(1-EXP(-Examples!$H$13*$A387))/(1+EXP(MIN(700,MAX(-700,(Examples!$H$14*$A387-Examples!$H$15)/Examples!$H$16))))))+Examples!$H$17*$A387^2)</f>
        <v>633696.70064492035</v>
      </c>
    </row>
    <row r="388" spans="1:13" x14ac:dyDescent="0.25">
      <c r="A388">
        <f>(388-2)/100</f>
        <v>3.86</v>
      </c>
      <c r="B388" s="33">
        <f>Examples!$C$18-(Examples!$C$10+Examples!$C$11)*$A388-(Examples!$C$6*Examples!$C$7*Examples!$C$8*EXP(-Examples!$C$9*$A388)*(1-(Examples!$C$12*(1-EXP(-Examples!$C$13*$A388))/(1+EXP(MIN(700,MAX(-700,(Examples!$C$14*$A388-Examples!$C$15)/Examples!$C$16))))))+Examples!$C$17*$A388^2)</f>
        <v>52997.107353747997</v>
      </c>
      <c r="C388" s="33">
        <f>(Examples!$C$6*Examples!$C$7*Examples!$C$8*EXP(-Examples!$C$9*$A388)*(1-(Examples!$C$12*(1-EXP(-Examples!$C$13*$A388))/(1+EXP(MIN(700,MAX(-700,(Examples!$C$14*$A388-Examples!$C$15)/Examples!$C$16))))))+Examples!$C$17*$A388^2)</f>
        <v>411902.892646252</v>
      </c>
      <c r="D388" s="33">
        <f>Examples!$D$18-(Examples!$D$10+Examples!$D$11)*$A388-(Examples!$D$6*Examples!$D$7*Examples!$D$8*EXP(-Examples!$D$9*$A388)*(1-(Examples!$D$12*(1-EXP(-Examples!$D$13*$A388))/(1+EXP(MIN(700,MAX(-700,(Examples!$D$14*$A388-Examples!$D$15)/Examples!$D$16))))))+Examples!$D$17*$A388^2)</f>
        <v>1526405.0442405185</v>
      </c>
      <c r="E388" s="33">
        <f>(Examples!$D$6*Examples!$D$7*Examples!$D$8*EXP(-Examples!$D$9*$A388)*(1-(Examples!$D$12*(1-EXP(-Examples!$D$13*$A388))/(1+EXP(MIN(700,MAX(-700,(Examples!$D$14*$A388-Examples!$D$15)/Examples!$D$16))))))+Examples!$D$17*$A388^2)</f>
        <v>799894.95575948153</v>
      </c>
      <c r="F388" s="33">
        <f>Examples!$E$18-(Examples!$E$10+Examples!$E$11)*$A388-(Examples!$E$6*Examples!$E$7*Examples!$E$8*EXP(-Examples!$E$9*$A388)*(1-(Examples!$E$12*(1-EXP(-Examples!$E$13*$A388))/(1+EXP(MIN(700,MAX(-700,(Examples!$E$14*$A388-Examples!$E$15)/Examples!$E$16))))))+Examples!$E$17*$A388^2)</f>
        <v>2457009.1637092144</v>
      </c>
      <c r="G388" s="33">
        <f>(Examples!$E$6*Examples!$E$7*Examples!$E$8*EXP(-Examples!$E$9*$A388)*(1-(Examples!$E$12*(1-EXP(-Examples!$E$13*$A388))/(1+EXP(MIN(700,MAX(-700,(Examples!$E$14*$A388-Examples!$E$15)/Examples!$E$16))))))+Examples!$E$17*$A388^2)</f>
        <v>214890.83629078537</v>
      </c>
      <c r="H388" s="33">
        <f>Examples!$F$18-(Examples!$F$10+Examples!$F$11)*$A388-(Examples!$F$6*Examples!$F$7*Examples!$F$8*EXP(-Examples!$F$9*$A388)*(1-(Examples!$F$12*(1-EXP(-Examples!$F$13*$A388))/(1+EXP(MIN(700,MAX(-700,(Examples!$F$14*$A388-Examples!$F$15)/Examples!$F$16))))))+Examples!$F$17*$A388^2)</f>
        <v>-230688.92962219805</v>
      </c>
      <c r="I388" s="33">
        <f>(Examples!$F$6*Examples!$F$7*Examples!$F$8*EXP(-Examples!$F$9*$A388)*(1-(Examples!$F$12*(1-EXP(-Examples!$F$13*$A388))/(1+EXP(MIN(700,MAX(-700,(Examples!$F$14*$A388-Examples!$F$15)/Examples!$F$16))))))+Examples!$F$17*$A388^2)</f>
        <v>303488.92962219805</v>
      </c>
      <c r="J388" s="33">
        <f>Examples!$G$18-(Examples!$G$10+Examples!$G$11)*$A388-(Examples!$G$6*Examples!$G$7*Examples!$G$8*EXP(-Examples!$G$9*$A388)*(1-(Examples!$G$12*(1-EXP(-Examples!$G$13*$A388))/(1+EXP(MIN(700,MAX(-700,(Examples!$G$14*$A388-Examples!$G$15)/Examples!$G$16))))))+Examples!$G$17*$A388^2)</f>
        <v>719515.87925445754</v>
      </c>
      <c r="K388" s="33">
        <f>(Examples!$G$6*Examples!$G$7*Examples!$G$8*EXP(-Examples!$G$9*$A388)*(1-(Examples!$G$12*(1-EXP(-Examples!$G$13*$A388))/(1+EXP(MIN(700,MAX(-700,(Examples!$G$14*$A388-Examples!$G$15)/Examples!$G$16))))))+Examples!$G$17*$A388^2)</f>
        <v>587484.12074554246</v>
      </c>
      <c r="L388" s="33">
        <f>Examples!$H$18-(Examples!$H$10+Examples!$H$11)*$A388-(Examples!$H$6*Examples!$H$7*Examples!$H$8*EXP(-Examples!$H$9*$A388)*(1-(Examples!$H$12*(1-EXP(-Examples!$H$13*$A388))/(1+EXP(MIN(700,MAX(-700,(Examples!$H$14*$A388-Examples!$H$15)/Examples!$H$16))))))+Examples!$H$17*$A388^2)</f>
        <v>674345.65271553292</v>
      </c>
      <c r="M388" s="33">
        <f>(Examples!$H$6*Examples!$H$7*Examples!$H$8*EXP(-Examples!$H$9*$A388)*(1-(Examples!$H$12*(1-EXP(-Examples!$H$13*$A388))/(1+EXP(MIN(700,MAX(-700,(Examples!$H$14*$A388-Examples!$H$15)/Examples!$H$16))))))+Examples!$H$17*$A388^2)</f>
        <v>632654.34728446708</v>
      </c>
    </row>
    <row r="389" spans="1:13" x14ac:dyDescent="0.25">
      <c r="A389">
        <f>(389-2)/100</f>
        <v>3.87</v>
      </c>
      <c r="B389" s="33">
        <f>Examples!$C$18-(Examples!$C$10+Examples!$C$11)*$A389-(Examples!$C$6*Examples!$C$7*Examples!$C$8*EXP(-Examples!$C$9*$A389)*(1-(Examples!$C$12*(1-EXP(-Examples!$C$13*$A389))/(1+EXP(MIN(700,MAX(-700,(Examples!$C$14*$A389-Examples!$C$15)/Examples!$C$16))))))+Examples!$C$17*$A389^2)</f>
        <v>52050.109612606931</v>
      </c>
      <c r="C389" s="33">
        <f>(Examples!$C$6*Examples!$C$7*Examples!$C$8*EXP(-Examples!$C$9*$A389)*(1-(Examples!$C$12*(1-EXP(-Examples!$C$13*$A389))/(1+EXP(MIN(700,MAX(-700,(Examples!$C$14*$A389-Examples!$C$15)/Examples!$C$16))))))+Examples!$C$17*$A389^2)</f>
        <v>412499.89038739307</v>
      </c>
      <c r="D389" s="33">
        <f>Examples!$D$18-(Examples!$D$10+Examples!$D$11)*$A389-(Examples!$D$6*Examples!$D$7*Examples!$D$8*EXP(-Examples!$D$9*$A389)*(1-(Examples!$D$12*(1-EXP(-Examples!$D$13*$A389))/(1+EXP(MIN(700,MAX(-700,(Examples!$D$14*$A389-Examples!$D$15)/Examples!$D$16))))))+Examples!$D$17*$A389^2)</f>
        <v>1526684.0671812352</v>
      </c>
      <c r="E389" s="33">
        <f>(Examples!$D$6*Examples!$D$7*Examples!$D$8*EXP(-Examples!$D$9*$A389)*(1-(Examples!$D$12*(1-EXP(-Examples!$D$13*$A389))/(1+EXP(MIN(700,MAX(-700,(Examples!$D$14*$A389-Examples!$D$15)/Examples!$D$16))))))+Examples!$D$17*$A389^2)</f>
        <v>799165.9328187647</v>
      </c>
      <c r="F389" s="33">
        <f>Examples!$E$18-(Examples!$E$10+Examples!$E$11)*$A389-(Examples!$E$6*Examples!$E$7*Examples!$E$8*EXP(-Examples!$E$9*$A389)*(1-(Examples!$E$12*(1-EXP(-Examples!$E$13*$A389))/(1+EXP(MIN(700,MAX(-700,(Examples!$E$14*$A389-Examples!$E$15)/Examples!$E$16))))))+Examples!$E$17*$A389^2)</f>
        <v>2456379.8339811526</v>
      </c>
      <c r="G389" s="33">
        <f>(Examples!$E$6*Examples!$E$7*Examples!$E$8*EXP(-Examples!$E$9*$A389)*(1-(Examples!$E$12*(1-EXP(-Examples!$E$13*$A389))/(1+EXP(MIN(700,MAX(-700,(Examples!$E$14*$A389-Examples!$E$15)/Examples!$E$16))))))+Examples!$E$17*$A389^2)</f>
        <v>214670.16601884758</v>
      </c>
      <c r="H389" s="33">
        <f>Examples!$F$18-(Examples!$F$10+Examples!$F$11)*$A389-(Examples!$F$6*Examples!$F$7*Examples!$F$8*EXP(-Examples!$F$9*$A389)*(1-(Examples!$F$12*(1-EXP(-Examples!$F$13*$A389))/(1+EXP(MIN(700,MAX(-700,(Examples!$F$14*$A389-Examples!$F$15)/Examples!$F$16))))))+Examples!$F$17*$A389^2)</f>
        <v>-232418.46586958121</v>
      </c>
      <c r="I389" s="33">
        <f>(Examples!$F$6*Examples!$F$7*Examples!$F$8*EXP(-Examples!$F$9*$A389)*(1-(Examples!$F$12*(1-EXP(-Examples!$F$13*$A389))/(1+EXP(MIN(700,MAX(-700,(Examples!$F$14*$A389-Examples!$F$15)/Examples!$F$16))))))+Examples!$F$17*$A389^2)</f>
        <v>305018.46586958121</v>
      </c>
      <c r="J389" s="33">
        <f>Examples!$G$18-(Examples!$G$10+Examples!$G$11)*$A389-(Examples!$G$6*Examples!$G$7*Examples!$G$8*EXP(-Examples!$G$9*$A389)*(1-(Examples!$G$12*(1-EXP(-Examples!$G$13*$A389))/(1+EXP(MIN(700,MAX(-700,(Examples!$G$14*$A389-Examples!$G$15)/Examples!$G$16))))))+Examples!$G$17*$A389^2)</f>
        <v>719510.31856002985</v>
      </c>
      <c r="K389" s="33">
        <f>(Examples!$G$6*Examples!$G$7*Examples!$G$8*EXP(-Examples!$G$9*$A389)*(1-(Examples!$G$12*(1-EXP(-Examples!$G$13*$A389))/(1+EXP(MIN(700,MAX(-700,(Examples!$G$14*$A389-Examples!$G$15)/Examples!$G$16))))))+Examples!$G$17*$A389^2)</f>
        <v>586989.68143997015</v>
      </c>
      <c r="L389" s="33">
        <f>Examples!$H$18-(Examples!$H$10+Examples!$H$11)*$A389-(Examples!$H$6*Examples!$H$7*Examples!$H$8*EXP(-Examples!$H$9*$A389)*(1-(Examples!$H$12*(1-EXP(-Examples!$H$13*$A389))/(1+EXP(MIN(700,MAX(-700,(Examples!$H$14*$A389-Examples!$H$15)/Examples!$H$16))))))+Examples!$H$17*$A389^2)</f>
        <v>674885.26371878781</v>
      </c>
      <c r="M389" s="33">
        <f>(Examples!$H$6*Examples!$H$7*Examples!$H$8*EXP(-Examples!$H$9*$A389)*(1-(Examples!$H$12*(1-EXP(-Examples!$H$13*$A389))/(1+EXP(MIN(700,MAX(-700,(Examples!$H$14*$A389-Examples!$H$15)/Examples!$H$16))))))+Examples!$H$17*$A389^2)</f>
        <v>631614.73628121219</v>
      </c>
    </row>
    <row r="390" spans="1:13" x14ac:dyDescent="0.25">
      <c r="A390">
        <f>(390-2)/100</f>
        <v>3.88</v>
      </c>
      <c r="B390" s="33">
        <f>Examples!$C$18-(Examples!$C$10+Examples!$C$11)*$A390-(Examples!$C$6*Examples!$C$7*Examples!$C$8*EXP(-Examples!$C$9*$A390)*(1-(Examples!$C$12*(1-EXP(-Examples!$C$13*$A390))/(1+EXP(MIN(700,MAX(-700,(Examples!$C$14*$A390-Examples!$C$15)/Examples!$C$16))))))+Examples!$C$17*$A390^2)</f>
        <v>51098.491536944581</v>
      </c>
      <c r="C390" s="33">
        <f>(Examples!$C$6*Examples!$C$7*Examples!$C$8*EXP(-Examples!$C$9*$A390)*(1-(Examples!$C$12*(1-EXP(-Examples!$C$13*$A390))/(1+EXP(MIN(700,MAX(-700,(Examples!$C$14*$A390-Examples!$C$15)/Examples!$C$16))))))+Examples!$C$17*$A390^2)</f>
        <v>413101.50846305542</v>
      </c>
      <c r="D390" s="33">
        <f>Examples!$D$18-(Examples!$D$10+Examples!$D$11)*$A390-(Examples!$D$6*Examples!$D$7*Examples!$D$8*EXP(-Examples!$D$9*$A390)*(1-(Examples!$D$12*(1-EXP(-Examples!$D$13*$A390))/(1+EXP(MIN(700,MAX(-700,(Examples!$D$14*$A390-Examples!$D$15)/Examples!$D$16))))))+Examples!$D$17*$A390^2)</f>
        <v>1526964.8568022423</v>
      </c>
      <c r="E390" s="33">
        <f>(Examples!$D$6*Examples!$D$7*Examples!$D$8*EXP(-Examples!$D$9*$A390)*(1-(Examples!$D$12*(1-EXP(-Examples!$D$13*$A390))/(1+EXP(MIN(700,MAX(-700,(Examples!$D$14*$A390-Examples!$D$15)/Examples!$D$16))))))+Examples!$D$17*$A390^2)</f>
        <v>798435.14319775777</v>
      </c>
      <c r="F390" s="33">
        <f>Examples!$E$18-(Examples!$E$10+Examples!$E$11)*$A390-(Examples!$E$6*Examples!$E$7*Examples!$E$8*EXP(-Examples!$E$9*$A390)*(1-(Examples!$E$12*(1-EXP(-Examples!$E$13*$A390))/(1+EXP(MIN(700,MAX(-700,(Examples!$E$14*$A390-Examples!$E$15)/Examples!$E$16))))))+Examples!$E$17*$A390^2)</f>
        <v>2455746.6407614057</v>
      </c>
      <c r="G390" s="33">
        <f>(Examples!$E$6*Examples!$E$7*Examples!$E$8*EXP(-Examples!$E$9*$A390)*(1-(Examples!$E$12*(1-EXP(-Examples!$E$13*$A390))/(1+EXP(MIN(700,MAX(-700,(Examples!$E$14*$A390-Examples!$E$15)/Examples!$E$16))))))+Examples!$E$17*$A390^2)</f>
        <v>214453.35923859442</v>
      </c>
      <c r="H390" s="33">
        <f>Examples!$F$18-(Examples!$F$10+Examples!$F$11)*$A390-(Examples!$F$6*Examples!$F$7*Examples!$F$8*EXP(-Examples!$F$9*$A390)*(1-(Examples!$F$12*(1-EXP(-Examples!$F$13*$A390))/(1+EXP(MIN(700,MAX(-700,(Examples!$F$14*$A390-Examples!$F$15)/Examples!$F$16))))))+Examples!$F$17*$A390^2)</f>
        <v>-234152.05133976298</v>
      </c>
      <c r="I390" s="33">
        <f>(Examples!$F$6*Examples!$F$7*Examples!$F$8*EXP(-Examples!$F$9*$A390)*(1-(Examples!$F$12*(1-EXP(-Examples!$F$13*$A390))/(1+EXP(MIN(700,MAX(-700,(Examples!$F$14*$A390-Examples!$F$15)/Examples!$F$16))))))+Examples!$F$17*$A390^2)</f>
        <v>306552.05133976298</v>
      </c>
      <c r="J390" s="33">
        <f>Examples!$G$18-(Examples!$G$10+Examples!$G$11)*$A390-(Examples!$G$6*Examples!$G$7*Examples!$G$8*EXP(-Examples!$G$9*$A390)*(1-(Examples!$G$12*(1-EXP(-Examples!$G$13*$A390))/(1+EXP(MIN(700,MAX(-700,(Examples!$G$14*$A390-Examples!$G$15)/Examples!$G$16))))))+Examples!$G$17*$A390^2)</f>
        <v>719505.34743482433</v>
      </c>
      <c r="K390" s="33">
        <f>(Examples!$G$6*Examples!$G$7*Examples!$G$8*EXP(-Examples!$G$9*$A390)*(1-(Examples!$G$12*(1-EXP(-Examples!$G$13*$A390))/(1+EXP(MIN(700,MAX(-700,(Examples!$G$14*$A390-Examples!$G$15)/Examples!$G$16))))))+Examples!$G$17*$A390^2)</f>
        <v>586494.65256517567</v>
      </c>
      <c r="L390" s="33">
        <f>Examples!$H$18-(Examples!$H$10+Examples!$H$11)*$A390-(Examples!$H$6*Examples!$H$7*Examples!$H$8*EXP(-Examples!$H$9*$A390)*(1-(Examples!$H$12*(1-EXP(-Examples!$H$13*$A390))/(1+EXP(MIN(700,MAX(-700,(Examples!$H$14*$A390-Examples!$H$15)/Examples!$H$16))))))+Examples!$H$17*$A390^2)</f>
        <v>675421.98646074021</v>
      </c>
      <c r="M390" s="33">
        <f>(Examples!$H$6*Examples!$H$7*Examples!$H$8*EXP(-Examples!$H$9*$A390)*(1-(Examples!$H$12*(1-EXP(-Examples!$H$13*$A390))/(1+EXP(MIN(700,MAX(-700,(Examples!$H$14*$A390-Examples!$H$15)/Examples!$H$16))))))+Examples!$H$17*$A390^2)</f>
        <v>630578.01353925979</v>
      </c>
    </row>
    <row r="391" spans="1:13" x14ac:dyDescent="0.25">
      <c r="A391">
        <f>(391-2)/100</f>
        <v>3.89</v>
      </c>
      <c r="B391" s="33">
        <f>Examples!$C$18-(Examples!$C$10+Examples!$C$11)*$A391-(Examples!$C$6*Examples!$C$7*Examples!$C$8*EXP(-Examples!$C$9*$A391)*(1-(Examples!$C$12*(1-EXP(-Examples!$C$13*$A391))/(1+EXP(MIN(700,MAX(-700,(Examples!$C$14*$A391-Examples!$C$15)/Examples!$C$16))))))+Examples!$C$17*$A391^2)</f>
        <v>50142.255768657313</v>
      </c>
      <c r="C391" s="33">
        <f>(Examples!$C$6*Examples!$C$7*Examples!$C$8*EXP(-Examples!$C$9*$A391)*(1-(Examples!$C$12*(1-EXP(-Examples!$C$13*$A391))/(1+EXP(MIN(700,MAX(-700,(Examples!$C$14*$A391-Examples!$C$15)/Examples!$C$16))))))+Examples!$C$17*$A391^2)</f>
        <v>413707.74423134269</v>
      </c>
      <c r="D391" s="33">
        <f>Examples!$D$18-(Examples!$D$10+Examples!$D$11)*$A391-(Examples!$D$6*Examples!$D$7*Examples!$D$8*EXP(-Examples!$D$9*$A391)*(1-(Examples!$D$12*(1-EXP(-Examples!$D$13*$A391))/(1+EXP(MIN(700,MAX(-700,(Examples!$D$14*$A391-Examples!$D$15)/Examples!$D$16))))))+Examples!$D$17*$A391^2)</f>
        <v>1527247.6171510823</v>
      </c>
      <c r="E391" s="33">
        <f>(Examples!$D$6*Examples!$D$7*Examples!$D$8*EXP(-Examples!$D$9*$A391)*(1-(Examples!$D$12*(1-EXP(-Examples!$D$13*$A391))/(1+EXP(MIN(700,MAX(-700,(Examples!$D$14*$A391-Examples!$D$15)/Examples!$D$16))))))+Examples!$D$17*$A391^2)</f>
        <v>797702.38284891774</v>
      </c>
      <c r="F391" s="33">
        <f>Examples!$E$18-(Examples!$E$10+Examples!$E$11)*$A391-(Examples!$E$6*Examples!$E$7*Examples!$E$8*EXP(-Examples!$E$9*$A391)*(1-(Examples!$E$12*(1-EXP(-Examples!$E$13*$A391))/(1+EXP(MIN(700,MAX(-700,(Examples!$E$14*$A391-Examples!$E$15)/Examples!$E$16))))))+Examples!$E$17*$A391^2)</f>
        <v>2455109.6357695437</v>
      </c>
      <c r="G391" s="33">
        <f>(Examples!$E$6*Examples!$E$7*Examples!$E$8*EXP(-Examples!$E$9*$A391)*(1-(Examples!$E$12*(1-EXP(-Examples!$E$13*$A391))/(1+EXP(MIN(700,MAX(-700,(Examples!$E$14*$A391-Examples!$E$15)/Examples!$E$16))))))+Examples!$E$17*$A391^2)</f>
        <v>214240.36423045618</v>
      </c>
      <c r="H391" s="33">
        <f>Examples!$F$18-(Examples!$F$10+Examples!$F$11)*$A391-(Examples!$F$6*Examples!$F$7*Examples!$F$8*EXP(-Examples!$F$9*$A391)*(1-(Examples!$F$12*(1-EXP(-Examples!$F$13*$A391))/(1+EXP(MIN(700,MAX(-700,(Examples!$F$14*$A391-Examples!$F$15)/Examples!$F$16))))))+Examples!$F$17*$A391^2)</f>
        <v>-235889.68588911812</v>
      </c>
      <c r="I391" s="33">
        <f>(Examples!$F$6*Examples!$F$7*Examples!$F$8*EXP(-Examples!$F$9*$A391)*(1-(Examples!$F$12*(1-EXP(-Examples!$F$13*$A391))/(1+EXP(MIN(700,MAX(-700,(Examples!$F$14*$A391-Examples!$F$15)/Examples!$F$16))))))+Examples!$F$17*$A391^2)</f>
        <v>308089.68588911812</v>
      </c>
      <c r="J391" s="33">
        <f>Examples!$G$18-(Examples!$G$10+Examples!$G$11)*$A391-(Examples!$G$6*Examples!$G$7*Examples!$G$8*EXP(-Examples!$G$9*$A391)*(1-(Examples!$G$12*(1-EXP(-Examples!$G$13*$A391))/(1+EXP(MIN(700,MAX(-700,(Examples!$G$14*$A391-Examples!$G$15)/Examples!$G$16))))))+Examples!$G$17*$A391^2)</f>
        <v>719500.91537673713</v>
      </c>
      <c r="K391" s="33">
        <f>(Examples!$G$6*Examples!$G$7*Examples!$G$8*EXP(-Examples!$G$9*$A391)*(1-(Examples!$G$12*(1-EXP(-Examples!$G$13*$A391))/(1+EXP(MIN(700,MAX(-700,(Examples!$G$14*$A391-Examples!$G$15)/Examples!$G$16))))))+Examples!$G$17*$A391^2)</f>
        <v>585999.08462326287</v>
      </c>
      <c r="L391" s="33">
        <f>Examples!$H$18-(Examples!$H$10+Examples!$H$11)*$A391-(Examples!$H$6*Examples!$H$7*Examples!$H$8*EXP(-Examples!$H$9*$A391)*(1-(Examples!$H$12*(1-EXP(-Examples!$H$13*$A391))/(1+EXP(MIN(700,MAX(-700,(Examples!$H$14*$A391-Examples!$H$15)/Examples!$H$16))))))+Examples!$H$17*$A391^2)</f>
        <v>675955.68012490519</v>
      </c>
      <c r="M391" s="33">
        <f>(Examples!$H$6*Examples!$H$7*Examples!$H$8*EXP(-Examples!$H$9*$A391)*(1-(Examples!$H$12*(1-EXP(-Examples!$H$13*$A391))/(1+EXP(MIN(700,MAX(-700,(Examples!$H$14*$A391-Examples!$H$15)/Examples!$H$16))))))+Examples!$H$17*$A391^2)</f>
        <v>629544.31987509481</v>
      </c>
    </row>
    <row r="392" spans="1:13" x14ac:dyDescent="0.25">
      <c r="A392">
        <f>(392-2)/100</f>
        <v>3.9</v>
      </c>
      <c r="B392" s="33">
        <f>Examples!$C$18-(Examples!$C$10+Examples!$C$11)*$A392-(Examples!$C$6*Examples!$C$7*Examples!$C$8*EXP(-Examples!$C$9*$A392)*(1-(Examples!$C$12*(1-EXP(-Examples!$C$13*$A392))/(1+EXP(MIN(700,MAX(-700,(Examples!$C$14*$A392-Examples!$C$15)/Examples!$C$16))))))+Examples!$C$17*$A392^2)</f>
        <v>49181.405016770237</v>
      </c>
      <c r="C392" s="33">
        <f>(Examples!$C$6*Examples!$C$7*Examples!$C$8*EXP(-Examples!$C$9*$A392)*(1-(Examples!$C$12*(1-EXP(-Examples!$C$13*$A392))/(1+EXP(MIN(700,MAX(-700,(Examples!$C$14*$A392-Examples!$C$15)/Examples!$C$16))))))+Examples!$C$17*$A392^2)</f>
        <v>414318.59498322976</v>
      </c>
      <c r="D392" s="33">
        <f>Examples!$D$18-(Examples!$D$10+Examples!$D$11)*$A392-(Examples!$D$6*Examples!$D$7*Examples!$D$8*EXP(-Examples!$D$9*$A392)*(1-(Examples!$D$12*(1-EXP(-Examples!$D$13*$A392))/(1+EXP(MIN(700,MAX(-700,(Examples!$D$14*$A392-Examples!$D$15)/Examples!$D$16))))))+Examples!$D$17*$A392^2)</f>
        <v>1527532.5474247378</v>
      </c>
      <c r="E392" s="33">
        <f>(Examples!$D$6*Examples!$D$7*Examples!$D$8*EXP(-Examples!$D$9*$A392)*(1-(Examples!$D$12*(1-EXP(-Examples!$D$13*$A392))/(1+EXP(MIN(700,MAX(-700,(Examples!$D$14*$A392-Examples!$D$15)/Examples!$D$16))))))+Examples!$D$17*$A392^2)</f>
        <v>796967.45257526205</v>
      </c>
      <c r="F392" s="33">
        <f>Examples!$E$18-(Examples!$E$10+Examples!$E$11)*$A392-(Examples!$E$6*Examples!$E$7*Examples!$E$8*EXP(-Examples!$E$9*$A392)*(1-(Examples!$E$12*(1-EXP(-Examples!$E$13*$A392))/(1+EXP(MIN(700,MAX(-700,(Examples!$E$14*$A392-Examples!$E$15)/Examples!$E$16))))))+Examples!$E$17*$A392^2)</f>
        <v>2454468.8701844863</v>
      </c>
      <c r="G392" s="33">
        <f>(Examples!$E$6*Examples!$E$7*Examples!$E$8*EXP(-Examples!$E$9*$A392)*(1-(Examples!$E$12*(1-EXP(-Examples!$E$13*$A392))/(1+EXP(MIN(700,MAX(-700,(Examples!$E$14*$A392-Examples!$E$15)/Examples!$E$16))))))+Examples!$E$17*$A392^2)</f>
        <v>214031.12981551394</v>
      </c>
      <c r="H392" s="33">
        <f>Examples!$F$18-(Examples!$F$10+Examples!$F$11)*$A392-(Examples!$F$6*Examples!$F$7*Examples!$F$8*EXP(-Examples!$F$9*$A392)*(1-(Examples!$F$12*(1-EXP(-Examples!$F$13*$A392))/(1+EXP(MIN(700,MAX(-700,(Examples!$F$14*$A392-Examples!$F$15)/Examples!$F$16))))))+Examples!$F$17*$A392^2)</f>
        <v>-237631.36937429779</v>
      </c>
      <c r="I392" s="33">
        <f>(Examples!$F$6*Examples!$F$7*Examples!$F$8*EXP(-Examples!$F$9*$A392)*(1-(Examples!$F$12*(1-EXP(-Examples!$F$13*$A392))/(1+EXP(MIN(700,MAX(-700,(Examples!$F$14*$A392-Examples!$F$15)/Examples!$F$16))))))+Examples!$F$17*$A392^2)</f>
        <v>309631.36937429779</v>
      </c>
      <c r="J392" s="33">
        <f>Examples!$G$18-(Examples!$G$10+Examples!$G$11)*$A392-(Examples!$G$6*Examples!$G$7*Examples!$G$8*EXP(-Examples!$G$9*$A392)*(1-(Examples!$G$12*(1-EXP(-Examples!$G$13*$A392))/(1+EXP(MIN(700,MAX(-700,(Examples!$G$14*$A392-Examples!$G$15)/Examples!$G$16))))))+Examples!$G$17*$A392^2)</f>
        <v>719496.97162965313</v>
      </c>
      <c r="K392" s="33">
        <f>(Examples!$G$6*Examples!$G$7*Examples!$G$8*EXP(-Examples!$G$9*$A392)*(1-(Examples!$G$12*(1-EXP(-Examples!$G$13*$A392))/(1+EXP(MIN(700,MAX(-700,(Examples!$G$14*$A392-Examples!$G$15)/Examples!$G$16))))))+Examples!$G$17*$A392^2)</f>
        <v>585503.02837034687</v>
      </c>
      <c r="L392" s="33">
        <f>Examples!$H$18-(Examples!$H$10+Examples!$H$11)*$A392-(Examples!$H$6*Examples!$H$7*Examples!$H$8*EXP(-Examples!$H$9*$A392)*(1-(Examples!$H$12*(1-EXP(-Examples!$H$13*$A392))/(1+EXP(MIN(700,MAX(-700,(Examples!$H$14*$A392-Examples!$H$15)/Examples!$H$16))))))+Examples!$H$17*$A392^2)</f>
        <v>676486.20884015516</v>
      </c>
      <c r="M392" s="33">
        <f>(Examples!$H$6*Examples!$H$7*Examples!$H$8*EXP(-Examples!$H$9*$A392)*(1-(Examples!$H$12*(1-EXP(-Examples!$H$13*$A392))/(1+EXP(MIN(700,MAX(-700,(Examples!$H$14*$A392-Examples!$H$15)/Examples!$H$16))))))+Examples!$H$17*$A392^2)</f>
        <v>628513.79115984484</v>
      </c>
    </row>
    <row r="393" spans="1:13" x14ac:dyDescent="0.25">
      <c r="A393">
        <f>(393-2)/100</f>
        <v>3.91</v>
      </c>
      <c r="B393" s="33">
        <f>Examples!$C$18-(Examples!$C$10+Examples!$C$11)*$A393-(Examples!$C$6*Examples!$C$7*Examples!$C$8*EXP(-Examples!$C$9*$A393)*(1-(Examples!$C$12*(1-EXP(-Examples!$C$13*$A393))/(1+EXP(MIN(700,MAX(-700,(Examples!$C$14*$A393-Examples!$C$15)/Examples!$C$16))))))+Examples!$C$17*$A393^2)</f>
        <v>48215.94205472077</v>
      </c>
      <c r="C393" s="33">
        <f>(Examples!$C$6*Examples!$C$7*Examples!$C$8*EXP(-Examples!$C$9*$A393)*(1-(Examples!$C$12*(1-EXP(-Examples!$C$13*$A393))/(1+EXP(MIN(700,MAX(-700,(Examples!$C$14*$A393-Examples!$C$15)/Examples!$C$16))))))+Examples!$C$17*$A393^2)</f>
        <v>414934.05794527923</v>
      </c>
      <c r="D393" s="33">
        <f>Examples!$D$18-(Examples!$D$10+Examples!$D$11)*$A393-(Examples!$D$6*Examples!$D$7*Examples!$D$8*EXP(-Examples!$D$9*$A393)*(1-(Examples!$D$12*(1-EXP(-Examples!$D$13*$A393))/(1+EXP(MIN(700,MAX(-700,(Examples!$D$14*$A393-Examples!$D$15)/Examples!$D$16))))))+Examples!$D$17*$A393^2)</f>
        <v>1527819.8419568678</v>
      </c>
      <c r="E393" s="33">
        <f>(Examples!$D$6*Examples!$D$7*Examples!$D$8*EXP(-Examples!$D$9*$A393)*(1-(Examples!$D$12*(1-EXP(-Examples!$D$13*$A393))/(1+EXP(MIN(700,MAX(-700,(Examples!$D$14*$A393-Examples!$D$15)/Examples!$D$16))))))+Examples!$D$17*$A393^2)</f>
        <v>796230.15804313205</v>
      </c>
      <c r="F393" s="33">
        <f>Examples!$E$18-(Examples!$E$10+Examples!$E$11)*$A393-(Examples!$E$6*Examples!$E$7*Examples!$E$8*EXP(-Examples!$E$9*$A393)*(1-(Examples!$E$12*(1-EXP(-Examples!$E$13*$A393))/(1+EXP(MIN(700,MAX(-700,(Examples!$E$14*$A393-Examples!$E$15)/Examples!$E$16))))))+Examples!$E$17*$A393^2)</f>
        <v>2453824.3946488653</v>
      </c>
      <c r="G393" s="33">
        <f>(Examples!$E$6*Examples!$E$7*Examples!$E$8*EXP(-Examples!$E$9*$A393)*(1-(Examples!$E$12*(1-EXP(-Examples!$E$13*$A393))/(1+EXP(MIN(700,MAX(-700,(Examples!$E$14*$A393-Examples!$E$15)/Examples!$E$16))))))+Examples!$E$17*$A393^2)</f>
        <v>213825.60535113473</v>
      </c>
      <c r="H393" s="33">
        <f>Examples!$F$18-(Examples!$F$10+Examples!$F$11)*$A393-(Examples!$F$6*Examples!$F$7*Examples!$F$8*EXP(-Examples!$F$9*$A393)*(1-(Examples!$F$12*(1-EXP(-Examples!$F$13*$A393))/(1+EXP(MIN(700,MAX(-700,(Examples!$F$14*$A393-Examples!$F$15)/Examples!$F$16))))))+Examples!$F$17*$A393^2)</f>
        <v>-239377.10165223497</v>
      </c>
      <c r="I393" s="33">
        <f>(Examples!$F$6*Examples!$F$7*Examples!$F$8*EXP(-Examples!$F$9*$A393)*(1-(Examples!$F$12*(1-EXP(-Examples!$F$13*$A393))/(1+EXP(MIN(700,MAX(-700,(Examples!$F$14*$A393-Examples!$F$15)/Examples!$F$16))))))+Examples!$F$17*$A393^2)</f>
        <v>311177.10165223497</v>
      </c>
      <c r="J393" s="33">
        <f>Examples!$G$18-(Examples!$G$10+Examples!$G$11)*$A393-(Examples!$G$6*Examples!$G$7*Examples!$G$8*EXP(-Examples!$G$9*$A393)*(1-(Examples!$G$12*(1-EXP(-Examples!$G$13*$A393))/(1+EXP(MIN(700,MAX(-700,(Examples!$G$14*$A393-Examples!$G$15)/Examples!$G$16))))))+Examples!$G$17*$A393^2)</f>
        <v>719493.465208543</v>
      </c>
      <c r="K393" s="33">
        <f>(Examples!$G$6*Examples!$G$7*Examples!$G$8*EXP(-Examples!$G$9*$A393)*(1-(Examples!$G$12*(1-EXP(-Examples!$G$13*$A393))/(1+EXP(MIN(700,MAX(-700,(Examples!$G$14*$A393-Examples!$G$15)/Examples!$G$16))))))+Examples!$G$17*$A393^2)</f>
        <v>585006.534791457</v>
      </c>
      <c r="L393" s="33">
        <f>Examples!$H$18-(Examples!$H$10+Examples!$H$11)*$A393-(Examples!$H$6*Examples!$H$7*Examples!$H$8*EXP(-Examples!$H$9*$A393)*(1-(Examples!$H$12*(1-EXP(-Examples!$H$13*$A393))/(1+EXP(MIN(700,MAX(-700,(Examples!$H$14*$A393-Examples!$H$15)/Examples!$H$16))))))+Examples!$H$17*$A393^2)</f>
        <v>677013.44154135836</v>
      </c>
      <c r="M393" s="33">
        <f>(Examples!$H$6*Examples!$H$7*Examples!$H$8*EXP(-Examples!$H$9*$A393)*(1-(Examples!$H$12*(1-EXP(-Examples!$H$13*$A393))/(1+EXP(MIN(700,MAX(-700,(Examples!$H$14*$A393-Examples!$H$15)/Examples!$H$16))))))+Examples!$H$17*$A393^2)</f>
        <v>627486.55845864164</v>
      </c>
    </row>
    <row r="394" spans="1:13" x14ac:dyDescent="0.25">
      <c r="A394">
        <f>(394-2)/100</f>
        <v>3.92</v>
      </c>
      <c r="B394" s="33">
        <f>Examples!$C$18-(Examples!$C$10+Examples!$C$11)*$A394-(Examples!$C$6*Examples!$C$7*Examples!$C$8*EXP(-Examples!$C$9*$A394)*(1-(Examples!$C$12*(1-EXP(-Examples!$C$13*$A394))/(1+EXP(MIN(700,MAX(-700,(Examples!$C$14*$A394-Examples!$C$15)/Examples!$C$16))))))+Examples!$C$17*$A394^2)</f>
        <v>47245.869717732421</v>
      </c>
      <c r="C394" s="33">
        <f>(Examples!$C$6*Examples!$C$7*Examples!$C$8*EXP(-Examples!$C$9*$A394)*(1-(Examples!$C$12*(1-EXP(-Examples!$C$13*$A394))/(1+EXP(MIN(700,MAX(-700,(Examples!$C$14*$A394-Examples!$C$15)/Examples!$C$16))))))+Examples!$C$17*$A394^2)</f>
        <v>415554.13028226758</v>
      </c>
      <c r="D394" s="33">
        <f>Examples!$D$18-(Examples!$D$10+Examples!$D$11)*$A394-(Examples!$D$6*Examples!$D$7*Examples!$D$8*EXP(-Examples!$D$9*$A394)*(1-(Examples!$D$12*(1-EXP(-Examples!$D$13*$A394))/(1+EXP(MIN(700,MAX(-700,(Examples!$D$14*$A394-Examples!$D$15)/Examples!$D$16))))))+Examples!$D$17*$A394^2)</f>
        <v>1528109.6902070716</v>
      </c>
      <c r="E394" s="33">
        <f>(Examples!$D$6*Examples!$D$7*Examples!$D$8*EXP(-Examples!$D$9*$A394)*(1-(Examples!$D$12*(1-EXP(-Examples!$D$13*$A394))/(1+EXP(MIN(700,MAX(-700,(Examples!$D$14*$A394-Examples!$D$15)/Examples!$D$16))))))+Examples!$D$17*$A394^2)</f>
        <v>795490.3097929284</v>
      </c>
      <c r="F394" s="33">
        <f>Examples!$E$18-(Examples!$E$10+Examples!$E$11)*$A394-(Examples!$E$6*Examples!$E$7*Examples!$E$8*EXP(-Examples!$E$9*$A394)*(1-(Examples!$E$12*(1-EXP(-Examples!$E$13*$A394))/(1+EXP(MIN(700,MAX(-700,(Examples!$E$14*$A394-Examples!$E$15)/Examples!$E$16))))))+Examples!$E$17*$A394^2)</f>
        <v>2453176.2592733279</v>
      </c>
      <c r="G394" s="33">
        <f>(Examples!$E$6*Examples!$E$7*Examples!$E$8*EXP(-Examples!$E$9*$A394)*(1-(Examples!$E$12*(1-EXP(-Examples!$E$13*$A394))/(1+EXP(MIN(700,MAX(-700,(Examples!$E$14*$A394-Examples!$E$15)/Examples!$E$16))))))+Examples!$E$17*$A394^2)</f>
        <v>213623.74072667223</v>
      </c>
      <c r="H394" s="33">
        <f>Examples!$F$18-(Examples!$F$10+Examples!$F$11)*$A394-(Examples!$F$6*Examples!$F$7*Examples!$F$8*EXP(-Examples!$F$9*$A394)*(1-(Examples!$F$12*(1-EXP(-Examples!$F$13*$A394))/(1+EXP(MIN(700,MAX(-700,(Examples!$F$14*$A394-Examples!$F$15)/Examples!$F$16))))))+Examples!$F$17*$A394^2)</f>
        <v>-241126.88258014881</v>
      </c>
      <c r="I394" s="33">
        <f>(Examples!$F$6*Examples!$F$7*Examples!$F$8*EXP(-Examples!$F$9*$A394)*(1-(Examples!$F$12*(1-EXP(-Examples!$F$13*$A394))/(1+EXP(MIN(700,MAX(-700,(Examples!$F$14*$A394-Examples!$F$15)/Examples!$F$16))))))+Examples!$F$17*$A394^2)</f>
        <v>312726.88258014881</v>
      </c>
      <c r="J394" s="33">
        <f>Examples!$G$18-(Examples!$G$10+Examples!$G$11)*$A394-(Examples!$G$6*Examples!$G$7*Examples!$G$8*EXP(-Examples!$G$9*$A394)*(1-(Examples!$G$12*(1-EXP(-Examples!$G$13*$A394))/(1+EXP(MIN(700,MAX(-700,(Examples!$G$14*$A394-Examples!$G$15)/Examples!$G$16))))))+Examples!$G$17*$A394^2)</f>
        <v>719490.34492401348</v>
      </c>
      <c r="K394" s="33">
        <f>(Examples!$G$6*Examples!$G$7*Examples!$G$8*EXP(-Examples!$G$9*$A394)*(1-(Examples!$G$12*(1-EXP(-Examples!$G$13*$A394))/(1+EXP(MIN(700,MAX(-700,(Examples!$G$14*$A394-Examples!$G$15)/Examples!$G$16))))))+Examples!$G$17*$A394^2)</f>
        <v>584509.65507598652</v>
      </c>
      <c r="L394" s="33">
        <f>Examples!$H$18-(Examples!$H$10+Examples!$H$11)*$A394-(Examples!$H$6*Examples!$H$7*Examples!$H$8*EXP(-Examples!$H$9*$A394)*(1-(Examples!$H$12*(1-EXP(-Examples!$H$13*$A394))/(1+EXP(MIN(700,MAX(-700,(Examples!$H$14*$A394-Examples!$H$15)/Examples!$H$16))))))+Examples!$H$17*$A394^2)</f>
        <v>677537.25183293165</v>
      </c>
      <c r="M394" s="33">
        <f>(Examples!$H$6*Examples!$H$7*Examples!$H$8*EXP(-Examples!$H$9*$A394)*(1-(Examples!$H$12*(1-EXP(-Examples!$H$13*$A394))/(1+EXP(MIN(700,MAX(-700,(Examples!$H$14*$A394-Examples!$H$15)/Examples!$H$16))))))+Examples!$H$17*$A394^2)</f>
        <v>626462.74816706835</v>
      </c>
    </row>
    <row r="395" spans="1:13" x14ac:dyDescent="0.25">
      <c r="A395">
        <f>(395-2)/100</f>
        <v>3.93</v>
      </c>
      <c r="B395" s="33">
        <f>Examples!$C$18-(Examples!$C$10+Examples!$C$11)*$A395-(Examples!$C$6*Examples!$C$7*Examples!$C$8*EXP(-Examples!$C$9*$A395)*(1-(Examples!$C$12*(1-EXP(-Examples!$C$13*$A395))/(1+EXP(MIN(700,MAX(-700,(Examples!$C$14*$A395-Examples!$C$15)/Examples!$C$16))))))+Examples!$C$17*$A395^2)</f>
        <v>46271.190900277346</v>
      </c>
      <c r="C395" s="33">
        <f>(Examples!$C$6*Examples!$C$7*Examples!$C$8*EXP(-Examples!$C$9*$A395)*(1-(Examples!$C$12*(1-EXP(-Examples!$C$13*$A395))/(1+EXP(MIN(700,MAX(-700,(Examples!$C$14*$A395-Examples!$C$15)/Examples!$C$16))))))+Examples!$C$17*$A395^2)</f>
        <v>416178.80909972265</v>
      </c>
      <c r="D395" s="33">
        <f>Examples!$D$18-(Examples!$D$10+Examples!$D$11)*$A395-(Examples!$D$6*Examples!$D$7*Examples!$D$8*EXP(-Examples!$D$9*$A395)*(1-(Examples!$D$12*(1-EXP(-Examples!$D$13*$A395))/(1+EXP(MIN(700,MAX(-700,(Examples!$D$14*$A395-Examples!$D$15)/Examples!$D$16))))))+Examples!$D$17*$A395^2)</f>
        <v>1528402.2767521944</v>
      </c>
      <c r="E395" s="33">
        <f>(Examples!$D$6*Examples!$D$7*Examples!$D$8*EXP(-Examples!$D$9*$A395)*(1-(Examples!$D$12*(1-EXP(-Examples!$D$13*$A395))/(1+EXP(MIN(700,MAX(-700,(Examples!$D$14*$A395-Examples!$D$15)/Examples!$D$16))))))+Examples!$D$17*$A395^2)</f>
        <v>794747.72324780561</v>
      </c>
      <c r="F395" s="33">
        <f>Examples!$E$18-(Examples!$E$10+Examples!$E$11)*$A395-(Examples!$E$6*Examples!$E$7*Examples!$E$8*EXP(-Examples!$E$9*$A395)*(1-(Examples!$E$12*(1-EXP(-Examples!$E$13*$A395))/(1+EXP(MIN(700,MAX(-700,(Examples!$E$14*$A395-Examples!$E$15)/Examples!$E$16))))))+Examples!$E$17*$A395^2)</f>
        <v>2452524.5136407698</v>
      </c>
      <c r="G395" s="33">
        <f>(Examples!$E$6*Examples!$E$7*Examples!$E$8*EXP(-Examples!$E$9*$A395)*(1-(Examples!$E$12*(1-EXP(-Examples!$E$13*$A395))/(1+EXP(MIN(700,MAX(-700,(Examples!$E$14*$A395-Examples!$E$15)/Examples!$E$16))))))+Examples!$E$17*$A395^2)</f>
        <v>213425.48635923013</v>
      </c>
      <c r="H395" s="33">
        <f>Examples!$F$18-(Examples!$F$10+Examples!$F$11)*$A395-(Examples!$F$6*Examples!$F$7*Examples!$F$8*EXP(-Examples!$F$9*$A395)*(1-(Examples!$F$12*(1-EXP(-Examples!$F$13*$A395))/(1+EXP(MIN(700,MAX(-700,(Examples!$F$14*$A395-Examples!$F$15)/Examples!$F$16))))))+Examples!$F$17*$A395^2)</f>
        <v>-242880.71201555053</v>
      </c>
      <c r="I395" s="33">
        <f>(Examples!$F$6*Examples!$F$7*Examples!$F$8*EXP(-Examples!$F$9*$A395)*(1-(Examples!$F$12*(1-EXP(-Examples!$F$13*$A395))/(1+EXP(MIN(700,MAX(-700,(Examples!$F$14*$A395-Examples!$F$15)/Examples!$F$16))))))+Examples!$F$17*$A395^2)</f>
        <v>314280.71201555053</v>
      </c>
      <c r="J395" s="33">
        <f>Examples!$G$18-(Examples!$G$10+Examples!$G$11)*$A395-(Examples!$G$6*Examples!$G$7*Examples!$G$8*EXP(-Examples!$G$9*$A395)*(1-(Examples!$G$12*(1-EXP(-Examples!$G$13*$A395))/(1+EXP(MIN(700,MAX(-700,(Examples!$G$14*$A395-Examples!$G$15)/Examples!$G$16))))))+Examples!$G$17*$A395^2)</f>
        <v>719487.55940630811</v>
      </c>
      <c r="K395" s="33">
        <f>(Examples!$G$6*Examples!$G$7*Examples!$G$8*EXP(-Examples!$G$9*$A395)*(1-(Examples!$G$12*(1-EXP(-Examples!$G$13*$A395))/(1+EXP(MIN(700,MAX(-700,(Examples!$G$14*$A395-Examples!$G$15)/Examples!$G$16))))))+Examples!$G$17*$A395^2)</f>
        <v>584012.44059369189</v>
      </c>
      <c r="L395" s="33">
        <f>Examples!$H$18-(Examples!$H$10+Examples!$H$11)*$A395-(Examples!$H$6*Examples!$H$7*Examples!$H$8*EXP(-Examples!$H$9*$A395)*(1-(Examples!$H$12*(1-EXP(-Examples!$H$13*$A395))/(1+EXP(MIN(700,MAX(-700,(Examples!$H$14*$A395-Examples!$H$15)/Examples!$H$16))))))+Examples!$H$17*$A395^2)</f>
        <v>678057.51785530988</v>
      </c>
      <c r="M395" s="33">
        <f>(Examples!$H$6*Examples!$H$7*Examples!$H$8*EXP(-Examples!$H$9*$A395)*(1-(Examples!$H$12*(1-EXP(-Examples!$H$13*$A395))/(1+EXP(MIN(700,MAX(-700,(Examples!$H$14*$A395-Examples!$H$15)/Examples!$H$16))))))+Examples!$H$17*$A395^2)</f>
        <v>625442.48214469012</v>
      </c>
    </row>
    <row r="396" spans="1:13" x14ac:dyDescent="0.25">
      <c r="A396">
        <f>(396-2)/100</f>
        <v>3.94</v>
      </c>
      <c r="B396" s="33">
        <f>Examples!$C$18-(Examples!$C$10+Examples!$C$11)*$A396-(Examples!$C$6*Examples!$C$7*Examples!$C$8*EXP(-Examples!$C$9*$A396)*(1-(Examples!$C$12*(1-EXP(-Examples!$C$13*$A396))/(1+EXP(MIN(700,MAX(-700,(Examples!$C$14*$A396-Examples!$C$15)/Examples!$C$16))))))+Examples!$C$17*$A396^2)</f>
        <v>45291.908553623711</v>
      </c>
      <c r="C396" s="33">
        <f>(Examples!$C$6*Examples!$C$7*Examples!$C$8*EXP(-Examples!$C$9*$A396)*(1-(Examples!$C$12*(1-EXP(-Examples!$C$13*$A396))/(1+EXP(MIN(700,MAX(-700,(Examples!$C$14*$A396-Examples!$C$15)/Examples!$C$16))))))+Examples!$C$17*$A396^2)</f>
        <v>416808.09144637629</v>
      </c>
      <c r="D396" s="33">
        <f>Examples!$D$18-(Examples!$D$10+Examples!$D$11)*$A396-(Examples!$D$6*Examples!$D$7*Examples!$D$8*EXP(-Examples!$D$9*$A396)*(1-(Examples!$D$12*(1-EXP(-Examples!$D$13*$A396))/(1+EXP(MIN(700,MAX(-700,(Examples!$D$14*$A396-Examples!$D$15)/Examples!$D$16))))))+Examples!$D$17*$A396^2)</f>
        <v>1528697.7812796775</v>
      </c>
      <c r="E396" s="33">
        <f>(Examples!$D$6*Examples!$D$7*Examples!$D$8*EXP(-Examples!$D$9*$A396)*(1-(Examples!$D$12*(1-EXP(-Examples!$D$13*$A396))/(1+EXP(MIN(700,MAX(-700,(Examples!$D$14*$A396-Examples!$D$15)/Examples!$D$16))))))+Examples!$D$17*$A396^2)</f>
        <v>794002.21872032236</v>
      </c>
      <c r="F396" s="33">
        <f>Examples!$E$18-(Examples!$E$10+Examples!$E$11)*$A396-(Examples!$E$6*Examples!$E$7*Examples!$E$8*EXP(-Examples!$E$9*$A396)*(1-(Examples!$E$12*(1-EXP(-Examples!$E$13*$A396))/(1+EXP(MIN(700,MAX(-700,(Examples!$E$14*$A396-Examples!$E$15)/Examples!$E$16))))))+Examples!$E$17*$A396^2)</f>
        <v>2451869.2068105107</v>
      </c>
      <c r="G396" s="33">
        <f>(Examples!$E$6*Examples!$E$7*Examples!$E$8*EXP(-Examples!$E$9*$A396)*(1-(Examples!$E$12*(1-EXP(-Examples!$E$13*$A396))/(1+EXP(MIN(700,MAX(-700,(Examples!$E$14*$A396-Examples!$E$15)/Examples!$E$16))))))+Examples!$E$17*$A396^2)</f>
        <v>213230.79318948911</v>
      </c>
      <c r="H396" s="33">
        <f>Examples!$F$18-(Examples!$F$10+Examples!$F$11)*$A396-(Examples!$F$6*Examples!$F$7*Examples!$F$8*EXP(-Examples!$F$9*$A396)*(1-(Examples!$F$12*(1-EXP(-Examples!$F$13*$A396))/(1+EXP(MIN(700,MAX(-700,(Examples!$F$14*$A396-Examples!$F$15)/Examples!$F$16))))))+Examples!$F$17*$A396^2)</f>
        <v>-244638.58981624711</v>
      </c>
      <c r="I396" s="33">
        <f>(Examples!$F$6*Examples!$F$7*Examples!$F$8*EXP(-Examples!$F$9*$A396)*(1-(Examples!$F$12*(1-EXP(-Examples!$F$13*$A396))/(1+EXP(MIN(700,MAX(-700,(Examples!$F$14*$A396-Examples!$F$15)/Examples!$F$16))))))+Examples!$F$17*$A396^2)</f>
        <v>315838.58981624711</v>
      </c>
      <c r="J396" s="33">
        <f>Examples!$G$18-(Examples!$G$10+Examples!$G$11)*$A396-(Examples!$G$6*Examples!$G$7*Examples!$G$8*EXP(-Examples!$G$9*$A396)*(1-(Examples!$G$12*(1-EXP(-Examples!$G$13*$A396))/(1+EXP(MIN(700,MAX(-700,(Examples!$G$14*$A396-Examples!$G$15)/Examples!$G$16))))))+Examples!$G$17*$A396^2)</f>
        <v>719485.05712876201</v>
      </c>
      <c r="K396" s="33">
        <f>(Examples!$G$6*Examples!$G$7*Examples!$G$8*EXP(-Examples!$G$9*$A396)*(1-(Examples!$G$12*(1-EXP(-Examples!$G$13*$A396))/(1+EXP(MIN(700,MAX(-700,(Examples!$G$14*$A396-Examples!$G$15)/Examples!$G$16))))))+Examples!$G$17*$A396^2)</f>
        <v>583514.94287123799</v>
      </c>
      <c r="L396" s="33">
        <f>Examples!$H$18-(Examples!$H$10+Examples!$H$11)*$A396-(Examples!$H$6*Examples!$H$7*Examples!$H$8*EXP(-Examples!$H$9*$A396)*(1-(Examples!$H$12*(1-EXP(-Examples!$H$13*$A396))/(1+EXP(MIN(700,MAX(-700,(Examples!$H$14*$A396-Examples!$H$15)/Examples!$H$16))))))+Examples!$H$17*$A396^2)</f>
        <v>678574.12215433607</v>
      </c>
      <c r="M396" s="33">
        <f>(Examples!$H$6*Examples!$H$7*Examples!$H$8*EXP(-Examples!$H$9*$A396)*(1-(Examples!$H$12*(1-EXP(-Examples!$H$13*$A396))/(1+EXP(MIN(700,MAX(-700,(Examples!$H$14*$A396-Examples!$H$15)/Examples!$H$16))))))+Examples!$H$17*$A396^2)</f>
        <v>624425.87784566393</v>
      </c>
    </row>
    <row r="397" spans="1:13" x14ac:dyDescent="0.25">
      <c r="A397">
        <f>(397-2)/100</f>
        <v>3.95</v>
      </c>
      <c r="B397" s="33">
        <f>Examples!$C$18-(Examples!$C$10+Examples!$C$11)*$A397-(Examples!$C$6*Examples!$C$7*Examples!$C$8*EXP(-Examples!$C$9*$A397)*(1-(Examples!$C$12*(1-EXP(-Examples!$C$13*$A397))/(1+EXP(MIN(700,MAX(-700,(Examples!$C$14*$A397-Examples!$C$15)/Examples!$C$16))))))+Examples!$C$17*$A397^2)</f>
        <v>44308.025683465647</v>
      </c>
      <c r="C397" s="33">
        <f>(Examples!$C$6*Examples!$C$7*Examples!$C$8*EXP(-Examples!$C$9*$A397)*(1-(Examples!$C$12*(1-EXP(-Examples!$C$13*$A397))/(1+EXP(MIN(700,MAX(-700,(Examples!$C$14*$A397-Examples!$C$15)/Examples!$C$16))))))+Examples!$C$17*$A397^2)</f>
        <v>417441.97431653435</v>
      </c>
      <c r="D397" s="33">
        <f>Examples!$D$18-(Examples!$D$10+Examples!$D$11)*$A397-(Examples!$D$6*Examples!$D$7*Examples!$D$8*EXP(-Examples!$D$9*$A397)*(1-(Examples!$D$12*(1-EXP(-Examples!$D$13*$A397))/(1+EXP(MIN(700,MAX(-700,(Examples!$D$14*$A397-Examples!$D$15)/Examples!$D$16))))))+Examples!$D$17*$A397^2)</f>
        <v>1528996.3785829619</v>
      </c>
      <c r="E397" s="33">
        <f>(Examples!$D$6*Examples!$D$7*Examples!$D$8*EXP(-Examples!$D$9*$A397)*(1-(Examples!$D$12*(1-EXP(-Examples!$D$13*$A397))/(1+EXP(MIN(700,MAX(-700,(Examples!$D$14*$A397-Examples!$D$15)/Examples!$D$16))))))+Examples!$D$17*$A397^2)</f>
        <v>793253.62141703826</v>
      </c>
      <c r="F397" s="33">
        <f>Examples!$E$18-(Examples!$E$10+Examples!$E$11)*$A397-(Examples!$E$6*Examples!$E$7*Examples!$E$8*EXP(-Examples!$E$9*$A397)*(1-(Examples!$E$12*(1-EXP(-Examples!$E$13*$A397))/(1+EXP(MIN(700,MAX(-700,(Examples!$E$14*$A397-Examples!$E$15)/Examples!$E$16))))))+Examples!$E$17*$A397^2)</f>
        <v>2451210.3873224054</v>
      </c>
      <c r="G397" s="33">
        <f>(Examples!$E$6*Examples!$E$7*Examples!$E$8*EXP(-Examples!$E$9*$A397)*(1-(Examples!$E$12*(1-EXP(-Examples!$E$13*$A397))/(1+EXP(MIN(700,MAX(-700,(Examples!$E$14*$A397-Examples!$E$15)/Examples!$E$16))))))+Examples!$E$17*$A397^2)</f>
        <v>213039.61267759473</v>
      </c>
      <c r="H397" s="33">
        <f>Examples!$F$18-(Examples!$F$10+Examples!$F$11)*$A397-(Examples!$F$6*Examples!$F$7*Examples!$F$8*EXP(-Examples!$F$9*$A397)*(1-(Examples!$F$12*(1-EXP(-Examples!$F$13*$A397))/(1+EXP(MIN(700,MAX(-700,(Examples!$F$14*$A397-Examples!$F$15)/Examples!$F$16))))))+Examples!$F$17*$A397^2)</f>
        <v>-246400.51584034611</v>
      </c>
      <c r="I397" s="33">
        <f>(Examples!$F$6*Examples!$F$7*Examples!$F$8*EXP(-Examples!$F$9*$A397)*(1-(Examples!$F$12*(1-EXP(-Examples!$F$13*$A397))/(1+EXP(MIN(700,MAX(-700,(Examples!$F$14*$A397-Examples!$F$15)/Examples!$F$16))))))+Examples!$F$17*$A397^2)</f>
        <v>317400.51584034611</v>
      </c>
      <c r="J397" s="33">
        <f>Examples!$G$18-(Examples!$G$10+Examples!$G$11)*$A397-(Examples!$G$6*Examples!$G$7*Examples!$G$8*EXP(-Examples!$G$9*$A397)*(1-(Examples!$G$12*(1-EXP(-Examples!$G$13*$A397))/(1+EXP(MIN(700,MAX(-700,(Examples!$G$14*$A397-Examples!$G$15)/Examples!$G$16))))))+Examples!$G$17*$A397^2)</f>
        <v>719482.78643071454</v>
      </c>
      <c r="K397" s="33">
        <f>(Examples!$G$6*Examples!$G$7*Examples!$G$8*EXP(-Examples!$G$9*$A397)*(1-(Examples!$G$12*(1-EXP(-Examples!$G$13*$A397))/(1+EXP(MIN(700,MAX(-700,(Examples!$G$14*$A397-Examples!$G$15)/Examples!$G$16))))))+Examples!$G$17*$A397^2)</f>
        <v>583017.21356928546</v>
      </c>
      <c r="L397" s="33">
        <f>Examples!$H$18-(Examples!$H$10+Examples!$H$11)*$A397-(Examples!$H$6*Examples!$H$7*Examples!$H$8*EXP(-Examples!$H$9*$A397)*(1-(Examples!$H$12*(1-EXP(-Examples!$H$13*$A397))/(1+EXP(MIN(700,MAX(-700,(Examples!$H$14*$A397-Examples!$H$15)/Examples!$H$16))))))+Examples!$H$17*$A397^2)</f>
        <v>679086.9515535637</v>
      </c>
      <c r="M397" s="33">
        <f>(Examples!$H$6*Examples!$H$7*Examples!$H$8*EXP(-Examples!$H$9*$A397)*(1-(Examples!$H$12*(1-EXP(-Examples!$H$13*$A397))/(1+EXP(MIN(700,MAX(-700,(Examples!$H$14*$A397-Examples!$H$15)/Examples!$H$16))))))+Examples!$H$17*$A397^2)</f>
        <v>623413.0484464363</v>
      </c>
    </row>
    <row r="398" spans="1:13" x14ac:dyDescent="0.25">
      <c r="A398">
        <f>(398-2)/100</f>
        <v>3.96</v>
      </c>
      <c r="B398" s="33">
        <f>Examples!$C$18-(Examples!$C$10+Examples!$C$11)*$A398-(Examples!$C$6*Examples!$C$7*Examples!$C$8*EXP(-Examples!$C$9*$A398)*(1-(Examples!$C$12*(1-EXP(-Examples!$C$13*$A398))/(1+EXP(MIN(700,MAX(-700,(Examples!$C$14*$A398-Examples!$C$15)/Examples!$C$16))))))+Examples!$C$17*$A398^2)</f>
        <v>43319.545347632724</v>
      </c>
      <c r="C398" s="33">
        <f>(Examples!$C$6*Examples!$C$7*Examples!$C$8*EXP(-Examples!$C$9*$A398)*(1-(Examples!$C$12*(1-EXP(-Examples!$C$13*$A398))/(1+EXP(MIN(700,MAX(-700,(Examples!$C$14*$A398-Examples!$C$15)/Examples!$C$16))))))+Examples!$C$17*$A398^2)</f>
        <v>418080.45465236728</v>
      </c>
      <c r="D398" s="33">
        <f>Examples!$D$18-(Examples!$D$10+Examples!$D$11)*$A398-(Examples!$D$6*Examples!$D$7*Examples!$D$8*EXP(-Examples!$D$9*$A398)*(1-(Examples!$D$12*(1-EXP(-Examples!$D$13*$A398))/(1+EXP(MIN(700,MAX(-700,(Examples!$D$14*$A398-Examples!$D$15)/Examples!$D$16))))))+Examples!$D$17*$A398^2)</f>
        <v>1529298.2385589383</v>
      </c>
      <c r="E398" s="33">
        <f>(Examples!$D$6*Examples!$D$7*Examples!$D$8*EXP(-Examples!$D$9*$A398)*(1-(Examples!$D$12*(1-EXP(-Examples!$D$13*$A398))/(1+EXP(MIN(700,MAX(-700,(Examples!$D$14*$A398-Examples!$D$15)/Examples!$D$16))))))+Examples!$D$17*$A398^2)</f>
        <v>792501.76144106174</v>
      </c>
      <c r="F398" s="33">
        <f>Examples!$E$18-(Examples!$E$10+Examples!$E$11)*$A398-(Examples!$E$6*Examples!$E$7*Examples!$E$8*EXP(-Examples!$E$9*$A398)*(1-(Examples!$E$12*(1-EXP(-Examples!$E$13*$A398))/(1+EXP(MIN(700,MAX(-700,(Examples!$E$14*$A398-Examples!$E$15)/Examples!$E$16))))))+Examples!$E$17*$A398^2)</f>
        <v>2450548.1032008938</v>
      </c>
      <c r="G398" s="33">
        <f>(Examples!$E$6*Examples!$E$7*Examples!$E$8*EXP(-Examples!$E$9*$A398)*(1-(Examples!$E$12*(1-EXP(-Examples!$E$13*$A398))/(1+EXP(MIN(700,MAX(-700,(Examples!$E$14*$A398-Examples!$E$15)/Examples!$E$16))))))+Examples!$E$17*$A398^2)</f>
        <v>212851.89679910621</v>
      </c>
      <c r="H398" s="33">
        <f>Examples!$F$18-(Examples!$F$10+Examples!$F$11)*$A398-(Examples!$F$6*Examples!$F$7*Examples!$F$8*EXP(-Examples!$F$9*$A398)*(1-(Examples!$F$12*(1-EXP(-Examples!$F$13*$A398))/(1+EXP(MIN(700,MAX(-700,(Examples!$F$14*$A398-Examples!$F$15)/Examples!$F$16))))))+Examples!$F$17*$A398^2)</f>
        <v>-248166.48994625971</v>
      </c>
      <c r="I398" s="33">
        <f>(Examples!$F$6*Examples!$F$7*Examples!$F$8*EXP(-Examples!$F$9*$A398)*(1-(Examples!$F$12*(1-EXP(-Examples!$F$13*$A398))/(1+EXP(MIN(700,MAX(-700,(Examples!$F$14*$A398-Examples!$F$15)/Examples!$F$16))))))+Examples!$F$17*$A398^2)</f>
        <v>318966.48994625971</v>
      </c>
      <c r="J398" s="33">
        <f>Examples!$G$18-(Examples!$G$10+Examples!$G$11)*$A398-(Examples!$G$6*Examples!$G$7*Examples!$G$8*EXP(-Examples!$G$9*$A398)*(1-(Examples!$G$12*(1-EXP(-Examples!$G$13*$A398))/(1+EXP(MIN(700,MAX(-700,(Examples!$G$14*$A398-Examples!$G$15)/Examples!$G$16))))))+Examples!$G$17*$A398^2)</f>
        <v>719480.69553988066</v>
      </c>
      <c r="K398" s="33">
        <f>(Examples!$G$6*Examples!$G$7*Examples!$G$8*EXP(-Examples!$G$9*$A398)*(1-(Examples!$G$12*(1-EXP(-Examples!$G$13*$A398))/(1+EXP(MIN(700,MAX(-700,(Examples!$G$14*$A398-Examples!$G$15)/Examples!$G$16))))))+Examples!$G$17*$A398^2)</f>
        <v>582519.30446011934</v>
      </c>
      <c r="L398" s="33">
        <f>Examples!$H$18-(Examples!$H$10+Examples!$H$11)*$A398-(Examples!$H$6*Examples!$H$7*Examples!$H$8*EXP(-Examples!$H$9*$A398)*(1-(Examples!$H$12*(1-EXP(-Examples!$H$13*$A398))/(1+EXP(MIN(700,MAX(-700,(Examples!$H$14*$A398-Examples!$H$15)/Examples!$H$16))))))+Examples!$H$17*$A398^2)</f>
        <v>679595.89702946262</v>
      </c>
      <c r="M398" s="33">
        <f>(Examples!$H$6*Examples!$H$7*Examples!$H$8*EXP(-Examples!$H$9*$A398)*(1-(Examples!$H$12*(1-EXP(-Examples!$H$13*$A398))/(1+EXP(MIN(700,MAX(-700,(Examples!$H$14*$A398-Examples!$H$15)/Examples!$H$16))))))+Examples!$H$17*$A398^2)</f>
        <v>622404.10297053738</v>
      </c>
    </row>
    <row r="399" spans="1:13" x14ac:dyDescent="0.25">
      <c r="A399">
        <f>(399-2)/100</f>
        <v>3.97</v>
      </c>
      <c r="B399" s="33">
        <f>Examples!$C$18-(Examples!$C$10+Examples!$C$11)*$A399-(Examples!$C$6*Examples!$C$7*Examples!$C$8*EXP(-Examples!$C$9*$A399)*(1-(Examples!$C$12*(1-EXP(-Examples!$C$13*$A399))/(1+EXP(MIN(700,MAX(-700,(Examples!$C$14*$A399-Examples!$C$15)/Examples!$C$16))))))+Examples!$C$17*$A399^2)</f>
        <v>42326.470653876895</v>
      </c>
      <c r="C399" s="33">
        <f>(Examples!$C$6*Examples!$C$7*Examples!$C$8*EXP(-Examples!$C$9*$A399)*(1-(Examples!$C$12*(1-EXP(-Examples!$C$13*$A399))/(1+EXP(MIN(700,MAX(-700,(Examples!$C$14*$A399-Examples!$C$15)/Examples!$C$16))))))+Examples!$C$17*$A399^2)</f>
        <v>418723.5293461231</v>
      </c>
      <c r="D399" s="33">
        <f>Examples!$D$18-(Examples!$D$10+Examples!$D$11)*$A399-(Examples!$D$6*Examples!$D$7*Examples!$D$8*EXP(-Examples!$D$9*$A399)*(1-(Examples!$D$12*(1-EXP(-Examples!$D$13*$A399))/(1+EXP(MIN(700,MAX(-700,(Examples!$D$14*$A399-Examples!$D$15)/Examples!$D$16))))))+Examples!$D$17*$A399^2)</f>
        <v>1529603.5262074617</v>
      </c>
      <c r="E399" s="33">
        <f>(Examples!$D$6*Examples!$D$7*Examples!$D$8*EXP(-Examples!$D$9*$A399)*(1-(Examples!$D$12*(1-EXP(-Examples!$D$13*$A399))/(1+EXP(MIN(700,MAX(-700,(Examples!$D$14*$A399-Examples!$D$15)/Examples!$D$16))))))+Examples!$D$17*$A399^2)</f>
        <v>791746.47379253828</v>
      </c>
      <c r="F399" s="33">
        <f>Examples!$E$18-(Examples!$E$10+Examples!$E$11)*$A399-(Examples!$E$6*Examples!$E$7*Examples!$E$8*EXP(-Examples!$E$9*$A399)*(1-(Examples!$E$12*(1-EXP(-Examples!$E$13*$A399))/(1+EXP(MIN(700,MAX(-700,(Examples!$E$14*$A399-Examples!$E$15)/Examples!$E$16))))))+Examples!$E$17*$A399^2)</f>
        <v>2449882.401958996</v>
      </c>
      <c r="G399" s="33">
        <f>(Examples!$E$6*Examples!$E$7*Examples!$E$8*EXP(-Examples!$E$9*$A399)*(1-(Examples!$E$12*(1-EXP(-Examples!$E$13*$A399))/(1+EXP(MIN(700,MAX(-700,(Examples!$E$14*$A399-Examples!$E$15)/Examples!$E$16))))))+Examples!$E$17*$A399^2)</f>
        <v>212667.59804100412</v>
      </c>
      <c r="H399" s="33">
        <f>Examples!$F$18-(Examples!$F$10+Examples!$F$11)*$A399-(Examples!$F$6*Examples!$F$7*Examples!$F$8*EXP(-Examples!$F$9*$A399)*(1-(Examples!$F$12*(1-EXP(-Examples!$F$13*$A399))/(1+EXP(MIN(700,MAX(-700,(Examples!$F$14*$A399-Examples!$F$15)/Examples!$F$16))))))+Examples!$F$17*$A399^2)</f>
        <v>-249936.51199270855</v>
      </c>
      <c r="I399" s="33">
        <f>(Examples!$F$6*Examples!$F$7*Examples!$F$8*EXP(-Examples!$F$9*$A399)*(1-(Examples!$F$12*(1-EXP(-Examples!$F$13*$A399))/(1+EXP(MIN(700,MAX(-700,(Examples!$F$14*$A399-Examples!$F$15)/Examples!$F$16))))))+Examples!$F$17*$A399^2)</f>
        <v>320536.51199270855</v>
      </c>
      <c r="J399" s="33">
        <f>Examples!$G$18-(Examples!$G$10+Examples!$G$11)*$A399-(Examples!$G$6*Examples!$G$7*Examples!$G$8*EXP(-Examples!$G$9*$A399)*(1-(Examples!$G$12*(1-EXP(-Examples!$G$13*$A399))/(1+EXP(MIN(700,MAX(-700,(Examples!$G$14*$A399-Examples!$G$15)/Examples!$G$16))))))+Examples!$G$17*$A399^2)</f>
        <v>719478.73259418481</v>
      </c>
      <c r="K399" s="33">
        <f>(Examples!$G$6*Examples!$G$7*Examples!$G$8*EXP(-Examples!$G$9*$A399)*(1-(Examples!$G$12*(1-EXP(-Examples!$G$13*$A399))/(1+EXP(MIN(700,MAX(-700,(Examples!$G$14*$A399-Examples!$G$15)/Examples!$G$16))))))+Examples!$G$17*$A399^2)</f>
        <v>582021.26740581519</v>
      </c>
      <c r="L399" s="33">
        <f>Examples!$H$18-(Examples!$H$10+Examples!$H$11)*$A399-(Examples!$H$6*Examples!$H$7*Examples!$H$8*EXP(-Examples!$H$9*$A399)*(1-(Examples!$H$12*(1-EXP(-Examples!$H$13*$A399))/(1+EXP(MIN(700,MAX(-700,(Examples!$H$14*$A399-Examples!$H$15)/Examples!$H$16))))))+Examples!$H$17*$A399^2)</f>
        <v>680100.85358951369</v>
      </c>
      <c r="M399" s="33">
        <f>(Examples!$H$6*Examples!$H$7*Examples!$H$8*EXP(-Examples!$H$9*$A399)*(1-(Examples!$H$12*(1-EXP(-Examples!$H$13*$A399))/(1+EXP(MIN(700,MAX(-700,(Examples!$H$14*$A399-Examples!$H$15)/Examples!$H$16))))))+Examples!$H$17*$A399^2)</f>
        <v>621399.14641048631</v>
      </c>
    </row>
    <row r="400" spans="1:13" x14ac:dyDescent="0.25">
      <c r="A400">
        <f>(400-2)/100</f>
        <v>3.98</v>
      </c>
      <c r="B400" s="33">
        <f>Examples!$C$18-(Examples!$C$10+Examples!$C$11)*$A400-(Examples!$C$6*Examples!$C$7*Examples!$C$8*EXP(-Examples!$C$9*$A400)*(1-(Examples!$C$12*(1-EXP(-Examples!$C$13*$A400))/(1+EXP(MIN(700,MAX(-700,(Examples!$C$14*$A400-Examples!$C$15)/Examples!$C$16))))))+Examples!$C$17*$A400^2)</f>
        <v>41328.804757734411</v>
      </c>
      <c r="C400" s="33">
        <f>(Examples!$C$6*Examples!$C$7*Examples!$C$8*EXP(-Examples!$C$9*$A400)*(1-(Examples!$C$12*(1-EXP(-Examples!$C$13*$A400))/(1+EXP(MIN(700,MAX(-700,(Examples!$C$14*$A400-Examples!$C$15)/Examples!$C$16))))))+Examples!$C$17*$A400^2)</f>
        <v>419371.19524226559</v>
      </c>
      <c r="D400" s="33">
        <f>Examples!$D$18-(Examples!$D$10+Examples!$D$11)*$A400-(Examples!$D$6*Examples!$D$7*Examples!$D$8*EXP(-Examples!$D$9*$A400)*(1-(Examples!$D$12*(1-EXP(-Examples!$D$13*$A400))/(1+EXP(MIN(700,MAX(-700,(Examples!$D$14*$A400-Examples!$D$15)/Examples!$D$16))))))+Examples!$D$17*$A400^2)</f>
        <v>1529912.4016329064</v>
      </c>
      <c r="E400" s="33">
        <f>(Examples!$D$6*Examples!$D$7*Examples!$D$8*EXP(-Examples!$D$9*$A400)*(1-(Examples!$D$12*(1-EXP(-Examples!$D$13*$A400))/(1+EXP(MIN(700,MAX(-700,(Examples!$D$14*$A400-Examples!$D$15)/Examples!$D$16))))))+Examples!$D$17*$A400^2)</f>
        <v>790987.5983670936</v>
      </c>
      <c r="F400" s="33">
        <f>Examples!$E$18-(Examples!$E$10+Examples!$E$11)*$A400-(Examples!$E$6*Examples!$E$7*Examples!$E$8*EXP(-Examples!$E$9*$A400)*(1-(Examples!$E$12*(1-EXP(-Examples!$E$13*$A400))/(1+EXP(MIN(700,MAX(-700,(Examples!$E$14*$A400-Examples!$E$15)/Examples!$E$16))))))+Examples!$E$17*$A400^2)</f>
        <v>2449213.3306022426</v>
      </c>
      <c r="G400" s="33">
        <f>(Examples!$E$6*Examples!$E$7*Examples!$E$8*EXP(-Examples!$E$9*$A400)*(1-(Examples!$E$12*(1-EXP(-Examples!$E$13*$A400))/(1+EXP(MIN(700,MAX(-700,(Examples!$E$14*$A400-Examples!$E$15)/Examples!$E$16))))))+Examples!$E$17*$A400^2)</f>
        <v>212486.66939775745</v>
      </c>
      <c r="H400" s="33">
        <f>Examples!$F$18-(Examples!$F$10+Examples!$F$11)*$A400-(Examples!$F$6*Examples!$F$7*Examples!$F$8*EXP(-Examples!$F$9*$A400)*(1-(Examples!$F$12*(1-EXP(-Examples!$F$13*$A400))/(1+EXP(MIN(700,MAX(-700,(Examples!$F$14*$A400-Examples!$F$15)/Examples!$F$16))))))+Examples!$F$17*$A400^2)</f>
        <v>-251710.58183872543</v>
      </c>
      <c r="I400" s="33">
        <f>(Examples!$F$6*Examples!$F$7*Examples!$F$8*EXP(-Examples!$F$9*$A400)*(1-(Examples!$F$12*(1-EXP(-Examples!$F$13*$A400))/(1+EXP(MIN(700,MAX(-700,(Examples!$F$14*$A400-Examples!$F$15)/Examples!$F$16))))))+Examples!$F$17*$A400^2)</f>
        <v>322110.58183872543</v>
      </c>
      <c r="J400" s="33">
        <f>Examples!$G$18-(Examples!$G$10+Examples!$G$11)*$A400-(Examples!$G$6*Examples!$G$7*Examples!$G$8*EXP(-Examples!$G$9*$A400)*(1-(Examples!$G$12*(1-EXP(-Examples!$G$13*$A400))/(1+EXP(MIN(700,MAX(-700,(Examples!$G$14*$A400-Examples!$G$15)/Examples!$G$16))))))+Examples!$G$17*$A400^2)</f>
        <v>719476.84566305787</v>
      </c>
      <c r="K400" s="33">
        <f>(Examples!$G$6*Examples!$G$7*Examples!$G$8*EXP(-Examples!$G$9*$A400)*(1-(Examples!$G$12*(1-EXP(-Examples!$G$13*$A400))/(1+EXP(MIN(700,MAX(-700,(Examples!$G$14*$A400-Examples!$G$15)/Examples!$G$16))))))+Examples!$G$17*$A400^2)</f>
        <v>581523.15433694213</v>
      </c>
      <c r="L400" s="33">
        <f>Examples!$H$18-(Examples!$H$10+Examples!$H$11)*$A400-(Examples!$H$6*Examples!$H$7*Examples!$H$8*EXP(-Examples!$H$9*$A400)*(1-(Examples!$H$12*(1-EXP(-Examples!$H$13*$A400))/(1+EXP(MIN(700,MAX(-700,(Examples!$H$14*$A400-Examples!$H$15)/Examples!$H$16))))))+Examples!$H$17*$A400^2)</f>
        <v>680601.72015316994</v>
      </c>
      <c r="M400" s="33">
        <f>(Examples!$H$6*Examples!$H$7*Examples!$H$8*EXP(-Examples!$H$9*$A400)*(1-(Examples!$H$12*(1-EXP(-Examples!$H$13*$A400))/(1+EXP(MIN(700,MAX(-700,(Examples!$H$14*$A400-Examples!$H$15)/Examples!$H$16))))))+Examples!$H$17*$A400^2)</f>
        <v>620398.27984683006</v>
      </c>
    </row>
    <row r="401" spans="1:13" x14ac:dyDescent="0.25">
      <c r="A401">
        <f>(401-2)/100</f>
        <v>3.99</v>
      </c>
      <c r="B401" s="33">
        <f>Examples!$C$18-(Examples!$C$10+Examples!$C$11)*$A401-(Examples!$C$6*Examples!$C$7*Examples!$C$8*EXP(-Examples!$C$9*$A401)*(1-(Examples!$C$12*(1-EXP(-Examples!$C$13*$A401))/(1+EXP(MIN(700,MAX(-700,(Examples!$C$14*$A401-Examples!$C$15)/Examples!$C$16))))))+Examples!$C$17*$A401^2)</f>
        <v>40326.550860459218</v>
      </c>
      <c r="C401" s="33">
        <f>(Examples!$C$6*Examples!$C$7*Examples!$C$8*EXP(-Examples!$C$9*$A401)*(1-(Examples!$C$12*(1-EXP(-Examples!$C$13*$A401))/(1+EXP(MIN(700,MAX(-700,(Examples!$C$14*$A401-Examples!$C$15)/Examples!$C$16))))))+Examples!$C$17*$A401^2)</f>
        <v>420023.44913954078</v>
      </c>
      <c r="D401" s="33">
        <f>Examples!$D$18-(Examples!$D$10+Examples!$D$11)*$A401-(Examples!$D$6*Examples!$D$7*Examples!$D$8*EXP(-Examples!$D$9*$A401)*(1-(Examples!$D$12*(1-EXP(-Examples!$D$13*$A401))/(1+EXP(MIN(700,MAX(-700,(Examples!$D$14*$A401-Examples!$D$15)/Examples!$D$16))))))+Examples!$D$17*$A401^2)</f>
        <v>1530225.020047778</v>
      </c>
      <c r="E401" s="33">
        <f>(Examples!$D$6*Examples!$D$7*Examples!$D$8*EXP(-Examples!$D$9*$A401)*(1-(Examples!$D$12*(1-EXP(-Examples!$D$13*$A401))/(1+EXP(MIN(700,MAX(-700,(Examples!$D$14*$A401-Examples!$D$15)/Examples!$D$16))))))+Examples!$D$17*$A401^2)</f>
        <v>790224.97995222197</v>
      </c>
      <c r="F401" s="33">
        <f>Examples!$E$18-(Examples!$E$10+Examples!$E$11)*$A401-(Examples!$E$6*Examples!$E$7*Examples!$E$8*EXP(-Examples!$E$9*$A401)*(1-(Examples!$E$12*(1-EXP(-Examples!$E$13*$A401))/(1+EXP(MIN(700,MAX(-700,(Examples!$E$14*$A401-Examples!$E$15)/Examples!$E$16))))))+Examples!$E$17*$A401^2)</f>
        <v>2448540.9356325534</v>
      </c>
      <c r="G401" s="33">
        <f>(Examples!$E$6*Examples!$E$7*Examples!$E$8*EXP(-Examples!$E$9*$A401)*(1-(Examples!$E$12*(1-EXP(-Examples!$E$13*$A401))/(1+EXP(MIN(700,MAX(-700,(Examples!$E$14*$A401-Examples!$E$15)/Examples!$E$16))))))+Examples!$E$17*$A401^2)</f>
        <v>212309.0643674467</v>
      </c>
      <c r="H401" s="33">
        <f>Examples!$F$18-(Examples!$F$10+Examples!$F$11)*$A401-(Examples!$F$6*Examples!$F$7*Examples!$F$8*EXP(-Examples!$F$9*$A401)*(1-(Examples!$F$12*(1-EXP(-Examples!$F$13*$A401))/(1+EXP(MIN(700,MAX(-700,(Examples!$F$14*$A401-Examples!$F$15)/Examples!$F$16))))))+Examples!$F$17*$A401^2)</f>
        <v>-253488.69934365916</v>
      </c>
      <c r="I401" s="33">
        <f>(Examples!$F$6*Examples!$F$7*Examples!$F$8*EXP(-Examples!$F$9*$A401)*(1-(Examples!$F$12*(1-EXP(-Examples!$F$13*$A401))/(1+EXP(MIN(700,MAX(-700,(Examples!$F$14*$A401-Examples!$F$15)/Examples!$F$16))))))+Examples!$F$17*$A401^2)</f>
        <v>323688.69934365916</v>
      </c>
      <c r="J401" s="33">
        <f>Examples!$G$18-(Examples!$G$10+Examples!$G$11)*$A401-(Examples!$G$6*Examples!$G$7*Examples!$G$8*EXP(-Examples!$G$9*$A401)*(1-(Examples!$G$12*(1-EXP(-Examples!$G$13*$A401))/(1+EXP(MIN(700,MAX(-700,(Examples!$G$14*$A401-Examples!$G$15)/Examples!$G$16))))))+Examples!$G$17*$A401^2)</f>
        <v>719474.98276820744</v>
      </c>
      <c r="K401" s="33">
        <f>(Examples!$G$6*Examples!$G$7*Examples!$G$8*EXP(-Examples!$G$9*$A401)*(1-(Examples!$G$12*(1-EXP(-Examples!$G$13*$A401))/(1+EXP(MIN(700,MAX(-700,(Examples!$G$14*$A401-Examples!$G$15)/Examples!$G$16))))))+Examples!$G$17*$A401^2)</f>
        <v>581025.01723179256</v>
      </c>
      <c r="L401" s="33">
        <f>Examples!$H$18-(Examples!$H$10+Examples!$H$11)*$A401-(Examples!$H$6*Examples!$H$7*Examples!$H$8*EXP(-Examples!$H$9*$A401)*(1-(Examples!$H$12*(1-EXP(-Examples!$H$13*$A401))/(1+EXP(MIN(700,MAX(-700,(Examples!$H$14*$A401-Examples!$H$15)/Examples!$H$16))))))+Examples!$H$17*$A401^2)</f>
        <v>681098.39943566592</v>
      </c>
      <c r="M401" s="33">
        <f>(Examples!$H$6*Examples!$H$7*Examples!$H$8*EXP(-Examples!$H$9*$A401)*(1-(Examples!$H$12*(1-EXP(-Examples!$H$13*$A401))/(1+EXP(MIN(700,MAX(-700,(Examples!$H$14*$A401-Examples!$H$15)/Examples!$H$16))))))+Examples!$H$17*$A401^2)</f>
        <v>619401.60056433408</v>
      </c>
    </row>
    <row r="402" spans="1:13" x14ac:dyDescent="0.25">
      <c r="A402">
        <f>(402-2)/100</f>
        <v>4</v>
      </c>
      <c r="B402" s="33">
        <f>Examples!$C$18-(Examples!$C$10+Examples!$C$11)*$A402-(Examples!$C$6*Examples!$C$7*Examples!$C$8*EXP(-Examples!$C$9*$A402)*(1-(Examples!$C$12*(1-EXP(-Examples!$C$13*$A402))/(1+EXP(MIN(700,MAX(-700,(Examples!$C$14*$A402-Examples!$C$15)/Examples!$C$16))))))+Examples!$C$17*$A402^2)</f>
        <v>39319.712207027071</v>
      </c>
      <c r="C402" s="33">
        <f>(Examples!$C$6*Examples!$C$7*Examples!$C$8*EXP(-Examples!$C$9*$A402)*(1-(Examples!$C$12*(1-EXP(-Examples!$C$13*$A402))/(1+EXP(MIN(700,MAX(-700,(Examples!$C$14*$A402-Examples!$C$15)/Examples!$C$16))))))+Examples!$C$17*$A402^2)</f>
        <v>420680.28779297293</v>
      </c>
      <c r="D402" s="33">
        <f>Examples!$D$18-(Examples!$D$10+Examples!$D$11)*$A402-(Examples!$D$6*Examples!$D$7*Examples!$D$8*EXP(-Examples!$D$9*$A402)*(1-(Examples!$D$12*(1-EXP(-Examples!$D$13*$A402))/(1+EXP(MIN(700,MAX(-700,(Examples!$D$14*$A402-Examples!$D$15)/Examples!$D$16))))))+Examples!$D$17*$A402^2)</f>
        <v>1530541.5317783596</v>
      </c>
      <c r="E402" s="33">
        <f>(Examples!$D$6*Examples!$D$7*Examples!$D$8*EXP(-Examples!$D$9*$A402)*(1-(Examples!$D$12*(1-EXP(-Examples!$D$13*$A402))/(1+EXP(MIN(700,MAX(-700,(Examples!$D$14*$A402-Examples!$D$15)/Examples!$D$16))))))+Examples!$D$17*$A402^2)</f>
        <v>789458.46822164045</v>
      </c>
      <c r="F402" s="33">
        <f>Examples!$E$18-(Examples!$E$10+Examples!$E$11)*$A402-(Examples!$E$6*Examples!$E$7*Examples!$E$8*EXP(-Examples!$E$9*$A402)*(1-(Examples!$E$12*(1-EXP(-Examples!$E$13*$A402))/(1+EXP(MIN(700,MAX(-700,(Examples!$E$14*$A402-Examples!$E$15)/Examples!$E$16))))))+Examples!$E$17*$A402^2)</f>
        <v>2447865.2630520551</v>
      </c>
      <c r="G402" s="33">
        <f>(Examples!$E$6*Examples!$E$7*Examples!$E$8*EXP(-Examples!$E$9*$A402)*(1-(Examples!$E$12*(1-EXP(-Examples!$E$13*$A402))/(1+EXP(MIN(700,MAX(-700,(Examples!$E$14*$A402-Examples!$E$15)/Examples!$E$16))))))+Examples!$E$17*$A402^2)</f>
        <v>212134.73694794491</v>
      </c>
      <c r="H402" s="33">
        <f>Examples!$F$18-(Examples!$F$10+Examples!$F$11)*$A402-(Examples!$F$6*Examples!$F$7*Examples!$F$8*EXP(-Examples!$F$9*$A402)*(1-(Examples!$F$12*(1-EXP(-Examples!$F$13*$A402))/(1+EXP(MIN(700,MAX(-700,(Examples!$F$14*$A402-Examples!$F$15)/Examples!$F$16))))))+Examples!$F$17*$A402^2)</f>
        <v>-255270.86436717719</v>
      </c>
      <c r="I402" s="33">
        <f>(Examples!$F$6*Examples!$F$7*Examples!$F$8*EXP(-Examples!$F$9*$A402)*(1-(Examples!$F$12*(1-EXP(-Examples!$F$13*$A402))/(1+EXP(MIN(700,MAX(-700,(Examples!$F$14*$A402-Examples!$F$15)/Examples!$F$16))))))+Examples!$F$17*$A402^2)</f>
        <v>325270.86436717719</v>
      </c>
      <c r="J402" s="33">
        <f>Examples!$G$18-(Examples!$G$10+Examples!$G$11)*$A402-(Examples!$G$6*Examples!$G$7*Examples!$G$8*EXP(-Examples!$G$9*$A402)*(1-(Examples!$G$12*(1-EXP(-Examples!$G$13*$A402))/(1+EXP(MIN(700,MAX(-700,(Examples!$G$14*$A402-Examples!$G$15)/Examples!$G$16))))))+Examples!$G$17*$A402^2)</f>
        <v>719473.09190385649</v>
      </c>
      <c r="K402" s="33">
        <f>(Examples!$G$6*Examples!$G$7*Examples!$G$8*EXP(-Examples!$G$9*$A402)*(1-(Examples!$G$12*(1-EXP(-Examples!$G$13*$A402))/(1+EXP(MIN(700,MAX(-700,(Examples!$G$14*$A402-Examples!$G$15)/Examples!$G$16))))))+Examples!$G$17*$A402^2)</f>
        <v>580526.90809614351</v>
      </c>
      <c r="L402" s="33">
        <f>Examples!$H$18-(Examples!$H$10+Examples!$H$11)*$A402-(Examples!$H$6*Examples!$H$7*Examples!$H$8*EXP(-Examples!$H$9*$A402)*(1-(Examples!$H$12*(1-EXP(-Examples!$H$13*$A402))/(1+EXP(MIN(700,MAX(-700,(Examples!$H$14*$A402-Examples!$H$15)/Examples!$H$16))))))+Examples!$H$17*$A402^2)</f>
        <v>681590.79783464596</v>
      </c>
      <c r="M402" s="33">
        <f>(Examples!$H$6*Examples!$H$7*Examples!$H$8*EXP(-Examples!$H$9*$A402)*(1-(Examples!$H$12*(1-EXP(-Examples!$H$13*$A402))/(1+EXP(MIN(700,MAX(-700,(Examples!$H$14*$A402-Examples!$H$15)/Examples!$H$16))))))+Examples!$H$17*$A402^2)</f>
        <v>618409.20216535404</v>
      </c>
    </row>
    <row r="403" spans="1:13" x14ac:dyDescent="0.25">
      <c r="A403">
        <f>(403-2)/100</f>
        <v>4.01</v>
      </c>
      <c r="B403" s="33">
        <f>Examples!$C$18-(Examples!$C$10+Examples!$C$11)*$A403-(Examples!$C$6*Examples!$C$7*Examples!$C$8*EXP(-Examples!$C$9*$A403)*(1-(Examples!$C$12*(1-EXP(-Examples!$C$13*$A403))/(1+EXP(MIN(700,MAX(-700,(Examples!$C$14*$A403-Examples!$C$15)/Examples!$C$16))))))+Examples!$C$17*$A403^2)</f>
        <v>38308.292084207176</v>
      </c>
      <c r="C403" s="33">
        <f>(Examples!$C$6*Examples!$C$7*Examples!$C$8*EXP(-Examples!$C$9*$A403)*(1-(Examples!$C$12*(1-EXP(-Examples!$C$13*$A403))/(1+EXP(MIN(700,MAX(-700,(Examples!$C$14*$A403-Examples!$C$15)/Examples!$C$16))))))+Examples!$C$17*$A403^2)</f>
        <v>421341.70791579282</v>
      </c>
      <c r="D403" s="33">
        <f>Examples!$D$18-(Examples!$D$10+Examples!$D$11)*$A403-(Examples!$D$6*Examples!$D$7*Examples!$D$8*EXP(-Examples!$D$9*$A403)*(1-(Examples!$D$12*(1-EXP(-Examples!$D$13*$A403))/(1+EXP(MIN(700,MAX(-700,(Examples!$D$14*$A403-Examples!$D$15)/Examples!$D$16))))))+Examples!$D$17*$A403^2)</f>
        <v>1530862.0822723974</v>
      </c>
      <c r="E403" s="33">
        <f>(Examples!$D$6*Examples!$D$7*Examples!$D$8*EXP(-Examples!$D$9*$A403)*(1-(Examples!$D$12*(1-EXP(-Examples!$D$13*$A403))/(1+EXP(MIN(700,MAX(-700,(Examples!$D$14*$A403-Examples!$D$15)/Examples!$D$16))))))+Examples!$D$17*$A403^2)</f>
        <v>788687.91772760265</v>
      </c>
      <c r="F403" s="33">
        <f>Examples!$E$18-(Examples!$E$10+Examples!$E$11)*$A403-(Examples!$E$6*Examples!$E$7*Examples!$E$8*EXP(-Examples!$E$9*$A403)*(1-(Examples!$E$12*(1-EXP(-Examples!$E$13*$A403))/(1+EXP(MIN(700,MAX(-700,(Examples!$E$14*$A403-Examples!$E$15)/Examples!$E$16))))))+Examples!$E$17*$A403^2)</f>
        <v>2447186.358366848</v>
      </c>
      <c r="G403" s="33">
        <f>(Examples!$E$6*Examples!$E$7*Examples!$E$8*EXP(-Examples!$E$9*$A403)*(1-(Examples!$E$12*(1-EXP(-Examples!$E$13*$A403))/(1+EXP(MIN(700,MAX(-700,(Examples!$E$14*$A403-Examples!$E$15)/Examples!$E$16))))))+Examples!$E$17*$A403^2)</f>
        <v>211963.64163315212</v>
      </c>
      <c r="H403" s="33">
        <f>Examples!$F$18-(Examples!$F$10+Examples!$F$11)*$A403-(Examples!$F$6*Examples!$F$7*Examples!$F$8*EXP(-Examples!$F$9*$A403)*(1-(Examples!$F$12*(1-EXP(-Examples!$F$13*$A403))/(1+EXP(MIN(700,MAX(-700,(Examples!$F$14*$A403-Examples!$F$15)/Examples!$F$16))))))+Examples!$F$17*$A403^2)</f>
        <v>-257057.07676926965</v>
      </c>
      <c r="I403" s="33">
        <f>(Examples!$F$6*Examples!$F$7*Examples!$F$8*EXP(-Examples!$F$9*$A403)*(1-(Examples!$F$12*(1-EXP(-Examples!$F$13*$A403))/(1+EXP(MIN(700,MAX(-700,(Examples!$F$14*$A403-Examples!$F$15)/Examples!$F$16))))))+Examples!$F$17*$A403^2)</f>
        <v>326857.07676926965</v>
      </c>
      <c r="J403" s="33">
        <f>Examples!$G$18-(Examples!$G$10+Examples!$G$11)*$A403-(Examples!$G$6*Examples!$G$7*Examples!$G$8*EXP(-Examples!$G$9*$A403)*(1-(Examples!$G$12*(1-EXP(-Examples!$G$13*$A403))/(1+EXP(MIN(700,MAX(-700,(Examples!$G$14*$A403-Examples!$G$15)/Examples!$G$16))))))+Examples!$G$17*$A403^2)</f>
        <v>719471.12105646171</v>
      </c>
      <c r="K403" s="33">
        <f>(Examples!$G$6*Examples!$G$7*Examples!$G$8*EXP(-Examples!$G$9*$A403)*(1-(Examples!$G$12*(1-EXP(-Examples!$G$13*$A403))/(1+EXP(MIN(700,MAX(-700,(Examples!$G$14*$A403-Examples!$G$15)/Examples!$G$16))))))+Examples!$G$17*$A403^2)</f>
        <v>580028.87894353829</v>
      </c>
      <c r="L403" s="33">
        <f>Examples!$H$18-(Examples!$H$10+Examples!$H$11)*$A403-(Examples!$H$6*Examples!$H$7*Examples!$H$8*EXP(-Examples!$H$9*$A403)*(1-(Examples!$H$12*(1-EXP(-Examples!$H$13*$A403))/(1+EXP(MIN(700,MAX(-700,(Examples!$H$14*$A403-Examples!$H$15)/Examples!$H$16))))))+Examples!$H$17*$A403^2)</f>
        <v>682078.8253195819</v>
      </c>
      <c r="M403" s="33">
        <f>(Examples!$H$6*Examples!$H$7*Examples!$H$8*EXP(-Examples!$H$9*$A403)*(1-(Examples!$H$12*(1-EXP(-Examples!$H$13*$A403))/(1+EXP(MIN(700,MAX(-700,(Examples!$H$14*$A403-Examples!$H$15)/Examples!$H$16))))))+Examples!$H$17*$A403^2)</f>
        <v>617421.1746804181</v>
      </c>
    </row>
    <row r="404" spans="1:13" x14ac:dyDescent="0.25">
      <c r="A404">
        <f>(404-2)/100</f>
        <v>4.0199999999999996</v>
      </c>
      <c r="B404" s="33">
        <f>Examples!$C$18-(Examples!$C$10+Examples!$C$11)*$A404-(Examples!$C$6*Examples!$C$7*Examples!$C$8*EXP(-Examples!$C$9*$A404)*(1-(Examples!$C$12*(1-EXP(-Examples!$C$13*$A404))/(1+EXP(MIN(700,MAX(-700,(Examples!$C$14*$A404-Examples!$C$15)/Examples!$C$16))))))+Examples!$C$17*$A404^2)</f>
        <v>37292.293818698963</v>
      </c>
      <c r="C404" s="33">
        <f>(Examples!$C$6*Examples!$C$7*Examples!$C$8*EXP(-Examples!$C$9*$A404)*(1-(Examples!$C$12*(1-EXP(-Examples!$C$13*$A404))/(1+EXP(MIN(700,MAX(-700,(Examples!$C$14*$A404-Examples!$C$15)/Examples!$C$16))))))+Examples!$C$17*$A404^2)</f>
        <v>422007.70618130104</v>
      </c>
      <c r="D404" s="33">
        <f>Examples!$D$18-(Examples!$D$10+Examples!$D$11)*$A404-(Examples!$D$6*Examples!$D$7*Examples!$D$8*EXP(-Examples!$D$9*$A404)*(1-(Examples!$D$12*(1-EXP(-Examples!$D$13*$A404))/(1+EXP(MIN(700,MAX(-700,(Examples!$D$14*$A404-Examples!$D$15)/Examples!$D$16))))))+Examples!$D$17*$A404^2)</f>
        <v>1531186.8121088073</v>
      </c>
      <c r="E404" s="33">
        <f>(Examples!$D$6*Examples!$D$7*Examples!$D$8*EXP(-Examples!$D$9*$A404)*(1-(Examples!$D$12*(1-EXP(-Examples!$D$13*$A404))/(1+EXP(MIN(700,MAX(-700,(Examples!$D$14*$A404-Examples!$D$15)/Examples!$D$16))))))+Examples!$D$17*$A404^2)</f>
        <v>787913.18789119285</v>
      </c>
      <c r="F404" s="33">
        <f>Examples!$E$18-(Examples!$E$10+Examples!$E$11)*$A404-(Examples!$E$6*Examples!$E$7*Examples!$E$8*EXP(-Examples!$E$9*$A404)*(1-(Examples!$E$12*(1-EXP(-Examples!$E$13*$A404))/(1+EXP(MIN(700,MAX(-700,(Examples!$E$14*$A404-Examples!$E$15)/Examples!$E$16))))))+Examples!$E$17*$A404^2)</f>
        <v>2446504.266590714</v>
      </c>
      <c r="G404" s="33">
        <f>(Examples!$E$6*Examples!$E$7*Examples!$E$8*EXP(-Examples!$E$9*$A404)*(1-(Examples!$E$12*(1-EXP(-Examples!$E$13*$A404))/(1+EXP(MIN(700,MAX(-700,(Examples!$E$14*$A404-Examples!$E$15)/Examples!$E$16))))))+Examples!$E$17*$A404^2)</f>
        <v>211795.73340928581</v>
      </c>
      <c r="H404" s="33">
        <f>Examples!$F$18-(Examples!$F$10+Examples!$F$11)*$A404-(Examples!$F$6*Examples!$F$7*Examples!$F$8*EXP(-Examples!$F$9*$A404)*(1-(Examples!$F$12*(1-EXP(-Examples!$F$13*$A404))/(1+EXP(MIN(700,MAX(-700,(Examples!$F$14*$A404-Examples!$F$15)/Examples!$F$16))))))+Examples!$F$17*$A404^2)</f>
        <v>-258847.33641025174</v>
      </c>
      <c r="I404" s="33">
        <f>(Examples!$F$6*Examples!$F$7*Examples!$F$8*EXP(-Examples!$F$9*$A404)*(1-(Examples!$F$12*(1-EXP(-Examples!$F$13*$A404))/(1+EXP(MIN(700,MAX(-700,(Examples!$F$14*$A404-Examples!$F$15)/Examples!$F$16))))))+Examples!$F$17*$A404^2)</f>
        <v>328447.33641025174</v>
      </c>
      <c r="J404" s="33">
        <f>Examples!$G$18-(Examples!$G$10+Examples!$G$11)*$A404-(Examples!$G$6*Examples!$G$7*Examples!$G$8*EXP(-Examples!$G$9*$A404)*(1-(Examples!$G$12*(1-EXP(-Examples!$G$13*$A404))/(1+EXP(MIN(700,MAX(-700,(Examples!$G$14*$A404-Examples!$G$15)/Examples!$G$16))))))+Examples!$G$17*$A404^2)</f>
        <v>719469.01822391106</v>
      </c>
      <c r="K404" s="33">
        <f>(Examples!$G$6*Examples!$G$7*Examples!$G$8*EXP(-Examples!$G$9*$A404)*(1-(Examples!$G$12*(1-EXP(-Examples!$G$13*$A404))/(1+EXP(MIN(700,MAX(-700,(Examples!$G$14*$A404-Examples!$G$15)/Examples!$G$16))))))+Examples!$G$17*$A404^2)</f>
        <v>579530.98177608894</v>
      </c>
      <c r="L404" s="33">
        <f>Examples!$H$18-(Examples!$H$10+Examples!$H$11)*$A404-(Examples!$H$6*Examples!$H$7*Examples!$H$8*EXP(-Examples!$H$9*$A404)*(1-(Examples!$H$12*(1-EXP(-Examples!$H$13*$A404))/(1+EXP(MIN(700,MAX(-700,(Examples!$H$14*$A404-Examples!$H$15)/Examples!$H$16))))))+Examples!$H$17*$A404^2)</f>
        <v>682562.39532394975</v>
      </c>
      <c r="M404" s="33">
        <f>(Examples!$H$6*Examples!$H$7*Examples!$H$8*EXP(-Examples!$H$9*$A404)*(1-(Examples!$H$12*(1-EXP(-Examples!$H$13*$A404))/(1+EXP(MIN(700,MAX(-700,(Examples!$H$14*$A404-Examples!$H$15)/Examples!$H$16))))))+Examples!$H$17*$A404^2)</f>
        <v>616437.60467605025</v>
      </c>
    </row>
    <row r="405" spans="1:13" x14ac:dyDescent="0.25">
      <c r="A405">
        <f>(405-2)/100</f>
        <v>4.03</v>
      </c>
      <c r="B405" s="33">
        <f>Examples!$C$18-(Examples!$C$10+Examples!$C$11)*$A405-(Examples!$C$6*Examples!$C$7*Examples!$C$8*EXP(-Examples!$C$9*$A405)*(1-(Examples!$C$12*(1-EXP(-Examples!$C$13*$A405))/(1+EXP(MIN(700,MAX(-700,(Examples!$C$14*$A405-Examples!$C$15)/Examples!$C$16))))))+Examples!$C$17*$A405^2)</f>
        <v>36271.720775332709</v>
      </c>
      <c r="C405" s="33">
        <f>(Examples!$C$6*Examples!$C$7*Examples!$C$8*EXP(-Examples!$C$9*$A405)*(1-(Examples!$C$12*(1-EXP(-Examples!$C$13*$A405))/(1+EXP(MIN(700,MAX(-700,(Examples!$C$14*$A405-Examples!$C$15)/Examples!$C$16))))))+Examples!$C$17*$A405^2)</f>
        <v>422678.27922466729</v>
      </c>
      <c r="D405" s="33">
        <f>Examples!$D$18-(Examples!$D$10+Examples!$D$11)*$A405-(Examples!$D$6*Examples!$D$7*Examples!$D$8*EXP(-Examples!$D$9*$A405)*(1-(Examples!$D$12*(1-EXP(-Examples!$D$13*$A405))/(1+EXP(MIN(700,MAX(-700,(Examples!$D$14*$A405-Examples!$D$15)/Examples!$D$16))))))+Examples!$D$17*$A405^2)</f>
        <v>1531515.8570093899</v>
      </c>
      <c r="E405" s="33">
        <f>(Examples!$D$6*Examples!$D$7*Examples!$D$8*EXP(-Examples!$D$9*$A405)*(1-(Examples!$D$12*(1-EXP(-Examples!$D$13*$A405))/(1+EXP(MIN(700,MAX(-700,(Examples!$D$14*$A405-Examples!$D$15)/Examples!$D$16))))))+Examples!$D$17*$A405^2)</f>
        <v>787134.14299060998</v>
      </c>
      <c r="F405" s="33">
        <f>Examples!$E$18-(Examples!$E$10+Examples!$E$11)*$A405-(Examples!$E$6*Examples!$E$7*Examples!$E$8*EXP(-Examples!$E$9*$A405)*(1-(Examples!$E$12*(1-EXP(-Examples!$E$13*$A405))/(1+EXP(MIN(700,MAX(-700,(Examples!$E$14*$A405-Examples!$E$15)/Examples!$E$16))))))+Examples!$E$17*$A405^2)</f>
        <v>2445819.0322487764</v>
      </c>
      <c r="G405" s="33">
        <f>(Examples!$E$6*Examples!$E$7*Examples!$E$8*EXP(-Examples!$E$9*$A405)*(1-(Examples!$E$12*(1-EXP(-Examples!$E$13*$A405))/(1+EXP(MIN(700,MAX(-700,(Examples!$E$14*$A405-Examples!$E$15)/Examples!$E$16))))))+Examples!$E$17*$A405^2)</f>
        <v>211630.96775122342</v>
      </c>
      <c r="H405" s="33">
        <f>Examples!$F$18-(Examples!$F$10+Examples!$F$11)*$A405-(Examples!$F$6*Examples!$F$7*Examples!$F$8*EXP(-Examples!$F$9*$A405)*(1-(Examples!$F$12*(1-EXP(-Examples!$F$13*$A405))/(1+EXP(MIN(700,MAX(-700,(Examples!$F$14*$A405-Examples!$F$15)/Examples!$F$16))))))+Examples!$F$17*$A405^2)</f>
        <v>-260641.64315076661</v>
      </c>
      <c r="I405" s="33">
        <f>(Examples!$F$6*Examples!$F$7*Examples!$F$8*EXP(-Examples!$F$9*$A405)*(1-(Examples!$F$12*(1-EXP(-Examples!$F$13*$A405))/(1+EXP(MIN(700,MAX(-700,(Examples!$F$14*$A405-Examples!$F$15)/Examples!$F$16))))))+Examples!$F$17*$A405^2)</f>
        <v>330041.64315076661</v>
      </c>
      <c r="J405" s="33">
        <f>Examples!$G$18-(Examples!$G$10+Examples!$G$11)*$A405-(Examples!$G$6*Examples!$G$7*Examples!$G$8*EXP(-Examples!$G$9*$A405)*(1-(Examples!$G$12*(1-EXP(-Examples!$G$13*$A405))/(1+EXP(MIN(700,MAX(-700,(Examples!$G$14*$A405-Examples!$G$15)/Examples!$G$16))))))+Examples!$G$17*$A405^2)</f>
        <v>719466.73143420706</v>
      </c>
      <c r="K405" s="33">
        <f>(Examples!$G$6*Examples!$G$7*Examples!$G$8*EXP(-Examples!$G$9*$A405)*(1-(Examples!$G$12*(1-EXP(-Examples!$G$13*$A405))/(1+EXP(MIN(700,MAX(-700,(Examples!$G$14*$A405-Examples!$G$15)/Examples!$G$16))))))+Examples!$G$17*$A405^2)</f>
        <v>579033.26856579294</v>
      </c>
      <c r="L405" s="33">
        <f>Examples!$H$18-(Examples!$H$10+Examples!$H$11)*$A405-(Examples!$H$6*Examples!$H$7*Examples!$H$8*EXP(-Examples!$H$9*$A405)*(1-(Examples!$H$12*(1-EXP(-Examples!$H$13*$A405))/(1+EXP(MIN(700,MAX(-700,(Examples!$H$14*$A405-Examples!$H$15)/Examples!$H$16))))))+Examples!$H$17*$A405^2)</f>
        <v>683041.42464012839</v>
      </c>
      <c r="M405" s="33">
        <f>(Examples!$H$6*Examples!$H$7*Examples!$H$8*EXP(-Examples!$H$9*$A405)*(1-(Examples!$H$12*(1-EXP(-Examples!$H$13*$A405))/(1+EXP(MIN(700,MAX(-700,(Examples!$H$14*$A405-Examples!$H$15)/Examples!$H$16))))))+Examples!$H$17*$A405^2)</f>
        <v>615458.57535987161</v>
      </c>
    </row>
    <row r="406" spans="1:13" x14ac:dyDescent="0.25">
      <c r="A406">
        <f>(406-2)/100</f>
        <v>4.04</v>
      </c>
      <c r="B406" s="33">
        <f>Examples!$C$18-(Examples!$C$10+Examples!$C$11)*$A406-(Examples!$C$6*Examples!$C$7*Examples!$C$8*EXP(-Examples!$C$9*$A406)*(1-(Examples!$C$12*(1-EXP(-Examples!$C$13*$A406))/(1+EXP(MIN(700,MAX(-700,(Examples!$C$14*$A406-Examples!$C$15)/Examples!$C$16))))))+Examples!$C$17*$A406^2)</f>
        <v>35246.576355331228</v>
      </c>
      <c r="C406" s="33">
        <f>(Examples!$C$6*Examples!$C$7*Examples!$C$8*EXP(-Examples!$C$9*$A406)*(1-(Examples!$C$12*(1-EXP(-Examples!$C$13*$A406))/(1+EXP(MIN(700,MAX(-700,(Examples!$C$14*$A406-Examples!$C$15)/Examples!$C$16))))))+Examples!$C$17*$A406^2)</f>
        <v>423353.42364466877</v>
      </c>
      <c r="D406" s="33">
        <f>Examples!$D$18-(Examples!$D$10+Examples!$D$11)*$A406-(Examples!$D$6*Examples!$D$7*Examples!$D$8*EXP(-Examples!$D$9*$A406)*(1-(Examples!$D$12*(1-EXP(-Examples!$D$13*$A406))/(1+EXP(MIN(700,MAX(-700,(Examples!$D$14*$A406-Examples!$D$15)/Examples!$D$16))))))+Examples!$D$17*$A406^2)</f>
        <v>1531849.3478525484</v>
      </c>
      <c r="E406" s="33">
        <f>(Examples!$D$6*Examples!$D$7*Examples!$D$8*EXP(-Examples!$D$9*$A406)*(1-(Examples!$D$12*(1-EXP(-Examples!$D$13*$A406))/(1+EXP(MIN(700,MAX(-700,(Examples!$D$14*$A406-Examples!$D$15)/Examples!$D$16))))))+Examples!$D$17*$A406^2)</f>
        <v>786350.65214745165</v>
      </c>
      <c r="F406" s="33">
        <f>Examples!$E$18-(Examples!$E$10+Examples!$E$11)*$A406-(Examples!$E$6*Examples!$E$7*Examples!$E$8*EXP(-Examples!$E$9*$A406)*(1-(Examples!$E$12*(1-EXP(-Examples!$E$13*$A406))/(1+EXP(MIN(700,MAX(-700,(Examples!$E$14*$A406-Examples!$E$15)/Examples!$E$16))))))+Examples!$E$17*$A406^2)</f>
        <v>2445130.6993811023</v>
      </c>
      <c r="G406" s="33">
        <f>(Examples!$E$6*Examples!$E$7*Examples!$E$8*EXP(-Examples!$E$9*$A406)*(1-(Examples!$E$12*(1-EXP(-Examples!$E$13*$A406))/(1+EXP(MIN(700,MAX(-700,(Examples!$E$14*$A406-Examples!$E$15)/Examples!$E$16))))))+Examples!$E$17*$A406^2)</f>
        <v>211469.30061889772</v>
      </c>
      <c r="H406" s="33">
        <f>Examples!$F$18-(Examples!$F$10+Examples!$F$11)*$A406-(Examples!$F$6*Examples!$F$7*Examples!$F$8*EXP(-Examples!$F$9*$A406)*(1-(Examples!$F$12*(1-EXP(-Examples!$F$13*$A406))/(1+EXP(MIN(700,MAX(-700,(Examples!$F$14*$A406-Examples!$F$15)/Examples!$F$16))))))+Examples!$F$17*$A406^2)</f>
        <v>-262439.99685178802</v>
      </c>
      <c r="I406" s="33">
        <f>(Examples!$F$6*Examples!$F$7*Examples!$F$8*EXP(-Examples!$F$9*$A406)*(1-(Examples!$F$12*(1-EXP(-Examples!$F$13*$A406))/(1+EXP(MIN(700,MAX(-700,(Examples!$F$14*$A406-Examples!$F$15)/Examples!$F$16))))))+Examples!$F$17*$A406^2)</f>
        <v>331639.99685178802</v>
      </c>
      <c r="J406" s="33">
        <f>Examples!$G$18-(Examples!$G$10+Examples!$G$11)*$A406-(Examples!$G$6*Examples!$G$7*Examples!$G$8*EXP(-Examples!$G$9*$A406)*(1-(Examples!$G$12*(1-EXP(-Examples!$G$13*$A406))/(1+EXP(MIN(700,MAX(-700,(Examples!$G$14*$A406-Examples!$G$15)/Examples!$G$16))))))+Examples!$G$17*$A406^2)</f>
        <v>719464.20876364131</v>
      </c>
      <c r="K406" s="33">
        <f>(Examples!$G$6*Examples!$G$7*Examples!$G$8*EXP(-Examples!$G$9*$A406)*(1-(Examples!$G$12*(1-EXP(-Examples!$G$13*$A406))/(1+EXP(MIN(700,MAX(-700,(Examples!$G$14*$A406-Examples!$G$15)/Examples!$G$16))))))+Examples!$G$17*$A406^2)</f>
        <v>578535.79123635869</v>
      </c>
      <c r="L406" s="33">
        <f>Examples!$H$18-(Examples!$H$10+Examples!$H$11)*$A406-(Examples!$H$6*Examples!$H$7*Examples!$H$8*EXP(-Examples!$H$9*$A406)*(1-(Examples!$H$12*(1-EXP(-Examples!$H$13*$A406))/(1+EXP(MIN(700,MAX(-700,(Examples!$H$14*$A406-Examples!$H$15)/Examples!$H$16))))))+Examples!$H$17*$A406^2)</f>
        <v>683515.8333169854</v>
      </c>
      <c r="M406" s="33">
        <f>(Examples!$H$6*Examples!$H$7*Examples!$H$8*EXP(-Examples!$H$9*$A406)*(1-(Examples!$H$12*(1-EXP(-Examples!$H$13*$A406))/(1+EXP(MIN(700,MAX(-700,(Examples!$H$14*$A406-Examples!$H$15)/Examples!$H$16))))))+Examples!$H$17*$A406^2)</f>
        <v>614484.1666830146</v>
      </c>
    </row>
    <row r="407" spans="1:13" x14ac:dyDescent="0.25">
      <c r="A407">
        <f>(407-2)/100</f>
        <v>4.05</v>
      </c>
      <c r="B407" s="33">
        <f>Examples!$C$18-(Examples!$C$10+Examples!$C$11)*$A407-(Examples!$C$6*Examples!$C$7*Examples!$C$8*EXP(-Examples!$C$9*$A407)*(1-(Examples!$C$12*(1-EXP(-Examples!$C$13*$A407))/(1+EXP(MIN(700,MAX(-700,(Examples!$C$14*$A407-Examples!$C$15)/Examples!$C$16))))))+Examples!$C$17*$A407^2)</f>
        <v>34216.863994630403</v>
      </c>
      <c r="C407" s="33">
        <f>(Examples!$C$6*Examples!$C$7*Examples!$C$8*EXP(-Examples!$C$9*$A407)*(1-(Examples!$C$12*(1-EXP(-Examples!$C$13*$A407))/(1+EXP(MIN(700,MAX(-700,(Examples!$C$14*$A407-Examples!$C$15)/Examples!$C$16))))))+Examples!$C$17*$A407^2)</f>
        <v>424033.1360053696</v>
      </c>
      <c r="D407" s="33">
        <f>Examples!$D$18-(Examples!$D$10+Examples!$D$11)*$A407-(Examples!$D$6*Examples!$D$7*Examples!$D$8*EXP(-Examples!$D$9*$A407)*(1-(Examples!$D$12*(1-EXP(-Examples!$D$13*$A407))/(1+EXP(MIN(700,MAX(-700,(Examples!$D$14*$A407-Examples!$D$15)/Examples!$D$16))))))+Examples!$D$17*$A407^2)</f>
        <v>1532187.4106889796</v>
      </c>
      <c r="E407" s="33">
        <f>(Examples!$D$6*Examples!$D$7*Examples!$D$8*EXP(-Examples!$D$9*$A407)*(1-(Examples!$D$12*(1-EXP(-Examples!$D$13*$A407))/(1+EXP(MIN(700,MAX(-700,(Examples!$D$14*$A407-Examples!$D$15)/Examples!$D$16))))))+Examples!$D$17*$A407^2)</f>
        <v>785562.58931102033</v>
      </c>
      <c r="F407" s="33">
        <f>Examples!$E$18-(Examples!$E$10+Examples!$E$11)*$A407-(Examples!$E$6*Examples!$E$7*Examples!$E$8*EXP(-Examples!$E$9*$A407)*(1-(Examples!$E$12*(1-EXP(-Examples!$E$13*$A407))/(1+EXP(MIN(700,MAX(-700,(Examples!$E$14*$A407-Examples!$E$15)/Examples!$E$16))))))+Examples!$E$17*$A407^2)</f>
        <v>2444439.3115462572</v>
      </c>
      <c r="G407" s="33">
        <f>(Examples!$E$6*Examples!$E$7*Examples!$E$8*EXP(-Examples!$E$9*$A407)*(1-(Examples!$E$12*(1-EXP(-Examples!$E$13*$A407))/(1+EXP(MIN(700,MAX(-700,(Examples!$E$14*$A407-Examples!$E$15)/Examples!$E$16))))))+Examples!$E$17*$A407^2)</f>
        <v>211310.6884537428</v>
      </c>
      <c r="H407" s="33">
        <f>Examples!$F$18-(Examples!$F$10+Examples!$F$11)*$A407-(Examples!$F$6*Examples!$F$7*Examples!$F$8*EXP(-Examples!$F$9*$A407)*(1-(Examples!$F$12*(1-EXP(-Examples!$F$13*$A407))/(1+EXP(MIN(700,MAX(-700,(Examples!$F$14*$A407-Examples!$F$15)/Examples!$F$16))))))+Examples!$F$17*$A407^2)</f>
        <v>-264242.39737462305</v>
      </c>
      <c r="I407" s="33">
        <f>(Examples!$F$6*Examples!$F$7*Examples!$F$8*EXP(-Examples!$F$9*$A407)*(1-(Examples!$F$12*(1-EXP(-Examples!$F$13*$A407))/(1+EXP(MIN(700,MAX(-700,(Examples!$F$14*$A407-Examples!$F$15)/Examples!$F$16))))))+Examples!$F$17*$A407^2)</f>
        <v>333242.39737462305</v>
      </c>
      <c r="J407" s="33">
        <f>Examples!$G$18-(Examples!$G$10+Examples!$G$11)*$A407-(Examples!$G$6*Examples!$G$7*Examples!$G$8*EXP(-Examples!$G$9*$A407)*(1-(Examples!$G$12*(1-EXP(-Examples!$G$13*$A407))/(1+EXP(MIN(700,MAX(-700,(Examples!$G$14*$A407-Examples!$G$15)/Examples!$G$16))))))+Examples!$G$17*$A407^2)</f>
        <v>719461.39835446316</v>
      </c>
      <c r="K407" s="33">
        <f>(Examples!$G$6*Examples!$G$7*Examples!$G$8*EXP(-Examples!$G$9*$A407)*(1-(Examples!$G$12*(1-EXP(-Examples!$G$13*$A407))/(1+EXP(MIN(700,MAX(-700,(Examples!$G$14*$A407-Examples!$G$15)/Examples!$G$16))))))+Examples!$G$17*$A407^2)</f>
        <v>578038.60164553684</v>
      </c>
      <c r="L407" s="33">
        <f>Examples!$H$18-(Examples!$H$10+Examples!$H$11)*$A407-(Examples!$H$6*Examples!$H$7*Examples!$H$8*EXP(-Examples!$H$9*$A407)*(1-(Examples!$H$12*(1-EXP(-Examples!$H$13*$A407))/(1+EXP(MIN(700,MAX(-700,(Examples!$H$14*$A407-Examples!$H$15)/Examples!$H$16))))))+Examples!$H$17*$A407^2)</f>
        <v>683985.54456011159</v>
      </c>
      <c r="M407" s="33">
        <f>(Examples!$H$6*Examples!$H$7*Examples!$H$8*EXP(-Examples!$H$9*$A407)*(1-(Examples!$H$12*(1-EXP(-Examples!$H$13*$A407))/(1+EXP(MIN(700,MAX(-700,(Examples!$H$14*$A407-Examples!$H$15)/Examples!$H$16))))))+Examples!$H$17*$A407^2)</f>
        <v>613514.45543988841</v>
      </c>
    </row>
    <row r="408" spans="1:13" x14ac:dyDescent="0.25">
      <c r="A408">
        <f>(408-2)/100</f>
        <v>4.0599999999999996</v>
      </c>
      <c r="B408" s="33">
        <f>Examples!$C$18-(Examples!$C$10+Examples!$C$11)*$A408-(Examples!$C$6*Examples!$C$7*Examples!$C$8*EXP(-Examples!$C$9*$A408)*(1-(Examples!$C$12*(1-EXP(-Examples!$C$13*$A408))/(1+EXP(MIN(700,MAX(-700,(Examples!$C$14*$A408-Examples!$C$15)/Examples!$C$16))))))+Examples!$C$17*$A408^2)</f>
        <v>33182.587162257929</v>
      </c>
      <c r="C408" s="33">
        <f>(Examples!$C$6*Examples!$C$7*Examples!$C$8*EXP(-Examples!$C$9*$A408)*(1-(Examples!$C$12*(1-EXP(-Examples!$C$13*$A408))/(1+EXP(MIN(700,MAX(-700,(Examples!$C$14*$A408-Examples!$C$15)/Examples!$C$16))))))+Examples!$C$17*$A408^2)</f>
        <v>424717.41283774207</v>
      </c>
      <c r="D408" s="33">
        <f>Examples!$D$18-(Examples!$D$10+Examples!$D$11)*$A408-(Examples!$D$6*Examples!$D$7*Examples!$D$8*EXP(-Examples!$D$9*$A408)*(1-(Examples!$D$12*(1-EXP(-Examples!$D$13*$A408))/(1+EXP(MIN(700,MAX(-700,(Examples!$D$14*$A408-Examples!$D$15)/Examples!$D$16))))))+Examples!$D$17*$A408^2)</f>
        <v>1532530.1667593333</v>
      </c>
      <c r="E408" s="33">
        <f>(Examples!$D$6*Examples!$D$7*Examples!$D$8*EXP(-Examples!$D$9*$A408)*(1-(Examples!$D$12*(1-EXP(-Examples!$D$13*$A408))/(1+EXP(MIN(700,MAX(-700,(Examples!$D$14*$A408-Examples!$D$15)/Examples!$D$16))))))+Examples!$D$17*$A408^2)</f>
        <v>784769.83324066666</v>
      </c>
      <c r="F408" s="33">
        <f>Examples!$E$18-(Examples!$E$10+Examples!$E$11)*$A408-(Examples!$E$6*Examples!$E$7*Examples!$E$8*EXP(-Examples!$E$9*$A408)*(1-(Examples!$E$12*(1-EXP(-Examples!$E$13*$A408))/(1+EXP(MIN(700,MAX(-700,(Examples!$E$14*$A408-Examples!$E$15)/Examples!$E$16))))))+Examples!$E$17*$A408^2)</f>
        <v>2443744.9118248085</v>
      </c>
      <c r="G408" s="33">
        <f>(Examples!$E$6*Examples!$E$7*Examples!$E$8*EXP(-Examples!$E$9*$A408)*(1-(Examples!$E$12*(1-EXP(-Examples!$E$13*$A408))/(1+EXP(MIN(700,MAX(-700,(Examples!$E$14*$A408-Examples!$E$15)/Examples!$E$16))))))+Examples!$E$17*$A408^2)</f>
        <v>211155.08817519131</v>
      </c>
      <c r="H408" s="33">
        <f>Examples!$F$18-(Examples!$F$10+Examples!$F$11)*$A408-(Examples!$F$6*Examples!$F$7*Examples!$F$8*EXP(-Examples!$F$9*$A408)*(1-(Examples!$F$12*(1-EXP(-Examples!$F$13*$A408))/(1+EXP(MIN(700,MAX(-700,(Examples!$F$14*$A408-Examples!$F$15)/Examples!$F$16))))))+Examples!$F$17*$A408^2)</f>
        <v>-266048.84458091424</v>
      </c>
      <c r="I408" s="33">
        <f>(Examples!$F$6*Examples!$F$7*Examples!$F$8*EXP(-Examples!$F$9*$A408)*(1-(Examples!$F$12*(1-EXP(-Examples!$F$13*$A408))/(1+EXP(MIN(700,MAX(-700,(Examples!$F$14*$A408-Examples!$F$15)/Examples!$F$16))))))+Examples!$F$17*$A408^2)</f>
        <v>334848.84458091424</v>
      </c>
      <c r="J408" s="33">
        <f>Examples!$G$18-(Examples!$G$10+Examples!$G$11)*$A408-(Examples!$G$6*Examples!$G$7*Examples!$G$8*EXP(-Examples!$G$9*$A408)*(1-(Examples!$G$12*(1-EXP(-Examples!$G$13*$A408))/(1+EXP(MIN(700,MAX(-700,(Examples!$G$14*$A408-Examples!$G$15)/Examples!$G$16))))))+Examples!$G$17*$A408^2)</f>
        <v>719458.2484320486</v>
      </c>
      <c r="K408" s="33">
        <f>(Examples!$G$6*Examples!$G$7*Examples!$G$8*EXP(-Examples!$G$9*$A408)*(1-(Examples!$G$12*(1-EXP(-Examples!$G$13*$A408))/(1+EXP(MIN(700,MAX(-700,(Examples!$G$14*$A408-Examples!$G$15)/Examples!$G$16))))))+Examples!$G$17*$A408^2)</f>
        <v>577541.7515679514</v>
      </c>
      <c r="L408" s="33">
        <f>Examples!$H$18-(Examples!$H$10+Examples!$H$11)*$A408-(Examples!$H$6*Examples!$H$7*Examples!$H$8*EXP(-Examples!$H$9*$A408)*(1-(Examples!$H$12*(1-EXP(-Examples!$H$13*$A408))/(1+EXP(MIN(700,MAX(-700,(Examples!$H$14*$A408-Examples!$H$15)/Examples!$H$16))))))+Examples!$H$17*$A408^2)</f>
        <v>684450.484634661</v>
      </c>
      <c r="M408" s="33">
        <f>(Examples!$H$6*Examples!$H$7*Examples!$H$8*EXP(-Examples!$H$9*$A408)*(1-(Examples!$H$12*(1-EXP(-Examples!$H$13*$A408))/(1+EXP(MIN(700,MAX(-700,(Examples!$H$14*$A408-Examples!$H$15)/Examples!$H$16))))))+Examples!$H$17*$A408^2)</f>
        <v>612549.515365339</v>
      </c>
    </row>
    <row r="409" spans="1:13" x14ac:dyDescent="0.25">
      <c r="A409">
        <f>(409-2)/100</f>
        <v>4.07</v>
      </c>
      <c r="B409" s="33">
        <f>Examples!$C$18-(Examples!$C$10+Examples!$C$11)*$A409-(Examples!$C$6*Examples!$C$7*Examples!$C$8*EXP(-Examples!$C$9*$A409)*(1-(Examples!$C$12*(1-EXP(-Examples!$C$13*$A409))/(1+EXP(MIN(700,MAX(-700,(Examples!$C$14*$A409-Examples!$C$15)/Examples!$C$16))))))+Examples!$C$17*$A409^2)</f>
        <v>32143.749358766945</v>
      </c>
      <c r="C409" s="33">
        <f>(Examples!$C$6*Examples!$C$7*Examples!$C$8*EXP(-Examples!$C$9*$A409)*(1-(Examples!$C$12*(1-EXP(-Examples!$C$13*$A409))/(1+EXP(MIN(700,MAX(-700,(Examples!$C$14*$A409-Examples!$C$15)/Examples!$C$16))))))+Examples!$C$17*$A409^2)</f>
        <v>425406.25064123305</v>
      </c>
      <c r="D409" s="33">
        <f>Examples!$D$18-(Examples!$D$10+Examples!$D$11)*$A409-(Examples!$D$6*Examples!$D$7*Examples!$D$8*EXP(-Examples!$D$9*$A409)*(1-(Examples!$D$12*(1-EXP(-Examples!$D$13*$A409))/(1+EXP(MIN(700,MAX(-700,(Examples!$D$14*$A409-Examples!$D$15)/Examples!$D$16))))))+Examples!$D$17*$A409^2)</f>
        <v>1532877.7325138091</v>
      </c>
      <c r="E409" s="33">
        <f>(Examples!$D$6*Examples!$D$7*Examples!$D$8*EXP(-Examples!$D$9*$A409)*(1-(Examples!$D$12*(1-EXP(-Examples!$D$13*$A409))/(1+EXP(MIN(700,MAX(-700,(Examples!$D$14*$A409-Examples!$D$15)/Examples!$D$16))))))+Examples!$D$17*$A409^2)</f>
        <v>783972.26748619101</v>
      </c>
      <c r="F409" s="33">
        <f>Examples!$E$18-(Examples!$E$10+Examples!$E$11)*$A409-(Examples!$E$6*Examples!$E$7*Examples!$E$8*EXP(-Examples!$E$9*$A409)*(1-(Examples!$E$12*(1-EXP(-Examples!$E$13*$A409))/(1+EXP(MIN(700,MAX(-700,(Examples!$E$14*$A409-Examples!$E$15)/Examples!$E$16))))))+Examples!$E$17*$A409^2)</f>
        <v>2443047.5428227806</v>
      </c>
      <c r="G409" s="33">
        <f>(Examples!$E$6*Examples!$E$7*Examples!$E$8*EXP(-Examples!$E$9*$A409)*(1-(Examples!$E$12*(1-EXP(-Examples!$E$13*$A409))/(1+EXP(MIN(700,MAX(-700,(Examples!$E$14*$A409-Examples!$E$15)/Examples!$E$16))))))+Examples!$E$17*$A409^2)</f>
        <v>211002.45717721953</v>
      </c>
      <c r="H409" s="33">
        <f>Examples!$F$18-(Examples!$F$10+Examples!$F$11)*$A409-(Examples!$F$6*Examples!$F$7*Examples!$F$8*EXP(-Examples!$F$9*$A409)*(1-(Examples!$F$12*(1-EXP(-Examples!$F$13*$A409))/(1+EXP(MIN(700,MAX(-700,(Examples!$F$14*$A409-Examples!$F$15)/Examples!$F$16))))))+Examples!$F$17*$A409^2)</f>
        <v>-267859.33833264216</v>
      </c>
      <c r="I409" s="33">
        <f>(Examples!$F$6*Examples!$F$7*Examples!$F$8*EXP(-Examples!$F$9*$A409)*(1-(Examples!$F$12*(1-EXP(-Examples!$F$13*$A409))/(1+EXP(MIN(700,MAX(-700,(Examples!$F$14*$A409-Examples!$F$15)/Examples!$F$16))))))+Examples!$F$17*$A409^2)</f>
        <v>336459.33833264216</v>
      </c>
      <c r="J409" s="33">
        <f>Examples!$G$18-(Examples!$G$10+Examples!$G$11)*$A409-(Examples!$G$6*Examples!$G$7*Examples!$G$8*EXP(-Examples!$G$9*$A409)*(1-(Examples!$G$12*(1-EXP(-Examples!$G$13*$A409))/(1+EXP(MIN(700,MAX(-700,(Examples!$G$14*$A409-Examples!$G$15)/Examples!$G$16))))))+Examples!$G$17*$A409^2)</f>
        <v>719454.70732157468</v>
      </c>
      <c r="K409" s="33">
        <f>(Examples!$G$6*Examples!$G$7*Examples!$G$8*EXP(-Examples!$G$9*$A409)*(1-(Examples!$G$12*(1-EXP(-Examples!$G$13*$A409))/(1+EXP(MIN(700,MAX(-700,(Examples!$G$14*$A409-Examples!$G$15)/Examples!$G$16))))))+Examples!$G$17*$A409^2)</f>
        <v>577045.29267842532</v>
      </c>
      <c r="L409" s="33">
        <f>Examples!$H$18-(Examples!$H$10+Examples!$H$11)*$A409-(Examples!$H$6*Examples!$H$7*Examples!$H$8*EXP(-Examples!$H$9*$A409)*(1-(Examples!$H$12*(1-EXP(-Examples!$H$13*$A409))/(1+EXP(MIN(700,MAX(-700,(Examples!$H$14*$A409-Examples!$H$15)/Examples!$H$16))))))+Examples!$H$17*$A409^2)</f>
        <v>684910.58277075645</v>
      </c>
      <c r="M409" s="33">
        <f>(Examples!$H$6*Examples!$H$7*Examples!$H$8*EXP(-Examples!$H$9*$A409)*(1-(Examples!$H$12*(1-EXP(-Examples!$H$13*$A409))/(1+EXP(MIN(700,MAX(-700,(Examples!$H$14*$A409-Examples!$H$15)/Examples!$H$16))))))+Examples!$H$17*$A409^2)</f>
        <v>611589.41722924355</v>
      </c>
    </row>
    <row r="410" spans="1:13" x14ac:dyDescent="0.25">
      <c r="A410">
        <f>(410-2)/100</f>
        <v>4.08</v>
      </c>
      <c r="B410" s="33">
        <f>Examples!$C$18-(Examples!$C$10+Examples!$C$11)*$A410-(Examples!$C$6*Examples!$C$7*Examples!$C$8*EXP(-Examples!$C$9*$A410)*(1-(Examples!$C$12*(1-EXP(-Examples!$C$13*$A410))/(1+EXP(MIN(700,MAX(-700,(Examples!$C$14*$A410-Examples!$C$15)/Examples!$C$16))))))+Examples!$C$17*$A410^2)</f>
        <v>31100.354114723392</v>
      </c>
      <c r="C410" s="33">
        <f>(Examples!$C$6*Examples!$C$7*Examples!$C$8*EXP(-Examples!$C$9*$A410)*(1-(Examples!$C$12*(1-EXP(-Examples!$C$13*$A410))/(1+EXP(MIN(700,MAX(-700,(Examples!$C$14*$A410-Examples!$C$15)/Examples!$C$16))))))+Examples!$C$17*$A410^2)</f>
        <v>426099.64588527661</v>
      </c>
      <c r="D410" s="33">
        <f>Examples!$D$18-(Examples!$D$10+Examples!$D$11)*$A410-(Examples!$D$6*Examples!$D$7*Examples!$D$8*EXP(-Examples!$D$9*$A410)*(1-(Examples!$D$12*(1-EXP(-Examples!$D$13*$A410))/(1+EXP(MIN(700,MAX(-700,(Examples!$D$14*$A410-Examples!$D$15)/Examples!$D$16))))))+Examples!$D$17*$A410^2)</f>
        <v>1533230.2196336761</v>
      </c>
      <c r="E410" s="33">
        <f>(Examples!$D$6*Examples!$D$7*Examples!$D$8*EXP(-Examples!$D$9*$A410)*(1-(Examples!$D$12*(1-EXP(-Examples!$D$13*$A410))/(1+EXP(MIN(700,MAX(-700,(Examples!$D$14*$A410-Examples!$D$15)/Examples!$D$16))))))+Examples!$D$17*$A410^2)</f>
        <v>783169.78036632377</v>
      </c>
      <c r="F410" s="33">
        <f>Examples!$E$18-(Examples!$E$10+Examples!$E$11)*$A410-(Examples!$E$6*Examples!$E$7*Examples!$E$8*EXP(-Examples!$E$9*$A410)*(1-(Examples!$E$12*(1-EXP(-Examples!$E$13*$A410))/(1+EXP(MIN(700,MAX(-700,(Examples!$E$14*$A410-Examples!$E$15)/Examples!$E$16))))))+Examples!$E$17*$A410^2)</f>
        <v>2442347.2466750578</v>
      </c>
      <c r="G410" s="33">
        <f>(Examples!$E$6*Examples!$E$7*Examples!$E$8*EXP(-Examples!$E$9*$A410)*(1-(Examples!$E$12*(1-EXP(-Examples!$E$13*$A410))/(1+EXP(MIN(700,MAX(-700,(Examples!$E$14*$A410-Examples!$E$15)/Examples!$E$16))))))+Examples!$E$17*$A410^2)</f>
        <v>210852.7533249422</v>
      </c>
      <c r="H410" s="33">
        <f>Examples!$F$18-(Examples!$F$10+Examples!$F$11)*$A410-(Examples!$F$6*Examples!$F$7*Examples!$F$8*EXP(-Examples!$F$9*$A410)*(1-(Examples!$F$12*(1-EXP(-Examples!$F$13*$A410))/(1+EXP(MIN(700,MAX(-700,(Examples!$F$14*$A410-Examples!$F$15)/Examples!$F$16))))))+Examples!$F$17*$A410^2)</f>
        <v>-269673.87849212647</v>
      </c>
      <c r="I410" s="33">
        <f>(Examples!$F$6*Examples!$F$7*Examples!$F$8*EXP(-Examples!$F$9*$A410)*(1-(Examples!$F$12*(1-EXP(-Examples!$F$13*$A410))/(1+EXP(MIN(700,MAX(-700,(Examples!$F$14*$A410-Examples!$F$15)/Examples!$F$16))))))+Examples!$F$17*$A410^2)</f>
        <v>338073.87849212647</v>
      </c>
      <c r="J410" s="33">
        <f>Examples!$G$18-(Examples!$G$10+Examples!$G$11)*$A410-(Examples!$G$6*Examples!$G$7*Examples!$G$8*EXP(-Examples!$G$9*$A410)*(1-(Examples!$G$12*(1-EXP(-Examples!$G$13*$A410))/(1+EXP(MIN(700,MAX(-700,(Examples!$G$14*$A410-Examples!$G$15)/Examples!$G$16))))))+Examples!$G$17*$A410^2)</f>
        <v>719450.7234642054</v>
      </c>
      <c r="K410" s="33">
        <f>(Examples!$G$6*Examples!$G$7*Examples!$G$8*EXP(-Examples!$G$9*$A410)*(1-(Examples!$G$12*(1-EXP(-Examples!$G$13*$A410))/(1+EXP(MIN(700,MAX(-700,(Examples!$G$14*$A410-Examples!$G$15)/Examples!$G$16))))))+Examples!$G$17*$A410^2)</f>
        <v>576549.2765357946</v>
      </c>
      <c r="L410" s="33">
        <f>Examples!$H$18-(Examples!$H$10+Examples!$H$11)*$A410-(Examples!$H$6*Examples!$H$7*Examples!$H$8*EXP(-Examples!$H$9*$A410)*(1-(Examples!$H$12*(1-EXP(-Examples!$H$13*$A410))/(1+EXP(MIN(700,MAX(-700,(Examples!$H$14*$A410-Examples!$H$15)/Examples!$H$16))))))+Examples!$H$17*$A410^2)</f>
        <v>685365.77107141842</v>
      </c>
      <c r="M410" s="33">
        <f>(Examples!$H$6*Examples!$H$7*Examples!$H$8*EXP(-Examples!$H$9*$A410)*(1-(Examples!$H$12*(1-EXP(-Examples!$H$13*$A410))/(1+EXP(MIN(700,MAX(-700,(Examples!$H$14*$A410-Examples!$H$15)/Examples!$H$16))))))+Examples!$H$17*$A410^2)</f>
        <v>610634.22892858158</v>
      </c>
    </row>
    <row r="411" spans="1:13" x14ac:dyDescent="0.25">
      <c r="A411">
        <f>(411-2)/100</f>
        <v>4.09</v>
      </c>
      <c r="B411" s="33">
        <f>Examples!$C$18-(Examples!$C$10+Examples!$C$11)*$A411-(Examples!$C$6*Examples!$C$7*Examples!$C$8*EXP(-Examples!$C$9*$A411)*(1-(Examples!$C$12*(1-EXP(-Examples!$C$13*$A411))/(1+EXP(MIN(700,MAX(-700,(Examples!$C$14*$A411-Examples!$C$15)/Examples!$C$16))))))+Examples!$C$17*$A411^2)</f>
        <v>30052.404989245406</v>
      </c>
      <c r="C411" s="33">
        <f>(Examples!$C$6*Examples!$C$7*Examples!$C$8*EXP(-Examples!$C$9*$A411)*(1-(Examples!$C$12*(1-EXP(-Examples!$C$13*$A411))/(1+EXP(MIN(700,MAX(-700,(Examples!$C$14*$A411-Examples!$C$15)/Examples!$C$16))))))+Examples!$C$17*$A411^2)</f>
        <v>426797.59501075459</v>
      </c>
      <c r="D411" s="33">
        <f>Examples!$D$18-(Examples!$D$10+Examples!$D$11)*$A411-(Examples!$D$6*Examples!$D$7*Examples!$D$8*EXP(-Examples!$D$9*$A411)*(1-(Examples!$D$12*(1-EXP(-Examples!$D$13*$A411))/(1+EXP(MIN(700,MAX(-700,(Examples!$D$14*$A411-Examples!$D$15)/Examples!$D$16))))))+Examples!$D$17*$A411^2)</f>
        <v>1533587.735054689</v>
      </c>
      <c r="E411" s="33">
        <f>(Examples!$D$6*Examples!$D$7*Examples!$D$8*EXP(-Examples!$D$9*$A411)*(1-(Examples!$D$12*(1-EXP(-Examples!$D$13*$A411))/(1+EXP(MIN(700,MAX(-700,(Examples!$D$14*$A411-Examples!$D$15)/Examples!$D$16))))))+Examples!$D$17*$A411^2)</f>
        <v>782362.26494531112</v>
      </c>
      <c r="F411" s="33">
        <f>Examples!$E$18-(Examples!$E$10+Examples!$E$11)*$A411-(Examples!$E$6*Examples!$E$7*Examples!$E$8*EXP(-Examples!$E$9*$A411)*(1-(Examples!$E$12*(1-EXP(-Examples!$E$13*$A411))/(1+EXP(MIN(700,MAX(-700,(Examples!$E$14*$A411-Examples!$E$15)/Examples!$E$16))))))+Examples!$E$17*$A411^2)</f>
        <v>2441644.0650487472</v>
      </c>
      <c r="G411" s="33">
        <f>(Examples!$E$6*Examples!$E$7*Examples!$E$8*EXP(-Examples!$E$9*$A411)*(1-(Examples!$E$12*(1-EXP(-Examples!$E$13*$A411))/(1+EXP(MIN(700,MAX(-700,(Examples!$E$14*$A411-Examples!$E$15)/Examples!$E$16))))))+Examples!$E$17*$A411^2)</f>
        <v>210705.93495125297</v>
      </c>
      <c r="H411" s="33">
        <f>Examples!$F$18-(Examples!$F$10+Examples!$F$11)*$A411-(Examples!$F$6*Examples!$F$7*Examples!$F$8*EXP(-Examples!$F$9*$A411)*(1-(Examples!$F$12*(1-EXP(-Examples!$F$13*$A411))/(1+EXP(MIN(700,MAX(-700,(Examples!$F$14*$A411-Examples!$F$15)/Examples!$F$16))))))+Examples!$F$17*$A411^2)</f>
        <v>-271492.46492202923</v>
      </c>
      <c r="I411" s="33">
        <f>(Examples!$F$6*Examples!$F$7*Examples!$F$8*EXP(-Examples!$F$9*$A411)*(1-(Examples!$F$12*(1-EXP(-Examples!$F$13*$A411))/(1+EXP(MIN(700,MAX(-700,(Examples!$F$14*$A411-Examples!$F$15)/Examples!$F$16))))))+Examples!$F$17*$A411^2)</f>
        <v>339692.46492202923</v>
      </c>
      <c r="J411" s="33">
        <f>Examples!$G$18-(Examples!$G$10+Examples!$G$11)*$A411-(Examples!$G$6*Examples!$G$7*Examples!$G$8*EXP(-Examples!$G$9*$A411)*(1-(Examples!$G$12*(1-EXP(-Examples!$G$13*$A411))/(1+EXP(MIN(700,MAX(-700,(Examples!$G$14*$A411-Examples!$G$15)/Examples!$G$16))))))+Examples!$G$17*$A411^2)</f>
        <v>719446.24543279363</v>
      </c>
      <c r="K411" s="33">
        <f>(Examples!$G$6*Examples!$G$7*Examples!$G$8*EXP(-Examples!$G$9*$A411)*(1-(Examples!$G$12*(1-EXP(-Examples!$G$13*$A411))/(1+EXP(MIN(700,MAX(-700,(Examples!$G$14*$A411-Examples!$G$15)/Examples!$G$16))))))+Examples!$G$17*$A411^2)</f>
        <v>576053.75456720637</v>
      </c>
      <c r="L411" s="33">
        <f>Examples!$H$18-(Examples!$H$10+Examples!$H$11)*$A411-(Examples!$H$6*Examples!$H$7*Examples!$H$8*EXP(-Examples!$H$9*$A411)*(1-(Examples!$H$12*(1-EXP(-Examples!$H$13*$A411))/(1+EXP(MIN(700,MAX(-700,(Examples!$H$14*$A411-Examples!$H$15)/Examples!$H$16))))))+Examples!$H$17*$A411^2)</f>
        <v>685815.98442297103</v>
      </c>
      <c r="M411" s="33">
        <f>(Examples!$H$6*Examples!$H$7*Examples!$H$8*EXP(-Examples!$H$9*$A411)*(1-(Examples!$H$12*(1-EXP(-Examples!$H$13*$A411))/(1+EXP(MIN(700,MAX(-700,(Examples!$H$14*$A411-Examples!$H$15)/Examples!$H$16))))))+Examples!$H$17*$A411^2)</f>
        <v>609684.01557702897</v>
      </c>
    </row>
    <row r="412" spans="1:13" x14ac:dyDescent="0.25">
      <c r="A412">
        <f>(412-2)/100</f>
        <v>4.0999999999999996</v>
      </c>
      <c r="B412" s="33">
        <f>Examples!$C$18-(Examples!$C$10+Examples!$C$11)*$A412-(Examples!$C$6*Examples!$C$7*Examples!$C$8*EXP(-Examples!$C$9*$A412)*(1-(Examples!$C$12*(1-EXP(-Examples!$C$13*$A412))/(1+EXP(MIN(700,MAX(-700,(Examples!$C$14*$A412-Examples!$C$15)/Examples!$C$16))))))+Examples!$C$17*$A412^2)</f>
        <v>28999.905568592483</v>
      </c>
      <c r="C412" s="33">
        <f>(Examples!$C$6*Examples!$C$7*Examples!$C$8*EXP(-Examples!$C$9*$A412)*(1-(Examples!$C$12*(1-EXP(-Examples!$C$13*$A412))/(1+EXP(MIN(700,MAX(-700,(Examples!$C$14*$A412-Examples!$C$15)/Examples!$C$16))))))+Examples!$C$17*$A412^2)</f>
        <v>427500.09443140752</v>
      </c>
      <c r="D412" s="33">
        <f>Examples!$D$18-(Examples!$D$10+Examples!$D$11)*$A412-(Examples!$D$6*Examples!$D$7*Examples!$D$8*EXP(-Examples!$D$9*$A412)*(1-(Examples!$D$12*(1-EXP(-Examples!$D$13*$A412))/(1+EXP(MIN(700,MAX(-700,(Examples!$D$14*$A412-Examples!$D$15)/Examples!$D$16))))))+Examples!$D$17*$A412^2)</f>
        <v>1533950.380992373</v>
      </c>
      <c r="E412" s="33">
        <f>(Examples!$D$6*Examples!$D$7*Examples!$D$8*EXP(-Examples!$D$9*$A412)*(1-(Examples!$D$12*(1-EXP(-Examples!$D$13*$A412))/(1+EXP(MIN(700,MAX(-700,(Examples!$D$14*$A412-Examples!$D$15)/Examples!$D$16))))))+Examples!$D$17*$A412^2)</f>
        <v>781549.6190076269</v>
      </c>
      <c r="F412" s="33">
        <f>Examples!$E$18-(Examples!$E$10+Examples!$E$11)*$A412-(Examples!$E$6*Examples!$E$7*Examples!$E$8*EXP(-Examples!$E$9*$A412)*(1-(Examples!$E$12*(1-EXP(-Examples!$E$13*$A412))/(1+EXP(MIN(700,MAX(-700,(Examples!$E$14*$A412-Examples!$E$15)/Examples!$E$16))))))+Examples!$E$17*$A412^2)</f>
        <v>2440938.0391464871</v>
      </c>
      <c r="G412" s="33">
        <f>(Examples!$E$6*Examples!$E$7*Examples!$E$8*EXP(-Examples!$E$9*$A412)*(1-(Examples!$E$12*(1-EXP(-Examples!$E$13*$A412))/(1+EXP(MIN(700,MAX(-700,(Examples!$E$14*$A412-Examples!$E$15)/Examples!$E$16))))))+Examples!$E$17*$A412^2)</f>
        <v>210561.96085351281</v>
      </c>
      <c r="H412" s="33">
        <f>Examples!$F$18-(Examples!$F$10+Examples!$F$11)*$A412-(Examples!$F$6*Examples!$F$7*Examples!$F$8*EXP(-Examples!$F$9*$A412)*(1-(Examples!$F$12*(1-EXP(-Examples!$F$13*$A412))/(1+EXP(MIN(700,MAX(-700,(Examples!$F$14*$A412-Examples!$F$15)/Examples!$F$16))))))+Examples!$F$17*$A412^2)</f>
        <v>-273315.09748535597</v>
      </c>
      <c r="I412" s="33">
        <f>(Examples!$F$6*Examples!$F$7*Examples!$F$8*EXP(-Examples!$F$9*$A412)*(1-(Examples!$F$12*(1-EXP(-Examples!$F$13*$A412))/(1+EXP(MIN(700,MAX(-700,(Examples!$F$14*$A412-Examples!$F$15)/Examples!$F$16))))))+Examples!$F$17*$A412^2)</f>
        <v>341315.09748535597</v>
      </c>
      <c r="J412" s="33">
        <f>Examples!$G$18-(Examples!$G$10+Examples!$G$11)*$A412-(Examples!$G$6*Examples!$G$7*Examples!$G$8*EXP(-Examples!$G$9*$A412)*(1-(Examples!$G$12*(1-EXP(-Examples!$G$13*$A412))/(1+EXP(MIN(700,MAX(-700,(Examples!$G$14*$A412-Examples!$G$15)/Examples!$G$16))))))+Examples!$G$17*$A412^2)</f>
        <v>719441.2219471056</v>
      </c>
      <c r="K412" s="33">
        <f>(Examples!$G$6*Examples!$G$7*Examples!$G$8*EXP(-Examples!$G$9*$A412)*(1-(Examples!$G$12*(1-EXP(-Examples!$G$13*$A412))/(1+EXP(MIN(700,MAX(-700,(Examples!$G$14*$A412-Examples!$G$15)/Examples!$G$16))))))+Examples!$G$17*$A412^2)</f>
        <v>575558.7780528944</v>
      </c>
      <c r="L412" s="33">
        <f>Examples!$H$18-(Examples!$H$10+Examples!$H$11)*$A412-(Examples!$H$6*Examples!$H$7*Examples!$H$8*EXP(-Examples!$H$9*$A412)*(1-(Examples!$H$12*(1-EXP(-Examples!$H$13*$A412))/(1+EXP(MIN(700,MAX(-700,(Examples!$H$14*$A412-Examples!$H$15)/Examples!$H$16))))))+Examples!$H$17*$A412^2)</f>
        <v>686261.16040788009</v>
      </c>
      <c r="M412" s="33">
        <f>(Examples!$H$6*Examples!$H$7*Examples!$H$8*EXP(-Examples!$H$9*$A412)*(1-(Examples!$H$12*(1-EXP(-Examples!$H$13*$A412))/(1+EXP(MIN(700,MAX(-700,(Examples!$H$14*$A412-Examples!$H$15)/Examples!$H$16))))))+Examples!$H$17*$A412^2)</f>
        <v>608738.83959211991</v>
      </c>
    </row>
    <row r="413" spans="1:13" x14ac:dyDescent="0.25">
      <c r="A413">
        <f>(413-2)/100</f>
        <v>4.1100000000000003</v>
      </c>
      <c r="B413" s="33">
        <f>Examples!$C$18-(Examples!$C$10+Examples!$C$11)*$A413-(Examples!$C$6*Examples!$C$7*Examples!$C$8*EXP(-Examples!$C$9*$A413)*(1-(Examples!$C$12*(1-EXP(-Examples!$C$13*$A413))/(1+EXP(MIN(700,MAX(-700,(Examples!$C$14*$A413-Examples!$C$15)/Examples!$C$16))))))+Examples!$C$17*$A413^2)</f>
        <v>27942.85946480406</v>
      </c>
      <c r="C413" s="33">
        <f>(Examples!$C$6*Examples!$C$7*Examples!$C$8*EXP(-Examples!$C$9*$A413)*(1-(Examples!$C$12*(1-EXP(-Examples!$C$13*$A413))/(1+EXP(MIN(700,MAX(-700,(Examples!$C$14*$A413-Examples!$C$15)/Examples!$C$16))))))+Examples!$C$17*$A413^2)</f>
        <v>428207.14053519594</v>
      </c>
      <c r="D413" s="33">
        <f>Examples!$D$18-(Examples!$D$10+Examples!$D$11)*$A413-(Examples!$D$6*Examples!$D$7*Examples!$D$8*EXP(-Examples!$D$9*$A413)*(1-(Examples!$D$12*(1-EXP(-Examples!$D$13*$A413))/(1+EXP(MIN(700,MAX(-700,(Examples!$D$14*$A413-Examples!$D$15)/Examples!$D$16))))))+Examples!$D$17*$A413^2)</f>
        <v>1534318.254969155</v>
      </c>
      <c r="E413" s="33">
        <f>(Examples!$D$6*Examples!$D$7*Examples!$D$8*EXP(-Examples!$D$9*$A413)*(1-(Examples!$D$12*(1-EXP(-Examples!$D$13*$A413))/(1+EXP(MIN(700,MAX(-700,(Examples!$D$14*$A413-Examples!$D$15)/Examples!$D$16))))))+Examples!$D$17*$A413^2)</f>
        <v>780731.74503084493</v>
      </c>
      <c r="F413" s="33">
        <f>Examples!$E$18-(Examples!$E$10+Examples!$E$11)*$A413-(Examples!$E$6*Examples!$E$7*Examples!$E$8*EXP(-Examples!$E$9*$A413)*(1-(Examples!$E$12*(1-EXP(-Examples!$E$13*$A413))/(1+EXP(MIN(700,MAX(-700,(Examples!$E$14*$A413-Examples!$E$15)/Examples!$E$16))))))+Examples!$E$17*$A413^2)</f>
        <v>2440229.2097097174</v>
      </c>
      <c r="G413" s="33">
        <f>(Examples!$E$6*Examples!$E$7*Examples!$E$8*EXP(-Examples!$E$9*$A413)*(1-(Examples!$E$12*(1-EXP(-Examples!$E$13*$A413))/(1+EXP(MIN(700,MAX(-700,(Examples!$E$14*$A413-Examples!$E$15)/Examples!$E$16))))))+Examples!$E$17*$A413^2)</f>
        <v>210420.7902902824</v>
      </c>
      <c r="H413" s="33">
        <f>Examples!$F$18-(Examples!$F$10+Examples!$F$11)*$A413-(Examples!$F$6*Examples!$F$7*Examples!$F$8*EXP(-Examples!$F$9*$A413)*(1-(Examples!$F$12*(1-EXP(-Examples!$F$13*$A413))/(1+EXP(MIN(700,MAX(-700,(Examples!$F$14*$A413-Examples!$F$15)/Examples!$F$16))))))+Examples!$F$17*$A413^2)</f>
        <v>-275141.77604545734</v>
      </c>
      <c r="I413" s="33">
        <f>(Examples!$F$6*Examples!$F$7*Examples!$F$8*EXP(-Examples!$F$9*$A413)*(1-(Examples!$F$12*(1-EXP(-Examples!$F$13*$A413))/(1+EXP(MIN(700,MAX(-700,(Examples!$F$14*$A413-Examples!$F$15)/Examples!$F$16))))))+Examples!$F$17*$A413^2)</f>
        <v>342941.77604545734</v>
      </c>
      <c r="J413" s="33">
        <f>Examples!$G$18-(Examples!$G$10+Examples!$G$11)*$A413-(Examples!$G$6*Examples!$G$7*Examples!$G$8*EXP(-Examples!$G$9*$A413)*(1-(Examples!$G$12*(1-EXP(-Examples!$G$13*$A413))/(1+EXP(MIN(700,MAX(-700,(Examples!$G$14*$A413-Examples!$G$15)/Examples!$G$16))))))+Examples!$G$17*$A413^2)</f>
        <v>719435.6018885728</v>
      </c>
      <c r="K413" s="33">
        <f>(Examples!$G$6*Examples!$G$7*Examples!$G$8*EXP(-Examples!$G$9*$A413)*(1-(Examples!$G$12*(1-EXP(-Examples!$G$13*$A413))/(1+EXP(MIN(700,MAX(-700,(Examples!$G$14*$A413-Examples!$G$15)/Examples!$G$16))))))+Examples!$G$17*$A413^2)</f>
        <v>575064.3981114272</v>
      </c>
      <c r="L413" s="33">
        <f>Examples!$H$18-(Examples!$H$10+Examples!$H$11)*$A413-(Examples!$H$6*Examples!$H$7*Examples!$H$8*EXP(-Examples!$H$9*$A413)*(1-(Examples!$H$12*(1-EXP(-Examples!$H$13*$A413))/(1+EXP(MIN(700,MAX(-700,(Examples!$H$14*$A413-Examples!$H$15)/Examples!$H$16))))))+Examples!$H$17*$A413^2)</f>
        <v>686701.2392199788</v>
      </c>
      <c r="M413" s="33">
        <f>(Examples!$H$6*Examples!$H$7*Examples!$H$8*EXP(-Examples!$H$9*$A413)*(1-(Examples!$H$12*(1-EXP(-Examples!$H$13*$A413))/(1+EXP(MIN(700,MAX(-700,(Examples!$H$14*$A413-Examples!$H$15)/Examples!$H$16))))))+Examples!$H$17*$A413^2)</f>
        <v>607798.7607800212</v>
      </c>
    </row>
    <row r="414" spans="1:13" x14ac:dyDescent="0.25">
      <c r="A414">
        <f>(414-2)/100</f>
        <v>4.12</v>
      </c>
      <c r="B414" s="33">
        <f>Examples!$C$18-(Examples!$C$10+Examples!$C$11)*$A414-(Examples!$C$6*Examples!$C$7*Examples!$C$8*EXP(-Examples!$C$9*$A414)*(1-(Examples!$C$12*(1-EXP(-Examples!$C$13*$A414))/(1+EXP(MIN(700,MAX(-700,(Examples!$C$14*$A414-Examples!$C$15)/Examples!$C$16))))))+Examples!$C$17*$A414^2)</f>
        <v>26881.270314383961</v>
      </c>
      <c r="C414" s="33">
        <f>(Examples!$C$6*Examples!$C$7*Examples!$C$8*EXP(-Examples!$C$9*$A414)*(1-(Examples!$C$12*(1-EXP(-Examples!$C$13*$A414))/(1+EXP(MIN(700,MAX(-700,(Examples!$C$14*$A414-Examples!$C$15)/Examples!$C$16))))))+Examples!$C$17*$A414^2)</f>
        <v>428918.72968561604</v>
      </c>
      <c r="D414" s="33">
        <f>Examples!$D$18-(Examples!$D$10+Examples!$D$11)*$A414-(Examples!$D$6*Examples!$D$7*Examples!$D$8*EXP(-Examples!$D$9*$A414)*(1-(Examples!$D$12*(1-EXP(-Examples!$D$13*$A414))/(1+EXP(MIN(700,MAX(-700,(Examples!$D$14*$A414-Examples!$D$15)/Examples!$D$16))))))+Examples!$D$17*$A414^2)</f>
        <v>1534691.449843307</v>
      </c>
      <c r="E414" s="33">
        <f>(Examples!$D$6*Examples!$D$7*Examples!$D$8*EXP(-Examples!$D$9*$A414)*(1-(Examples!$D$12*(1-EXP(-Examples!$D$13*$A414))/(1+EXP(MIN(700,MAX(-700,(Examples!$D$14*$A414-Examples!$D$15)/Examples!$D$16))))))+Examples!$D$17*$A414^2)</f>
        <v>779908.55015669309</v>
      </c>
      <c r="F414" s="33">
        <f>Examples!$E$18-(Examples!$E$10+Examples!$E$11)*$A414-(Examples!$E$6*Examples!$E$7*Examples!$E$8*EXP(-Examples!$E$9*$A414)*(1-(Examples!$E$12*(1-EXP(-Examples!$E$13*$A414))/(1+EXP(MIN(700,MAX(-700,(Examples!$E$14*$A414-Examples!$E$15)/Examples!$E$16))))))+Examples!$E$17*$A414^2)</f>
        <v>2439517.6170219006</v>
      </c>
      <c r="G414" s="33">
        <f>(Examples!$E$6*Examples!$E$7*Examples!$E$8*EXP(-Examples!$E$9*$A414)*(1-(Examples!$E$12*(1-EXP(-Examples!$E$13*$A414))/(1+EXP(MIN(700,MAX(-700,(Examples!$E$14*$A414-Examples!$E$15)/Examples!$E$16))))))+Examples!$E$17*$A414^2)</f>
        <v>210282.38297809957</v>
      </c>
      <c r="H414" s="33">
        <f>Examples!$F$18-(Examples!$F$10+Examples!$F$11)*$A414-(Examples!$F$6*Examples!$F$7*Examples!$F$8*EXP(-Examples!$F$9*$A414)*(1-(Examples!$F$12*(1-EXP(-Examples!$F$13*$A414))/(1+EXP(MIN(700,MAX(-700,(Examples!$F$14*$A414-Examples!$F$15)/Examples!$F$16))))))+Examples!$F$17*$A414^2)</f>
        <v>-276972.50046603085</v>
      </c>
      <c r="I414" s="33">
        <f>(Examples!$F$6*Examples!$F$7*Examples!$F$8*EXP(-Examples!$F$9*$A414)*(1-(Examples!$F$12*(1-EXP(-Examples!$F$13*$A414))/(1+EXP(MIN(700,MAX(-700,(Examples!$F$14*$A414-Examples!$F$15)/Examples!$F$16))))))+Examples!$F$17*$A414^2)</f>
        <v>344572.50046603085</v>
      </c>
      <c r="J414" s="33">
        <f>Examples!$G$18-(Examples!$G$10+Examples!$G$11)*$A414-(Examples!$G$6*Examples!$G$7*Examples!$G$8*EXP(-Examples!$G$9*$A414)*(1-(Examples!$G$12*(1-EXP(-Examples!$G$13*$A414))/(1+EXP(MIN(700,MAX(-700,(Examples!$G$14*$A414-Examples!$G$15)/Examples!$G$16))))))+Examples!$G$17*$A414^2)</f>
        <v>719429.33431458054</v>
      </c>
      <c r="K414" s="33">
        <f>(Examples!$G$6*Examples!$G$7*Examples!$G$8*EXP(-Examples!$G$9*$A414)*(1-(Examples!$G$12*(1-EXP(-Examples!$G$13*$A414))/(1+EXP(MIN(700,MAX(-700,(Examples!$G$14*$A414-Examples!$G$15)/Examples!$G$16))))))+Examples!$G$17*$A414^2)</f>
        <v>574570.66568541946</v>
      </c>
      <c r="L414" s="33">
        <f>Examples!$H$18-(Examples!$H$10+Examples!$H$11)*$A414-(Examples!$H$6*Examples!$H$7*Examples!$H$8*EXP(-Examples!$H$9*$A414)*(1-(Examples!$H$12*(1-EXP(-Examples!$H$13*$A414))/(1+EXP(MIN(700,MAX(-700,(Examples!$H$14*$A414-Examples!$H$15)/Examples!$H$16))))))+Examples!$H$17*$A414^2)</f>
        <v>687136.1635820329</v>
      </c>
      <c r="M414" s="33">
        <f>(Examples!$H$6*Examples!$H$7*Examples!$H$8*EXP(-Examples!$H$9*$A414)*(1-(Examples!$H$12*(1-EXP(-Examples!$H$13*$A414))/(1+EXP(MIN(700,MAX(-700,(Examples!$H$14*$A414-Examples!$H$15)/Examples!$H$16))))))+Examples!$H$17*$A414^2)</f>
        <v>606863.8364179671</v>
      </c>
    </row>
    <row r="415" spans="1:13" x14ac:dyDescent="0.25">
      <c r="A415">
        <f>(415-2)/100</f>
        <v>4.13</v>
      </c>
      <c r="B415" s="33">
        <f>Examples!$C$18-(Examples!$C$10+Examples!$C$11)*$A415-(Examples!$C$6*Examples!$C$7*Examples!$C$8*EXP(-Examples!$C$9*$A415)*(1-(Examples!$C$12*(1-EXP(-Examples!$C$13*$A415))/(1+EXP(MIN(700,MAX(-700,(Examples!$C$14*$A415-Examples!$C$15)/Examples!$C$16))))))+Examples!$C$17*$A415^2)</f>
        <v>25815.141777031007</v>
      </c>
      <c r="C415" s="33">
        <f>(Examples!$C$6*Examples!$C$7*Examples!$C$8*EXP(-Examples!$C$9*$A415)*(1-(Examples!$C$12*(1-EXP(-Examples!$C$13*$A415))/(1+EXP(MIN(700,MAX(-700,(Examples!$C$14*$A415-Examples!$C$15)/Examples!$C$16))))))+Examples!$C$17*$A415^2)</f>
        <v>429634.85822296899</v>
      </c>
      <c r="D415" s="33">
        <f>Examples!$D$18-(Examples!$D$10+Examples!$D$11)*$A415-(Examples!$D$6*Examples!$D$7*Examples!$D$8*EXP(-Examples!$D$9*$A415)*(1-(Examples!$D$12*(1-EXP(-Examples!$D$13*$A415))/(1+EXP(MIN(700,MAX(-700,(Examples!$D$14*$A415-Examples!$D$15)/Examples!$D$16))))))+Examples!$D$17*$A415^2)</f>
        <v>1535070.0538396761</v>
      </c>
      <c r="E415" s="33">
        <f>(Examples!$D$6*Examples!$D$7*Examples!$D$8*EXP(-Examples!$D$9*$A415)*(1-(Examples!$D$12*(1-EXP(-Examples!$D$13*$A415))/(1+EXP(MIN(700,MAX(-700,(Examples!$D$14*$A415-Examples!$D$15)/Examples!$D$16))))))+Examples!$D$17*$A415^2)</f>
        <v>779079.94616032403</v>
      </c>
      <c r="F415" s="33">
        <f>Examples!$E$18-(Examples!$E$10+Examples!$E$11)*$A415-(Examples!$E$6*Examples!$E$7*Examples!$E$8*EXP(-Examples!$E$9*$A415)*(1-(Examples!$E$12*(1-EXP(-Examples!$E$13*$A415))/(1+EXP(MIN(700,MAX(-700,(Examples!$E$14*$A415-Examples!$E$15)/Examples!$E$16))))))+Examples!$E$17*$A415^2)</f>
        <v>2438803.3009117004</v>
      </c>
      <c r="G415" s="33">
        <f>(Examples!$E$6*Examples!$E$7*Examples!$E$8*EXP(-Examples!$E$9*$A415)*(1-(Examples!$E$12*(1-EXP(-Examples!$E$13*$A415))/(1+EXP(MIN(700,MAX(-700,(Examples!$E$14*$A415-Examples!$E$15)/Examples!$E$16))))))+Examples!$E$17*$A415^2)</f>
        <v>210146.69908829982</v>
      </c>
      <c r="H415" s="33">
        <f>Examples!$F$18-(Examples!$F$10+Examples!$F$11)*$A415-(Examples!$F$6*Examples!$F$7*Examples!$F$8*EXP(-Examples!$F$9*$A415)*(1-(Examples!$F$12*(1-EXP(-Examples!$F$13*$A415))/(1+EXP(MIN(700,MAX(-700,(Examples!$F$14*$A415-Examples!$F$15)/Examples!$F$16))))))+Examples!$F$17*$A415^2)</f>
        <v>-278807.27061112248</v>
      </c>
      <c r="I415" s="33">
        <f>(Examples!$F$6*Examples!$F$7*Examples!$F$8*EXP(-Examples!$F$9*$A415)*(1-(Examples!$F$12*(1-EXP(-Examples!$F$13*$A415))/(1+EXP(MIN(700,MAX(-700,(Examples!$F$14*$A415-Examples!$F$15)/Examples!$F$16))))))+Examples!$F$17*$A415^2)</f>
        <v>346207.27061112248</v>
      </c>
      <c r="J415" s="33">
        <f>Examples!$G$18-(Examples!$G$10+Examples!$G$11)*$A415-(Examples!$G$6*Examples!$G$7*Examples!$G$8*EXP(-Examples!$G$9*$A415)*(1-(Examples!$G$12*(1-EXP(-Examples!$G$13*$A415))/(1+EXP(MIN(700,MAX(-700,(Examples!$G$14*$A415-Examples!$G$15)/Examples!$G$16))))))+Examples!$G$17*$A415^2)</f>
        <v>719422.36847229337</v>
      </c>
      <c r="K415" s="33">
        <f>(Examples!$G$6*Examples!$G$7*Examples!$G$8*EXP(-Examples!$G$9*$A415)*(1-(Examples!$G$12*(1-EXP(-Examples!$G$13*$A415))/(1+EXP(MIN(700,MAX(-700,(Examples!$G$14*$A415-Examples!$G$15)/Examples!$G$16))))))+Examples!$G$17*$A415^2)</f>
        <v>574077.63152770663</v>
      </c>
      <c r="L415" s="33">
        <f>Examples!$H$18-(Examples!$H$10+Examples!$H$11)*$A415-(Examples!$H$6*Examples!$H$7*Examples!$H$8*EXP(-Examples!$H$9*$A415)*(1-(Examples!$H$12*(1-EXP(-Examples!$H$13*$A415))/(1+EXP(MIN(700,MAX(-700,(Examples!$H$14*$A415-Examples!$H$15)/Examples!$H$16))))))+Examples!$H$17*$A415^2)</f>
        <v>687565.87866560032</v>
      </c>
      <c r="M415" s="33">
        <f>(Examples!$H$6*Examples!$H$7*Examples!$H$8*EXP(-Examples!$H$9*$A415)*(1-(Examples!$H$12*(1-EXP(-Examples!$H$13*$A415))/(1+EXP(MIN(700,MAX(-700,(Examples!$H$14*$A415-Examples!$H$15)/Examples!$H$16))))))+Examples!$H$17*$A415^2)</f>
        <v>605934.12133439968</v>
      </c>
    </row>
    <row r="416" spans="1:13" x14ac:dyDescent="0.25">
      <c r="A416">
        <f>(416-2)/100</f>
        <v>4.1399999999999997</v>
      </c>
      <c r="B416" s="33">
        <f>Examples!$C$18-(Examples!$C$10+Examples!$C$11)*$A416-(Examples!$C$6*Examples!$C$7*Examples!$C$8*EXP(-Examples!$C$9*$A416)*(1-(Examples!$C$12*(1-EXP(-Examples!$C$13*$A416))/(1+EXP(MIN(700,MAX(-700,(Examples!$C$14*$A416-Examples!$C$15)/Examples!$C$16))))))+Examples!$C$17*$A416^2)</f>
        <v>24744.477534412872</v>
      </c>
      <c r="C416" s="33">
        <f>(Examples!$C$6*Examples!$C$7*Examples!$C$8*EXP(-Examples!$C$9*$A416)*(1-(Examples!$C$12*(1-EXP(-Examples!$C$13*$A416))/(1+EXP(MIN(700,MAX(-700,(Examples!$C$14*$A416-Examples!$C$15)/Examples!$C$16))))))+Examples!$C$17*$A416^2)</f>
        <v>430355.52246558713</v>
      </c>
      <c r="D416" s="33">
        <f>Examples!$D$18-(Examples!$D$10+Examples!$D$11)*$A416-(Examples!$D$6*Examples!$D$7*Examples!$D$8*EXP(-Examples!$D$9*$A416)*(1-(Examples!$D$12*(1-EXP(-Examples!$D$13*$A416))/(1+EXP(MIN(700,MAX(-700,(Examples!$D$14*$A416-Examples!$D$15)/Examples!$D$16))))))+Examples!$D$17*$A416^2)</f>
        <v>1535454.1505821666</v>
      </c>
      <c r="E416" s="33">
        <f>(Examples!$D$6*Examples!$D$7*Examples!$D$8*EXP(-Examples!$D$9*$A416)*(1-(Examples!$D$12*(1-EXP(-Examples!$D$13*$A416))/(1+EXP(MIN(700,MAX(-700,(Examples!$D$14*$A416-Examples!$D$15)/Examples!$D$16))))))+Examples!$D$17*$A416^2)</f>
        <v>778245.84941783338</v>
      </c>
      <c r="F416" s="33">
        <f>Examples!$E$18-(Examples!$E$10+Examples!$E$11)*$A416-(Examples!$E$6*Examples!$E$7*Examples!$E$8*EXP(-Examples!$E$9*$A416)*(1-(Examples!$E$12*(1-EXP(-Examples!$E$13*$A416))/(1+EXP(MIN(700,MAX(-700,(Examples!$E$14*$A416-Examples!$E$15)/Examples!$E$16))))))+Examples!$E$17*$A416^2)</f>
        <v>2438086.3007561201</v>
      </c>
      <c r="G416" s="33">
        <f>(Examples!$E$6*Examples!$E$7*Examples!$E$8*EXP(-Examples!$E$9*$A416)*(1-(Examples!$E$12*(1-EXP(-Examples!$E$13*$A416))/(1+EXP(MIN(700,MAX(-700,(Examples!$E$14*$A416-Examples!$E$15)/Examples!$E$16))))))+Examples!$E$17*$A416^2)</f>
        <v>210013.69924387988</v>
      </c>
      <c r="H416" s="33">
        <f>Examples!$F$18-(Examples!$F$10+Examples!$F$11)*$A416-(Examples!$F$6*Examples!$F$7*Examples!$F$8*EXP(-Examples!$F$9*$A416)*(1-(Examples!$F$12*(1-EXP(-Examples!$F$13*$A416))/(1+EXP(MIN(700,MAX(-700,(Examples!$F$14*$A416-Examples!$F$15)/Examples!$F$16))))))+Examples!$F$17*$A416^2)</f>
        <v>-280646.08634512778</v>
      </c>
      <c r="I416" s="33">
        <f>(Examples!$F$6*Examples!$F$7*Examples!$F$8*EXP(-Examples!$F$9*$A416)*(1-(Examples!$F$12*(1-EXP(-Examples!$F$13*$A416))/(1+EXP(MIN(700,MAX(-700,(Examples!$F$14*$A416-Examples!$F$15)/Examples!$F$16))))))+Examples!$F$17*$A416^2)</f>
        <v>347846.08634512778</v>
      </c>
      <c r="J416" s="33">
        <f>Examples!$G$18-(Examples!$G$10+Examples!$G$11)*$A416-(Examples!$G$6*Examples!$G$7*Examples!$G$8*EXP(-Examples!$G$9*$A416)*(1-(Examples!$G$12*(1-EXP(-Examples!$G$13*$A416))/(1+EXP(MIN(700,MAX(-700,(Examples!$G$14*$A416-Examples!$G$15)/Examples!$G$16))))))+Examples!$G$17*$A416^2)</f>
        <v>719414.65381203103</v>
      </c>
      <c r="K416" s="33">
        <f>(Examples!$G$6*Examples!$G$7*Examples!$G$8*EXP(-Examples!$G$9*$A416)*(1-(Examples!$G$12*(1-EXP(-Examples!$G$13*$A416))/(1+EXP(MIN(700,MAX(-700,(Examples!$G$14*$A416-Examples!$G$15)/Examples!$G$16))))))+Examples!$G$17*$A416^2)</f>
        <v>573585.34618796897</v>
      </c>
      <c r="L416" s="33">
        <f>Examples!$H$18-(Examples!$H$10+Examples!$H$11)*$A416-(Examples!$H$6*Examples!$H$7*Examples!$H$8*EXP(-Examples!$H$9*$A416)*(1-(Examples!$H$12*(1-EXP(-Examples!$H$13*$A416))/(1+EXP(MIN(700,MAX(-700,(Examples!$H$14*$A416-Examples!$H$15)/Examples!$H$16))))))+Examples!$H$17*$A416^2)</f>
        <v>687990.33201313589</v>
      </c>
      <c r="M416" s="33">
        <f>(Examples!$H$6*Examples!$H$7*Examples!$H$8*EXP(-Examples!$H$9*$A416)*(1-(Examples!$H$12*(1-EXP(-Examples!$H$13*$A416))/(1+EXP(MIN(700,MAX(-700,(Examples!$H$14*$A416-Examples!$H$15)/Examples!$H$16))))))+Examples!$H$17*$A416^2)</f>
        <v>605009.66798686411</v>
      </c>
    </row>
    <row r="417" spans="1:13" x14ac:dyDescent="0.25">
      <c r="A417">
        <f>(417-2)/100</f>
        <v>4.1500000000000004</v>
      </c>
      <c r="B417" s="33">
        <f>Examples!$C$18-(Examples!$C$10+Examples!$C$11)*$A417-(Examples!$C$6*Examples!$C$7*Examples!$C$8*EXP(-Examples!$C$9*$A417)*(1-(Examples!$C$12*(1-EXP(-Examples!$C$13*$A417))/(1+EXP(MIN(700,MAX(-700,(Examples!$C$14*$A417-Examples!$C$15)/Examples!$C$16))))))+Examples!$C$17*$A417^2)</f>
        <v>23669.281288983533</v>
      </c>
      <c r="C417" s="33">
        <f>(Examples!$C$6*Examples!$C$7*Examples!$C$8*EXP(-Examples!$C$9*$A417)*(1-(Examples!$C$12*(1-EXP(-Examples!$C$13*$A417))/(1+EXP(MIN(700,MAX(-700,(Examples!$C$14*$A417-Examples!$C$15)/Examples!$C$16))))))+Examples!$C$17*$A417^2)</f>
        <v>431080.71871101647</v>
      </c>
      <c r="D417" s="33">
        <f>Examples!$D$18-(Examples!$D$10+Examples!$D$11)*$A417-(Examples!$D$6*Examples!$D$7*Examples!$D$8*EXP(-Examples!$D$9*$A417)*(1-(Examples!$D$12*(1-EXP(-Examples!$D$13*$A417))/(1+EXP(MIN(700,MAX(-700,(Examples!$D$14*$A417-Examples!$D$15)/Examples!$D$16))))))+Examples!$D$17*$A417^2)</f>
        <v>1535843.8191279396</v>
      </c>
      <c r="E417" s="33">
        <f>(Examples!$D$6*Examples!$D$7*Examples!$D$8*EXP(-Examples!$D$9*$A417)*(1-(Examples!$D$12*(1-EXP(-Examples!$D$13*$A417))/(1+EXP(MIN(700,MAX(-700,(Examples!$D$14*$A417-Examples!$D$15)/Examples!$D$16))))))+Examples!$D$17*$A417^2)</f>
        <v>777406.18087206047</v>
      </c>
      <c r="F417" s="33">
        <f>Examples!$E$18-(Examples!$E$10+Examples!$E$11)*$A417-(Examples!$E$6*Examples!$E$7*Examples!$E$8*EXP(-Examples!$E$9*$A417)*(1-(Examples!$E$12*(1-EXP(-Examples!$E$13*$A417))/(1+EXP(MIN(700,MAX(-700,(Examples!$E$14*$A417-Examples!$E$15)/Examples!$E$16))))))+Examples!$E$17*$A417^2)</f>
        <v>2437366.6554835984</v>
      </c>
      <c r="G417" s="33">
        <f>(Examples!$E$6*Examples!$E$7*Examples!$E$8*EXP(-Examples!$E$9*$A417)*(1-(Examples!$E$12*(1-EXP(-Examples!$E$13*$A417))/(1+EXP(MIN(700,MAX(-700,(Examples!$E$14*$A417-Examples!$E$15)/Examples!$E$16))))))+Examples!$E$17*$A417^2)</f>
        <v>209883.34451640159</v>
      </c>
      <c r="H417" s="33">
        <f>Examples!$F$18-(Examples!$F$10+Examples!$F$11)*$A417-(Examples!$F$6*Examples!$F$7*Examples!$F$8*EXP(-Examples!$F$9*$A417)*(1-(Examples!$F$12*(1-EXP(-Examples!$F$13*$A417))/(1+EXP(MIN(700,MAX(-700,(Examples!$F$14*$A417-Examples!$F$15)/Examples!$F$16))))))+Examples!$F$17*$A417^2)</f>
        <v>-282488.94753279368</v>
      </c>
      <c r="I417" s="33">
        <f>(Examples!$F$6*Examples!$F$7*Examples!$F$8*EXP(-Examples!$F$9*$A417)*(1-(Examples!$F$12*(1-EXP(-Examples!$F$13*$A417))/(1+EXP(MIN(700,MAX(-700,(Examples!$F$14*$A417-Examples!$F$15)/Examples!$F$16))))))+Examples!$F$17*$A417^2)</f>
        <v>349488.94753279368</v>
      </c>
      <c r="J417" s="33">
        <f>Examples!$G$18-(Examples!$G$10+Examples!$G$11)*$A417-(Examples!$G$6*Examples!$G$7*Examples!$G$8*EXP(-Examples!$G$9*$A417)*(1-(Examples!$G$12*(1-EXP(-Examples!$G$13*$A417))/(1+EXP(MIN(700,MAX(-700,(Examples!$G$14*$A417-Examples!$G$15)/Examples!$G$16))))))+Examples!$G$17*$A417^2)</f>
        <v>719406.14000019478</v>
      </c>
      <c r="K417" s="33">
        <f>(Examples!$G$6*Examples!$G$7*Examples!$G$8*EXP(-Examples!$G$9*$A417)*(1-(Examples!$G$12*(1-EXP(-Examples!$G$13*$A417))/(1+EXP(MIN(700,MAX(-700,(Examples!$G$14*$A417-Examples!$G$15)/Examples!$G$16))))))+Examples!$G$17*$A417^2)</f>
        <v>573093.85999980522</v>
      </c>
      <c r="L417" s="33">
        <f>Examples!$H$18-(Examples!$H$10+Examples!$H$11)*$A417-(Examples!$H$6*Examples!$H$7*Examples!$H$8*EXP(-Examples!$H$9*$A417)*(1-(Examples!$H$12*(1-EXP(-Examples!$H$13*$A417))/(1+EXP(MIN(700,MAX(-700,(Examples!$H$14*$A417-Examples!$H$15)/Examples!$H$16))))))+Examples!$H$17*$A417^2)</f>
        <v>688409.47346229525</v>
      </c>
      <c r="M417" s="33">
        <f>(Examples!$H$6*Examples!$H$7*Examples!$H$8*EXP(-Examples!$H$9*$A417)*(1-(Examples!$H$12*(1-EXP(-Examples!$H$13*$A417))/(1+EXP(MIN(700,MAX(-700,(Examples!$H$14*$A417-Examples!$H$15)/Examples!$H$16))))))+Examples!$H$17*$A417^2)</f>
        <v>604090.52653770475</v>
      </c>
    </row>
    <row r="418" spans="1:13" x14ac:dyDescent="0.25">
      <c r="A418">
        <f>(418-2)/100</f>
        <v>4.16</v>
      </c>
      <c r="B418" s="33">
        <f>Examples!$C$18-(Examples!$C$10+Examples!$C$11)*$A418-(Examples!$C$6*Examples!$C$7*Examples!$C$8*EXP(-Examples!$C$9*$A418)*(1-(Examples!$C$12*(1-EXP(-Examples!$C$13*$A418))/(1+EXP(MIN(700,MAX(-700,(Examples!$C$14*$A418-Examples!$C$15)/Examples!$C$16))))))+Examples!$C$17*$A418^2)</f>
        <v>22589.556762839959</v>
      </c>
      <c r="C418" s="33">
        <f>(Examples!$C$6*Examples!$C$7*Examples!$C$8*EXP(-Examples!$C$9*$A418)*(1-(Examples!$C$12*(1-EXP(-Examples!$C$13*$A418))/(1+EXP(MIN(700,MAX(-700,(Examples!$C$14*$A418-Examples!$C$15)/Examples!$C$16))))))+Examples!$C$17*$A418^2)</f>
        <v>431810.44323716004</v>
      </c>
      <c r="D418" s="33">
        <f>Examples!$D$18-(Examples!$D$10+Examples!$D$11)*$A418-(Examples!$D$6*Examples!$D$7*Examples!$D$8*EXP(-Examples!$D$9*$A418)*(1-(Examples!$D$12*(1-EXP(-Examples!$D$13*$A418))/(1+EXP(MIN(700,MAX(-700,(Examples!$D$14*$A418-Examples!$D$15)/Examples!$D$16))))))+Examples!$D$17*$A418^2)</f>
        <v>1536239.1340032984</v>
      </c>
      <c r="E418" s="33">
        <f>(Examples!$D$6*Examples!$D$7*Examples!$D$8*EXP(-Examples!$D$9*$A418)*(1-(Examples!$D$12*(1-EXP(-Examples!$D$13*$A418))/(1+EXP(MIN(700,MAX(-700,(Examples!$D$14*$A418-Examples!$D$15)/Examples!$D$16))))))+Examples!$D$17*$A418^2)</f>
        <v>776560.86599670153</v>
      </c>
      <c r="F418" s="33">
        <f>Examples!$E$18-(Examples!$E$10+Examples!$E$11)*$A418-(Examples!$E$6*Examples!$E$7*Examples!$E$8*EXP(-Examples!$E$9*$A418)*(1-(Examples!$E$12*(1-EXP(-Examples!$E$13*$A418))/(1+EXP(MIN(700,MAX(-700,(Examples!$E$14*$A418-Examples!$E$15)/Examples!$E$16))))))+Examples!$E$17*$A418^2)</f>
        <v>2436644.4035770623</v>
      </c>
      <c r="G418" s="33">
        <f>(Examples!$E$6*Examples!$E$7*Examples!$E$8*EXP(-Examples!$E$9*$A418)*(1-(Examples!$E$12*(1-EXP(-Examples!$E$13*$A418))/(1+EXP(MIN(700,MAX(-700,(Examples!$E$14*$A418-Examples!$E$15)/Examples!$E$16))))))+Examples!$E$17*$A418^2)</f>
        <v>209755.59642293752</v>
      </c>
      <c r="H418" s="33">
        <f>Examples!$F$18-(Examples!$F$10+Examples!$F$11)*$A418-(Examples!$F$6*Examples!$F$7*Examples!$F$8*EXP(-Examples!$F$9*$A418)*(1-(Examples!$F$12*(1-EXP(-Examples!$F$13*$A418))/(1+EXP(MIN(700,MAX(-700,(Examples!$F$14*$A418-Examples!$F$15)/Examples!$F$16))))))+Examples!$F$17*$A418^2)</f>
        <v>-284335.85403921863</v>
      </c>
      <c r="I418" s="33">
        <f>(Examples!$F$6*Examples!$F$7*Examples!$F$8*EXP(-Examples!$F$9*$A418)*(1-(Examples!$F$12*(1-EXP(-Examples!$F$13*$A418))/(1+EXP(MIN(700,MAX(-700,(Examples!$F$14*$A418-Examples!$F$15)/Examples!$F$16))))))+Examples!$F$17*$A418^2)</f>
        <v>351135.85403921863</v>
      </c>
      <c r="J418" s="33">
        <f>Examples!$G$18-(Examples!$G$10+Examples!$G$11)*$A418-(Examples!$G$6*Examples!$G$7*Examples!$G$8*EXP(-Examples!$G$9*$A418)*(1-(Examples!$G$12*(1-EXP(-Examples!$G$13*$A418))/(1+EXP(MIN(700,MAX(-700,(Examples!$G$14*$A418-Examples!$G$15)/Examples!$G$16))))))+Examples!$G$17*$A418^2)</f>
        <v>719396.77693175396</v>
      </c>
      <c r="K418" s="33">
        <f>(Examples!$G$6*Examples!$G$7*Examples!$G$8*EXP(-Examples!$G$9*$A418)*(1-(Examples!$G$12*(1-EXP(-Examples!$G$13*$A418))/(1+EXP(MIN(700,MAX(-700,(Examples!$G$14*$A418-Examples!$G$15)/Examples!$G$16))))))+Examples!$G$17*$A418^2)</f>
        <v>572603.22306824604</v>
      </c>
      <c r="L418" s="33">
        <f>Examples!$H$18-(Examples!$H$10+Examples!$H$11)*$A418-(Examples!$H$6*Examples!$H$7*Examples!$H$8*EXP(-Examples!$H$9*$A418)*(1-(Examples!$H$12*(1-EXP(-Examples!$H$13*$A418))/(1+EXP(MIN(700,MAX(-700,(Examples!$H$14*$A418-Examples!$H$15)/Examples!$H$16))))))+Examples!$H$17*$A418^2)</f>
        <v>688823.25507238961</v>
      </c>
      <c r="M418" s="33">
        <f>(Examples!$H$6*Examples!$H$7*Examples!$H$8*EXP(-Examples!$H$9*$A418)*(1-(Examples!$H$12*(1-EXP(-Examples!$H$13*$A418))/(1+EXP(MIN(700,MAX(-700,(Examples!$H$14*$A418-Examples!$H$15)/Examples!$H$16))))))+Examples!$H$17*$A418^2)</f>
        <v>603176.74492761039</v>
      </c>
    </row>
    <row r="419" spans="1:13" x14ac:dyDescent="0.25">
      <c r="A419">
        <f>(419-2)/100</f>
        <v>4.17</v>
      </c>
      <c r="B419" s="33">
        <f>Examples!$C$18-(Examples!$C$10+Examples!$C$11)*$A419-(Examples!$C$6*Examples!$C$7*Examples!$C$8*EXP(-Examples!$C$9*$A419)*(1-(Examples!$C$12*(1-EXP(-Examples!$C$13*$A419))/(1+EXP(MIN(700,MAX(-700,(Examples!$C$14*$A419-Examples!$C$15)/Examples!$C$16))))))+Examples!$C$17*$A419^2)</f>
        <v>21505.307696620293</v>
      </c>
      <c r="C419" s="33">
        <f>(Examples!$C$6*Examples!$C$7*Examples!$C$8*EXP(-Examples!$C$9*$A419)*(1-(Examples!$C$12*(1-EXP(-Examples!$C$13*$A419))/(1+EXP(MIN(700,MAX(-700,(Examples!$C$14*$A419-Examples!$C$15)/Examples!$C$16))))))+Examples!$C$17*$A419^2)</f>
        <v>432544.69230337971</v>
      </c>
      <c r="D419" s="33">
        <f>Examples!$D$18-(Examples!$D$10+Examples!$D$11)*$A419-(Examples!$D$6*Examples!$D$7*Examples!$D$8*EXP(-Examples!$D$9*$A419)*(1-(Examples!$D$12*(1-EXP(-Examples!$D$13*$A419))/(1+EXP(MIN(700,MAX(-700,(Examples!$D$14*$A419-Examples!$D$15)/Examples!$D$16))))))+Examples!$D$17*$A419^2)</f>
        <v>1536640.1652412207</v>
      </c>
      <c r="E419" s="33">
        <f>(Examples!$D$6*Examples!$D$7*Examples!$D$8*EXP(-Examples!$D$9*$A419)*(1-(Examples!$D$12*(1-EXP(-Examples!$D$13*$A419))/(1+EXP(MIN(700,MAX(-700,(Examples!$D$14*$A419-Examples!$D$15)/Examples!$D$16))))))+Examples!$D$17*$A419^2)</f>
        <v>775709.83475877927</v>
      </c>
      <c r="F419" s="33">
        <f>Examples!$E$18-(Examples!$E$10+Examples!$E$11)*$A419-(Examples!$E$6*Examples!$E$7*Examples!$E$8*EXP(-Examples!$E$9*$A419)*(1-(Examples!$E$12*(1-EXP(-Examples!$E$13*$A419))/(1+EXP(MIN(700,MAX(-700,(Examples!$E$14*$A419-Examples!$E$15)/Examples!$E$16))))))+Examples!$E$17*$A419^2)</f>
        <v>2435919.5830769441</v>
      </c>
      <c r="G419" s="33">
        <f>(Examples!$E$6*Examples!$E$7*Examples!$E$8*EXP(-Examples!$E$9*$A419)*(1-(Examples!$E$12*(1-EXP(-Examples!$E$13*$A419))/(1+EXP(MIN(700,MAX(-700,(Examples!$E$14*$A419-Examples!$E$15)/Examples!$E$16))))))+Examples!$E$17*$A419^2)</f>
        <v>209630.41692305601</v>
      </c>
      <c r="H419" s="33">
        <f>Examples!$F$18-(Examples!$F$10+Examples!$F$11)*$A419-(Examples!$F$6*Examples!$F$7*Examples!$F$8*EXP(-Examples!$F$9*$A419)*(1-(Examples!$F$12*(1-EXP(-Examples!$F$13*$A419))/(1+EXP(MIN(700,MAX(-700,(Examples!$F$14*$A419-Examples!$F$15)/Examples!$F$16))))))+Examples!$F$17*$A419^2)</f>
        <v>-286186.80572985474</v>
      </c>
      <c r="I419" s="33">
        <f>(Examples!$F$6*Examples!$F$7*Examples!$F$8*EXP(-Examples!$F$9*$A419)*(1-(Examples!$F$12*(1-EXP(-Examples!$F$13*$A419))/(1+EXP(MIN(700,MAX(-700,(Examples!$F$14*$A419-Examples!$F$15)/Examples!$F$16))))))+Examples!$F$17*$A419^2)</f>
        <v>352786.80572985474</v>
      </c>
      <c r="J419" s="33">
        <f>Examples!$G$18-(Examples!$G$10+Examples!$G$11)*$A419-(Examples!$G$6*Examples!$G$7*Examples!$G$8*EXP(-Examples!$G$9*$A419)*(1-(Examples!$G$12*(1-EXP(-Examples!$G$13*$A419))/(1+EXP(MIN(700,MAX(-700,(Examples!$G$14*$A419-Examples!$G$15)/Examples!$G$16))))))+Examples!$G$17*$A419^2)</f>
        <v>719386.51474229991</v>
      </c>
      <c r="K419" s="33">
        <f>(Examples!$G$6*Examples!$G$7*Examples!$G$8*EXP(-Examples!$G$9*$A419)*(1-(Examples!$G$12*(1-EXP(-Examples!$G$13*$A419))/(1+EXP(MIN(700,MAX(-700,(Examples!$G$14*$A419-Examples!$G$15)/Examples!$G$16))))))+Examples!$G$17*$A419^2)</f>
        <v>572113.48525770009</v>
      </c>
      <c r="L419" s="33">
        <f>Examples!$H$18-(Examples!$H$10+Examples!$H$11)*$A419-(Examples!$H$6*Examples!$H$7*Examples!$H$8*EXP(-Examples!$H$9*$A419)*(1-(Examples!$H$12*(1-EXP(-Examples!$H$13*$A419))/(1+EXP(MIN(700,MAX(-700,(Examples!$H$14*$A419-Examples!$H$15)/Examples!$H$16))))))+Examples!$H$17*$A419^2)</f>
        <v>689231.63105294504</v>
      </c>
      <c r="M419" s="33">
        <f>(Examples!$H$6*Examples!$H$7*Examples!$H$8*EXP(-Examples!$H$9*$A419)*(1-(Examples!$H$12*(1-EXP(-Examples!$H$13*$A419))/(1+EXP(MIN(700,MAX(-700,(Examples!$H$14*$A419-Examples!$H$15)/Examples!$H$16))))))+Examples!$H$17*$A419^2)</f>
        <v>602268.36894705496</v>
      </c>
    </row>
    <row r="420" spans="1:13" x14ac:dyDescent="0.25">
      <c r="A420">
        <f>(420-2)/100</f>
        <v>4.18</v>
      </c>
      <c r="B420" s="33">
        <f>Examples!$C$18-(Examples!$C$10+Examples!$C$11)*$A420-(Examples!$C$6*Examples!$C$7*Examples!$C$8*EXP(-Examples!$C$9*$A420)*(1-(Examples!$C$12*(1-EXP(-Examples!$C$13*$A420))/(1+EXP(MIN(700,MAX(-700,(Examples!$C$14*$A420-Examples!$C$15)/Examples!$C$16))))))+Examples!$C$17*$A420^2)</f>
        <v>20416.537848439068</v>
      </c>
      <c r="C420" s="33">
        <f>(Examples!$C$6*Examples!$C$7*Examples!$C$8*EXP(-Examples!$C$9*$A420)*(1-(Examples!$C$12*(1-EXP(-Examples!$C$13*$A420))/(1+EXP(MIN(700,MAX(-700,(Examples!$C$14*$A420-Examples!$C$15)/Examples!$C$16))))))+Examples!$C$17*$A420^2)</f>
        <v>433283.46215156093</v>
      </c>
      <c r="D420" s="33">
        <f>Examples!$D$18-(Examples!$D$10+Examples!$D$11)*$A420-(Examples!$D$6*Examples!$D$7*Examples!$D$8*EXP(-Examples!$D$9*$A420)*(1-(Examples!$D$12*(1-EXP(-Examples!$D$13*$A420))/(1+EXP(MIN(700,MAX(-700,(Examples!$D$14*$A420-Examples!$D$15)/Examples!$D$16))))))+Examples!$D$17*$A420^2)</f>
        <v>1537046.978420502</v>
      </c>
      <c r="E420" s="33">
        <f>(Examples!$D$6*Examples!$D$7*Examples!$D$8*EXP(-Examples!$D$9*$A420)*(1-(Examples!$D$12*(1-EXP(-Examples!$D$13*$A420))/(1+EXP(MIN(700,MAX(-700,(Examples!$D$14*$A420-Examples!$D$15)/Examples!$D$16))))))+Examples!$D$17*$A420^2)</f>
        <v>774853.02157949784</v>
      </c>
      <c r="F420" s="33">
        <f>Examples!$E$18-(Examples!$E$10+Examples!$E$11)*$A420-(Examples!$E$6*Examples!$E$7*Examples!$E$8*EXP(-Examples!$E$9*$A420)*(1-(Examples!$E$12*(1-EXP(-Examples!$E$13*$A420))/(1+EXP(MIN(700,MAX(-700,(Examples!$E$14*$A420-Examples!$E$15)/Examples!$E$16))))))+Examples!$E$17*$A420^2)</f>
        <v>2435192.2315841559</v>
      </c>
      <c r="G420" s="33">
        <f>(Examples!$E$6*Examples!$E$7*Examples!$E$8*EXP(-Examples!$E$9*$A420)*(1-(Examples!$E$12*(1-EXP(-Examples!$E$13*$A420))/(1+EXP(MIN(700,MAX(-700,(Examples!$E$14*$A420-Examples!$E$15)/Examples!$E$16))))))+Examples!$E$17*$A420^2)</f>
        <v>209507.76841584421</v>
      </c>
      <c r="H420" s="33">
        <f>Examples!$F$18-(Examples!$F$10+Examples!$F$11)*$A420-(Examples!$F$6*Examples!$F$7*Examples!$F$8*EXP(-Examples!$F$9*$A420)*(1-(Examples!$F$12*(1-EXP(-Examples!$F$13*$A420))/(1+EXP(MIN(700,MAX(-700,(Examples!$F$14*$A420-Examples!$F$15)/Examples!$F$16))))))+Examples!$F$17*$A420^2)</f>
        <v>-288041.80247050832</v>
      </c>
      <c r="I420" s="33">
        <f>(Examples!$F$6*Examples!$F$7*Examples!$F$8*EXP(-Examples!$F$9*$A420)*(1-(Examples!$F$12*(1-EXP(-Examples!$F$13*$A420))/(1+EXP(MIN(700,MAX(-700,(Examples!$F$14*$A420-Examples!$F$15)/Examples!$F$16))))))+Examples!$F$17*$A420^2)</f>
        <v>354441.80247050832</v>
      </c>
      <c r="J420" s="33">
        <f>Examples!$G$18-(Examples!$G$10+Examples!$G$11)*$A420-(Examples!$G$6*Examples!$G$7*Examples!$G$8*EXP(-Examples!$G$9*$A420)*(1-(Examples!$G$12*(1-EXP(-Examples!$G$13*$A420))/(1+EXP(MIN(700,MAX(-700,(Examples!$G$14*$A420-Examples!$G$15)/Examples!$G$16))))))+Examples!$G$17*$A420^2)</f>
        <v>719375.30381967116</v>
      </c>
      <c r="K420" s="33">
        <f>(Examples!$G$6*Examples!$G$7*Examples!$G$8*EXP(-Examples!$G$9*$A420)*(1-(Examples!$G$12*(1-EXP(-Examples!$G$13*$A420))/(1+EXP(MIN(700,MAX(-700,(Examples!$G$14*$A420-Examples!$G$15)/Examples!$G$16))))))+Examples!$G$17*$A420^2)</f>
        <v>571624.69618032884</v>
      </c>
      <c r="L420" s="33">
        <f>Examples!$H$18-(Examples!$H$10+Examples!$H$11)*$A420-(Examples!$H$6*Examples!$H$7*Examples!$H$8*EXP(-Examples!$H$9*$A420)*(1-(Examples!$H$12*(1-EXP(-Examples!$H$13*$A420))/(1+EXP(MIN(700,MAX(-700,(Examples!$H$14*$A420-Examples!$H$15)/Examples!$H$16))))))+Examples!$H$17*$A420^2)</f>
        <v>689634.55769431742</v>
      </c>
      <c r="M420" s="33">
        <f>(Examples!$H$6*Examples!$H$7*Examples!$H$8*EXP(-Examples!$H$9*$A420)*(1-(Examples!$H$12*(1-EXP(-Examples!$H$13*$A420))/(1+EXP(MIN(700,MAX(-700,(Examples!$H$14*$A420-Examples!$H$15)/Examples!$H$16))))))+Examples!$H$17*$A420^2)</f>
        <v>601365.44230568258</v>
      </c>
    </row>
    <row r="421" spans="1:13" x14ac:dyDescent="0.25">
      <c r="A421">
        <f>(421-2)/100</f>
        <v>4.1900000000000004</v>
      </c>
      <c r="B421" s="33">
        <f>Examples!$C$18-(Examples!$C$10+Examples!$C$11)*$A421-(Examples!$C$6*Examples!$C$7*Examples!$C$8*EXP(-Examples!$C$9*$A421)*(1-(Examples!$C$12*(1-EXP(-Examples!$C$13*$A421))/(1+EXP(MIN(700,MAX(-700,(Examples!$C$14*$A421-Examples!$C$15)/Examples!$C$16))))))+Examples!$C$17*$A421^2)</f>
        <v>19323.250992860238</v>
      </c>
      <c r="C421" s="33">
        <f>(Examples!$C$6*Examples!$C$7*Examples!$C$8*EXP(-Examples!$C$9*$A421)*(1-(Examples!$C$12*(1-EXP(-Examples!$C$13*$A421))/(1+EXP(MIN(700,MAX(-700,(Examples!$C$14*$A421-Examples!$C$15)/Examples!$C$16))))))+Examples!$C$17*$A421^2)</f>
        <v>434026.74900713976</v>
      </c>
      <c r="D421" s="33">
        <f>Examples!$D$18-(Examples!$D$10+Examples!$D$11)*$A421-(Examples!$D$6*Examples!$D$7*Examples!$D$8*EXP(-Examples!$D$9*$A421)*(1-(Examples!$D$12*(1-EXP(-Examples!$D$13*$A421))/(1+EXP(MIN(700,MAX(-700,(Examples!$D$14*$A421-Examples!$D$15)/Examples!$D$16))))))+Examples!$D$17*$A421^2)</f>
        <v>1537459.6347064706</v>
      </c>
      <c r="E421" s="33">
        <f>(Examples!$D$6*Examples!$D$7*Examples!$D$8*EXP(-Examples!$D$9*$A421)*(1-(Examples!$D$12*(1-EXP(-Examples!$D$13*$A421))/(1+EXP(MIN(700,MAX(-700,(Examples!$D$14*$A421-Examples!$D$15)/Examples!$D$16))))))+Examples!$D$17*$A421^2)</f>
        <v>773990.36529352935</v>
      </c>
      <c r="F421" s="33">
        <f>Examples!$E$18-(Examples!$E$10+Examples!$E$11)*$A421-(Examples!$E$6*Examples!$E$7*Examples!$E$8*EXP(-Examples!$E$9*$A421)*(1-(Examples!$E$12*(1-EXP(-Examples!$E$13*$A421))/(1+EXP(MIN(700,MAX(-700,(Examples!$E$14*$A421-Examples!$E$15)/Examples!$E$16))))))+Examples!$E$17*$A421^2)</f>
        <v>2434462.3862630301</v>
      </c>
      <c r="G421" s="33">
        <f>(Examples!$E$6*Examples!$E$7*Examples!$E$8*EXP(-Examples!$E$9*$A421)*(1-(Examples!$E$12*(1-EXP(-Examples!$E$13*$A421))/(1+EXP(MIN(700,MAX(-700,(Examples!$E$14*$A421-Examples!$E$15)/Examples!$E$16))))))+Examples!$E$17*$A421^2)</f>
        <v>209387.61373696971</v>
      </c>
      <c r="H421" s="33">
        <f>Examples!$F$18-(Examples!$F$10+Examples!$F$11)*$A421-(Examples!$F$6*Examples!$F$7*Examples!$F$8*EXP(-Examples!$F$9*$A421)*(1-(Examples!$F$12*(1-EXP(-Examples!$F$13*$A421))/(1+EXP(MIN(700,MAX(-700,(Examples!$F$14*$A421-Examples!$F$15)/Examples!$F$16))))))+Examples!$F$17*$A421^2)</f>
        <v>-289900.844127341</v>
      </c>
      <c r="I421" s="33">
        <f>(Examples!$F$6*Examples!$F$7*Examples!$F$8*EXP(-Examples!$F$9*$A421)*(1-(Examples!$F$12*(1-EXP(-Examples!$F$13*$A421))/(1+EXP(MIN(700,MAX(-700,(Examples!$F$14*$A421-Examples!$F$15)/Examples!$F$16))))))+Examples!$F$17*$A421^2)</f>
        <v>356100.844127341</v>
      </c>
      <c r="J421" s="33">
        <f>Examples!$G$18-(Examples!$G$10+Examples!$G$11)*$A421-(Examples!$G$6*Examples!$G$7*Examples!$G$8*EXP(-Examples!$G$9*$A421)*(1-(Examples!$G$12*(1-EXP(-Examples!$G$13*$A421))/(1+EXP(MIN(700,MAX(-700,(Examples!$G$14*$A421-Examples!$G$15)/Examples!$G$16))))))+Examples!$G$17*$A421^2)</f>
        <v>719363.09481515852</v>
      </c>
      <c r="K421" s="33">
        <f>(Examples!$G$6*Examples!$G$7*Examples!$G$8*EXP(-Examples!$G$9*$A421)*(1-(Examples!$G$12*(1-EXP(-Examples!$G$13*$A421))/(1+EXP(MIN(700,MAX(-700,(Examples!$G$14*$A421-Examples!$G$15)/Examples!$G$16))))))+Examples!$G$17*$A421^2)</f>
        <v>571136.90518484148</v>
      </c>
      <c r="L421" s="33">
        <f>Examples!$H$18-(Examples!$H$10+Examples!$H$11)*$A421-(Examples!$H$6*Examples!$H$7*Examples!$H$8*EXP(-Examples!$H$9*$A421)*(1-(Examples!$H$12*(1-EXP(-Examples!$H$13*$A421))/(1+EXP(MIN(700,MAX(-700,(Examples!$H$14*$A421-Examples!$H$15)/Examples!$H$16))))))+Examples!$H$17*$A421^2)</f>
        <v>690031.99330031662</v>
      </c>
      <c r="M421" s="33">
        <f>(Examples!$H$6*Examples!$H$7*Examples!$H$8*EXP(-Examples!$H$9*$A421)*(1-(Examples!$H$12*(1-EXP(-Examples!$H$13*$A421))/(1+EXP(MIN(700,MAX(-700,(Examples!$H$14*$A421-Examples!$H$15)/Examples!$H$16))))))+Examples!$H$17*$A421^2)</f>
        <v>600468.00669968338</v>
      </c>
    </row>
    <row r="422" spans="1:13" x14ac:dyDescent="0.25">
      <c r="A422">
        <f>(422-2)/100</f>
        <v>4.2</v>
      </c>
      <c r="B422" s="33">
        <f>Examples!$C$18-(Examples!$C$10+Examples!$C$11)*$A422-(Examples!$C$6*Examples!$C$7*Examples!$C$8*EXP(-Examples!$C$9*$A422)*(1-(Examples!$C$12*(1-EXP(-Examples!$C$13*$A422))/(1+EXP(MIN(700,MAX(-700,(Examples!$C$14*$A422-Examples!$C$15)/Examples!$C$16))))))+Examples!$C$17*$A422^2)</f>
        <v>18225.45091990591</v>
      </c>
      <c r="C422" s="33">
        <f>(Examples!$C$6*Examples!$C$7*Examples!$C$8*EXP(-Examples!$C$9*$A422)*(1-(Examples!$C$12*(1-EXP(-Examples!$C$13*$A422))/(1+EXP(MIN(700,MAX(-700,(Examples!$C$14*$A422-Examples!$C$15)/Examples!$C$16))))))+Examples!$C$17*$A422^2)</f>
        <v>434774.54908009409</v>
      </c>
      <c r="D422" s="33">
        <f>Examples!$D$18-(Examples!$D$10+Examples!$D$11)*$A422-(Examples!$D$6*Examples!$D$7*Examples!$D$8*EXP(-Examples!$D$9*$A422)*(1-(Examples!$D$12*(1-EXP(-Examples!$D$13*$A422))/(1+EXP(MIN(700,MAX(-700,(Examples!$D$14*$A422-Examples!$D$15)/Examples!$D$16))))))+Examples!$D$17*$A422^2)</f>
        <v>1537878.1908932326</v>
      </c>
      <c r="E422" s="33">
        <f>(Examples!$D$6*Examples!$D$7*Examples!$D$8*EXP(-Examples!$D$9*$A422)*(1-(Examples!$D$12*(1-EXP(-Examples!$D$13*$A422))/(1+EXP(MIN(700,MAX(-700,(Examples!$D$14*$A422-Examples!$D$15)/Examples!$D$16))))))+Examples!$D$17*$A422^2)</f>
        <v>773121.80910676741</v>
      </c>
      <c r="F422" s="33">
        <f>Examples!$E$18-(Examples!$E$10+Examples!$E$11)*$A422-(Examples!$E$6*Examples!$E$7*Examples!$E$8*EXP(-Examples!$E$9*$A422)*(1-(Examples!$E$12*(1-EXP(-Examples!$E$13*$A422))/(1+EXP(MIN(700,MAX(-700,(Examples!$E$14*$A422-Examples!$E$15)/Examples!$E$16))))))+Examples!$E$17*$A422^2)</f>
        <v>2433730.0838442212</v>
      </c>
      <c r="G422" s="33">
        <f>(Examples!$E$6*Examples!$E$7*Examples!$E$8*EXP(-Examples!$E$9*$A422)*(1-(Examples!$E$12*(1-EXP(-Examples!$E$13*$A422))/(1+EXP(MIN(700,MAX(-700,(Examples!$E$14*$A422-Examples!$E$15)/Examples!$E$16))))))+Examples!$E$17*$A422^2)</f>
        <v>209269.91615577877</v>
      </c>
      <c r="H422" s="33">
        <f>Examples!$F$18-(Examples!$F$10+Examples!$F$11)*$A422-(Examples!$F$6*Examples!$F$7*Examples!$F$8*EXP(-Examples!$F$9*$A422)*(1-(Examples!$F$12*(1-EXP(-Examples!$F$13*$A422))/(1+EXP(MIN(700,MAX(-700,(Examples!$F$14*$A422-Examples!$F$15)/Examples!$F$16))))))+Examples!$F$17*$A422^2)</f>
        <v>-291763.93056686973</v>
      </c>
      <c r="I422" s="33">
        <f>(Examples!$F$6*Examples!$F$7*Examples!$F$8*EXP(-Examples!$F$9*$A422)*(1-(Examples!$F$12*(1-EXP(-Examples!$F$13*$A422))/(1+EXP(MIN(700,MAX(-700,(Examples!$F$14*$A422-Examples!$F$15)/Examples!$F$16))))))+Examples!$F$17*$A422^2)</f>
        <v>357763.93056686973</v>
      </c>
      <c r="J422" s="33">
        <f>Examples!$G$18-(Examples!$G$10+Examples!$G$11)*$A422-(Examples!$G$6*Examples!$G$7*Examples!$G$8*EXP(-Examples!$G$9*$A422)*(1-(Examples!$G$12*(1-EXP(-Examples!$G$13*$A422))/(1+EXP(MIN(700,MAX(-700,(Examples!$G$14*$A422-Examples!$G$15)/Examples!$G$16))))))+Examples!$G$17*$A422^2)</f>
        <v>719349.83865429694</v>
      </c>
      <c r="K422" s="33">
        <f>(Examples!$G$6*Examples!$G$7*Examples!$G$8*EXP(-Examples!$G$9*$A422)*(1-(Examples!$G$12*(1-EXP(-Examples!$G$13*$A422))/(1+EXP(MIN(700,MAX(-700,(Examples!$G$14*$A422-Examples!$G$15)/Examples!$G$16))))))+Examples!$G$17*$A422^2)</f>
        <v>570650.16134570306</v>
      </c>
      <c r="L422" s="33">
        <f>Examples!$H$18-(Examples!$H$10+Examples!$H$11)*$A422-(Examples!$H$6*Examples!$H$7*Examples!$H$8*EXP(-Examples!$H$9*$A422)*(1-(Examples!$H$12*(1-EXP(-Examples!$H$13*$A422))/(1+EXP(MIN(700,MAX(-700,(Examples!$H$14*$A422-Examples!$H$15)/Examples!$H$16))))))+Examples!$H$17*$A422^2)</f>
        <v>690423.89812279237</v>
      </c>
      <c r="M422" s="33">
        <f>(Examples!$H$6*Examples!$H$7*Examples!$H$8*EXP(-Examples!$H$9*$A422)*(1-(Examples!$H$12*(1-EXP(-Examples!$H$13*$A422))/(1+EXP(MIN(700,MAX(-700,(Examples!$H$14*$A422-Examples!$H$15)/Examples!$H$16))))))+Examples!$H$17*$A422^2)</f>
        <v>599576.10187720763</v>
      </c>
    </row>
    <row r="423" spans="1:13" x14ac:dyDescent="0.25">
      <c r="A423">
        <f>(423-2)/100</f>
        <v>4.21</v>
      </c>
      <c r="B423" s="33">
        <f>Examples!$C$18-(Examples!$C$10+Examples!$C$11)*$A423-(Examples!$C$6*Examples!$C$7*Examples!$C$8*EXP(-Examples!$C$9*$A423)*(1-(Examples!$C$12*(1-EXP(-Examples!$C$13*$A423))/(1+EXP(MIN(700,MAX(-700,(Examples!$C$14*$A423-Examples!$C$15)/Examples!$C$16))))))+Examples!$C$17*$A423^2)</f>
        <v>17123.141434099525</v>
      </c>
      <c r="C423" s="33">
        <f>(Examples!$C$6*Examples!$C$7*Examples!$C$8*EXP(-Examples!$C$9*$A423)*(1-(Examples!$C$12*(1-EXP(-Examples!$C$13*$A423))/(1+EXP(MIN(700,MAX(-700,(Examples!$C$14*$A423-Examples!$C$15)/Examples!$C$16))))))+Examples!$C$17*$A423^2)</f>
        <v>435526.85856590047</v>
      </c>
      <c r="D423" s="33">
        <f>Examples!$D$18-(Examples!$D$10+Examples!$D$11)*$A423-(Examples!$D$6*Examples!$D$7*Examples!$D$8*EXP(-Examples!$D$9*$A423)*(1-(Examples!$D$12*(1-EXP(-Examples!$D$13*$A423))/(1+EXP(MIN(700,MAX(-700,(Examples!$D$14*$A423-Examples!$D$15)/Examples!$D$16))))))+Examples!$D$17*$A423^2)</f>
        <v>1538302.6994474104</v>
      </c>
      <c r="E423" s="33">
        <f>(Examples!$D$6*Examples!$D$7*Examples!$D$8*EXP(-Examples!$D$9*$A423)*(1-(Examples!$D$12*(1-EXP(-Examples!$D$13*$A423))/(1+EXP(MIN(700,MAX(-700,(Examples!$D$14*$A423-Examples!$D$15)/Examples!$D$16))))))+Examples!$D$17*$A423^2)</f>
        <v>772247.30055258959</v>
      </c>
      <c r="F423" s="33">
        <f>Examples!$E$18-(Examples!$E$10+Examples!$E$11)*$A423-(Examples!$E$6*Examples!$E$7*Examples!$E$8*EXP(-Examples!$E$9*$A423)*(1-(Examples!$E$12*(1-EXP(-Examples!$E$13*$A423))/(1+EXP(MIN(700,MAX(-700,(Examples!$E$14*$A423-Examples!$E$15)/Examples!$E$16))))))+Examples!$E$17*$A423^2)</f>
        <v>2432995.3606275693</v>
      </c>
      <c r="G423" s="33">
        <f>(Examples!$E$6*Examples!$E$7*Examples!$E$8*EXP(-Examples!$E$9*$A423)*(1-(Examples!$E$12*(1-EXP(-Examples!$E$13*$A423))/(1+EXP(MIN(700,MAX(-700,(Examples!$E$14*$A423-Examples!$E$15)/Examples!$E$16))))))+Examples!$E$17*$A423^2)</f>
        <v>209154.63937243068</v>
      </c>
      <c r="H423" s="33">
        <f>Examples!$F$18-(Examples!$F$10+Examples!$F$11)*$A423-(Examples!$F$6*Examples!$F$7*Examples!$F$8*EXP(-Examples!$F$9*$A423)*(1-(Examples!$F$12*(1-EXP(-Examples!$F$13*$A423))/(1+EXP(MIN(700,MAX(-700,(Examples!$F$14*$A423-Examples!$F$15)/Examples!$F$16))))))+Examples!$F$17*$A423^2)</f>
        <v>-293631.06165596895</v>
      </c>
      <c r="I423" s="33">
        <f>(Examples!$F$6*Examples!$F$7*Examples!$F$8*EXP(-Examples!$F$9*$A423)*(1-(Examples!$F$12*(1-EXP(-Examples!$F$13*$A423))/(1+EXP(MIN(700,MAX(-700,(Examples!$F$14*$A423-Examples!$F$15)/Examples!$F$16))))))+Examples!$F$17*$A423^2)</f>
        <v>359431.06165596895</v>
      </c>
      <c r="J423" s="33">
        <f>Examples!$G$18-(Examples!$G$10+Examples!$G$11)*$A423-(Examples!$G$6*Examples!$G$7*Examples!$G$8*EXP(-Examples!$G$9*$A423)*(1-(Examples!$G$12*(1-EXP(-Examples!$G$13*$A423))/(1+EXP(MIN(700,MAX(-700,(Examples!$G$14*$A423-Examples!$G$15)/Examples!$G$16))))))+Examples!$G$17*$A423^2)</f>
        <v>719335.4865472496</v>
      </c>
      <c r="K423" s="33">
        <f>(Examples!$G$6*Examples!$G$7*Examples!$G$8*EXP(-Examples!$G$9*$A423)*(1-(Examples!$G$12*(1-EXP(-Examples!$G$13*$A423))/(1+EXP(MIN(700,MAX(-700,(Examples!$G$14*$A423-Examples!$G$15)/Examples!$G$16))))))+Examples!$G$17*$A423^2)</f>
        <v>570164.5134527504</v>
      </c>
      <c r="L423" s="33">
        <f>Examples!$H$18-(Examples!$H$10+Examples!$H$11)*$A423-(Examples!$H$6*Examples!$H$7*Examples!$H$8*EXP(-Examples!$H$9*$A423)*(1-(Examples!$H$12*(1-EXP(-Examples!$H$13*$A423))/(1+EXP(MIN(700,MAX(-700,(Examples!$H$14*$A423-Examples!$H$15)/Examples!$H$16))))))+Examples!$H$17*$A423^2)</f>
        <v>690810.23429813818</v>
      </c>
      <c r="M423" s="33">
        <f>(Examples!$H$6*Examples!$H$7*Examples!$H$8*EXP(-Examples!$H$9*$A423)*(1-(Examples!$H$12*(1-EXP(-Examples!$H$13*$A423))/(1+EXP(MIN(700,MAX(-700,(Examples!$H$14*$A423-Examples!$H$15)/Examples!$H$16))))))+Examples!$H$17*$A423^2)</f>
        <v>598689.76570186182</v>
      </c>
    </row>
    <row r="424" spans="1:13" x14ac:dyDescent="0.25">
      <c r="A424">
        <f>(424-2)/100</f>
        <v>4.22</v>
      </c>
      <c r="B424" s="33">
        <f>Examples!$C$18-(Examples!$C$10+Examples!$C$11)*$A424-(Examples!$C$6*Examples!$C$7*Examples!$C$8*EXP(-Examples!$C$9*$A424)*(1-(Examples!$C$12*(1-EXP(-Examples!$C$13*$A424))/(1+EXP(MIN(700,MAX(-700,(Examples!$C$14*$A424-Examples!$C$15)/Examples!$C$16))))))+Examples!$C$17*$A424^2)</f>
        <v>16016.326353542623</v>
      </c>
      <c r="C424" s="33">
        <f>(Examples!$C$6*Examples!$C$7*Examples!$C$8*EXP(-Examples!$C$9*$A424)*(1-(Examples!$C$12*(1-EXP(-Examples!$C$13*$A424))/(1+EXP(MIN(700,MAX(-700,(Examples!$C$14*$A424-Examples!$C$15)/Examples!$C$16))))))+Examples!$C$17*$A424^2)</f>
        <v>436283.67364645738</v>
      </c>
      <c r="D424" s="33">
        <f>Examples!$D$18-(Examples!$D$10+Examples!$D$11)*$A424-(Examples!$D$6*Examples!$D$7*Examples!$D$8*EXP(-Examples!$D$9*$A424)*(1-(Examples!$D$12*(1-EXP(-Examples!$D$13*$A424))/(1+EXP(MIN(700,MAX(-700,(Examples!$D$14*$A424-Examples!$D$15)/Examples!$D$16))))))+Examples!$D$17*$A424^2)</f>
        <v>1538733.2085533272</v>
      </c>
      <c r="E424" s="33">
        <f>(Examples!$D$6*Examples!$D$7*Examples!$D$8*EXP(-Examples!$D$9*$A424)*(1-(Examples!$D$12*(1-EXP(-Examples!$D$13*$A424))/(1+EXP(MIN(700,MAX(-700,(Examples!$D$14*$A424-Examples!$D$15)/Examples!$D$16))))))+Examples!$D$17*$A424^2)</f>
        <v>771366.79144667264</v>
      </c>
      <c r="F424" s="33">
        <f>Examples!$E$18-(Examples!$E$10+Examples!$E$11)*$A424-(Examples!$E$6*Examples!$E$7*Examples!$E$8*EXP(-Examples!$E$9*$A424)*(1-(Examples!$E$12*(1-EXP(-Examples!$E$13*$A424))/(1+EXP(MIN(700,MAX(-700,(Examples!$E$14*$A424-Examples!$E$15)/Examples!$E$16))))))+Examples!$E$17*$A424^2)</f>
        <v>2432258.252484933</v>
      </c>
      <c r="G424" s="33">
        <f>(Examples!$E$6*Examples!$E$7*Examples!$E$8*EXP(-Examples!$E$9*$A424)*(1-(Examples!$E$12*(1-EXP(-Examples!$E$13*$A424))/(1+EXP(MIN(700,MAX(-700,(Examples!$E$14*$A424-Examples!$E$15)/Examples!$E$16))))))+Examples!$E$17*$A424^2)</f>
        <v>209041.74751506682</v>
      </c>
      <c r="H424" s="33">
        <f>Examples!$F$18-(Examples!$F$10+Examples!$F$11)*$A424-(Examples!$F$6*Examples!$F$7*Examples!$F$8*EXP(-Examples!$F$9*$A424)*(1-(Examples!$F$12*(1-EXP(-Examples!$F$13*$A424))/(1+EXP(MIN(700,MAX(-700,(Examples!$F$14*$A424-Examples!$F$15)/Examples!$F$16))))))+Examples!$F$17*$A424^2)</f>
        <v>-295502.23726187</v>
      </c>
      <c r="I424" s="33">
        <f>(Examples!$F$6*Examples!$F$7*Examples!$F$8*EXP(-Examples!$F$9*$A424)*(1-(Examples!$F$12*(1-EXP(-Examples!$F$13*$A424))/(1+EXP(MIN(700,MAX(-700,(Examples!$F$14*$A424-Examples!$F$15)/Examples!$F$16))))))+Examples!$F$17*$A424^2)</f>
        <v>361102.23726187</v>
      </c>
      <c r="J424" s="33">
        <f>Examples!$G$18-(Examples!$G$10+Examples!$G$11)*$A424-(Examples!$G$6*Examples!$G$7*Examples!$G$8*EXP(-Examples!$G$9*$A424)*(1-(Examples!$G$12*(1-EXP(-Examples!$G$13*$A424))/(1+EXP(MIN(700,MAX(-700,(Examples!$G$14*$A424-Examples!$G$15)/Examples!$G$16))))))+Examples!$G$17*$A424^2)</f>
        <v>719319.98999879288</v>
      </c>
      <c r="K424" s="33">
        <f>(Examples!$G$6*Examples!$G$7*Examples!$G$8*EXP(-Examples!$G$9*$A424)*(1-(Examples!$G$12*(1-EXP(-Examples!$G$13*$A424))/(1+EXP(MIN(700,MAX(-700,(Examples!$G$14*$A424-Examples!$G$15)/Examples!$G$16))))))+Examples!$G$17*$A424^2)</f>
        <v>569680.01000120712</v>
      </c>
      <c r="L424" s="33">
        <f>Examples!$H$18-(Examples!$H$10+Examples!$H$11)*$A424-(Examples!$H$6*Examples!$H$7*Examples!$H$8*EXP(-Examples!$H$9*$A424)*(1-(Examples!$H$12*(1-EXP(-Examples!$H$13*$A424))/(1+EXP(MIN(700,MAX(-700,(Examples!$H$14*$A424-Examples!$H$15)/Examples!$H$16))))))+Examples!$H$17*$A424^2)</f>
        <v>691190.96578566078</v>
      </c>
      <c r="M424" s="33">
        <f>(Examples!$H$6*Examples!$H$7*Examples!$H$8*EXP(-Examples!$H$9*$A424)*(1-(Examples!$H$12*(1-EXP(-Examples!$H$13*$A424))/(1+EXP(MIN(700,MAX(-700,(Examples!$H$14*$A424-Examples!$H$15)/Examples!$H$16))))))+Examples!$H$17*$A424^2)</f>
        <v>597809.03421433922</v>
      </c>
    </row>
    <row r="425" spans="1:13" x14ac:dyDescent="0.25">
      <c r="A425">
        <f>(425-2)/100</f>
        <v>4.2300000000000004</v>
      </c>
      <c r="B425" s="33">
        <f>Examples!$C$18-(Examples!$C$10+Examples!$C$11)*$A425-(Examples!$C$6*Examples!$C$7*Examples!$C$8*EXP(-Examples!$C$9*$A425)*(1-(Examples!$C$12*(1-EXP(-Examples!$C$13*$A425))/(1+EXP(MIN(700,MAX(-700,(Examples!$C$14*$A425-Examples!$C$15)/Examples!$C$16))))))+Examples!$C$17*$A425^2)</f>
        <v>14905.009509024443</v>
      </c>
      <c r="C425" s="33">
        <f>(Examples!$C$6*Examples!$C$7*Examples!$C$8*EXP(-Examples!$C$9*$A425)*(1-(Examples!$C$12*(1-EXP(-Examples!$C$13*$A425))/(1+EXP(MIN(700,MAX(-700,(Examples!$C$14*$A425-Examples!$C$15)/Examples!$C$16))))))+Examples!$C$17*$A425^2)</f>
        <v>437044.99049097556</v>
      </c>
      <c r="D425" s="33">
        <f>Examples!$D$18-(Examples!$D$10+Examples!$D$11)*$A425-(Examples!$D$6*Examples!$D$7*Examples!$D$8*EXP(-Examples!$D$9*$A425)*(1-(Examples!$D$12*(1-EXP(-Examples!$D$13*$A425))/(1+EXP(MIN(700,MAX(-700,(Examples!$D$14*$A425-Examples!$D$15)/Examples!$D$16))))))+Examples!$D$17*$A425^2)</f>
        <v>1539169.7621596009</v>
      </c>
      <c r="E425" s="33">
        <f>(Examples!$D$6*Examples!$D$7*Examples!$D$8*EXP(-Examples!$D$9*$A425)*(1-(Examples!$D$12*(1-EXP(-Examples!$D$13*$A425))/(1+EXP(MIN(700,MAX(-700,(Examples!$D$14*$A425-Examples!$D$15)/Examples!$D$16))))))+Examples!$D$17*$A425^2)</f>
        <v>770480.23784039915</v>
      </c>
      <c r="F425" s="33">
        <f>Examples!$E$18-(Examples!$E$10+Examples!$E$11)*$A425-(Examples!$E$6*Examples!$E$7*Examples!$E$8*EXP(-Examples!$E$9*$A425)*(1-(Examples!$E$12*(1-EXP(-Examples!$E$13*$A425))/(1+EXP(MIN(700,MAX(-700,(Examples!$E$14*$A425-Examples!$E$15)/Examples!$E$16))))))+Examples!$E$17*$A425^2)</f>
        <v>2431518.7948629856</v>
      </c>
      <c r="G425" s="33">
        <f>(Examples!$E$6*Examples!$E$7*Examples!$E$8*EXP(-Examples!$E$9*$A425)*(1-(Examples!$E$12*(1-EXP(-Examples!$E$13*$A425))/(1+EXP(MIN(700,MAX(-700,(Examples!$E$14*$A425-Examples!$E$15)/Examples!$E$16))))))+Examples!$E$17*$A425^2)</f>
        <v>208931.20513701459</v>
      </c>
      <c r="H425" s="33">
        <f>Examples!$F$18-(Examples!$F$10+Examples!$F$11)*$A425-(Examples!$F$6*Examples!$F$7*Examples!$F$8*EXP(-Examples!$F$9*$A425)*(1-(Examples!$F$12*(1-EXP(-Examples!$F$13*$A425))/(1+EXP(MIN(700,MAX(-700,(Examples!$F$14*$A425-Examples!$F$15)/Examples!$F$16))))))+Examples!$F$17*$A425^2)</f>
        <v>-297377.45725216251</v>
      </c>
      <c r="I425" s="33">
        <f>(Examples!$F$6*Examples!$F$7*Examples!$F$8*EXP(-Examples!$F$9*$A425)*(1-(Examples!$F$12*(1-EXP(-Examples!$F$13*$A425))/(1+EXP(MIN(700,MAX(-700,(Examples!$F$14*$A425-Examples!$F$15)/Examples!$F$16))))))+Examples!$F$17*$A425^2)</f>
        <v>362777.45725216251</v>
      </c>
      <c r="J425" s="33">
        <f>Examples!$G$18-(Examples!$G$10+Examples!$G$11)*$A425-(Examples!$G$6*Examples!$G$7*Examples!$G$8*EXP(-Examples!$G$9*$A425)*(1-(Examples!$G$12*(1-EXP(-Examples!$G$13*$A425))/(1+EXP(MIN(700,MAX(-700,(Examples!$G$14*$A425-Examples!$G$15)/Examples!$G$16))))))+Examples!$G$17*$A425^2)</f>
        <v>719303.30081790662</v>
      </c>
      <c r="K425" s="33">
        <f>(Examples!$G$6*Examples!$G$7*Examples!$G$8*EXP(-Examples!$G$9*$A425)*(1-(Examples!$G$12*(1-EXP(-Examples!$G$13*$A425))/(1+EXP(MIN(700,MAX(-700,(Examples!$G$14*$A425-Examples!$G$15)/Examples!$G$16))))))+Examples!$G$17*$A425^2)</f>
        <v>569196.69918209338</v>
      </c>
      <c r="L425" s="33">
        <f>Examples!$H$18-(Examples!$H$10+Examples!$H$11)*$A425-(Examples!$H$6*Examples!$H$7*Examples!$H$8*EXP(-Examples!$H$9*$A425)*(1-(Examples!$H$12*(1-EXP(-Examples!$H$13*$A425))/(1+EXP(MIN(700,MAX(-700,(Examples!$H$14*$A425-Examples!$H$15)/Examples!$H$16))))))+Examples!$H$17*$A425^2)</f>
        <v>691566.05830777704</v>
      </c>
      <c r="M425" s="33">
        <f>(Examples!$H$6*Examples!$H$7*Examples!$H$8*EXP(-Examples!$H$9*$A425)*(1-(Examples!$H$12*(1-EXP(-Examples!$H$13*$A425))/(1+EXP(MIN(700,MAX(-700,(Examples!$H$14*$A425-Examples!$H$15)/Examples!$H$16))))))+Examples!$H$17*$A425^2)</f>
        <v>596933.94169222296</v>
      </c>
    </row>
    <row r="426" spans="1:13" x14ac:dyDescent="0.25">
      <c r="A426">
        <f>(426-2)/100</f>
        <v>4.24</v>
      </c>
      <c r="B426" s="33">
        <f>Examples!$C$18-(Examples!$C$10+Examples!$C$11)*$A426-(Examples!$C$6*Examples!$C$7*Examples!$C$8*EXP(-Examples!$C$9*$A426)*(1-(Examples!$C$12*(1-EXP(-Examples!$C$13*$A426))/(1+EXP(MIN(700,MAX(-700,(Examples!$C$14*$A426-Examples!$C$15)/Examples!$C$16))))))+Examples!$C$17*$A426^2)</f>
        <v>13789.194743162079</v>
      </c>
      <c r="C426" s="33">
        <f>(Examples!$C$6*Examples!$C$7*Examples!$C$8*EXP(-Examples!$C$9*$A426)*(1-(Examples!$C$12*(1-EXP(-Examples!$C$13*$A426))/(1+EXP(MIN(700,MAX(-700,(Examples!$C$14*$A426-Examples!$C$15)/Examples!$C$16))))))+Examples!$C$17*$A426^2)</f>
        <v>437810.80525683792</v>
      </c>
      <c r="D426" s="33">
        <f>Examples!$D$18-(Examples!$D$10+Examples!$D$11)*$A426-(Examples!$D$6*Examples!$D$7*Examples!$D$8*EXP(-Examples!$D$9*$A426)*(1-(Examples!$D$12*(1-EXP(-Examples!$D$13*$A426))/(1+EXP(MIN(700,MAX(-700,(Examples!$D$14*$A426-Examples!$D$15)/Examples!$D$16))))))+Examples!$D$17*$A426^2)</f>
        <v>1539612.4000270935</v>
      </c>
      <c r="E426" s="33">
        <f>(Examples!$D$6*Examples!$D$7*Examples!$D$8*EXP(-Examples!$D$9*$A426)*(1-(Examples!$D$12*(1-EXP(-Examples!$D$13*$A426))/(1+EXP(MIN(700,MAX(-700,(Examples!$D$14*$A426-Examples!$D$15)/Examples!$D$16))))))+Examples!$D$17*$A426^2)</f>
        <v>769587.59997290664</v>
      </c>
      <c r="F426" s="33">
        <f>Examples!$E$18-(Examples!$E$10+Examples!$E$11)*$A426-(Examples!$E$6*Examples!$E$7*Examples!$E$8*EXP(-Examples!$E$9*$A426)*(1-(Examples!$E$12*(1-EXP(-Examples!$E$13*$A426))/(1+EXP(MIN(700,MAX(-700,(Examples!$E$14*$A426-Examples!$E$15)/Examples!$E$16))))))+Examples!$E$17*$A426^2)</f>
        <v>2430777.0227859756</v>
      </c>
      <c r="G426" s="33">
        <f>(Examples!$E$6*Examples!$E$7*Examples!$E$8*EXP(-Examples!$E$9*$A426)*(1-(Examples!$E$12*(1-EXP(-Examples!$E$13*$A426))/(1+EXP(MIN(700,MAX(-700,(Examples!$E$14*$A426-Examples!$E$15)/Examples!$E$16))))))+Examples!$E$17*$A426^2)</f>
        <v>208822.97721402429</v>
      </c>
      <c r="H426" s="33">
        <f>Examples!$F$18-(Examples!$F$10+Examples!$F$11)*$A426-(Examples!$F$6*Examples!$F$7*Examples!$F$8*EXP(-Examples!$F$9*$A426)*(1-(Examples!$F$12*(1-EXP(-Examples!$F$13*$A426))/(1+EXP(MIN(700,MAX(-700,(Examples!$F$14*$A426-Examples!$F$15)/Examples!$F$16))))))+Examples!$F$17*$A426^2)</f>
        <v>-299256.72149479424</v>
      </c>
      <c r="I426" s="33">
        <f>(Examples!$F$6*Examples!$F$7*Examples!$F$8*EXP(-Examples!$F$9*$A426)*(1-(Examples!$F$12*(1-EXP(-Examples!$F$13*$A426))/(1+EXP(MIN(700,MAX(-700,(Examples!$F$14*$A426-Examples!$F$15)/Examples!$F$16))))))+Examples!$F$17*$A426^2)</f>
        <v>364456.72149479424</v>
      </c>
      <c r="J426" s="33">
        <f>Examples!$G$18-(Examples!$G$10+Examples!$G$11)*$A426-(Examples!$G$6*Examples!$G$7*Examples!$G$8*EXP(-Examples!$G$9*$A426)*(1-(Examples!$G$12*(1-EXP(-Examples!$G$13*$A426))/(1+EXP(MIN(700,MAX(-700,(Examples!$G$14*$A426-Examples!$G$15)/Examples!$G$16))))))+Examples!$G$17*$A426^2)</f>
        <v>719285.37112697959</v>
      </c>
      <c r="K426" s="33">
        <f>(Examples!$G$6*Examples!$G$7*Examples!$G$8*EXP(-Examples!$G$9*$A426)*(1-(Examples!$G$12*(1-EXP(-Examples!$G$13*$A426))/(1+EXP(MIN(700,MAX(-700,(Examples!$G$14*$A426-Examples!$G$15)/Examples!$G$16))))))+Examples!$G$17*$A426^2)</f>
        <v>568714.62887302041</v>
      </c>
      <c r="L426" s="33">
        <f>Examples!$H$18-(Examples!$H$10+Examples!$H$11)*$A426-(Examples!$H$6*Examples!$H$7*Examples!$H$8*EXP(-Examples!$H$9*$A426)*(1-(Examples!$H$12*(1-EXP(-Examples!$H$13*$A426))/(1+EXP(MIN(700,MAX(-700,(Examples!$H$14*$A426-Examples!$H$15)/Examples!$H$16))))))+Examples!$H$17*$A426^2)</f>
        <v>691935.47929198621</v>
      </c>
      <c r="M426" s="33">
        <f>(Examples!$H$6*Examples!$H$7*Examples!$H$8*EXP(-Examples!$H$9*$A426)*(1-(Examples!$H$12*(1-EXP(-Examples!$H$13*$A426))/(1+EXP(MIN(700,MAX(-700,(Examples!$H$14*$A426-Examples!$H$15)/Examples!$H$16))))))+Examples!$H$17*$A426^2)</f>
        <v>596064.52070801379</v>
      </c>
    </row>
    <row r="427" spans="1:13" x14ac:dyDescent="0.25">
      <c r="A427">
        <f>(427-2)/100</f>
        <v>4.25</v>
      </c>
      <c r="B427" s="33">
        <f>Examples!$C$18-(Examples!$C$10+Examples!$C$11)*$A427-(Examples!$C$6*Examples!$C$7*Examples!$C$8*EXP(-Examples!$C$9*$A427)*(1-(Examples!$C$12*(1-EXP(-Examples!$C$13*$A427))/(1+EXP(MIN(700,MAX(-700,(Examples!$C$14*$A427-Examples!$C$15)/Examples!$C$16))))))+Examples!$C$17*$A427^2)</f>
        <v>12668.885909571662</v>
      </c>
      <c r="C427" s="33">
        <f>(Examples!$C$6*Examples!$C$7*Examples!$C$8*EXP(-Examples!$C$9*$A427)*(1-(Examples!$C$12*(1-EXP(-Examples!$C$13*$A427))/(1+EXP(MIN(700,MAX(-700,(Examples!$C$14*$A427-Examples!$C$15)/Examples!$C$16))))))+Examples!$C$17*$A427^2)</f>
        <v>438581.11409042834</v>
      </c>
      <c r="D427" s="33">
        <f>Examples!$D$18-(Examples!$D$10+Examples!$D$11)*$A427-(Examples!$D$6*Examples!$D$7*Examples!$D$8*EXP(-Examples!$D$9*$A427)*(1-(Examples!$D$12*(1-EXP(-Examples!$D$13*$A427))/(1+EXP(MIN(700,MAX(-700,(Examples!$D$14*$A427-Examples!$D$15)/Examples!$D$16))))))+Examples!$D$17*$A427^2)</f>
        <v>1540061.1577781842</v>
      </c>
      <c r="E427" s="33">
        <f>(Examples!$D$6*Examples!$D$7*Examples!$D$8*EXP(-Examples!$D$9*$A427)*(1-(Examples!$D$12*(1-EXP(-Examples!$D$13*$A427))/(1+EXP(MIN(700,MAX(-700,(Examples!$D$14*$A427-Examples!$D$15)/Examples!$D$16))))))+Examples!$D$17*$A427^2)</f>
        <v>768688.84222181584</v>
      </c>
      <c r="F427" s="33">
        <f>Examples!$E$18-(Examples!$E$10+Examples!$E$11)*$A427-(Examples!$E$6*Examples!$E$7*Examples!$E$8*EXP(-Examples!$E$9*$A427)*(1-(Examples!$E$12*(1-EXP(-Examples!$E$13*$A427))/(1+EXP(MIN(700,MAX(-700,(Examples!$E$14*$A427-Examples!$E$15)/Examples!$E$16))))))+Examples!$E$17*$A427^2)</f>
        <v>2430032.9708584617</v>
      </c>
      <c r="G427" s="33">
        <f>(Examples!$E$6*Examples!$E$7*Examples!$E$8*EXP(-Examples!$E$9*$A427)*(1-(Examples!$E$12*(1-EXP(-Examples!$E$13*$A427))/(1+EXP(MIN(700,MAX(-700,(Examples!$E$14*$A427-Examples!$E$15)/Examples!$E$16))))))+Examples!$E$17*$A427^2)</f>
        <v>208717.02914153837</v>
      </c>
      <c r="H427" s="33">
        <f>Examples!$F$18-(Examples!$F$10+Examples!$F$11)*$A427-(Examples!$F$6*Examples!$F$7*Examples!$F$8*EXP(-Examples!$F$9*$A427)*(1-(Examples!$F$12*(1-EXP(-Examples!$F$13*$A427))/(1+EXP(MIN(700,MAX(-700,(Examples!$F$14*$A427-Examples!$F$15)/Examples!$F$16))))))+Examples!$F$17*$A427^2)</f>
        <v>-301140.02985807223</v>
      </c>
      <c r="I427" s="33">
        <f>(Examples!$F$6*Examples!$F$7*Examples!$F$8*EXP(-Examples!$F$9*$A427)*(1-(Examples!$F$12*(1-EXP(-Examples!$F$13*$A427))/(1+EXP(MIN(700,MAX(-700,(Examples!$F$14*$A427-Examples!$F$15)/Examples!$F$16))))))+Examples!$F$17*$A427^2)</f>
        <v>366140.02985807223</v>
      </c>
      <c r="J427" s="33">
        <f>Examples!$G$18-(Examples!$G$10+Examples!$G$11)*$A427-(Examples!$G$6*Examples!$G$7*Examples!$G$8*EXP(-Examples!$G$9*$A427)*(1-(Examples!$G$12*(1-EXP(-Examples!$G$13*$A427))/(1+EXP(MIN(700,MAX(-700,(Examples!$G$14*$A427-Examples!$G$15)/Examples!$G$16))))))+Examples!$G$17*$A427^2)</f>
        <v>719266.15337063465</v>
      </c>
      <c r="K427" s="33">
        <f>(Examples!$G$6*Examples!$G$7*Examples!$G$8*EXP(-Examples!$G$9*$A427)*(1-(Examples!$G$12*(1-EXP(-Examples!$G$13*$A427))/(1+EXP(MIN(700,MAX(-700,(Examples!$G$14*$A427-Examples!$G$15)/Examples!$G$16))))))+Examples!$G$17*$A427^2)</f>
        <v>568233.84662936535</v>
      </c>
      <c r="L427" s="33">
        <f>Examples!$H$18-(Examples!$H$10+Examples!$H$11)*$A427-(Examples!$H$6*Examples!$H$7*Examples!$H$8*EXP(-Examples!$H$9*$A427)*(1-(Examples!$H$12*(1-EXP(-Examples!$H$13*$A427))/(1+EXP(MIN(700,MAX(-700,(Examples!$H$14*$A427-Examples!$H$15)/Examples!$H$16))))))+Examples!$H$17*$A427^2)</f>
        <v>692299.19781457866</v>
      </c>
      <c r="M427" s="33">
        <f>(Examples!$H$6*Examples!$H$7*Examples!$H$8*EXP(-Examples!$H$9*$A427)*(1-(Examples!$H$12*(1-EXP(-Examples!$H$13*$A427))/(1+EXP(MIN(700,MAX(-700,(Examples!$H$14*$A427-Examples!$H$15)/Examples!$H$16))))))+Examples!$H$17*$A427^2)</f>
        <v>595200.80218542134</v>
      </c>
    </row>
    <row r="428" spans="1:13" x14ac:dyDescent="0.25">
      <c r="A428">
        <f>(428-2)/100</f>
        <v>4.26</v>
      </c>
      <c r="B428" s="33">
        <f>Examples!$C$18-(Examples!$C$10+Examples!$C$11)*$A428-(Examples!$C$6*Examples!$C$7*Examples!$C$8*EXP(-Examples!$C$9*$A428)*(1-(Examples!$C$12*(1-EXP(-Examples!$C$13*$A428))/(1+EXP(MIN(700,MAX(-700,(Examples!$C$14*$A428-Examples!$C$15)/Examples!$C$16))))))+Examples!$C$17*$A428^2)</f>
        <v>11544.086872067768</v>
      </c>
      <c r="C428" s="33">
        <f>(Examples!$C$6*Examples!$C$7*Examples!$C$8*EXP(-Examples!$C$9*$A428)*(1-(Examples!$C$12*(1-EXP(-Examples!$C$13*$A428))/(1+EXP(MIN(700,MAX(-700,(Examples!$C$14*$A428-Examples!$C$15)/Examples!$C$16))))))+Examples!$C$17*$A428^2)</f>
        <v>439355.91312793223</v>
      </c>
      <c r="D428" s="33">
        <f>Examples!$D$18-(Examples!$D$10+Examples!$D$11)*$A428-(Examples!$D$6*Examples!$D$7*Examples!$D$8*EXP(-Examples!$D$9*$A428)*(1-(Examples!$D$12*(1-EXP(-Examples!$D$13*$A428))/(1+EXP(MIN(700,MAX(-700,(Examples!$D$14*$A428-Examples!$D$15)/Examples!$D$16))))))+Examples!$D$17*$A428^2)</f>
        <v>1540516.0669473105</v>
      </c>
      <c r="E428" s="33">
        <f>(Examples!$D$6*Examples!$D$7*Examples!$D$8*EXP(-Examples!$D$9*$A428)*(1-(Examples!$D$12*(1-EXP(-Examples!$D$13*$A428))/(1+EXP(MIN(700,MAX(-700,(Examples!$D$14*$A428-Examples!$D$15)/Examples!$D$16))))))+Examples!$D$17*$A428^2)</f>
        <v>767783.93305268954</v>
      </c>
      <c r="F428" s="33">
        <f>Examples!$E$18-(Examples!$E$10+Examples!$E$11)*$A428-(Examples!$E$6*Examples!$E$7*Examples!$E$8*EXP(-Examples!$E$9*$A428)*(1-(Examples!$E$12*(1-EXP(-Examples!$E$13*$A428))/(1+EXP(MIN(700,MAX(-700,(Examples!$E$14*$A428-Examples!$E$15)/Examples!$E$16))))))+Examples!$E$17*$A428^2)</f>
        <v>2429286.6732680076</v>
      </c>
      <c r="G428" s="33">
        <f>(Examples!$E$6*Examples!$E$7*Examples!$E$8*EXP(-Examples!$E$9*$A428)*(1-(Examples!$E$12*(1-EXP(-Examples!$E$13*$A428))/(1+EXP(MIN(700,MAX(-700,(Examples!$E$14*$A428-Examples!$E$15)/Examples!$E$16))))))+Examples!$E$17*$A428^2)</f>
        <v>208613.32673199254</v>
      </c>
      <c r="H428" s="33">
        <f>Examples!$F$18-(Examples!$F$10+Examples!$F$11)*$A428-(Examples!$F$6*Examples!$F$7*Examples!$F$8*EXP(-Examples!$F$9*$A428)*(1-(Examples!$F$12*(1-EXP(-Examples!$F$13*$A428))/(1+EXP(MIN(700,MAX(-700,(Examples!$F$14*$A428-Examples!$F$15)/Examples!$F$16))))))+Examples!$F$17*$A428^2)</f>
        <v>-303027.38221066294</v>
      </c>
      <c r="I428" s="33">
        <f>(Examples!$F$6*Examples!$F$7*Examples!$F$8*EXP(-Examples!$F$9*$A428)*(1-(Examples!$F$12*(1-EXP(-Examples!$F$13*$A428))/(1+EXP(MIN(700,MAX(-700,(Examples!$F$14*$A428-Examples!$F$15)/Examples!$F$16))))))+Examples!$F$17*$A428^2)</f>
        <v>367827.38221066294</v>
      </c>
      <c r="J428" s="33">
        <f>Examples!$G$18-(Examples!$G$10+Examples!$G$11)*$A428-(Examples!$G$6*Examples!$G$7*Examples!$G$8*EXP(-Examples!$G$9*$A428)*(1-(Examples!$G$12*(1-EXP(-Examples!$G$13*$A428))/(1+EXP(MIN(700,MAX(-700,(Examples!$G$14*$A428-Examples!$G$15)/Examples!$G$16))))))+Examples!$G$17*$A428^2)</f>
        <v>719245.60032418231</v>
      </c>
      <c r="K428" s="33">
        <f>(Examples!$G$6*Examples!$G$7*Examples!$G$8*EXP(-Examples!$G$9*$A428)*(1-(Examples!$G$12*(1-EXP(-Examples!$G$13*$A428))/(1+EXP(MIN(700,MAX(-700,(Examples!$G$14*$A428-Examples!$G$15)/Examples!$G$16))))))+Examples!$G$17*$A428^2)</f>
        <v>567754.39967581769</v>
      </c>
      <c r="L428" s="33">
        <f>Examples!$H$18-(Examples!$H$10+Examples!$H$11)*$A428-(Examples!$H$6*Examples!$H$7*Examples!$H$8*EXP(-Examples!$H$9*$A428)*(1-(Examples!$H$12*(1-EXP(-Examples!$H$13*$A428))/(1+EXP(MIN(700,MAX(-700,(Examples!$H$14*$A428-Examples!$H$15)/Examples!$H$16))))))+Examples!$H$17*$A428^2)</f>
        <v>692657.18454603176</v>
      </c>
      <c r="M428" s="33">
        <f>(Examples!$H$6*Examples!$H$7*Examples!$H$8*EXP(-Examples!$H$9*$A428)*(1-(Examples!$H$12*(1-EXP(-Examples!$H$13*$A428))/(1+EXP(MIN(700,MAX(-700,(Examples!$H$14*$A428-Examples!$H$15)/Examples!$H$16))))))+Examples!$H$17*$A428^2)</f>
        <v>594342.81545396824</v>
      </c>
    </row>
    <row r="429" spans="1:13" x14ac:dyDescent="0.25">
      <c r="A429">
        <f>(429-2)/100</f>
        <v>4.2699999999999996</v>
      </c>
      <c r="B429" s="33">
        <f>Examples!$C$18-(Examples!$C$10+Examples!$C$11)*$A429-(Examples!$C$6*Examples!$C$7*Examples!$C$8*EXP(-Examples!$C$9*$A429)*(1-(Examples!$C$12*(1-EXP(-Examples!$C$13*$A429))/(1+EXP(MIN(700,MAX(-700,(Examples!$C$14*$A429-Examples!$C$15)/Examples!$C$16))))))+Examples!$C$17*$A429^2)</f>
        <v>10414.801503892639</v>
      </c>
      <c r="C429" s="33">
        <f>(Examples!$C$6*Examples!$C$7*Examples!$C$8*EXP(-Examples!$C$9*$A429)*(1-(Examples!$C$12*(1-EXP(-Examples!$C$13*$A429))/(1+EXP(MIN(700,MAX(-700,(Examples!$C$14*$A429-Examples!$C$15)/Examples!$C$16))))))+Examples!$C$17*$A429^2)</f>
        <v>440135.19849610736</v>
      </c>
      <c r="D429" s="33">
        <f>Examples!$D$18-(Examples!$D$10+Examples!$D$11)*$A429-(Examples!$D$6*Examples!$D$7*Examples!$D$8*EXP(-Examples!$D$9*$A429)*(1-(Examples!$D$12*(1-EXP(-Examples!$D$13*$A429))/(1+EXP(MIN(700,MAX(-700,(Examples!$D$14*$A429-Examples!$D$15)/Examples!$D$16))))))+Examples!$D$17*$A429^2)</f>
        <v>1540977.1550327353</v>
      </c>
      <c r="E429" s="33">
        <f>(Examples!$D$6*Examples!$D$7*Examples!$D$8*EXP(-Examples!$D$9*$A429)*(1-(Examples!$D$12*(1-EXP(-Examples!$D$13*$A429))/(1+EXP(MIN(700,MAX(-700,(Examples!$D$14*$A429-Examples!$D$15)/Examples!$D$16))))))+Examples!$D$17*$A429^2)</f>
        <v>766872.84496726468</v>
      </c>
      <c r="F429" s="33">
        <f>Examples!$E$18-(Examples!$E$10+Examples!$E$11)*$A429-(Examples!$E$6*Examples!$E$7*Examples!$E$8*EXP(-Examples!$E$9*$A429)*(1-(Examples!$E$12*(1-EXP(-Examples!$E$13*$A429))/(1+EXP(MIN(700,MAX(-700,(Examples!$E$14*$A429-Examples!$E$15)/Examples!$E$16))))))+Examples!$E$17*$A429^2)</f>
        <v>2428538.1637878525</v>
      </c>
      <c r="G429" s="33">
        <f>(Examples!$E$6*Examples!$E$7*Examples!$E$8*EXP(-Examples!$E$9*$A429)*(1-(Examples!$E$12*(1-EXP(-Examples!$E$13*$A429))/(1+EXP(MIN(700,MAX(-700,(Examples!$E$14*$A429-Examples!$E$15)/Examples!$E$16))))))+Examples!$E$17*$A429^2)</f>
        <v>208511.83621214767</v>
      </c>
      <c r="H429" s="33">
        <f>Examples!$F$18-(Examples!$F$10+Examples!$F$11)*$A429-(Examples!$F$6*Examples!$F$7*Examples!$F$8*EXP(-Examples!$F$9*$A429)*(1-(Examples!$F$12*(1-EXP(-Examples!$F$13*$A429))/(1+EXP(MIN(700,MAX(-700,(Examples!$F$14*$A429-Examples!$F$15)/Examples!$F$16))))))+Examples!$F$17*$A429^2)</f>
        <v>-304918.77842159255</v>
      </c>
      <c r="I429" s="33">
        <f>(Examples!$F$6*Examples!$F$7*Examples!$F$8*EXP(-Examples!$F$9*$A429)*(1-(Examples!$F$12*(1-EXP(-Examples!$F$13*$A429))/(1+EXP(MIN(700,MAX(-700,(Examples!$F$14*$A429-Examples!$F$15)/Examples!$F$16))))))+Examples!$F$17*$A429^2)</f>
        <v>369518.77842159255</v>
      </c>
      <c r="J429" s="33">
        <f>Examples!$G$18-(Examples!$G$10+Examples!$G$11)*$A429-(Examples!$G$6*Examples!$G$7*Examples!$G$8*EXP(-Examples!$G$9*$A429)*(1-(Examples!$G$12*(1-EXP(-Examples!$G$13*$A429))/(1+EXP(MIN(700,MAX(-700,(Examples!$G$14*$A429-Examples!$G$15)/Examples!$G$16))))))+Examples!$G$17*$A429^2)</f>
        <v>719223.6651017078</v>
      </c>
      <c r="K429" s="33">
        <f>(Examples!$G$6*Examples!$G$7*Examples!$G$8*EXP(-Examples!$G$9*$A429)*(1-(Examples!$G$12*(1-EXP(-Examples!$G$13*$A429))/(1+EXP(MIN(700,MAX(-700,(Examples!$G$14*$A429-Examples!$G$15)/Examples!$G$16))))))+Examples!$G$17*$A429^2)</f>
        <v>567276.3348982922</v>
      </c>
      <c r="L429" s="33">
        <f>Examples!$H$18-(Examples!$H$10+Examples!$H$11)*$A429-(Examples!$H$6*Examples!$H$7*Examples!$H$8*EXP(-Examples!$H$9*$A429)*(1-(Examples!$H$12*(1-EXP(-Examples!$H$13*$A429))/(1+EXP(MIN(700,MAX(-700,(Examples!$H$14*$A429-Examples!$H$15)/Examples!$H$16))))))+Examples!$H$17*$A429^2)</f>
        <v>693009.41169805313</v>
      </c>
      <c r="M429" s="33">
        <f>(Examples!$H$6*Examples!$H$7*Examples!$H$8*EXP(-Examples!$H$9*$A429)*(1-(Examples!$H$12*(1-EXP(-Examples!$H$13*$A429))/(1+EXP(MIN(700,MAX(-700,(Examples!$H$14*$A429-Examples!$H$15)/Examples!$H$16))))))+Examples!$H$17*$A429^2)</f>
        <v>593490.58830194687</v>
      </c>
    </row>
    <row r="430" spans="1:13" x14ac:dyDescent="0.25">
      <c r="A430">
        <f>(430-2)/100</f>
        <v>4.28</v>
      </c>
      <c r="B430" s="33">
        <f>Examples!$C$18-(Examples!$C$10+Examples!$C$11)*$A430-(Examples!$C$6*Examples!$C$7*Examples!$C$8*EXP(-Examples!$C$9*$A430)*(1-(Examples!$C$12*(1-EXP(-Examples!$C$13*$A430))/(1+EXP(MIN(700,MAX(-700,(Examples!$C$14*$A430-Examples!$C$15)/Examples!$C$16))))))+Examples!$C$17*$A430^2)</f>
        <v>9281.0336869712919</v>
      </c>
      <c r="C430" s="33">
        <f>(Examples!$C$6*Examples!$C$7*Examples!$C$8*EXP(-Examples!$C$9*$A430)*(1-(Examples!$C$12*(1-EXP(-Examples!$C$13*$A430))/(1+EXP(MIN(700,MAX(-700,(Examples!$C$14*$A430-Examples!$C$15)/Examples!$C$16))))))+Examples!$C$17*$A430^2)</f>
        <v>440918.96631302871</v>
      </c>
      <c r="D430" s="33">
        <f>Examples!$D$18-(Examples!$D$10+Examples!$D$11)*$A430-(Examples!$D$6*Examples!$D$7*Examples!$D$8*EXP(-Examples!$D$9*$A430)*(1-(Examples!$D$12*(1-EXP(-Examples!$D$13*$A430))/(1+EXP(MIN(700,MAX(-700,(Examples!$D$14*$A430-Examples!$D$15)/Examples!$D$16))))))+Examples!$D$17*$A430^2)</f>
        <v>1541444.4455494927</v>
      </c>
      <c r="E430" s="33">
        <f>(Examples!$D$6*Examples!$D$7*Examples!$D$8*EXP(-Examples!$D$9*$A430)*(1-(Examples!$D$12*(1-EXP(-Examples!$D$13*$A430))/(1+EXP(MIN(700,MAX(-700,(Examples!$D$14*$A430-Examples!$D$15)/Examples!$D$16))))))+Examples!$D$17*$A430^2)</f>
        <v>765955.55445050716</v>
      </c>
      <c r="F430" s="33">
        <f>Examples!$E$18-(Examples!$E$10+Examples!$E$11)*$A430-(Examples!$E$6*Examples!$E$7*Examples!$E$8*EXP(-Examples!$E$9*$A430)*(1-(Examples!$E$12*(1-EXP(-Examples!$E$13*$A430))/(1+EXP(MIN(700,MAX(-700,(Examples!$E$14*$A430-Examples!$E$15)/Examples!$E$16))))))+Examples!$E$17*$A430^2)</f>
        <v>2427787.4757795488</v>
      </c>
      <c r="G430" s="33">
        <f>(Examples!$E$6*Examples!$E$7*Examples!$E$8*EXP(-Examples!$E$9*$A430)*(1-(Examples!$E$12*(1-EXP(-Examples!$E$13*$A430))/(1+EXP(MIN(700,MAX(-700,(Examples!$E$14*$A430-Examples!$E$15)/Examples!$E$16))))))+Examples!$E$17*$A430^2)</f>
        <v>208412.52422045139</v>
      </c>
      <c r="H430" s="33">
        <f>Examples!$F$18-(Examples!$F$10+Examples!$F$11)*$A430-(Examples!$F$6*Examples!$F$7*Examples!$F$8*EXP(-Examples!$F$9*$A430)*(1-(Examples!$F$12*(1-EXP(-Examples!$F$13*$A430))/(1+EXP(MIN(700,MAX(-700,(Examples!$F$14*$A430-Examples!$F$15)/Examples!$F$16))))))+Examples!$F$17*$A430^2)</f>
        <v>-306814.21836024715</v>
      </c>
      <c r="I430" s="33">
        <f>(Examples!$F$6*Examples!$F$7*Examples!$F$8*EXP(-Examples!$F$9*$A430)*(1-(Examples!$F$12*(1-EXP(-Examples!$F$13*$A430))/(1+EXP(MIN(700,MAX(-700,(Examples!$F$14*$A430-Examples!$F$15)/Examples!$F$16))))))+Examples!$F$17*$A430^2)</f>
        <v>371214.21836024715</v>
      </c>
      <c r="J430" s="33">
        <f>Examples!$G$18-(Examples!$G$10+Examples!$G$11)*$A430-(Examples!$G$6*Examples!$G$7*Examples!$G$8*EXP(-Examples!$G$9*$A430)*(1-(Examples!$G$12*(1-EXP(-Examples!$G$13*$A430))/(1+EXP(MIN(700,MAX(-700,(Examples!$G$14*$A430-Examples!$G$15)/Examples!$G$16))))))+Examples!$G$17*$A430^2)</f>
        <v>719200.30116380053</v>
      </c>
      <c r="K430" s="33">
        <f>(Examples!$G$6*Examples!$G$7*Examples!$G$8*EXP(-Examples!$G$9*$A430)*(1-(Examples!$G$12*(1-EXP(-Examples!$G$13*$A430))/(1+EXP(MIN(700,MAX(-700,(Examples!$G$14*$A430-Examples!$G$15)/Examples!$G$16))))))+Examples!$G$17*$A430^2)</f>
        <v>566799.69883619947</v>
      </c>
      <c r="L430" s="33">
        <f>Examples!$H$18-(Examples!$H$10+Examples!$H$11)*$A430-(Examples!$H$6*Examples!$H$7*Examples!$H$8*EXP(-Examples!$H$9*$A430)*(1-(Examples!$H$12*(1-EXP(-Examples!$H$13*$A430))/(1+EXP(MIN(700,MAX(-700,(Examples!$H$14*$A430-Examples!$H$15)/Examples!$H$16))))))+Examples!$H$17*$A430^2)</f>
        <v>693355.85297222785</v>
      </c>
      <c r="M430" s="33">
        <f>(Examples!$H$6*Examples!$H$7*Examples!$H$8*EXP(-Examples!$H$9*$A430)*(1-(Examples!$H$12*(1-EXP(-Examples!$H$13*$A430))/(1+EXP(MIN(700,MAX(-700,(Examples!$H$14*$A430-Examples!$H$15)/Examples!$H$16))))))+Examples!$H$17*$A430^2)</f>
        <v>592644.14702777215</v>
      </c>
    </row>
    <row r="431" spans="1:13" x14ac:dyDescent="0.25">
      <c r="A431">
        <f>(431-2)/100</f>
        <v>4.29</v>
      </c>
      <c r="B431" s="33">
        <f>Examples!$C$18-(Examples!$C$10+Examples!$C$11)*$A431-(Examples!$C$6*Examples!$C$7*Examples!$C$8*EXP(-Examples!$C$9*$A431)*(1-(Examples!$C$12*(1-EXP(-Examples!$C$13*$A431))/(1+EXP(MIN(700,MAX(-700,(Examples!$C$14*$A431-Examples!$C$15)/Examples!$C$16))))))+Examples!$C$17*$A431^2)</f>
        <v>8142.7873111937661</v>
      </c>
      <c r="C431" s="33">
        <f>(Examples!$C$6*Examples!$C$7*Examples!$C$8*EXP(-Examples!$C$9*$A431)*(1-(Examples!$C$12*(1-EXP(-Examples!$C$13*$A431))/(1+EXP(MIN(700,MAX(-700,(Examples!$C$14*$A431-Examples!$C$15)/Examples!$C$16))))))+Examples!$C$17*$A431^2)</f>
        <v>441707.21268880623</v>
      </c>
      <c r="D431" s="33">
        <f>Examples!$D$18-(Examples!$D$10+Examples!$D$11)*$A431-(Examples!$D$6*Examples!$D$7*Examples!$D$8*EXP(-Examples!$D$9*$A431)*(1-(Examples!$D$12*(1-EXP(-Examples!$D$13*$A431))/(1+EXP(MIN(700,MAX(-700,(Examples!$D$14*$A431-Examples!$D$15)/Examples!$D$16))))))+Examples!$D$17*$A431^2)</f>
        <v>1541917.9580834643</v>
      </c>
      <c r="E431" s="33">
        <f>(Examples!$D$6*Examples!$D$7*Examples!$D$8*EXP(-Examples!$D$9*$A431)*(1-(Examples!$D$12*(1-EXP(-Examples!$D$13*$A431))/(1+EXP(MIN(700,MAX(-700,(Examples!$D$14*$A431-Examples!$D$15)/Examples!$D$16))))))+Examples!$D$17*$A431^2)</f>
        <v>765032.04191653559</v>
      </c>
      <c r="F431" s="33">
        <f>Examples!$E$18-(Examples!$E$10+Examples!$E$11)*$A431-(Examples!$E$6*Examples!$E$7*Examples!$E$8*EXP(-Examples!$E$9*$A431)*(1-(Examples!$E$12*(1-EXP(-Examples!$E$13*$A431))/(1+EXP(MIN(700,MAX(-700,(Examples!$E$14*$A431-Examples!$E$15)/Examples!$E$16))))))+Examples!$E$17*$A431^2)</f>
        <v>2427034.6421955712</v>
      </c>
      <c r="G431" s="33">
        <f>(Examples!$E$6*Examples!$E$7*Examples!$E$8*EXP(-Examples!$E$9*$A431)*(1-(Examples!$E$12*(1-EXP(-Examples!$E$13*$A431))/(1+EXP(MIN(700,MAX(-700,(Examples!$E$14*$A431-Examples!$E$15)/Examples!$E$16))))))+Examples!$E$17*$A431^2)</f>
        <v>208315.35780442902</v>
      </c>
      <c r="H431" s="33">
        <f>Examples!$F$18-(Examples!$F$10+Examples!$F$11)*$A431-(Examples!$F$6*Examples!$F$7*Examples!$F$8*EXP(-Examples!$F$9*$A431)*(1-(Examples!$F$12*(1-EXP(-Examples!$F$13*$A431))/(1+EXP(MIN(700,MAX(-700,(Examples!$F$14*$A431-Examples!$F$15)/Examples!$F$16))))))+Examples!$F$17*$A431^2)</f>
        <v>-308713.70189637295</v>
      </c>
      <c r="I431" s="33">
        <f>(Examples!$F$6*Examples!$F$7*Examples!$F$8*EXP(-Examples!$F$9*$A431)*(1-(Examples!$F$12*(1-EXP(-Examples!$F$13*$A431))/(1+EXP(MIN(700,MAX(-700,(Examples!$F$14*$A431-Examples!$F$15)/Examples!$F$16))))))+Examples!$F$17*$A431^2)</f>
        <v>372913.70189637295</v>
      </c>
      <c r="J431" s="33">
        <f>Examples!$G$18-(Examples!$G$10+Examples!$G$11)*$A431-(Examples!$G$6*Examples!$G$7*Examples!$G$8*EXP(-Examples!$G$9*$A431)*(1-(Examples!$G$12*(1-EXP(-Examples!$G$13*$A431))/(1+EXP(MIN(700,MAX(-700,(Examples!$G$14*$A431-Examples!$G$15)/Examples!$G$16))))))+Examples!$G$17*$A431^2)</f>
        <v>719175.46232493129</v>
      </c>
      <c r="K431" s="33">
        <f>(Examples!$G$6*Examples!$G$7*Examples!$G$8*EXP(-Examples!$G$9*$A431)*(1-(Examples!$G$12*(1-EXP(-Examples!$G$13*$A431))/(1+EXP(MIN(700,MAX(-700,(Examples!$G$14*$A431-Examples!$G$15)/Examples!$G$16))))))+Examples!$G$17*$A431^2)</f>
        <v>566324.53767506871</v>
      </c>
      <c r="L431" s="33">
        <f>Examples!$H$18-(Examples!$H$10+Examples!$H$11)*$A431-(Examples!$H$6*Examples!$H$7*Examples!$H$8*EXP(-Examples!$H$9*$A431)*(1-(Examples!$H$12*(1-EXP(-Examples!$H$13*$A431))/(1+EXP(MIN(700,MAX(-700,(Examples!$H$14*$A431-Examples!$H$15)/Examples!$H$16))))))+Examples!$H$17*$A431^2)</f>
        <v>693696.48351022392</v>
      </c>
      <c r="M431" s="33">
        <f>(Examples!$H$6*Examples!$H$7*Examples!$H$8*EXP(-Examples!$H$9*$A431)*(1-(Examples!$H$12*(1-EXP(-Examples!$H$13*$A431))/(1+EXP(MIN(700,MAX(-700,(Examples!$H$14*$A431-Examples!$H$15)/Examples!$H$16))))))+Examples!$H$17*$A431^2)</f>
        <v>591803.51648977608</v>
      </c>
    </row>
    <row r="432" spans="1:13" x14ac:dyDescent="0.25">
      <c r="A432">
        <f>(432-2)/100</f>
        <v>4.3</v>
      </c>
      <c r="B432" s="33">
        <f>Examples!$C$18-(Examples!$C$10+Examples!$C$11)*$A432-(Examples!$C$6*Examples!$C$7*Examples!$C$8*EXP(-Examples!$C$9*$A432)*(1-(Examples!$C$12*(1-EXP(-Examples!$C$13*$A432))/(1+EXP(MIN(700,MAX(-700,(Examples!$C$14*$A432-Examples!$C$15)/Examples!$C$16))))))+Examples!$C$17*$A432^2)</f>
        <v>7000.0662737227976</v>
      </c>
      <c r="C432" s="33">
        <f>(Examples!$C$6*Examples!$C$7*Examples!$C$8*EXP(-Examples!$C$9*$A432)*(1-(Examples!$C$12*(1-EXP(-Examples!$C$13*$A432))/(1+EXP(MIN(700,MAX(-700,(Examples!$C$14*$A432-Examples!$C$15)/Examples!$C$16))))))+Examples!$C$17*$A432^2)</f>
        <v>442499.9337262772</v>
      </c>
      <c r="D432" s="33">
        <f>Examples!$D$18-(Examples!$D$10+Examples!$D$11)*$A432-(Examples!$D$6*Examples!$D$7*Examples!$D$8*EXP(-Examples!$D$9*$A432)*(1-(Examples!$D$12*(1-EXP(-Examples!$D$13*$A432))/(1+EXP(MIN(700,MAX(-700,(Examples!$D$14*$A432-Examples!$D$15)/Examples!$D$16))))))+Examples!$D$17*$A432^2)</f>
        <v>1542397.7083465403</v>
      </c>
      <c r="E432" s="33">
        <f>(Examples!$D$6*Examples!$D$7*Examples!$D$8*EXP(-Examples!$D$9*$A432)*(1-(Examples!$D$12*(1-EXP(-Examples!$D$13*$A432))/(1+EXP(MIN(700,MAX(-700,(Examples!$D$14*$A432-Examples!$D$15)/Examples!$D$16))))))+Examples!$D$17*$A432^2)</f>
        <v>764102.29165345966</v>
      </c>
      <c r="F432" s="33">
        <f>Examples!$E$18-(Examples!$E$10+Examples!$E$11)*$A432-(Examples!$E$6*Examples!$E$7*Examples!$E$8*EXP(-Examples!$E$9*$A432)*(1-(Examples!$E$12*(1-EXP(-Examples!$E$13*$A432))/(1+EXP(MIN(700,MAX(-700,(Examples!$E$14*$A432-Examples!$E$15)/Examples!$E$16))))))+Examples!$E$17*$A432^2)</f>
        <v>2426279.6955818976</v>
      </c>
      <c r="G432" s="33">
        <f>(Examples!$E$6*Examples!$E$7*Examples!$E$8*EXP(-Examples!$E$9*$A432)*(1-(Examples!$E$12*(1-EXP(-Examples!$E$13*$A432))/(1+EXP(MIN(700,MAX(-700,(Examples!$E$14*$A432-Examples!$E$15)/Examples!$E$16))))))+Examples!$E$17*$A432^2)</f>
        <v>208220.3044181024</v>
      </c>
      <c r="H432" s="33">
        <f>Examples!$F$18-(Examples!$F$10+Examples!$F$11)*$A432-(Examples!$F$6*Examples!$F$7*Examples!$F$8*EXP(-Examples!$F$9*$A432)*(1-(Examples!$F$12*(1-EXP(-Examples!$F$13*$A432))/(1+EXP(MIN(700,MAX(-700,(Examples!$F$14*$A432-Examples!$F$15)/Examples!$F$16))))))+Examples!$F$17*$A432^2)</f>
        <v>-310617.22890007682</v>
      </c>
      <c r="I432" s="33">
        <f>(Examples!$F$6*Examples!$F$7*Examples!$F$8*EXP(-Examples!$F$9*$A432)*(1-(Examples!$F$12*(1-EXP(-Examples!$F$13*$A432))/(1+EXP(MIN(700,MAX(-700,(Examples!$F$14*$A432-Examples!$F$15)/Examples!$F$16))))))+Examples!$F$17*$A432^2)</f>
        <v>374617.22890007682</v>
      </c>
      <c r="J432" s="33">
        <f>Examples!$G$18-(Examples!$G$10+Examples!$G$11)*$A432-(Examples!$G$6*Examples!$G$7*Examples!$G$8*EXP(-Examples!$G$9*$A432)*(1-(Examples!$G$12*(1-EXP(-Examples!$G$13*$A432))/(1+EXP(MIN(700,MAX(-700,(Examples!$G$14*$A432-Examples!$G$15)/Examples!$G$16))))))+Examples!$G$17*$A432^2)</f>
        <v>719149.10276048677</v>
      </c>
      <c r="K432" s="33">
        <f>(Examples!$G$6*Examples!$G$7*Examples!$G$8*EXP(-Examples!$G$9*$A432)*(1-(Examples!$G$12*(1-EXP(-Examples!$G$13*$A432))/(1+EXP(MIN(700,MAX(-700,(Examples!$G$14*$A432-Examples!$G$15)/Examples!$G$16))))))+Examples!$G$17*$A432^2)</f>
        <v>565850.89723951323</v>
      </c>
      <c r="L432" s="33">
        <f>Examples!$H$18-(Examples!$H$10+Examples!$H$11)*$A432-(Examples!$H$6*Examples!$H$7*Examples!$H$8*EXP(-Examples!$H$9*$A432)*(1-(Examples!$H$12*(1-EXP(-Examples!$H$13*$A432))/(1+EXP(MIN(700,MAX(-700,(Examples!$H$14*$A432-Examples!$H$15)/Examples!$H$16))))))+Examples!$H$17*$A432^2)</f>
        <v>694031.2798455205</v>
      </c>
      <c r="M432" s="33">
        <f>(Examples!$H$6*Examples!$H$7*Examples!$H$8*EXP(-Examples!$H$9*$A432)*(1-(Examples!$H$12*(1-EXP(-Examples!$H$13*$A432))/(1+EXP(MIN(700,MAX(-700,(Examples!$H$14*$A432-Examples!$H$15)/Examples!$H$16))))))+Examples!$H$17*$A432^2)</f>
        <v>590968.7201544795</v>
      </c>
    </row>
    <row r="433" spans="1:13" x14ac:dyDescent="0.25">
      <c r="A433">
        <f>(433-2)/100</f>
        <v>4.3099999999999996</v>
      </c>
      <c r="B433" s="33">
        <f>Examples!$C$18-(Examples!$C$10+Examples!$C$11)*$A433-(Examples!$C$6*Examples!$C$7*Examples!$C$8*EXP(-Examples!$C$9*$A433)*(1-(Examples!$C$12*(1-EXP(-Examples!$C$13*$A433))/(1+EXP(MIN(700,MAX(-700,(Examples!$C$14*$A433-Examples!$C$15)/Examples!$C$16))))))+Examples!$C$17*$A433^2)</f>
        <v>5852.8744783262955</v>
      </c>
      <c r="C433" s="33">
        <f>(Examples!$C$6*Examples!$C$7*Examples!$C$8*EXP(-Examples!$C$9*$A433)*(1-(Examples!$C$12*(1-EXP(-Examples!$C$13*$A433))/(1+EXP(MIN(700,MAX(-700,(Examples!$C$14*$A433-Examples!$C$15)/Examples!$C$16))))))+Examples!$C$17*$A433^2)</f>
        <v>443297.1255216737</v>
      </c>
      <c r="D433" s="33">
        <f>Examples!$D$18-(Examples!$D$10+Examples!$D$11)*$A433-(Examples!$D$6*Examples!$D$7*Examples!$D$8*EXP(-Examples!$D$9*$A433)*(1-(Examples!$D$12*(1-EXP(-Examples!$D$13*$A433))/(1+EXP(MIN(700,MAX(-700,(Examples!$D$14*$A433-Examples!$D$15)/Examples!$D$16))))))+Examples!$D$17*$A433^2)</f>
        <v>1542883.7082328151</v>
      </c>
      <c r="E433" s="33">
        <f>(Examples!$D$6*Examples!$D$7*Examples!$D$8*EXP(-Examples!$D$9*$A433)*(1-(Examples!$D$12*(1-EXP(-Examples!$D$13*$A433))/(1+EXP(MIN(700,MAX(-700,(Examples!$D$14*$A433-Examples!$D$15)/Examples!$D$16))))))+Examples!$D$17*$A433^2)</f>
        <v>763166.29176718486</v>
      </c>
      <c r="F433" s="33">
        <f>Examples!$E$18-(Examples!$E$10+Examples!$E$11)*$A433-(Examples!$E$6*Examples!$E$7*Examples!$E$8*EXP(-Examples!$E$9*$A433)*(1-(Examples!$E$12*(1-EXP(-Examples!$E$13*$A433))/(1+EXP(MIN(700,MAX(-700,(Examples!$E$14*$A433-Examples!$E$15)/Examples!$E$16))))))+Examples!$E$17*$A433^2)</f>
        <v>2425522.6680805637</v>
      </c>
      <c r="G433" s="33">
        <f>(Examples!$E$6*Examples!$E$7*Examples!$E$8*EXP(-Examples!$E$9*$A433)*(1-(Examples!$E$12*(1-EXP(-Examples!$E$13*$A433))/(1+EXP(MIN(700,MAX(-700,(Examples!$E$14*$A433-Examples!$E$15)/Examples!$E$16))))))+Examples!$E$17*$A433^2)</f>
        <v>208127.33191943637</v>
      </c>
      <c r="H433" s="33">
        <f>Examples!$F$18-(Examples!$F$10+Examples!$F$11)*$A433-(Examples!$F$6*Examples!$F$7*Examples!$F$8*EXP(-Examples!$F$9*$A433)*(1-(Examples!$F$12*(1-EXP(-Examples!$F$13*$A433))/(1+EXP(MIN(700,MAX(-700,(Examples!$F$14*$A433-Examples!$F$15)/Examples!$F$16))))))+Examples!$F$17*$A433^2)</f>
        <v>-312524.79924182611</v>
      </c>
      <c r="I433" s="33">
        <f>(Examples!$F$6*Examples!$F$7*Examples!$F$8*EXP(-Examples!$F$9*$A433)*(1-(Examples!$F$12*(1-EXP(-Examples!$F$13*$A433))/(1+EXP(MIN(700,MAX(-700,(Examples!$F$14*$A433-Examples!$F$15)/Examples!$F$16))))))+Examples!$F$17*$A433^2)</f>
        <v>376324.79924182611</v>
      </c>
      <c r="J433" s="33">
        <f>Examples!$G$18-(Examples!$G$10+Examples!$G$11)*$A433-(Examples!$G$6*Examples!$G$7*Examples!$G$8*EXP(-Examples!$G$9*$A433)*(1-(Examples!$G$12*(1-EXP(-Examples!$G$13*$A433))/(1+EXP(MIN(700,MAX(-700,(Examples!$G$14*$A433-Examples!$G$15)/Examples!$G$16))))))+Examples!$G$17*$A433^2)</f>
        <v>719121.17701346346</v>
      </c>
      <c r="K433" s="33">
        <f>(Examples!$G$6*Examples!$G$7*Examples!$G$8*EXP(-Examples!$G$9*$A433)*(1-(Examples!$G$12*(1-EXP(-Examples!$G$13*$A433))/(1+EXP(MIN(700,MAX(-700,(Examples!$G$14*$A433-Examples!$G$15)/Examples!$G$16))))))+Examples!$G$17*$A433^2)</f>
        <v>565378.82298653654</v>
      </c>
      <c r="L433" s="33">
        <f>Examples!$H$18-(Examples!$H$10+Examples!$H$11)*$A433-(Examples!$H$6*Examples!$H$7*Examples!$H$8*EXP(-Examples!$H$9*$A433)*(1-(Examples!$H$12*(1-EXP(-Examples!$H$13*$A433))/(1+EXP(MIN(700,MAX(-700,(Examples!$H$14*$A433-Examples!$H$15)/Examples!$H$16))))))+Examples!$H$17*$A433^2)</f>
        <v>694360.21985661297</v>
      </c>
      <c r="M433" s="33">
        <f>(Examples!$H$6*Examples!$H$7*Examples!$H$8*EXP(-Examples!$H$9*$A433)*(1-(Examples!$H$12*(1-EXP(-Examples!$H$13*$A433))/(1+EXP(MIN(700,MAX(-700,(Examples!$H$14*$A433-Examples!$H$15)/Examples!$H$16))))))+Examples!$H$17*$A433^2)</f>
        <v>590139.78014338703</v>
      </c>
    </row>
    <row r="434" spans="1:13" x14ac:dyDescent="0.25">
      <c r="A434">
        <f>(434-2)/100</f>
        <v>4.32</v>
      </c>
      <c r="B434" s="33">
        <f>Examples!$C$18-(Examples!$C$10+Examples!$C$11)*$A434-(Examples!$C$6*Examples!$C$7*Examples!$C$8*EXP(-Examples!$C$9*$A434)*(1-(Examples!$C$12*(1-EXP(-Examples!$C$13*$A434))/(1+EXP(MIN(700,MAX(-700,(Examples!$C$14*$A434-Examples!$C$15)/Examples!$C$16))))))+Examples!$C$17*$A434^2)</f>
        <v>4701.2158347328077</v>
      </c>
      <c r="C434" s="33">
        <f>(Examples!$C$6*Examples!$C$7*Examples!$C$8*EXP(-Examples!$C$9*$A434)*(1-(Examples!$C$12*(1-EXP(-Examples!$C$13*$A434))/(1+EXP(MIN(700,MAX(-700,(Examples!$C$14*$A434-Examples!$C$15)/Examples!$C$16))))))+Examples!$C$17*$A434^2)</f>
        <v>444098.78416526719</v>
      </c>
      <c r="D434" s="33">
        <f>Examples!$D$18-(Examples!$D$10+Examples!$D$11)*$A434-(Examples!$D$6*Examples!$D$7*Examples!$D$8*EXP(-Examples!$D$9*$A434)*(1-(Examples!$D$12*(1-EXP(-Examples!$D$13*$A434))/(1+EXP(MIN(700,MAX(-700,(Examples!$D$14*$A434-Examples!$D$15)/Examples!$D$16))))))+Examples!$D$17*$A434^2)</f>
        <v>1543375.9658757686</v>
      </c>
      <c r="E434" s="33">
        <f>(Examples!$D$6*Examples!$D$7*Examples!$D$8*EXP(-Examples!$D$9*$A434)*(1-(Examples!$D$12*(1-EXP(-Examples!$D$13*$A434))/(1+EXP(MIN(700,MAX(-700,(Examples!$D$14*$A434-Examples!$D$15)/Examples!$D$16))))))+Examples!$D$17*$A434^2)</f>
        <v>762224.03412423143</v>
      </c>
      <c r="F434" s="33">
        <f>Examples!$E$18-(Examples!$E$10+Examples!$E$11)*$A434-(Examples!$E$6*Examples!$E$7*Examples!$E$8*EXP(-Examples!$E$9*$A434)*(1-(Examples!$E$12*(1-EXP(-Examples!$E$13*$A434))/(1+EXP(MIN(700,MAX(-700,(Examples!$E$14*$A434-Examples!$E$15)/Examples!$E$16))))))+Examples!$E$17*$A434^2)</f>
        <v>2424763.5914321877</v>
      </c>
      <c r="G434" s="33">
        <f>(Examples!$E$6*Examples!$E$7*Examples!$E$8*EXP(-Examples!$E$9*$A434)*(1-(Examples!$E$12*(1-EXP(-Examples!$E$13*$A434))/(1+EXP(MIN(700,MAX(-700,(Examples!$E$14*$A434-Examples!$E$15)/Examples!$E$16))))))+Examples!$E$17*$A434^2)</f>
        <v>208036.40856781206</v>
      </c>
      <c r="H434" s="33">
        <f>Examples!$F$18-(Examples!$F$10+Examples!$F$11)*$A434-(Examples!$F$6*Examples!$F$7*Examples!$F$8*EXP(-Examples!$F$9*$A434)*(1-(Examples!$F$12*(1-EXP(-Examples!$F$13*$A434))/(1+EXP(MIN(700,MAX(-700,(Examples!$F$14*$A434-Examples!$F$15)/Examples!$F$16))))))+Examples!$F$17*$A434^2)</f>
        <v>-314436.41279244889</v>
      </c>
      <c r="I434" s="33">
        <f>(Examples!$F$6*Examples!$F$7*Examples!$F$8*EXP(-Examples!$F$9*$A434)*(1-(Examples!$F$12*(1-EXP(-Examples!$F$13*$A434))/(1+EXP(MIN(700,MAX(-700,(Examples!$F$14*$A434-Examples!$F$15)/Examples!$F$16))))))+Examples!$F$17*$A434^2)</f>
        <v>378036.41279244889</v>
      </c>
      <c r="J434" s="33">
        <f>Examples!$G$18-(Examples!$G$10+Examples!$G$11)*$A434-(Examples!$G$6*Examples!$G$7*Examples!$G$8*EXP(-Examples!$G$9*$A434)*(1-(Examples!$G$12*(1-EXP(-Examples!$G$13*$A434))/(1+EXP(MIN(700,MAX(-700,(Examples!$G$14*$A434-Examples!$G$15)/Examples!$G$16))))))+Examples!$G$17*$A434^2)</f>
        <v>719091.64000083401</v>
      </c>
      <c r="K434" s="33">
        <f>(Examples!$G$6*Examples!$G$7*Examples!$G$8*EXP(-Examples!$G$9*$A434)*(1-(Examples!$G$12*(1-EXP(-Examples!$G$13*$A434))/(1+EXP(MIN(700,MAX(-700,(Examples!$G$14*$A434-Examples!$G$15)/Examples!$G$16))))))+Examples!$G$17*$A434^2)</f>
        <v>564908.35999916599</v>
      </c>
      <c r="L434" s="33">
        <f>Examples!$H$18-(Examples!$H$10+Examples!$H$11)*$A434-(Examples!$H$6*Examples!$H$7*Examples!$H$8*EXP(-Examples!$H$9*$A434)*(1-(Examples!$H$12*(1-EXP(-Examples!$H$13*$A434))/(1+EXP(MIN(700,MAX(-700,(Examples!$H$14*$A434-Examples!$H$15)/Examples!$H$16))))))+Examples!$H$17*$A434^2)</f>
        <v>694683.28272165754</v>
      </c>
      <c r="M434" s="33">
        <f>(Examples!$H$6*Examples!$H$7*Examples!$H$8*EXP(-Examples!$H$9*$A434)*(1-(Examples!$H$12*(1-EXP(-Examples!$H$13*$A434))/(1+EXP(MIN(700,MAX(-700,(Examples!$H$14*$A434-Examples!$H$15)/Examples!$H$16))))))+Examples!$H$17*$A434^2)</f>
        <v>589316.71727834246</v>
      </c>
    </row>
    <row r="435" spans="1:13" x14ac:dyDescent="0.25">
      <c r="A435">
        <f>(435-2)/100</f>
        <v>4.33</v>
      </c>
      <c r="B435" s="33">
        <f>Examples!$C$18-(Examples!$C$10+Examples!$C$11)*$A435-(Examples!$C$6*Examples!$C$7*Examples!$C$8*EXP(-Examples!$C$9*$A435)*(1-(Examples!$C$12*(1-EXP(-Examples!$C$13*$A435))/(1+EXP(MIN(700,MAX(-700,(Examples!$C$14*$A435-Examples!$C$15)/Examples!$C$16))))))+Examples!$C$17*$A435^2)</f>
        <v>3545.0942580117844</v>
      </c>
      <c r="C435" s="33">
        <f>(Examples!$C$6*Examples!$C$7*Examples!$C$8*EXP(-Examples!$C$9*$A435)*(1-(Examples!$C$12*(1-EXP(-Examples!$C$13*$A435))/(1+EXP(MIN(700,MAX(-700,(Examples!$C$14*$A435-Examples!$C$15)/Examples!$C$16))))))+Examples!$C$17*$A435^2)</f>
        <v>444904.90574198822</v>
      </c>
      <c r="D435" s="33">
        <f>Examples!$D$18-(Examples!$D$10+Examples!$D$11)*$A435-(Examples!$D$6*Examples!$D$7*Examples!$D$8*EXP(-Examples!$D$9*$A435)*(1-(Examples!$D$12*(1-EXP(-Examples!$D$13*$A435))/(1+EXP(MIN(700,MAX(-700,(Examples!$D$14*$A435-Examples!$D$15)/Examples!$D$16))))))+Examples!$D$17*$A435^2)</f>
        <v>1543874.4857063855</v>
      </c>
      <c r="E435" s="33">
        <f>(Examples!$D$6*Examples!$D$7*Examples!$D$8*EXP(-Examples!$D$9*$A435)*(1-(Examples!$D$12*(1-EXP(-Examples!$D$13*$A435))/(1+EXP(MIN(700,MAX(-700,(Examples!$D$14*$A435-Examples!$D$15)/Examples!$D$16))))))+Examples!$D$17*$A435^2)</f>
        <v>761275.51429361454</v>
      </c>
      <c r="F435" s="33">
        <f>Examples!$E$18-(Examples!$E$10+Examples!$E$11)*$A435-(Examples!$E$6*Examples!$E$7*Examples!$E$8*EXP(-Examples!$E$9*$A435)*(1-(Examples!$E$12*(1-EXP(-Examples!$E$13*$A435))/(1+EXP(MIN(700,MAX(-700,(Examples!$E$14*$A435-Examples!$E$15)/Examples!$E$16))))))+Examples!$E$17*$A435^2)</f>
        <v>2424002.4969784748</v>
      </c>
      <c r="G435" s="33">
        <f>(Examples!$E$6*Examples!$E$7*Examples!$E$8*EXP(-Examples!$E$9*$A435)*(1-(Examples!$E$12*(1-EXP(-Examples!$E$13*$A435))/(1+EXP(MIN(700,MAX(-700,(Examples!$E$14*$A435-Examples!$E$15)/Examples!$E$16))))))+Examples!$E$17*$A435^2)</f>
        <v>207947.50302152539</v>
      </c>
      <c r="H435" s="33">
        <f>Examples!$F$18-(Examples!$F$10+Examples!$F$11)*$A435-(Examples!$F$6*Examples!$F$7*Examples!$F$8*EXP(-Examples!$F$9*$A435)*(1-(Examples!$F$12*(1-EXP(-Examples!$F$13*$A435))/(1+EXP(MIN(700,MAX(-700,(Examples!$F$14*$A435-Examples!$F$15)/Examples!$F$16))))))+Examples!$F$17*$A435^2)</f>
        <v>-316352.06942313339</v>
      </c>
      <c r="I435" s="33">
        <f>(Examples!$F$6*Examples!$F$7*Examples!$F$8*EXP(-Examples!$F$9*$A435)*(1-(Examples!$F$12*(1-EXP(-Examples!$F$13*$A435))/(1+EXP(MIN(700,MAX(-700,(Examples!$F$14*$A435-Examples!$F$15)/Examples!$F$16))))))+Examples!$F$17*$A435^2)</f>
        <v>379752.06942313339</v>
      </c>
      <c r="J435" s="33">
        <f>Examples!$G$18-(Examples!$G$10+Examples!$G$11)*$A435-(Examples!$G$6*Examples!$G$7*Examples!$G$8*EXP(-Examples!$G$9*$A435)*(1-(Examples!$G$12*(1-EXP(-Examples!$G$13*$A435))/(1+EXP(MIN(700,MAX(-700,(Examples!$G$14*$A435-Examples!$G$15)/Examples!$G$16))))))+Examples!$G$17*$A435^2)</f>
        <v>719060.44701958739</v>
      </c>
      <c r="K435" s="33">
        <f>(Examples!$G$6*Examples!$G$7*Examples!$G$8*EXP(-Examples!$G$9*$A435)*(1-(Examples!$G$12*(1-EXP(-Examples!$G$13*$A435))/(1+EXP(MIN(700,MAX(-700,(Examples!$G$14*$A435-Examples!$G$15)/Examples!$G$16))))))+Examples!$G$17*$A435^2)</f>
        <v>564439.55298041261</v>
      </c>
      <c r="L435" s="33">
        <f>Examples!$H$18-(Examples!$H$10+Examples!$H$11)*$A435-(Examples!$H$6*Examples!$H$7*Examples!$H$8*EXP(-Examples!$H$9*$A435)*(1-(Examples!$H$12*(1-EXP(-Examples!$H$13*$A435))/(1+EXP(MIN(700,MAX(-700,(Examples!$H$14*$A435-Examples!$H$15)/Examples!$H$16))))))+Examples!$H$17*$A435^2)</f>
        <v>695000.44887451408</v>
      </c>
      <c r="M435" s="33">
        <f>(Examples!$H$6*Examples!$H$7*Examples!$H$8*EXP(-Examples!$H$9*$A435)*(1-(Examples!$H$12*(1-EXP(-Examples!$H$13*$A435))/(1+EXP(MIN(700,MAX(-700,(Examples!$H$14*$A435-Examples!$H$15)/Examples!$H$16))))))+Examples!$H$17*$A435^2)</f>
        <v>588499.55112548592</v>
      </c>
    </row>
    <row r="436" spans="1:13" x14ac:dyDescent="0.25">
      <c r="A436">
        <f>(436-2)/100</f>
        <v>4.34</v>
      </c>
      <c r="B436" s="33">
        <f>Examples!$C$18-(Examples!$C$10+Examples!$C$11)*$A436-(Examples!$C$6*Examples!$C$7*Examples!$C$8*EXP(-Examples!$C$9*$A436)*(1-(Examples!$C$12*(1-EXP(-Examples!$C$13*$A436))/(1+EXP(MIN(700,MAX(-700,(Examples!$C$14*$A436-Examples!$C$15)/Examples!$C$16))))))+Examples!$C$17*$A436^2)</f>
        <v>2384.513667974039</v>
      </c>
      <c r="C436" s="33">
        <f>(Examples!$C$6*Examples!$C$7*Examples!$C$8*EXP(-Examples!$C$9*$A436)*(1-(Examples!$C$12*(1-EXP(-Examples!$C$13*$A436))/(1+EXP(MIN(700,MAX(-700,(Examples!$C$14*$A436-Examples!$C$15)/Examples!$C$16))))))+Examples!$C$17*$A436^2)</f>
        <v>445715.48633202596</v>
      </c>
      <c r="D436" s="33">
        <f>Examples!$D$18-(Examples!$D$10+Examples!$D$11)*$A436-(Examples!$D$6*Examples!$D$7*Examples!$D$8*EXP(-Examples!$D$9*$A436)*(1-(Examples!$D$12*(1-EXP(-Examples!$D$13*$A436))/(1+EXP(MIN(700,MAX(-700,(Examples!$D$14*$A436-Examples!$D$15)/Examples!$D$16))))))+Examples!$D$17*$A436^2)</f>
        <v>1544379.2685121645</v>
      </c>
      <c r="E436" s="33">
        <f>(Examples!$D$6*Examples!$D$7*Examples!$D$8*EXP(-Examples!$D$9*$A436)*(1-(Examples!$D$12*(1-EXP(-Examples!$D$13*$A436))/(1+EXP(MIN(700,MAX(-700,(Examples!$D$14*$A436-Examples!$D$15)/Examples!$D$16))))))+Examples!$D$17*$A436^2)</f>
        <v>760320.73148783552</v>
      </c>
      <c r="F436" s="33">
        <f>Examples!$E$18-(Examples!$E$10+Examples!$E$11)*$A436-(Examples!$E$6*Examples!$E$7*Examples!$E$8*EXP(-Examples!$E$9*$A436)*(1-(Examples!$E$12*(1-EXP(-Examples!$E$13*$A436))/(1+EXP(MIN(700,MAX(-700,(Examples!$E$14*$A436-Examples!$E$15)/Examples!$E$16))))))+Examples!$E$17*$A436^2)</f>
        <v>2423239.4156646887</v>
      </c>
      <c r="G436" s="33">
        <f>(Examples!$E$6*Examples!$E$7*Examples!$E$8*EXP(-Examples!$E$9*$A436)*(1-(Examples!$E$12*(1-EXP(-Examples!$E$13*$A436))/(1+EXP(MIN(700,MAX(-700,(Examples!$E$14*$A436-Examples!$E$15)/Examples!$E$16))))))+Examples!$E$17*$A436^2)</f>
        <v>207860.58433531143</v>
      </c>
      <c r="H436" s="33">
        <f>Examples!$F$18-(Examples!$F$10+Examples!$F$11)*$A436-(Examples!$F$6*Examples!$F$7*Examples!$F$8*EXP(-Examples!$F$9*$A436)*(1-(Examples!$F$12*(1-EXP(-Examples!$F$13*$A436))/(1+EXP(MIN(700,MAX(-700,(Examples!$F$14*$A436-Examples!$F$15)/Examples!$F$16))))))+Examples!$F$17*$A436^2)</f>
        <v>-318271.76900542912</v>
      </c>
      <c r="I436" s="33">
        <f>(Examples!$F$6*Examples!$F$7*Examples!$F$8*EXP(-Examples!$F$9*$A436)*(1-(Examples!$F$12*(1-EXP(-Examples!$F$13*$A436))/(1+EXP(MIN(700,MAX(-700,(Examples!$F$14*$A436-Examples!$F$15)/Examples!$F$16))))))+Examples!$F$17*$A436^2)</f>
        <v>381471.76900542912</v>
      </c>
      <c r="J436" s="33">
        <f>Examples!$G$18-(Examples!$G$10+Examples!$G$11)*$A436-(Examples!$G$6*Examples!$G$7*Examples!$G$8*EXP(-Examples!$G$9*$A436)*(1-(Examples!$G$12*(1-EXP(-Examples!$G$13*$A436))/(1+EXP(MIN(700,MAX(-700,(Examples!$G$14*$A436-Examples!$G$15)/Examples!$G$16))))))+Examples!$G$17*$A436^2)</f>
        <v>719027.55375245435</v>
      </c>
      <c r="K436" s="33">
        <f>(Examples!$G$6*Examples!$G$7*Examples!$G$8*EXP(-Examples!$G$9*$A436)*(1-(Examples!$G$12*(1-EXP(-Examples!$G$13*$A436))/(1+EXP(MIN(700,MAX(-700,(Examples!$G$14*$A436-Examples!$G$15)/Examples!$G$16))))))+Examples!$G$17*$A436^2)</f>
        <v>563972.44624754565</v>
      </c>
      <c r="L436" s="33">
        <f>Examples!$H$18-(Examples!$H$10+Examples!$H$11)*$A436-(Examples!$H$6*Examples!$H$7*Examples!$H$8*EXP(-Examples!$H$9*$A436)*(1-(Examples!$H$12*(1-EXP(-Examples!$H$13*$A436))/(1+EXP(MIN(700,MAX(-700,(Examples!$H$14*$A436-Examples!$H$15)/Examples!$H$16))))))+Examples!$H$17*$A436^2)</f>
        <v>695311.69996215217</v>
      </c>
      <c r="M436" s="33">
        <f>(Examples!$H$6*Examples!$H$7*Examples!$H$8*EXP(-Examples!$H$9*$A436)*(1-(Examples!$H$12*(1-EXP(-Examples!$H$13*$A436))/(1+EXP(MIN(700,MAX(-700,(Examples!$H$14*$A436-Examples!$H$15)/Examples!$H$16))))))+Examples!$H$17*$A436^2)</f>
        <v>587688.30003784783</v>
      </c>
    </row>
    <row r="437" spans="1:13" x14ac:dyDescent="0.25">
      <c r="A437">
        <f>(437-2)/100</f>
        <v>4.3499999999999996</v>
      </c>
      <c r="B437" s="33">
        <f>Examples!$C$18-(Examples!$C$10+Examples!$C$11)*$A437-(Examples!$C$6*Examples!$C$7*Examples!$C$8*EXP(-Examples!$C$9*$A437)*(1-(Examples!$C$12*(1-EXP(-Examples!$C$13*$A437))/(1+EXP(MIN(700,MAX(-700,(Examples!$C$14*$A437-Examples!$C$15)/Examples!$C$16))))))+Examples!$C$17*$A437^2)</f>
        <v>1219.4779885958415</v>
      </c>
      <c r="C437" s="33">
        <f>(Examples!$C$6*Examples!$C$7*Examples!$C$8*EXP(-Examples!$C$9*$A437)*(1-(Examples!$C$12*(1-EXP(-Examples!$C$13*$A437))/(1+EXP(MIN(700,MAX(-700,(Examples!$C$14*$A437-Examples!$C$15)/Examples!$C$16))))))+Examples!$C$17*$A437^2)</f>
        <v>446530.52201140416</v>
      </c>
      <c r="D437" s="33">
        <f>Examples!$D$18-(Examples!$D$10+Examples!$D$11)*$A437-(Examples!$D$6*Examples!$D$7*Examples!$D$8*EXP(-Examples!$D$9*$A437)*(1-(Examples!$D$12*(1-EXP(-Examples!$D$13*$A437))/(1+EXP(MIN(700,MAX(-700,(Examples!$D$14*$A437-Examples!$D$15)/Examples!$D$16))))))+Examples!$D$17*$A437^2)</f>
        <v>1544890.3114969637</v>
      </c>
      <c r="E437" s="33">
        <f>(Examples!$D$6*Examples!$D$7*Examples!$D$8*EXP(-Examples!$D$9*$A437)*(1-(Examples!$D$12*(1-EXP(-Examples!$D$13*$A437))/(1+EXP(MIN(700,MAX(-700,(Examples!$D$14*$A437-Examples!$D$15)/Examples!$D$16))))))+Examples!$D$17*$A437^2)</f>
        <v>759359.68850303616</v>
      </c>
      <c r="F437" s="33">
        <f>Examples!$E$18-(Examples!$E$10+Examples!$E$11)*$A437-(Examples!$E$6*Examples!$E$7*Examples!$E$8*EXP(-Examples!$E$9*$A437)*(1-(Examples!$E$12*(1-EXP(-Examples!$E$13*$A437))/(1+EXP(MIN(700,MAX(-700,(Examples!$E$14*$A437-Examples!$E$15)/Examples!$E$16))))))+Examples!$E$17*$A437^2)</f>
        <v>2422474.3780421084</v>
      </c>
      <c r="G437" s="33">
        <f>(Examples!$E$6*Examples!$E$7*Examples!$E$8*EXP(-Examples!$E$9*$A437)*(1-(Examples!$E$12*(1-EXP(-Examples!$E$13*$A437))/(1+EXP(MIN(700,MAX(-700,(Examples!$E$14*$A437-Examples!$E$15)/Examples!$E$16))))))+Examples!$E$17*$A437^2)</f>
        <v>207775.6219578918</v>
      </c>
      <c r="H437" s="33">
        <f>Examples!$F$18-(Examples!$F$10+Examples!$F$11)*$A437-(Examples!$F$6*Examples!$F$7*Examples!$F$8*EXP(-Examples!$F$9*$A437)*(1-(Examples!$F$12*(1-EXP(-Examples!$F$13*$A437))/(1+EXP(MIN(700,MAX(-700,(Examples!$F$14*$A437-Examples!$F$15)/Examples!$F$16))))))+Examples!$F$17*$A437^2)</f>
        <v>-320195.51141124568</v>
      </c>
      <c r="I437" s="33">
        <f>(Examples!$F$6*Examples!$F$7*Examples!$F$8*EXP(-Examples!$F$9*$A437)*(1-(Examples!$F$12*(1-EXP(-Examples!$F$13*$A437))/(1+EXP(MIN(700,MAX(-700,(Examples!$F$14*$A437-Examples!$F$15)/Examples!$F$16))))))+Examples!$F$17*$A437^2)</f>
        <v>383195.51141124568</v>
      </c>
      <c r="J437" s="33">
        <f>Examples!$G$18-(Examples!$G$10+Examples!$G$11)*$A437-(Examples!$G$6*Examples!$G$7*Examples!$G$8*EXP(-Examples!$G$9*$A437)*(1-(Examples!$G$12*(1-EXP(-Examples!$G$13*$A437))/(1+EXP(MIN(700,MAX(-700,(Examples!$G$14*$A437-Examples!$G$15)/Examples!$G$16))))))+Examples!$G$17*$A437^2)</f>
        <v>718992.91627332114</v>
      </c>
      <c r="K437" s="33">
        <f>(Examples!$G$6*Examples!$G$7*Examples!$G$8*EXP(-Examples!$G$9*$A437)*(1-(Examples!$G$12*(1-EXP(-Examples!$G$13*$A437))/(1+EXP(MIN(700,MAX(-700,(Examples!$G$14*$A437-Examples!$G$15)/Examples!$G$16))))))+Examples!$G$17*$A437^2)</f>
        <v>563507.08372667886</v>
      </c>
      <c r="L437" s="33">
        <f>Examples!$H$18-(Examples!$H$10+Examples!$H$11)*$A437-(Examples!$H$6*Examples!$H$7*Examples!$H$8*EXP(-Examples!$H$9*$A437)*(1-(Examples!$H$12*(1-EXP(-Examples!$H$13*$A437))/(1+EXP(MIN(700,MAX(-700,(Examples!$H$14*$A437-Examples!$H$15)/Examples!$H$16))))))+Examples!$H$17*$A437^2)</f>
        <v>695617.01880337752</v>
      </c>
      <c r="M437" s="33">
        <f>(Examples!$H$6*Examples!$H$7*Examples!$H$8*EXP(-Examples!$H$9*$A437)*(1-(Examples!$H$12*(1-EXP(-Examples!$H$13*$A437))/(1+EXP(MIN(700,MAX(-700,(Examples!$H$14*$A437-Examples!$H$15)/Examples!$H$16))))))+Examples!$H$17*$A437^2)</f>
        <v>586882.98119662248</v>
      </c>
    </row>
    <row r="438" spans="1:13" x14ac:dyDescent="0.25">
      <c r="A438">
        <f>(438-2)/100</f>
        <v>4.3600000000000003</v>
      </c>
      <c r="B438" s="33">
        <f>Examples!$C$18-(Examples!$C$10+Examples!$C$11)*$A438-(Examples!$C$6*Examples!$C$7*Examples!$C$8*EXP(-Examples!$C$9*$A438)*(1-(Examples!$C$12*(1-EXP(-Examples!$C$13*$A438))/(1+EXP(MIN(700,MAX(-700,(Examples!$C$14*$A438-Examples!$C$15)/Examples!$C$16))))))+Examples!$C$17*$A438^2)</f>
        <v>49.991147461114451</v>
      </c>
      <c r="C438" s="33">
        <f>(Examples!$C$6*Examples!$C$7*Examples!$C$8*EXP(-Examples!$C$9*$A438)*(1-(Examples!$C$12*(1-EXP(-Examples!$C$13*$A438))/(1+EXP(MIN(700,MAX(-700,(Examples!$C$14*$A438-Examples!$C$15)/Examples!$C$16))))))+Examples!$C$17*$A438^2)</f>
        <v>447350.00885253889</v>
      </c>
      <c r="D438" s="33">
        <f>Examples!$D$18-(Examples!$D$10+Examples!$D$11)*$A438-(Examples!$D$6*Examples!$D$7*Examples!$D$8*EXP(-Examples!$D$9*$A438)*(1-(Examples!$D$12*(1-EXP(-Examples!$D$13*$A438))/(1+EXP(MIN(700,MAX(-700,(Examples!$D$14*$A438-Examples!$D$15)/Examples!$D$16))))))+Examples!$D$17*$A438^2)</f>
        <v>1545407.6083416401</v>
      </c>
      <c r="E438" s="33">
        <f>(Examples!$D$6*Examples!$D$7*Examples!$D$8*EXP(-Examples!$D$9*$A438)*(1-(Examples!$D$12*(1-EXP(-Examples!$D$13*$A438))/(1+EXP(MIN(700,MAX(-700,(Examples!$D$14*$A438-Examples!$D$15)/Examples!$D$16))))))+Examples!$D$17*$A438^2)</f>
        <v>758392.39165835991</v>
      </c>
      <c r="F438" s="33">
        <f>Examples!$E$18-(Examples!$E$10+Examples!$E$11)*$A438-(Examples!$E$6*Examples!$E$7*Examples!$E$8*EXP(-Examples!$E$9*$A438)*(1-(Examples!$E$12*(1-EXP(-Examples!$E$13*$A438))/(1+EXP(MIN(700,MAX(-700,(Examples!$E$14*$A438-Examples!$E$15)/Examples!$E$16))))))+Examples!$E$17*$A438^2)</f>
        <v>2421707.4142704532</v>
      </c>
      <c r="G438" s="33">
        <f>(Examples!$E$6*Examples!$E$7*Examples!$E$8*EXP(-Examples!$E$9*$A438)*(1-(Examples!$E$12*(1-EXP(-Examples!$E$13*$A438))/(1+EXP(MIN(700,MAX(-700,(Examples!$E$14*$A438-Examples!$E$15)/Examples!$E$16))))))+Examples!$E$17*$A438^2)</f>
        <v>207692.5857295467</v>
      </c>
      <c r="H438" s="33">
        <f>Examples!$F$18-(Examples!$F$10+Examples!$F$11)*$A438-(Examples!$F$6*Examples!$F$7*Examples!$F$8*EXP(-Examples!$F$9*$A438)*(1-(Examples!$F$12*(1-EXP(-Examples!$F$13*$A438))/(1+EXP(MIN(700,MAX(-700,(Examples!$F$14*$A438-Examples!$F$15)/Examples!$F$16))))))+Examples!$F$17*$A438^2)</f>
        <v>-322123.29651285353</v>
      </c>
      <c r="I438" s="33">
        <f>(Examples!$F$6*Examples!$F$7*Examples!$F$8*EXP(-Examples!$F$9*$A438)*(1-(Examples!$F$12*(1-EXP(-Examples!$F$13*$A438))/(1+EXP(MIN(700,MAX(-700,(Examples!$F$14*$A438-Examples!$F$15)/Examples!$F$16))))))+Examples!$F$17*$A438^2)</f>
        <v>384923.29651285353</v>
      </c>
      <c r="J438" s="33">
        <f>Examples!$G$18-(Examples!$G$10+Examples!$G$11)*$A438-(Examples!$G$6*Examples!$G$7*Examples!$G$8*EXP(-Examples!$G$9*$A438)*(1-(Examples!$G$12*(1-EXP(-Examples!$G$13*$A438))/(1+EXP(MIN(700,MAX(-700,(Examples!$G$14*$A438-Examples!$G$15)/Examples!$G$16))))))+Examples!$G$17*$A438^2)</f>
        <v>718956.49105234141</v>
      </c>
      <c r="K438" s="33">
        <f>(Examples!$G$6*Examples!$G$7*Examples!$G$8*EXP(-Examples!$G$9*$A438)*(1-(Examples!$G$12*(1-EXP(-Examples!$G$13*$A438))/(1+EXP(MIN(700,MAX(-700,(Examples!$G$14*$A438-Examples!$G$15)/Examples!$G$16))))))+Examples!$G$17*$A438^2)</f>
        <v>563043.50894765859</v>
      </c>
      <c r="L438" s="33">
        <f>Examples!$H$18-(Examples!$H$10+Examples!$H$11)*$A438-(Examples!$H$6*Examples!$H$7*Examples!$H$8*EXP(-Examples!$H$9*$A438)*(1-(Examples!$H$12*(1-EXP(-Examples!$H$13*$A438))/(1+EXP(MIN(700,MAX(-700,(Examples!$H$14*$A438-Examples!$H$15)/Examples!$H$16))))))+Examples!$H$17*$A438^2)</f>
        <v>695916.38934884721</v>
      </c>
      <c r="M438" s="33">
        <f>(Examples!$H$6*Examples!$H$7*Examples!$H$8*EXP(-Examples!$H$9*$A438)*(1-(Examples!$H$12*(1-EXP(-Examples!$H$13*$A438))/(1+EXP(MIN(700,MAX(-700,(Examples!$H$14*$A438-Examples!$H$15)/Examples!$H$16))))))+Examples!$H$17*$A438^2)</f>
        <v>586083.61065115279</v>
      </c>
    </row>
    <row r="439" spans="1:13" x14ac:dyDescent="0.25">
      <c r="A439">
        <f>(439-2)/100</f>
        <v>4.37</v>
      </c>
      <c r="B439" s="33">
        <f>Examples!$C$18-(Examples!$C$10+Examples!$C$11)*$A439-(Examples!$C$6*Examples!$C$7*Examples!$C$8*EXP(-Examples!$C$9*$A439)*(1-(Examples!$C$12*(1-EXP(-Examples!$C$13*$A439))/(1+EXP(MIN(700,MAX(-700,(Examples!$C$14*$A439-Examples!$C$15)/Examples!$C$16))))))+Examples!$C$17*$A439^2)</f>
        <v>-1123.9429247726221</v>
      </c>
      <c r="C439" s="33">
        <f>(Examples!$C$6*Examples!$C$7*Examples!$C$8*EXP(-Examples!$C$9*$A439)*(1-(Examples!$C$12*(1-EXP(-Examples!$C$13*$A439))/(1+EXP(MIN(700,MAX(-700,(Examples!$C$14*$A439-Examples!$C$15)/Examples!$C$16))))))+Examples!$C$17*$A439^2)</f>
        <v>448173.94292477262</v>
      </c>
      <c r="D439" s="33">
        <f>Examples!$D$18-(Examples!$D$10+Examples!$D$11)*$A439-(Examples!$D$6*Examples!$D$7*Examples!$D$8*EXP(-Examples!$D$9*$A439)*(1-(Examples!$D$12*(1-EXP(-Examples!$D$13*$A439))/(1+EXP(MIN(700,MAX(-700,(Examples!$D$14*$A439-Examples!$D$15)/Examples!$D$16))))))+Examples!$D$17*$A439^2)</f>
        <v>1545931.149265423</v>
      </c>
      <c r="E439" s="33">
        <f>(Examples!$D$6*Examples!$D$7*Examples!$D$8*EXP(-Examples!$D$9*$A439)*(1-(Examples!$D$12*(1-EXP(-Examples!$D$13*$A439))/(1+EXP(MIN(700,MAX(-700,(Examples!$D$14*$A439-Examples!$D$15)/Examples!$D$16))))))+Examples!$D$17*$A439^2)</f>
        <v>757418.85073457693</v>
      </c>
      <c r="F439" s="33">
        <f>Examples!$E$18-(Examples!$E$10+Examples!$E$11)*$A439-(Examples!$E$6*Examples!$E$7*Examples!$E$8*EXP(-Examples!$E$9*$A439)*(1-(Examples!$E$12*(1-EXP(-Examples!$E$13*$A439))/(1+EXP(MIN(700,MAX(-700,(Examples!$E$14*$A439-Examples!$E$15)/Examples!$E$16))))))+Examples!$E$17*$A439^2)</f>
        <v>2420938.554120291</v>
      </c>
      <c r="G439" s="33">
        <f>(Examples!$E$6*Examples!$E$7*Examples!$E$8*EXP(-Examples!$E$9*$A439)*(1-(Examples!$E$12*(1-EXP(-Examples!$E$13*$A439))/(1+EXP(MIN(700,MAX(-700,(Examples!$E$14*$A439-Examples!$E$15)/Examples!$E$16))))))+Examples!$E$17*$A439^2)</f>
        <v>207611.44587970898</v>
      </c>
      <c r="H439" s="33">
        <f>Examples!$F$18-(Examples!$F$10+Examples!$F$11)*$A439-(Examples!$F$6*Examples!$F$7*Examples!$F$8*EXP(-Examples!$F$9*$A439)*(1-(Examples!$F$12*(1-EXP(-Examples!$F$13*$A439))/(1+EXP(MIN(700,MAX(-700,(Examples!$F$14*$A439-Examples!$F$15)/Examples!$F$16))))))+Examples!$F$17*$A439^2)</f>
        <v>-324055.12418288301</v>
      </c>
      <c r="I439" s="33">
        <f>(Examples!$F$6*Examples!$F$7*Examples!$F$8*EXP(-Examples!$F$9*$A439)*(1-(Examples!$F$12*(1-EXP(-Examples!$F$13*$A439))/(1+EXP(MIN(700,MAX(-700,(Examples!$F$14*$A439-Examples!$F$15)/Examples!$F$16))))))+Examples!$F$17*$A439^2)</f>
        <v>386655.12418288301</v>
      </c>
      <c r="J439" s="33">
        <f>Examples!$G$18-(Examples!$G$10+Examples!$G$11)*$A439-(Examples!$G$6*Examples!$G$7*Examples!$G$8*EXP(-Examples!$G$9*$A439)*(1-(Examples!$G$12*(1-EXP(-Examples!$G$13*$A439))/(1+EXP(MIN(700,MAX(-700,(Examples!$G$14*$A439-Examples!$G$15)/Examples!$G$16))))))+Examples!$G$17*$A439^2)</f>
        <v>718918.23496075044</v>
      </c>
      <c r="K439" s="33">
        <f>(Examples!$G$6*Examples!$G$7*Examples!$G$8*EXP(-Examples!$G$9*$A439)*(1-(Examples!$G$12*(1-EXP(-Examples!$G$13*$A439))/(1+EXP(MIN(700,MAX(-700,(Examples!$G$14*$A439-Examples!$G$15)/Examples!$G$16))))))+Examples!$G$17*$A439^2)</f>
        <v>562581.76503924956</v>
      </c>
      <c r="L439" s="33">
        <f>Examples!$H$18-(Examples!$H$10+Examples!$H$11)*$A439-(Examples!$H$6*Examples!$H$7*Examples!$H$8*EXP(-Examples!$H$9*$A439)*(1-(Examples!$H$12*(1-EXP(-Examples!$H$13*$A439))/(1+EXP(MIN(700,MAX(-700,(Examples!$H$14*$A439-Examples!$H$15)/Examples!$H$16))))))+Examples!$H$17*$A439^2)</f>
        <v>696209.79664233234</v>
      </c>
      <c r="M439" s="33">
        <f>(Examples!$H$6*Examples!$H$7*Examples!$H$8*EXP(-Examples!$H$9*$A439)*(1-(Examples!$H$12*(1-EXP(-Examples!$H$13*$A439))/(1+EXP(MIN(700,MAX(-700,(Examples!$H$14*$A439-Examples!$H$15)/Examples!$H$16))))))+Examples!$H$17*$A439^2)</f>
        <v>585290.20335766766</v>
      </c>
    </row>
    <row r="440" spans="1:13" x14ac:dyDescent="0.25">
      <c r="A440">
        <f>(440-2)/100</f>
        <v>4.38</v>
      </c>
      <c r="B440" s="33">
        <f>Examples!$C$18-(Examples!$C$10+Examples!$C$11)*$A440-(Examples!$C$6*Examples!$C$7*Examples!$C$8*EXP(-Examples!$C$9*$A440)*(1-(Examples!$C$12*(1-EXP(-Examples!$C$13*$A440))/(1+EXP(MIN(700,MAX(-700,(Examples!$C$14*$A440-Examples!$C$15)/Examples!$C$16))))))+Examples!$C$17*$A440^2)</f>
        <v>-2302.3202948928811</v>
      </c>
      <c r="C440" s="33">
        <f>(Examples!$C$6*Examples!$C$7*Examples!$C$8*EXP(-Examples!$C$9*$A440)*(1-(Examples!$C$12*(1-EXP(-Examples!$C$13*$A440))/(1+EXP(MIN(700,MAX(-700,(Examples!$C$14*$A440-Examples!$C$15)/Examples!$C$16))))))+Examples!$C$17*$A440^2)</f>
        <v>449002.32029489288</v>
      </c>
      <c r="D440" s="33">
        <f>Examples!$D$18-(Examples!$D$10+Examples!$D$11)*$A440-(Examples!$D$6*Examples!$D$7*Examples!$D$8*EXP(-Examples!$D$9*$A440)*(1-(Examples!$D$12*(1-EXP(-Examples!$D$13*$A440))/(1+EXP(MIN(700,MAX(-700,(Examples!$D$14*$A440-Examples!$D$15)/Examples!$D$16))))))+Examples!$D$17*$A440^2)</f>
        <v>1546460.9210879859</v>
      </c>
      <c r="E440" s="33">
        <f>(Examples!$D$6*Examples!$D$7*Examples!$D$8*EXP(-Examples!$D$9*$A440)*(1-(Examples!$D$12*(1-EXP(-Examples!$D$13*$A440))/(1+EXP(MIN(700,MAX(-700,(Examples!$D$14*$A440-Examples!$D$15)/Examples!$D$16))))))+Examples!$D$17*$A440^2)</f>
        <v>756439.07891201414</v>
      </c>
      <c r="F440" s="33">
        <f>Examples!$E$18-(Examples!$E$10+Examples!$E$11)*$A440-(Examples!$E$6*Examples!$E$7*Examples!$E$8*EXP(-Examples!$E$9*$A440)*(1-(Examples!$E$12*(1-EXP(-Examples!$E$13*$A440))/(1+EXP(MIN(700,MAX(-700,(Examples!$E$14*$A440-Examples!$E$15)/Examples!$E$16))))))+Examples!$E$17*$A440^2)</f>
        <v>2420167.8269754197</v>
      </c>
      <c r="G440" s="33">
        <f>(Examples!$E$6*Examples!$E$7*Examples!$E$8*EXP(-Examples!$E$9*$A440)*(1-(Examples!$E$12*(1-EXP(-Examples!$E$13*$A440))/(1+EXP(MIN(700,MAX(-700,(Examples!$E$14*$A440-Examples!$E$15)/Examples!$E$16))))))+Examples!$E$17*$A440^2)</f>
        <v>207532.17302458023</v>
      </c>
      <c r="H440" s="33">
        <f>Examples!$F$18-(Examples!$F$10+Examples!$F$11)*$A440-(Examples!$F$6*Examples!$F$7*Examples!$F$8*EXP(-Examples!$F$9*$A440)*(1-(Examples!$F$12*(1-EXP(-Examples!$F$13*$A440))/(1+EXP(MIN(700,MAX(-700,(Examples!$F$14*$A440-Examples!$F$15)/Examples!$F$16))))))+Examples!$F$17*$A440^2)</f>
        <v>-325990.99429432489</v>
      </c>
      <c r="I440" s="33">
        <f>(Examples!$F$6*Examples!$F$7*Examples!$F$8*EXP(-Examples!$F$9*$A440)*(1-(Examples!$F$12*(1-EXP(-Examples!$F$13*$A440))/(1+EXP(MIN(700,MAX(-700,(Examples!$F$14*$A440-Examples!$F$15)/Examples!$F$16))))))+Examples!$F$17*$A440^2)</f>
        <v>388390.99429432489</v>
      </c>
      <c r="J440" s="33">
        <f>Examples!$G$18-(Examples!$G$10+Examples!$G$11)*$A440-(Examples!$G$6*Examples!$G$7*Examples!$G$8*EXP(-Examples!$G$9*$A440)*(1-(Examples!$G$12*(1-EXP(-Examples!$G$13*$A440))/(1+EXP(MIN(700,MAX(-700,(Examples!$G$14*$A440-Examples!$G$15)/Examples!$G$16))))))+Examples!$G$17*$A440^2)</f>
        <v>718878.10527539114</v>
      </c>
      <c r="K440" s="33">
        <f>(Examples!$G$6*Examples!$G$7*Examples!$G$8*EXP(-Examples!$G$9*$A440)*(1-(Examples!$G$12*(1-EXP(-Examples!$G$13*$A440))/(1+EXP(MIN(700,MAX(-700,(Examples!$G$14*$A440-Examples!$G$15)/Examples!$G$16))))))+Examples!$G$17*$A440^2)</f>
        <v>562121.89472460886</v>
      </c>
      <c r="L440" s="33">
        <f>Examples!$H$18-(Examples!$H$10+Examples!$H$11)*$A440-(Examples!$H$6*Examples!$H$7*Examples!$H$8*EXP(-Examples!$H$9*$A440)*(1-(Examples!$H$12*(1-EXP(-Examples!$H$13*$A440))/(1+EXP(MIN(700,MAX(-700,(Examples!$H$14*$A440-Examples!$H$15)/Examples!$H$16))))))+Examples!$H$17*$A440^2)</f>
        <v>696497.22678319737</v>
      </c>
      <c r="M440" s="33">
        <f>(Examples!$H$6*Examples!$H$7*Examples!$H$8*EXP(-Examples!$H$9*$A440)*(1-(Examples!$H$12*(1-EXP(-Examples!$H$13*$A440))/(1+EXP(MIN(700,MAX(-700,(Examples!$H$14*$A440-Examples!$H$15)/Examples!$H$16))))))+Examples!$H$17*$A440^2)</f>
        <v>584502.77321680263</v>
      </c>
    </row>
    <row r="441" spans="1:13" x14ac:dyDescent="0.25">
      <c r="A441">
        <f>(441-2)/100</f>
        <v>4.3899999999999997</v>
      </c>
      <c r="B441" s="33">
        <f>Examples!$C$18-(Examples!$C$10+Examples!$C$11)*$A441-(Examples!$C$6*Examples!$C$7*Examples!$C$8*EXP(-Examples!$C$9*$A441)*(1-(Examples!$C$12*(1-EXP(-Examples!$C$13*$A441))/(1+EXP(MIN(700,MAX(-700,(Examples!$C$14*$A441-Examples!$C$15)/Examples!$C$16))))))+Examples!$C$17*$A441^2)</f>
        <v>-3485.1370276286034</v>
      </c>
      <c r="C441" s="33">
        <f>(Examples!$C$6*Examples!$C$7*Examples!$C$8*EXP(-Examples!$C$9*$A441)*(1-(Examples!$C$12*(1-EXP(-Examples!$C$13*$A441))/(1+EXP(MIN(700,MAX(-700,(Examples!$C$14*$A441-Examples!$C$15)/Examples!$C$16))))))+Examples!$C$17*$A441^2)</f>
        <v>449835.1370276286</v>
      </c>
      <c r="D441" s="33">
        <f>Examples!$D$18-(Examples!$D$10+Examples!$D$11)*$A441-(Examples!$D$6*Examples!$D$7*Examples!$D$8*EXP(-Examples!$D$9*$A441)*(1-(Examples!$D$12*(1-EXP(-Examples!$D$13*$A441))/(1+EXP(MIN(700,MAX(-700,(Examples!$D$14*$A441-Examples!$D$15)/Examples!$D$16))))))+Examples!$D$17*$A441^2)</f>
        <v>1546996.9072921542</v>
      </c>
      <c r="E441" s="33">
        <f>(Examples!$D$6*Examples!$D$7*Examples!$D$8*EXP(-Examples!$D$9*$A441)*(1-(Examples!$D$12*(1-EXP(-Examples!$D$13*$A441))/(1+EXP(MIN(700,MAX(-700,(Examples!$D$14*$A441-Examples!$D$15)/Examples!$D$16))))))+Examples!$D$17*$A441^2)</f>
        <v>755453.09270784596</v>
      </c>
      <c r="F441" s="33">
        <f>Examples!$E$18-(Examples!$E$10+Examples!$E$11)*$A441-(Examples!$E$6*Examples!$E$7*Examples!$E$8*EXP(-Examples!$E$9*$A441)*(1-(Examples!$E$12*(1-EXP(-Examples!$E$13*$A441))/(1+EXP(MIN(700,MAX(-700,(Examples!$E$14*$A441-Examples!$E$15)/Examples!$E$16))))))+Examples!$E$17*$A441^2)</f>
        <v>2419395.2618352324</v>
      </c>
      <c r="G441" s="33">
        <f>(Examples!$E$6*Examples!$E$7*Examples!$E$8*EXP(-Examples!$E$9*$A441)*(1-(Examples!$E$12*(1-EXP(-Examples!$E$13*$A441))/(1+EXP(MIN(700,MAX(-700,(Examples!$E$14*$A441-Examples!$E$15)/Examples!$E$16))))))+Examples!$E$17*$A441^2)</f>
        <v>207454.73816476762</v>
      </c>
      <c r="H441" s="33">
        <f>Examples!$F$18-(Examples!$F$10+Examples!$F$11)*$A441-(Examples!$F$6*Examples!$F$7*Examples!$F$8*EXP(-Examples!$F$9*$A441)*(1-(Examples!$F$12*(1-EXP(-Examples!$F$13*$A441))/(1+EXP(MIN(700,MAX(-700,(Examples!$F$14*$A441-Examples!$F$15)/Examples!$F$16))))))+Examples!$F$17*$A441^2)</f>
        <v>-327930.90672052989</v>
      </c>
      <c r="I441" s="33">
        <f>(Examples!$F$6*Examples!$F$7*Examples!$F$8*EXP(-Examples!$F$9*$A441)*(1-(Examples!$F$12*(1-EXP(-Examples!$F$13*$A441))/(1+EXP(MIN(700,MAX(-700,(Examples!$F$14*$A441-Examples!$F$15)/Examples!$F$16))))))+Examples!$F$17*$A441^2)</f>
        <v>390130.90672052989</v>
      </c>
      <c r="J441" s="33">
        <f>Examples!$G$18-(Examples!$G$10+Examples!$G$11)*$A441-(Examples!$G$6*Examples!$G$7*Examples!$G$8*EXP(-Examples!$G$9*$A441)*(1-(Examples!$G$12*(1-EXP(-Examples!$G$13*$A441))/(1+EXP(MIN(700,MAX(-700,(Examples!$G$14*$A441-Examples!$G$15)/Examples!$G$16))))))+Examples!$G$17*$A441^2)</f>
        <v>718836.05968295608</v>
      </c>
      <c r="K441" s="33">
        <f>(Examples!$G$6*Examples!$G$7*Examples!$G$8*EXP(-Examples!$G$9*$A441)*(1-(Examples!$G$12*(1-EXP(-Examples!$G$13*$A441))/(1+EXP(MIN(700,MAX(-700,(Examples!$G$14*$A441-Examples!$G$15)/Examples!$G$16))))))+Examples!$G$17*$A441^2)</f>
        <v>561663.94031704392</v>
      </c>
      <c r="L441" s="33">
        <f>Examples!$H$18-(Examples!$H$10+Examples!$H$11)*$A441-(Examples!$H$6*Examples!$H$7*Examples!$H$8*EXP(-Examples!$H$9*$A441)*(1-(Examples!$H$12*(1-EXP(-Examples!$H$13*$A441))/(1+EXP(MIN(700,MAX(-700,(Examples!$H$14*$A441-Examples!$H$15)/Examples!$H$16))))))+Examples!$H$17*$A441^2)</f>
        <v>696778.6668900582</v>
      </c>
      <c r="M441" s="33">
        <f>(Examples!$H$6*Examples!$H$7*Examples!$H$8*EXP(-Examples!$H$9*$A441)*(1-(Examples!$H$12*(1-EXP(-Examples!$H$13*$A441))/(1+EXP(MIN(700,MAX(-700,(Examples!$H$14*$A441-Examples!$H$15)/Examples!$H$16))))))+Examples!$H$17*$A441^2)</f>
        <v>583721.3331099418</v>
      </c>
    </row>
    <row r="442" spans="1:13" x14ac:dyDescent="0.25">
      <c r="A442">
        <f>(442-2)/100</f>
        <v>4.4000000000000004</v>
      </c>
      <c r="B442" s="33">
        <f>Examples!$C$18-(Examples!$C$10+Examples!$C$11)*$A442-(Examples!$C$6*Examples!$C$7*Examples!$C$8*EXP(-Examples!$C$9*$A442)*(1-(Examples!$C$12*(1-EXP(-Examples!$C$13*$A442))/(1+EXP(MIN(700,MAX(-700,(Examples!$C$14*$A442-Examples!$C$15)/Examples!$C$16))))))+Examples!$C$17*$A442^2)</f>
        <v>-4672.3891861310694</v>
      </c>
      <c r="C442" s="33">
        <f>(Examples!$C$6*Examples!$C$7*Examples!$C$8*EXP(-Examples!$C$9*$A442)*(1-(Examples!$C$12*(1-EXP(-Examples!$C$13*$A442))/(1+EXP(MIN(700,MAX(-700,(Examples!$C$14*$A442-Examples!$C$15)/Examples!$C$16))))))+Examples!$C$17*$A442^2)</f>
        <v>450672.38918613107</v>
      </c>
      <c r="D442" s="33">
        <f>Examples!$D$18-(Examples!$D$10+Examples!$D$11)*$A442-(Examples!$D$6*Examples!$D$7*Examples!$D$8*EXP(-Examples!$D$9*$A442)*(1-(Examples!$D$12*(1-EXP(-Examples!$D$13*$A442))/(1+EXP(MIN(700,MAX(-700,(Examples!$D$14*$A442-Examples!$D$15)/Examples!$D$16))))))+Examples!$D$17*$A442^2)</f>
        <v>1547539.0880872086</v>
      </c>
      <c r="E442" s="33">
        <f>(Examples!$D$6*Examples!$D$7*Examples!$D$8*EXP(-Examples!$D$9*$A442)*(1-(Examples!$D$12*(1-EXP(-Examples!$D$13*$A442))/(1+EXP(MIN(700,MAX(-700,(Examples!$D$14*$A442-Examples!$D$15)/Examples!$D$16))))))+Examples!$D$17*$A442^2)</f>
        <v>754460.91191279143</v>
      </c>
      <c r="F442" s="33">
        <f>Examples!$E$18-(Examples!$E$10+Examples!$E$11)*$A442-(Examples!$E$6*Examples!$E$7*Examples!$E$8*EXP(-Examples!$E$9*$A442)*(1-(Examples!$E$12*(1-EXP(-Examples!$E$13*$A442))/(1+EXP(MIN(700,MAX(-700,(Examples!$E$14*$A442-Examples!$E$15)/Examples!$E$16))))))+Examples!$E$17*$A442^2)</f>
        <v>2418620.8873170577</v>
      </c>
      <c r="G442" s="33">
        <f>(Examples!$E$6*Examples!$E$7*Examples!$E$8*EXP(-Examples!$E$9*$A442)*(1-(Examples!$E$12*(1-EXP(-Examples!$E$13*$A442))/(1+EXP(MIN(700,MAX(-700,(Examples!$E$14*$A442-Examples!$E$15)/Examples!$E$16))))))+Examples!$E$17*$A442^2)</f>
        <v>207379.11268294213</v>
      </c>
      <c r="H442" s="33">
        <f>Examples!$F$18-(Examples!$F$10+Examples!$F$11)*$A442-(Examples!$F$6*Examples!$F$7*Examples!$F$8*EXP(-Examples!$F$9*$A442)*(1-(Examples!$F$12*(1-EXP(-Examples!$F$13*$A442))/(1+EXP(MIN(700,MAX(-700,(Examples!$F$14*$A442-Examples!$F$15)/Examples!$F$16))))))+Examples!$F$17*$A442^2)</f>
        <v>-329874.86133520846</v>
      </c>
      <c r="I442" s="33">
        <f>(Examples!$F$6*Examples!$F$7*Examples!$F$8*EXP(-Examples!$F$9*$A442)*(1-(Examples!$F$12*(1-EXP(-Examples!$F$13*$A442))/(1+EXP(MIN(700,MAX(-700,(Examples!$F$14*$A442-Examples!$F$15)/Examples!$F$16))))))+Examples!$F$17*$A442^2)</f>
        <v>391874.86133520846</v>
      </c>
      <c r="J442" s="33">
        <f>Examples!$G$18-(Examples!$G$10+Examples!$G$11)*$A442-(Examples!$G$6*Examples!$G$7*Examples!$G$8*EXP(-Examples!$G$9*$A442)*(1-(Examples!$G$12*(1-EXP(-Examples!$G$13*$A442))/(1+EXP(MIN(700,MAX(-700,(Examples!$G$14*$A442-Examples!$G$15)/Examples!$G$16))))))+Examples!$G$17*$A442^2)</f>
        <v>718792.05628395348</v>
      </c>
      <c r="K442" s="33">
        <f>(Examples!$G$6*Examples!$G$7*Examples!$G$8*EXP(-Examples!$G$9*$A442)*(1-(Examples!$G$12*(1-EXP(-Examples!$G$13*$A442))/(1+EXP(MIN(700,MAX(-700,(Examples!$G$14*$A442-Examples!$G$15)/Examples!$G$16))))))+Examples!$G$17*$A442^2)</f>
        <v>561207.94371604652</v>
      </c>
      <c r="L442" s="33">
        <f>Examples!$H$18-(Examples!$H$10+Examples!$H$11)*$A442-(Examples!$H$6*Examples!$H$7*Examples!$H$8*EXP(-Examples!$H$9*$A442)*(1-(Examples!$H$12*(1-EXP(-Examples!$H$13*$A442))/(1+EXP(MIN(700,MAX(-700,(Examples!$H$14*$A442-Examples!$H$15)/Examples!$H$16))))))+Examples!$H$17*$A442^2)</f>
        <v>697054.10506558616</v>
      </c>
      <c r="M442" s="33">
        <f>(Examples!$H$6*Examples!$H$7*Examples!$H$8*EXP(-Examples!$H$9*$A442)*(1-(Examples!$H$12*(1-EXP(-Examples!$H$13*$A442))/(1+EXP(MIN(700,MAX(-700,(Examples!$H$14*$A442-Examples!$H$15)/Examples!$H$16))))))+Examples!$H$17*$A442^2)</f>
        <v>582945.89493441384</v>
      </c>
    </row>
    <row r="443" spans="1:13" x14ac:dyDescent="0.25">
      <c r="A443">
        <f>(443-2)/100</f>
        <v>4.41</v>
      </c>
      <c r="B443" s="33">
        <f>Examples!$C$18-(Examples!$C$10+Examples!$C$11)*$A443-(Examples!$C$6*Examples!$C$7*Examples!$C$8*EXP(-Examples!$C$9*$A443)*(1-(Examples!$C$12*(1-EXP(-Examples!$C$13*$A443))/(1+EXP(MIN(700,MAX(-700,(Examples!$C$14*$A443-Examples!$C$15)/Examples!$C$16))))))+Examples!$C$17*$A443^2)</f>
        <v>-5864.0728324354859</v>
      </c>
      <c r="C443" s="33">
        <f>(Examples!$C$6*Examples!$C$7*Examples!$C$8*EXP(-Examples!$C$9*$A443)*(1-(Examples!$C$12*(1-EXP(-Examples!$C$13*$A443))/(1+EXP(MIN(700,MAX(-700,(Examples!$C$14*$A443-Examples!$C$15)/Examples!$C$16))))))+Examples!$C$17*$A443^2)</f>
        <v>451514.07283243549</v>
      </c>
      <c r="D443" s="33">
        <f>Examples!$D$18-(Examples!$D$10+Examples!$D$11)*$A443-(Examples!$D$6*Examples!$D$7*Examples!$D$8*EXP(-Examples!$D$9*$A443)*(1-(Examples!$D$12*(1-EXP(-Examples!$D$13*$A443))/(1+EXP(MIN(700,MAX(-700,(Examples!$D$14*$A443-Examples!$D$15)/Examples!$D$16))))))+Examples!$D$17*$A443^2)</f>
        <v>1548087.4404727314</v>
      </c>
      <c r="E443" s="33">
        <f>(Examples!$D$6*Examples!$D$7*Examples!$D$8*EXP(-Examples!$D$9*$A443)*(1-(Examples!$D$12*(1-EXP(-Examples!$D$13*$A443))/(1+EXP(MIN(700,MAX(-700,(Examples!$D$14*$A443-Examples!$D$15)/Examples!$D$16))))))+Examples!$D$17*$A443^2)</f>
        <v>753462.55952726875</v>
      </c>
      <c r="F443" s="33">
        <f>Examples!$E$18-(Examples!$E$10+Examples!$E$11)*$A443-(Examples!$E$6*Examples!$E$7*Examples!$E$8*EXP(-Examples!$E$9*$A443)*(1-(Examples!$E$12*(1-EXP(-Examples!$E$13*$A443))/(1+EXP(MIN(700,MAX(-700,(Examples!$E$14*$A443-Examples!$E$15)/Examples!$E$16))))))+Examples!$E$17*$A443^2)</f>
        <v>2417844.7316584848</v>
      </c>
      <c r="G443" s="33">
        <f>(Examples!$E$6*Examples!$E$7*Examples!$E$8*EXP(-Examples!$E$9*$A443)*(1-(Examples!$E$12*(1-EXP(-Examples!$E$13*$A443))/(1+EXP(MIN(700,MAX(-700,(Examples!$E$14*$A443-Examples!$E$15)/Examples!$E$16))))))+Examples!$E$17*$A443^2)</f>
        <v>207305.26834151516</v>
      </c>
      <c r="H443" s="33">
        <f>Examples!$F$18-(Examples!$F$10+Examples!$F$11)*$A443-(Examples!$F$6*Examples!$F$7*Examples!$F$8*EXP(-Examples!$F$9*$A443)*(1-(Examples!$F$12*(1-EXP(-Examples!$F$13*$A443))/(1+EXP(MIN(700,MAX(-700,(Examples!$F$14*$A443-Examples!$F$15)/Examples!$F$16))))))+Examples!$F$17*$A443^2)</f>
        <v>-331822.8580124302</v>
      </c>
      <c r="I443" s="33">
        <f>(Examples!$F$6*Examples!$F$7*Examples!$F$8*EXP(-Examples!$F$9*$A443)*(1-(Examples!$F$12*(1-EXP(-Examples!$F$13*$A443))/(1+EXP(MIN(700,MAX(-700,(Examples!$F$14*$A443-Examples!$F$15)/Examples!$F$16))))))+Examples!$F$17*$A443^2)</f>
        <v>393622.8580124302</v>
      </c>
      <c r="J443" s="33">
        <f>Examples!$G$18-(Examples!$G$10+Examples!$G$11)*$A443-(Examples!$G$6*Examples!$G$7*Examples!$G$8*EXP(-Examples!$G$9*$A443)*(1-(Examples!$G$12*(1-EXP(-Examples!$G$13*$A443))/(1+EXP(MIN(700,MAX(-700,(Examples!$G$14*$A443-Examples!$G$15)/Examples!$G$16))))))+Examples!$G$17*$A443^2)</f>
        <v>718746.05359640345</v>
      </c>
      <c r="K443" s="33">
        <f>(Examples!$G$6*Examples!$G$7*Examples!$G$8*EXP(-Examples!$G$9*$A443)*(1-(Examples!$G$12*(1-EXP(-Examples!$G$13*$A443))/(1+EXP(MIN(700,MAX(-700,(Examples!$G$14*$A443-Examples!$G$15)/Examples!$G$16))))))+Examples!$G$17*$A443^2)</f>
        <v>560753.94640359655</v>
      </c>
      <c r="L443" s="33">
        <f>Examples!$H$18-(Examples!$H$10+Examples!$H$11)*$A443-(Examples!$H$6*Examples!$H$7*Examples!$H$8*EXP(-Examples!$H$9*$A443)*(1-(Examples!$H$12*(1-EXP(-Examples!$H$13*$A443))/(1+EXP(MIN(700,MAX(-700,(Examples!$H$14*$A443-Examples!$H$15)/Examples!$H$16))))))+Examples!$H$17*$A443^2)</f>
        <v>697323.53036242502</v>
      </c>
      <c r="M443" s="33">
        <f>(Examples!$H$6*Examples!$H$7*Examples!$H$8*EXP(-Examples!$H$9*$A443)*(1-(Examples!$H$12*(1-EXP(-Examples!$H$13*$A443))/(1+EXP(MIN(700,MAX(-700,(Examples!$H$14*$A443-Examples!$H$15)/Examples!$H$16))))))+Examples!$H$17*$A443^2)</f>
        <v>582176.46963757498</v>
      </c>
    </row>
    <row r="444" spans="1:13" x14ac:dyDescent="0.25">
      <c r="A444">
        <f>(444-2)/100</f>
        <v>4.42</v>
      </c>
      <c r="B444" s="33">
        <f>Examples!$C$18-(Examples!$C$10+Examples!$C$11)*$A444-(Examples!$C$6*Examples!$C$7*Examples!$C$8*EXP(-Examples!$C$9*$A444)*(1-(Examples!$C$12*(1-EXP(-Examples!$C$13*$A444))/(1+EXP(MIN(700,MAX(-700,(Examples!$C$14*$A444-Examples!$C$15)/Examples!$C$16))))))+Examples!$C$17*$A444^2)</f>
        <v>-7060.1840279065073</v>
      </c>
      <c r="C444" s="33">
        <f>(Examples!$C$6*Examples!$C$7*Examples!$C$8*EXP(-Examples!$C$9*$A444)*(1-(Examples!$C$12*(1-EXP(-Examples!$C$13*$A444))/(1+EXP(MIN(700,MAX(-700,(Examples!$C$14*$A444-Examples!$C$15)/Examples!$C$16))))))+Examples!$C$17*$A444^2)</f>
        <v>452360.18402790651</v>
      </c>
      <c r="D444" s="33">
        <f>Examples!$D$18-(Examples!$D$10+Examples!$D$11)*$A444-(Examples!$D$6*Examples!$D$7*Examples!$D$8*EXP(-Examples!$D$9*$A444)*(1-(Examples!$D$12*(1-EXP(-Examples!$D$13*$A444))/(1+EXP(MIN(700,MAX(-700,(Examples!$D$14*$A444-Examples!$D$15)/Examples!$D$16))))))+Examples!$D$17*$A444^2)</f>
        <v>1548641.9383029458</v>
      </c>
      <c r="E444" s="33">
        <f>(Examples!$D$6*Examples!$D$7*Examples!$D$8*EXP(-Examples!$D$9*$A444)*(1-(Examples!$D$12*(1-EXP(-Examples!$D$13*$A444))/(1+EXP(MIN(700,MAX(-700,(Examples!$D$14*$A444-Examples!$D$15)/Examples!$D$16))))))+Examples!$D$17*$A444^2)</f>
        <v>752458.06169705419</v>
      </c>
      <c r="F444" s="33">
        <f>Examples!$E$18-(Examples!$E$10+Examples!$E$11)*$A444-(Examples!$E$6*Examples!$E$7*Examples!$E$8*EXP(-Examples!$E$9*$A444)*(1-(Examples!$E$12*(1-EXP(-Examples!$E$13*$A444))/(1+EXP(MIN(700,MAX(-700,(Examples!$E$14*$A444-Examples!$E$15)/Examples!$E$16))))))+Examples!$E$17*$A444^2)</f>
        <v>2417066.8227196648</v>
      </c>
      <c r="G444" s="33">
        <f>(Examples!$E$6*Examples!$E$7*Examples!$E$8*EXP(-Examples!$E$9*$A444)*(1-(Examples!$E$12*(1-EXP(-Examples!$E$13*$A444))/(1+EXP(MIN(700,MAX(-700,(Examples!$E$14*$A444-Examples!$E$15)/Examples!$E$16))))))+Examples!$E$17*$A444^2)</f>
        <v>207233.1772803354</v>
      </c>
      <c r="H444" s="33">
        <f>Examples!$F$18-(Examples!$F$10+Examples!$F$11)*$A444-(Examples!$F$6*Examples!$F$7*Examples!$F$8*EXP(-Examples!$F$9*$A444)*(1-(Examples!$F$12*(1-EXP(-Examples!$F$13*$A444))/(1+EXP(MIN(700,MAX(-700,(Examples!$F$14*$A444-Examples!$F$15)/Examples!$F$16))))))+Examples!$F$17*$A444^2)</f>
        <v>-333774.89662662405</v>
      </c>
      <c r="I444" s="33">
        <f>(Examples!$F$6*Examples!$F$7*Examples!$F$8*EXP(-Examples!$F$9*$A444)*(1-(Examples!$F$12*(1-EXP(-Examples!$F$13*$A444))/(1+EXP(MIN(700,MAX(-700,(Examples!$F$14*$A444-Examples!$F$15)/Examples!$F$16))))))+Examples!$F$17*$A444^2)</f>
        <v>395374.89662662405</v>
      </c>
      <c r="J444" s="33">
        <f>Examples!$G$18-(Examples!$G$10+Examples!$G$11)*$A444-(Examples!$G$6*Examples!$G$7*Examples!$G$8*EXP(-Examples!$G$9*$A444)*(1-(Examples!$G$12*(1-EXP(-Examples!$G$13*$A444))/(1+EXP(MIN(700,MAX(-700,(Examples!$G$14*$A444-Examples!$G$15)/Examples!$G$16))))))+Examples!$G$17*$A444^2)</f>
        <v>718698.01055927144</v>
      </c>
      <c r="K444" s="33">
        <f>(Examples!$G$6*Examples!$G$7*Examples!$G$8*EXP(-Examples!$G$9*$A444)*(1-(Examples!$G$12*(1-EXP(-Examples!$G$13*$A444))/(1+EXP(MIN(700,MAX(-700,(Examples!$G$14*$A444-Examples!$G$15)/Examples!$G$16))))))+Examples!$G$17*$A444^2)</f>
        <v>560301.98944072856</v>
      </c>
      <c r="L444" s="33">
        <f>Examples!$H$18-(Examples!$H$10+Examples!$H$11)*$A444-(Examples!$H$6*Examples!$H$7*Examples!$H$8*EXP(-Examples!$H$9*$A444)*(1-(Examples!$H$12*(1-EXP(-Examples!$H$13*$A444))/(1+EXP(MIN(700,MAX(-700,(Examples!$H$14*$A444-Examples!$H$15)/Examples!$H$16))))))+Examples!$H$17*$A444^2)</f>
        <v>697586.93275018921</v>
      </c>
      <c r="M444" s="33">
        <f>(Examples!$H$6*Examples!$H$7*Examples!$H$8*EXP(-Examples!$H$9*$A444)*(1-(Examples!$H$12*(1-EXP(-Examples!$H$13*$A444))/(1+EXP(MIN(700,MAX(-700,(Examples!$H$14*$A444-Examples!$H$15)/Examples!$H$16))))))+Examples!$H$17*$A444^2)</f>
        <v>581413.06724981079</v>
      </c>
    </row>
    <row r="445" spans="1:13" x14ac:dyDescent="0.25">
      <c r="A445">
        <f>(445-2)/100</f>
        <v>4.43</v>
      </c>
      <c r="B445" s="33">
        <f>Examples!$C$18-(Examples!$C$10+Examples!$C$11)*$A445-(Examples!$C$6*Examples!$C$7*Examples!$C$8*EXP(-Examples!$C$9*$A445)*(1-(Examples!$C$12*(1-EXP(-Examples!$C$13*$A445))/(1+EXP(MIN(700,MAX(-700,(Examples!$C$14*$A445-Examples!$C$15)/Examples!$C$16))))))+Examples!$C$17*$A445^2)</f>
        <v>-8260.7188336673426</v>
      </c>
      <c r="C445" s="33">
        <f>(Examples!$C$6*Examples!$C$7*Examples!$C$8*EXP(-Examples!$C$9*$A445)*(1-(Examples!$C$12*(1-EXP(-Examples!$C$13*$A445))/(1+EXP(MIN(700,MAX(-700,(Examples!$C$14*$A445-Examples!$C$15)/Examples!$C$16))))))+Examples!$C$17*$A445^2)</f>
        <v>453210.71883366734</v>
      </c>
      <c r="D445" s="33">
        <f>Examples!$D$18-(Examples!$D$10+Examples!$D$11)*$A445-(Examples!$D$6*Examples!$D$7*Examples!$D$8*EXP(-Examples!$D$9*$A445)*(1-(Examples!$D$12*(1-EXP(-Examples!$D$13*$A445))/(1+EXP(MIN(700,MAX(-700,(Examples!$D$14*$A445-Examples!$D$15)/Examples!$D$16))))))+Examples!$D$17*$A445^2)</f>
        <v>1549202.552351506</v>
      </c>
      <c r="E445" s="33">
        <f>(Examples!$D$6*Examples!$D$7*Examples!$D$8*EXP(-Examples!$D$9*$A445)*(1-(Examples!$D$12*(1-EXP(-Examples!$D$13*$A445))/(1+EXP(MIN(700,MAX(-700,(Examples!$D$14*$A445-Examples!$D$15)/Examples!$D$16))))))+Examples!$D$17*$A445^2)</f>
        <v>751447.44764849392</v>
      </c>
      <c r="F445" s="33">
        <f>Examples!$E$18-(Examples!$E$10+Examples!$E$11)*$A445-(Examples!$E$6*Examples!$E$7*Examples!$E$8*EXP(-Examples!$E$9*$A445)*(1-(Examples!$E$12*(1-EXP(-Examples!$E$13*$A445))/(1+EXP(MIN(700,MAX(-700,(Examples!$E$14*$A445-Examples!$E$15)/Examples!$E$16))))))+Examples!$E$17*$A445^2)</f>
        <v>2416287.1879855976</v>
      </c>
      <c r="G445" s="33">
        <f>(Examples!$E$6*Examples!$E$7*Examples!$E$8*EXP(-Examples!$E$9*$A445)*(1-(Examples!$E$12*(1-EXP(-Examples!$E$13*$A445))/(1+EXP(MIN(700,MAX(-700,(Examples!$E$14*$A445-Examples!$E$15)/Examples!$E$16))))))+Examples!$E$17*$A445^2)</f>
        <v>207162.81201440256</v>
      </c>
      <c r="H445" s="33">
        <f>Examples!$F$18-(Examples!$F$10+Examples!$F$11)*$A445-(Examples!$F$6*Examples!$F$7*Examples!$F$8*EXP(-Examples!$F$9*$A445)*(1-(Examples!$F$12*(1-EXP(-Examples!$F$13*$A445))/(1+EXP(MIN(700,MAX(-700,(Examples!$F$14*$A445-Examples!$F$15)/Examples!$F$16))))))+Examples!$F$17*$A445^2)</f>
        <v>-335730.97705257754</v>
      </c>
      <c r="I445" s="33">
        <f>(Examples!$F$6*Examples!$F$7*Examples!$F$8*EXP(-Examples!$F$9*$A445)*(1-(Examples!$F$12*(1-EXP(-Examples!$F$13*$A445))/(1+EXP(MIN(700,MAX(-700,(Examples!$F$14*$A445-Examples!$F$15)/Examples!$F$16))))))+Examples!$F$17*$A445^2)</f>
        <v>397130.97705257754</v>
      </c>
      <c r="J445" s="33">
        <f>Examples!$G$18-(Examples!$G$10+Examples!$G$11)*$A445-(Examples!$G$6*Examples!$G$7*Examples!$G$8*EXP(-Examples!$G$9*$A445)*(1-(Examples!$G$12*(1-EXP(-Examples!$G$13*$A445))/(1+EXP(MIN(700,MAX(-700,(Examples!$G$14*$A445-Examples!$G$15)/Examples!$G$16))))))+Examples!$G$17*$A445^2)</f>
        <v>718647.8865356443</v>
      </c>
      <c r="K445" s="33">
        <f>(Examples!$G$6*Examples!$G$7*Examples!$G$8*EXP(-Examples!$G$9*$A445)*(1-(Examples!$G$12*(1-EXP(-Examples!$G$13*$A445))/(1+EXP(MIN(700,MAX(-700,(Examples!$G$14*$A445-Examples!$G$15)/Examples!$G$16))))))+Examples!$G$17*$A445^2)</f>
        <v>559852.1134643557</v>
      </c>
      <c r="L445" s="33">
        <f>Examples!$H$18-(Examples!$H$10+Examples!$H$11)*$A445-(Examples!$H$6*Examples!$H$7*Examples!$H$8*EXP(-Examples!$H$9*$A445)*(1-(Examples!$H$12*(1-EXP(-Examples!$H$13*$A445))/(1+EXP(MIN(700,MAX(-700,(Examples!$H$14*$A445-Examples!$H$15)/Examples!$H$16))))))+Examples!$H$17*$A445^2)</f>
        <v>697844.30308350979</v>
      </c>
      <c r="M445" s="33">
        <f>(Examples!$H$6*Examples!$H$7*Examples!$H$8*EXP(-Examples!$H$9*$A445)*(1-(Examples!$H$12*(1-EXP(-Examples!$H$13*$A445))/(1+EXP(MIN(700,MAX(-700,(Examples!$H$14*$A445-Examples!$H$15)/Examples!$H$16))))))+Examples!$H$17*$A445^2)</f>
        <v>580655.69691649021</v>
      </c>
    </row>
    <row r="446" spans="1:13" x14ac:dyDescent="0.25">
      <c r="A446">
        <f>(446-2)/100</f>
        <v>4.4400000000000004</v>
      </c>
      <c r="B446" s="33">
        <f>Examples!$C$18-(Examples!$C$10+Examples!$C$11)*$A446-(Examples!$C$6*Examples!$C$7*Examples!$C$8*EXP(-Examples!$C$9*$A446)*(1-(Examples!$C$12*(1-EXP(-Examples!$C$13*$A446))/(1+EXP(MIN(700,MAX(-700,(Examples!$C$14*$A446-Examples!$C$15)/Examples!$C$16))))))+Examples!$C$17*$A446^2)</f>
        <v>-9465.6733110129717</v>
      </c>
      <c r="C446" s="33">
        <f>(Examples!$C$6*Examples!$C$7*Examples!$C$8*EXP(-Examples!$C$9*$A446)*(1-(Examples!$C$12*(1-EXP(-Examples!$C$13*$A446))/(1+EXP(MIN(700,MAX(-700,(Examples!$C$14*$A446-Examples!$C$15)/Examples!$C$16))))))+Examples!$C$17*$A446^2)</f>
        <v>454065.67331101297</v>
      </c>
      <c r="D446" s="33">
        <f>Examples!$D$18-(Examples!$D$10+Examples!$D$11)*$A446-(Examples!$D$6*Examples!$D$7*Examples!$D$8*EXP(-Examples!$D$9*$A446)*(1-(Examples!$D$12*(1-EXP(-Examples!$D$13*$A446))/(1+EXP(MIN(700,MAX(-700,(Examples!$D$14*$A446-Examples!$D$15)/Examples!$D$16))))))+Examples!$D$17*$A446^2)</f>
        <v>1549769.2503766818</v>
      </c>
      <c r="E446" s="33">
        <f>(Examples!$D$6*Examples!$D$7*Examples!$D$8*EXP(-Examples!$D$9*$A446)*(1-(Examples!$D$12*(1-EXP(-Examples!$D$13*$A446))/(1+EXP(MIN(700,MAX(-700,(Examples!$D$14*$A446-Examples!$D$15)/Examples!$D$16))))))+Examples!$D$17*$A446^2)</f>
        <v>750430.74962331832</v>
      </c>
      <c r="F446" s="33">
        <f>Examples!$E$18-(Examples!$E$10+Examples!$E$11)*$A446-(Examples!$E$6*Examples!$E$7*Examples!$E$8*EXP(-Examples!$E$9*$A446)*(1-(Examples!$E$12*(1-EXP(-Examples!$E$13*$A446))/(1+EXP(MIN(700,MAX(-700,(Examples!$E$14*$A446-Examples!$E$15)/Examples!$E$16))))))+Examples!$E$17*$A446^2)</f>
        <v>2415505.8545684</v>
      </c>
      <c r="G446" s="33">
        <f>(Examples!$E$6*Examples!$E$7*Examples!$E$8*EXP(-Examples!$E$9*$A446)*(1-(Examples!$E$12*(1-EXP(-Examples!$E$13*$A446))/(1+EXP(MIN(700,MAX(-700,(Examples!$E$14*$A446-Examples!$E$15)/Examples!$E$16))))))+Examples!$E$17*$A446^2)</f>
        <v>207094.14543159996</v>
      </c>
      <c r="H446" s="33">
        <f>Examples!$F$18-(Examples!$F$10+Examples!$F$11)*$A446-(Examples!$F$6*Examples!$F$7*Examples!$F$8*EXP(-Examples!$F$9*$A446)*(1-(Examples!$F$12*(1-EXP(-Examples!$F$13*$A446))/(1+EXP(MIN(700,MAX(-700,(Examples!$F$14*$A446-Examples!$F$15)/Examples!$F$16))))))+Examples!$F$17*$A446^2)</f>
        <v>-337691.09916543699</v>
      </c>
      <c r="I446" s="33">
        <f>(Examples!$F$6*Examples!$F$7*Examples!$F$8*EXP(-Examples!$F$9*$A446)*(1-(Examples!$F$12*(1-EXP(-Examples!$F$13*$A446))/(1+EXP(MIN(700,MAX(-700,(Examples!$F$14*$A446-Examples!$F$15)/Examples!$F$16))))))+Examples!$F$17*$A446^2)</f>
        <v>398891.09916543699</v>
      </c>
      <c r="J446" s="33">
        <f>Examples!$G$18-(Examples!$G$10+Examples!$G$11)*$A446-(Examples!$G$6*Examples!$G$7*Examples!$G$8*EXP(-Examples!$G$9*$A446)*(1-(Examples!$G$12*(1-EXP(-Examples!$G$13*$A446))/(1+EXP(MIN(700,MAX(-700,(Examples!$G$14*$A446-Examples!$G$15)/Examples!$G$16))))))+Examples!$G$17*$A446^2)</f>
        <v>718595.6413156566</v>
      </c>
      <c r="K446" s="33">
        <f>(Examples!$G$6*Examples!$G$7*Examples!$G$8*EXP(-Examples!$G$9*$A446)*(1-(Examples!$G$12*(1-EXP(-Examples!$G$13*$A446))/(1+EXP(MIN(700,MAX(-700,(Examples!$G$14*$A446-Examples!$G$15)/Examples!$G$16))))))+Examples!$G$17*$A446^2)</f>
        <v>559404.3586843434</v>
      </c>
      <c r="L446" s="33">
        <f>Examples!$H$18-(Examples!$H$10+Examples!$H$11)*$A446-(Examples!$H$6*Examples!$H$7*Examples!$H$8*EXP(-Examples!$H$9*$A446)*(1-(Examples!$H$12*(1-EXP(-Examples!$H$13*$A446))/(1+EXP(MIN(700,MAX(-700,(Examples!$H$14*$A446-Examples!$H$15)/Examples!$H$16))))))+Examples!$H$17*$A446^2)</f>
        <v>698095.63307109987</v>
      </c>
      <c r="M446" s="33">
        <f>(Examples!$H$6*Examples!$H$7*Examples!$H$8*EXP(-Examples!$H$9*$A446)*(1-(Examples!$H$12*(1-EXP(-Examples!$H$13*$A446))/(1+EXP(MIN(700,MAX(-700,(Examples!$H$14*$A446-Examples!$H$15)/Examples!$H$16))))))+Examples!$H$17*$A446^2)</f>
        <v>579904.36692890013</v>
      </c>
    </row>
    <row r="447" spans="1:13" x14ac:dyDescent="0.25">
      <c r="A447">
        <f>(447-2)/100</f>
        <v>4.45</v>
      </c>
      <c r="B447" s="33">
        <f>Examples!$C$18-(Examples!$C$10+Examples!$C$11)*$A447-(Examples!$C$6*Examples!$C$7*Examples!$C$8*EXP(-Examples!$C$9*$A447)*(1-(Examples!$C$12*(1-EXP(-Examples!$C$13*$A447))/(1+EXP(MIN(700,MAX(-700,(Examples!$C$14*$A447-Examples!$C$15)/Examples!$C$16))))))+Examples!$C$17*$A447^2)</f>
        <v>-10675.043521807762</v>
      </c>
      <c r="C447" s="33">
        <f>(Examples!$C$6*Examples!$C$7*Examples!$C$8*EXP(-Examples!$C$9*$A447)*(1-(Examples!$C$12*(1-EXP(-Examples!$C$13*$A447))/(1+EXP(MIN(700,MAX(-700,(Examples!$C$14*$A447-Examples!$C$15)/Examples!$C$16))))))+Examples!$C$17*$A447^2)</f>
        <v>454925.04352180776</v>
      </c>
      <c r="D447" s="33">
        <f>Examples!$D$18-(Examples!$D$10+Examples!$D$11)*$A447-(Examples!$D$6*Examples!$D$7*Examples!$D$8*EXP(-Examples!$D$9*$A447)*(1-(Examples!$D$12*(1-EXP(-Examples!$D$13*$A447))/(1+EXP(MIN(700,MAX(-700,(Examples!$D$14*$A447-Examples!$D$15)/Examples!$D$16))))))+Examples!$D$17*$A447^2)</f>
        <v>1550341.9971868941</v>
      </c>
      <c r="E447" s="33">
        <f>(Examples!$D$6*Examples!$D$7*Examples!$D$8*EXP(-Examples!$D$9*$A447)*(1-(Examples!$D$12*(1-EXP(-Examples!$D$13*$A447))/(1+EXP(MIN(700,MAX(-700,(Examples!$D$14*$A447-Examples!$D$15)/Examples!$D$16))))))+Examples!$D$17*$A447^2)</f>
        <v>749408.00281310582</v>
      </c>
      <c r="F447" s="33">
        <f>Examples!$E$18-(Examples!$E$10+Examples!$E$11)*$A447-(Examples!$E$6*Examples!$E$7*Examples!$E$8*EXP(-Examples!$E$9*$A447)*(1-(Examples!$E$12*(1-EXP(-Examples!$E$13*$A447))/(1+EXP(MIN(700,MAX(-700,(Examples!$E$14*$A447-Examples!$E$15)/Examples!$E$16))))))+Examples!$E$17*$A447^2)</f>
        <v>2414722.8492095573</v>
      </c>
      <c r="G447" s="33">
        <f>(Examples!$E$6*Examples!$E$7*Examples!$E$8*EXP(-Examples!$E$9*$A447)*(1-(Examples!$E$12*(1-EXP(-Examples!$E$13*$A447))/(1+EXP(MIN(700,MAX(-700,(Examples!$E$14*$A447-Examples!$E$15)/Examples!$E$16))))))+Examples!$E$17*$A447^2)</f>
        <v>207027.15079044265</v>
      </c>
      <c r="H447" s="33">
        <f>Examples!$F$18-(Examples!$F$10+Examples!$F$11)*$A447-(Examples!$F$6*Examples!$F$7*Examples!$F$8*EXP(-Examples!$F$9*$A447)*(1-(Examples!$F$12*(1-EXP(-Examples!$F$13*$A447))/(1+EXP(MIN(700,MAX(-700,(Examples!$F$14*$A447-Examples!$F$15)/Examples!$F$16))))))+Examples!$F$17*$A447^2)</f>
        <v>-339655.2628407061</v>
      </c>
      <c r="I447" s="33">
        <f>(Examples!$F$6*Examples!$F$7*Examples!$F$8*EXP(-Examples!$F$9*$A447)*(1-(Examples!$F$12*(1-EXP(-Examples!$F$13*$A447))/(1+EXP(MIN(700,MAX(-700,(Examples!$F$14*$A447-Examples!$F$15)/Examples!$F$16))))))+Examples!$F$17*$A447^2)</f>
        <v>400655.2628407061</v>
      </c>
      <c r="J447" s="33">
        <f>Examples!$G$18-(Examples!$G$10+Examples!$G$11)*$A447-(Examples!$G$6*Examples!$G$7*Examples!$G$8*EXP(-Examples!$G$9*$A447)*(1-(Examples!$G$12*(1-EXP(-Examples!$G$13*$A447))/(1+EXP(MIN(700,MAX(-700,(Examples!$G$14*$A447-Examples!$G$15)/Examples!$G$16))))))+Examples!$G$17*$A447^2)</f>
        <v>718541.23511917191</v>
      </c>
      <c r="K447" s="33">
        <f>(Examples!$G$6*Examples!$G$7*Examples!$G$8*EXP(-Examples!$G$9*$A447)*(1-(Examples!$G$12*(1-EXP(-Examples!$G$13*$A447))/(1+EXP(MIN(700,MAX(-700,(Examples!$G$14*$A447-Examples!$G$15)/Examples!$G$16))))))+Examples!$G$17*$A447^2)</f>
        <v>558958.76488082809</v>
      </c>
      <c r="L447" s="33">
        <f>Examples!$H$18-(Examples!$H$10+Examples!$H$11)*$A447-(Examples!$H$6*Examples!$H$7*Examples!$H$8*EXP(-Examples!$H$9*$A447)*(1-(Examples!$H$12*(1-EXP(-Examples!$H$13*$A447))/(1+EXP(MIN(700,MAX(-700,(Examples!$H$14*$A447-Examples!$H$15)/Examples!$H$16))))))+Examples!$H$17*$A447^2)</f>
        <v>698340.91524580657</v>
      </c>
      <c r="M447" s="33">
        <f>(Examples!$H$6*Examples!$H$7*Examples!$H$8*EXP(-Examples!$H$9*$A447)*(1-(Examples!$H$12*(1-EXP(-Examples!$H$13*$A447))/(1+EXP(MIN(700,MAX(-700,(Examples!$H$14*$A447-Examples!$H$15)/Examples!$H$16))))))+Examples!$H$17*$A447^2)</f>
        <v>579159.08475419343</v>
      </c>
    </row>
    <row r="448" spans="1:13" x14ac:dyDescent="0.25">
      <c r="A448">
        <f>(448-2)/100</f>
        <v>4.46</v>
      </c>
      <c r="B448" s="33">
        <f>Examples!$C$18-(Examples!$C$10+Examples!$C$11)*$A448-(Examples!$C$6*Examples!$C$7*Examples!$C$8*EXP(-Examples!$C$9*$A448)*(1-(Examples!$C$12*(1-EXP(-Examples!$C$13*$A448))/(1+EXP(MIN(700,MAX(-700,(Examples!$C$14*$A448-Examples!$C$15)/Examples!$C$16))))))+Examples!$C$17*$A448^2)</f>
        <v>-11888.825528869056</v>
      </c>
      <c r="C448" s="33">
        <f>(Examples!$C$6*Examples!$C$7*Examples!$C$8*EXP(-Examples!$C$9*$A448)*(1-(Examples!$C$12*(1-EXP(-Examples!$C$13*$A448))/(1+EXP(MIN(700,MAX(-700,(Examples!$C$14*$A448-Examples!$C$15)/Examples!$C$16))))))+Examples!$C$17*$A448^2)</f>
        <v>455788.82552886906</v>
      </c>
      <c r="D448" s="33">
        <f>Examples!$D$18-(Examples!$D$10+Examples!$D$11)*$A448-(Examples!$D$6*Examples!$D$7*Examples!$D$8*EXP(-Examples!$D$9*$A448)*(1-(Examples!$D$12*(1-EXP(-Examples!$D$13*$A448))/(1+EXP(MIN(700,MAX(-700,(Examples!$D$14*$A448-Examples!$D$15)/Examples!$D$16))))))+Examples!$D$17*$A448^2)</f>
        <v>1550920.7547065588</v>
      </c>
      <c r="E448" s="33">
        <f>(Examples!$D$6*Examples!$D$7*Examples!$D$8*EXP(-Examples!$D$9*$A448)*(1-(Examples!$D$12*(1-EXP(-Examples!$D$13*$A448))/(1+EXP(MIN(700,MAX(-700,(Examples!$D$14*$A448-Examples!$D$15)/Examples!$D$16))))))+Examples!$D$17*$A448^2)</f>
        <v>748379.24529344111</v>
      </c>
      <c r="F448" s="33">
        <f>Examples!$E$18-(Examples!$E$10+Examples!$E$11)*$A448-(Examples!$E$6*Examples!$E$7*Examples!$E$8*EXP(-Examples!$E$9*$A448)*(1-(Examples!$E$12*(1-EXP(-Examples!$E$13*$A448))/(1+EXP(MIN(700,MAX(-700,(Examples!$E$14*$A448-Examples!$E$15)/Examples!$E$16))))))+Examples!$E$17*$A448^2)</f>
        <v>2413938.1982821571</v>
      </c>
      <c r="G448" s="33">
        <f>(Examples!$E$6*Examples!$E$7*Examples!$E$8*EXP(-Examples!$E$9*$A448)*(1-(Examples!$E$12*(1-EXP(-Examples!$E$13*$A448))/(1+EXP(MIN(700,MAX(-700,(Examples!$E$14*$A448-Examples!$E$15)/Examples!$E$16))))))+Examples!$E$17*$A448^2)</f>
        <v>206961.80171784299</v>
      </c>
      <c r="H448" s="33">
        <f>Examples!$F$18-(Examples!$F$10+Examples!$F$11)*$A448-(Examples!$F$6*Examples!$F$7*Examples!$F$8*EXP(-Examples!$F$9*$A448)*(1-(Examples!$F$12*(1-EXP(-Examples!$F$13*$A448))/(1+EXP(MIN(700,MAX(-700,(Examples!$F$14*$A448-Examples!$F$15)/Examples!$F$16))))))+Examples!$F$17*$A448^2)</f>
        <v>-341623.46795424644</v>
      </c>
      <c r="I448" s="33">
        <f>(Examples!$F$6*Examples!$F$7*Examples!$F$8*EXP(-Examples!$F$9*$A448)*(1-(Examples!$F$12*(1-EXP(-Examples!$F$13*$A448))/(1+EXP(MIN(700,MAX(-700,(Examples!$F$14*$A448-Examples!$F$15)/Examples!$F$16))))))+Examples!$F$17*$A448^2)</f>
        <v>402423.46795424644</v>
      </c>
      <c r="J448" s="33">
        <f>Examples!$G$18-(Examples!$G$10+Examples!$G$11)*$A448-(Examples!$G$6*Examples!$G$7*Examples!$G$8*EXP(-Examples!$G$9*$A448)*(1-(Examples!$G$12*(1-EXP(-Examples!$G$13*$A448))/(1+EXP(MIN(700,MAX(-700,(Examples!$G$14*$A448-Examples!$G$15)/Examples!$G$16))))))+Examples!$G$17*$A448^2)</f>
        <v>718484.62859822833</v>
      </c>
      <c r="K448" s="33">
        <f>(Examples!$G$6*Examples!$G$7*Examples!$G$8*EXP(-Examples!$G$9*$A448)*(1-(Examples!$G$12*(1-EXP(-Examples!$G$13*$A448))/(1+EXP(MIN(700,MAX(-700,(Examples!$G$14*$A448-Examples!$G$15)/Examples!$G$16))))))+Examples!$G$17*$A448^2)</f>
        <v>558515.37140177167</v>
      </c>
      <c r="L448" s="33">
        <f>Examples!$H$18-(Examples!$H$10+Examples!$H$11)*$A448-(Examples!$H$6*Examples!$H$7*Examples!$H$8*EXP(-Examples!$H$9*$A448)*(1-(Examples!$H$12*(1-EXP(-Examples!$H$13*$A448))/(1+EXP(MIN(700,MAX(-700,(Examples!$H$14*$A448-Examples!$H$15)/Examples!$H$16))))))+Examples!$H$17*$A448^2)</f>
        <v>698580.14293562411</v>
      </c>
      <c r="M448" s="33">
        <f>(Examples!$H$6*Examples!$H$7*Examples!$H$8*EXP(-Examples!$H$9*$A448)*(1-(Examples!$H$12*(1-EXP(-Examples!$H$13*$A448))/(1+EXP(MIN(700,MAX(-700,(Examples!$H$14*$A448-Examples!$H$15)/Examples!$H$16))))))+Examples!$H$17*$A448^2)</f>
        <v>578419.85706437589</v>
      </c>
    </row>
    <row r="449" spans="1:13" x14ac:dyDescent="0.25">
      <c r="A449">
        <f>(449-2)/100</f>
        <v>4.47</v>
      </c>
      <c r="B449" s="33">
        <f>Examples!$C$18-(Examples!$C$10+Examples!$C$11)*$A449-(Examples!$C$6*Examples!$C$7*Examples!$C$8*EXP(-Examples!$C$9*$A449)*(1-(Examples!$C$12*(1-EXP(-Examples!$C$13*$A449))/(1+EXP(MIN(700,MAX(-700,(Examples!$C$14*$A449-Examples!$C$15)/Examples!$C$16))))))+Examples!$C$17*$A449^2)</f>
        <v>-13107.015396335861</v>
      </c>
      <c r="C449" s="33">
        <f>(Examples!$C$6*Examples!$C$7*Examples!$C$8*EXP(-Examples!$C$9*$A449)*(1-(Examples!$C$12*(1-EXP(-Examples!$C$13*$A449))/(1+EXP(MIN(700,MAX(-700,(Examples!$C$14*$A449-Examples!$C$15)/Examples!$C$16))))))+Examples!$C$17*$A449^2)</f>
        <v>456657.01539633586</v>
      </c>
      <c r="D449" s="33">
        <f>Examples!$D$18-(Examples!$D$10+Examples!$D$11)*$A449-(Examples!$D$6*Examples!$D$7*Examples!$D$8*EXP(-Examples!$D$9*$A449)*(1-(Examples!$D$12*(1-EXP(-Examples!$D$13*$A449))/(1+EXP(MIN(700,MAX(-700,(Examples!$D$14*$A449-Examples!$D$15)/Examples!$D$16))))))+Examples!$D$17*$A449^2)</f>
        <v>1551505.4820421827</v>
      </c>
      <c r="E449" s="33">
        <f>(Examples!$D$6*Examples!$D$7*Examples!$D$8*EXP(-Examples!$D$9*$A449)*(1-(Examples!$D$12*(1-EXP(-Examples!$D$13*$A449))/(1+EXP(MIN(700,MAX(-700,(Examples!$D$14*$A449-Examples!$D$15)/Examples!$D$16))))))+Examples!$D$17*$A449^2)</f>
        <v>747344.51795781718</v>
      </c>
      <c r="F449" s="33">
        <f>Examples!$E$18-(Examples!$E$10+Examples!$E$11)*$A449-(Examples!$E$6*Examples!$E$7*Examples!$E$8*EXP(-Examples!$E$9*$A449)*(1-(Examples!$E$12*(1-EXP(-Examples!$E$13*$A449))/(1+EXP(MIN(700,MAX(-700,(Examples!$E$14*$A449-Examples!$E$15)/Examples!$E$16))))))+Examples!$E$17*$A449^2)</f>
        <v>2413151.9277931098</v>
      </c>
      <c r="G449" s="33">
        <f>(Examples!$E$6*Examples!$E$7*Examples!$E$8*EXP(-Examples!$E$9*$A449)*(1-(Examples!$E$12*(1-EXP(-Examples!$E$13*$A449))/(1+EXP(MIN(700,MAX(-700,(Examples!$E$14*$A449-Examples!$E$15)/Examples!$E$16))))))+Examples!$E$17*$A449^2)</f>
        <v>206898.07220689009</v>
      </c>
      <c r="H449" s="33">
        <f>Examples!$F$18-(Examples!$F$10+Examples!$F$11)*$A449-(Examples!$F$6*Examples!$F$7*Examples!$F$8*EXP(-Examples!$F$9*$A449)*(1-(Examples!$F$12*(1-EXP(-Examples!$F$13*$A449))/(1+EXP(MIN(700,MAX(-700,(Examples!$F$14*$A449-Examples!$F$15)/Examples!$F$16))))))+Examples!$F$17*$A449^2)</f>
        <v>-343595.71438227687</v>
      </c>
      <c r="I449" s="33">
        <f>(Examples!$F$6*Examples!$F$7*Examples!$F$8*EXP(-Examples!$F$9*$A449)*(1-(Examples!$F$12*(1-EXP(-Examples!$F$13*$A449))/(1+EXP(MIN(700,MAX(-700,(Examples!$F$14*$A449-Examples!$F$15)/Examples!$F$16))))))+Examples!$F$17*$A449^2)</f>
        <v>404195.71438227687</v>
      </c>
      <c r="J449" s="33">
        <f>Examples!$G$18-(Examples!$G$10+Examples!$G$11)*$A449-(Examples!$G$6*Examples!$G$7*Examples!$G$8*EXP(-Examples!$G$9*$A449)*(1-(Examples!$G$12*(1-EXP(-Examples!$G$13*$A449))/(1+EXP(MIN(700,MAX(-700,(Examples!$G$14*$A449-Examples!$G$15)/Examples!$G$16))))))+Examples!$G$17*$A449^2)</f>
        <v>718425.78283925005</v>
      </c>
      <c r="K449" s="33">
        <f>(Examples!$G$6*Examples!$G$7*Examples!$G$8*EXP(-Examples!$G$9*$A449)*(1-(Examples!$G$12*(1-EXP(-Examples!$G$13*$A449))/(1+EXP(MIN(700,MAX(-700,(Examples!$G$14*$A449-Examples!$G$15)/Examples!$G$16))))))+Examples!$G$17*$A449^2)</f>
        <v>558074.21716074995</v>
      </c>
      <c r="L449" s="33">
        <f>Examples!$H$18-(Examples!$H$10+Examples!$H$11)*$A449-(Examples!$H$6*Examples!$H$7*Examples!$H$8*EXP(-Examples!$H$9*$A449)*(1-(Examples!$H$12*(1-EXP(-Examples!$H$13*$A449))/(1+EXP(MIN(700,MAX(-700,(Examples!$H$14*$A449-Examples!$H$15)/Examples!$H$16))))))+Examples!$H$17*$A449^2)</f>
        <v>698813.31023563433</v>
      </c>
      <c r="M449" s="33">
        <f>(Examples!$H$6*Examples!$H$7*Examples!$H$8*EXP(-Examples!$H$9*$A449)*(1-(Examples!$H$12*(1-EXP(-Examples!$H$13*$A449))/(1+EXP(MIN(700,MAX(-700,(Examples!$H$14*$A449-Examples!$H$15)/Examples!$H$16))))))+Examples!$H$17*$A449^2)</f>
        <v>577686.68976436567</v>
      </c>
    </row>
    <row r="450" spans="1:13" x14ac:dyDescent="0.25">
      <c r="A450">
        <f>(450-2)/100</f>
        <v>4.4800000000000004</v>
      </c>
      <c r="B450" s="33">
        <f>Examples!$C$18-(Examples!$C$10+Examples!$C$11)*$A450-(Examples!$C$6*Examples!$C$7*Examples!$C$8*EXP(-Examples!$C$9*$A450)*(1-(Examples!$C$12*(1-EXP(-Examples!$C$13*$A450))/(1+EXP(MIN(700,MAX(-700,(Examples!$C$14*$A450-Examples!$C$15)/Examples!$C$16))))))+Examples!$C$17*$A450^2)</f>
        <v>-14329.609190024144</v>
      </c>
      <c r="C450" s="33">
        <f>(Examples!$C$6*Examples!$C$7*Examples!$C$8*EXP(-Examples!$C$9*$A450)*(1-(Examples!$C$12*(1-EXP(-Examples!$C$13*$A450))/(1+EXP(MIN(700,MAX(-700,(Examples!$C$14*$A450-Examples!$C$15)/Examples!$C$16))))))+Examples!$C$17*$A450^2)</f>
        <v>457529.60919002414</v>
      </c>
      <c r="D450" s="33">
        <f>Examples!$D$18-(Examples!$D$10+Examples!$D$11)*$A450-(Examples!$D$6*Examples!$D$7*Examples!$D$8*EXP(-Examples!$D$9*$A450)*(1-(Examples!$D$12*(1-EXP(-Examples!$D$13*$A450))/(1+EXP(MIN(700,MAX(-700,(Examples!$D$14*$A450-Examples!$D$15)/Examples!$D$16))))))+Examples!$D$17*$A450^2)</f>
        <v>1552096.135548674</v>
      </c>
      <c r="E450" s="33">
        <f>(Examples!$D$6*Examples!$D$7*Examples!$D$8*EXP(-Examples!$D$9*$A450)*(1-(Examples!$D$12*(1-EXP(-Examples!$D$13*$A450))/(1+EXP(MIN(700,MAX(-700,(Examples!$D$14*$A450-Examples!$D$15)/Examples!$D$16))))))+Examples!$D$17*$A450^2)</f>
        <v>746303.86445132596</v>
      </c>
      <c r="F450" s="33">
        <f>Examples!$E$18-(Examples!$E$10+Examples!$E$11)*$A450-(Examples!$E$6*Examples!$E$7*Examples!$E$8*EXP(-Examples!$E$9*$A450)*(1-(Examples!$E$12*(1-EXP(-Examples!$E$13*$A450))/(1+EXP(MIN(700,MAX(-700,(Examples!$E$14*$A450-Examples!$E$15)/Examples!$E$16))))))+Examples!$E$17*$A450^2)</f>
        <v>2412364.0633853544</v>
      </c>
      <c r="G450" s="33">
        <f>(Examples!$E$6*Examples!$E$7*Examples!$E$8*EXP(-Examples!$E$9*$A450)*(1-(Examples!$E$12*(1-EXP(-Examples!$E$13*$A450))/(1+EXP(MIN(700,MAX(-700,(Examples!$E$14*$A450-Examples!$E$15)/Examples!$E$16))))))+Examples!$E$17*$A450^2)</f>
        <v>206835.9366146457</v>
      </c>
      <c r="H450" s="33">
        <f>Examples!$F$18-(Examples!$F$10+Examples!$F$11)*$A450-(Examples!$F$6*Examples!$F$7*Examples!$F$8*EXP(-Examples!$F$9*$A450)*(1-(Examples!$F$12*(1-EXP(-Examples!$F$13*$A450))/(1+EXP(MIN(700,MAX(-700,(Examples!$F$14*$A450-Examples!$F$15)/Examples!$F$16))))))+Examples!$F$17*$A450^2)</f>
        <v>-345572.00200137281</v>
      </c>
      <c r="I450" s="33">
        <f>(Examples!$F$6*Examples!$F$7*Examples!$F$8*EXP(-Examples!$F$9*$A450)*(1-(Examples!$F$12*(1-EXP(-Examples!$F$13*$A450))/(1+EXP(MIN(700,MAX(-700,(Examples!$F$14*$A450-Examples!$F$15)/Examples!$F$16))))))+Examples!$F$17*$A450^2)</f>
        <v>405972.00200137281</v>
      </c>
      <c r="J450" s="33">
        <f>Examples!$G$18-(Examples!$G$10+Examples!$G$11)*$A450-(Examples!$G$6*Examples!$G$7*Examples!$G$8*EXP(-Examples!$G$9*$A450)*(1-(Examples!$G$12*(1-EXP(-Examples!$G$13*$A450))/(1+EXP(MIN(700,MAX(-700,(Examples!$G$14*$A450-Examples!$G$15)/Examples!$G$16))))))+Examples!$G$17*$A450^2)</f>
        <v>718364.65936503559</v>
      </c>
      <c r="K450" s="33">
        <f>(Examples!$G$6*Examples!$G$7*Examples!$G$8*EXP(-Examples!$G$9*$A450)*(1-(Examples!$G$12*(1-EXP(-Examples!$G$13*$A450))/(1+EXP(MIN(700,MAX(-700,(Examples!$G$14*$A450-Examples!$G$15)/Examples!$G$16))))))+Examples!$G$17*$A450^2)</f>
        <v>557635.34063496441</v>
      </c>
      <c r="L450" s="33">
        <f>Examples!$H$18-(Examples!$H$10+Examples!$H$11)*$A450-(Examples!$H$6*Examples!$H$7*Examples!$H$8*EXP(-Examples!$H$9*$A450)*(1-(Examples!$H$12*(1-EXP(-Examples!$H$13*$A450))/(1+EXP(MIN(700,MAX(-700,(Examples!$H$14*$A450-Examples!$H$15)/Examples!$H$16))))))+Examples!$H$17*$A450^2)</f>
        <v>699040.41198085225</v>
      </c>
      <c r="M450" s="33">
        <f>(Examples!$H$6*Examples!$H$7*Examples!$H$8*EXP(-Examples!$H$9*$A450)*(1-(Examples!$H$12*(1-EXP(-Examples!$H$13*$A450))/(1+EXP(MIN(700,MAX(-700,(Examples!$H$14*$A450-Examples!$H$15)/Examples!$H$16))))))+Examples!$H$17*$A450^2)</f>
        <v>576959.58801914775</v>
      </c>
    </row>
    <row r="451" spans="1:13" x14ac:dyDescent="0.25">
      <c r="A451">
        <f>(451-2)/100</f>
        <v>4.49</v>
      </c>
      <c r="B451" s="33">
        <f>Examples!$C$18-(Examples!$C$10+Examples!$C$11)*$A451-(Examples!$C$6*Examples!$C$7*Examples!$C$8*EXP(-Examples!$C$9*$A451)*(1-(Examples!$C$12*(1-EXP(-Examples!$C$13*$A451))/(1+EXP(MIN(700,MAX(-700,(Examples!$C$14*$A451-Examples!$C$15)/Examples!$C$16))))))+Examples!$C$17*$A451^2)</f>
        <v>-15556.602977768634</v>
      </c>
      <c r="C451" s="33">
        <f>(Examples!$C$6*Examples!$C$7*Examples!$C$8*EXP(-Examples!$C$9*$A451)*(1-(Examples!$C$12*(1-EXP(-Examples!$C$13*$A451))/(1+EXP(MIN(700,MAX(-700,(Examples!$C$14*$A451-Examples!$C$15)/Examples!$C$16))))))+Examples!$C$17*$A451^2)</f>
        <v>458406.60297776863</v>
      </c>
      <c r="D451" s="33">
        <f>Examples!$D$18-(Examples!$D$10+Examples!$D$11)*$A451-(Examples!$D$6*Examples!$D$7*Examples!$D$8*EXP(-Examples!$D$9*$A451)*(1-(Examples!$D$12*(1-EXP(-Examples!$D$13*$A451))/(1+EXP(MIN(700,MAX(-700,(Examples!$D$14*$A451-Examples!$D$15)/Examples!$D$16))))))+Examples!$D$17*$A451^2)</f>
        <v>1552692.668895815</v>
      </c>
      <c r="E451" s="33">
        <f>(Examples!$D$6*Examples!$D$7*Examples!$D$8*EXP(-Examples!$D$9*$A451)*(1-(Examples!$D$12*(1-EXP(-Examples!$D$13*$A451))/(1+EXP(MIN(700,MAX(-700,(Examples!$D$14*$A451-Examples!$D$15)/Examples!$D$16))))))+Examples!$D$17*$A451^2)</f>
        <v>745257.33110418485</v>
      </c>
      <c r="F451" s="33">
        <f>Examples!$E$18-(Examples!$E$10+Examples!$E$11)*$A451-(Examples!$E$6*Examples!$E$7*Examples!$E$8*EXP(-Examples!$E$9*$A451)*(1-(Examples!$E$12*(1-EXP(-Examples!$E$13*$A451))/(1+EXP(MIN(700,MAX(-700,(Examples!$E$14*$A451-Examples!$E$15)/Examples!$E$16))))))+Examples!$E$17*$A451^2)</f>
        <v>2411574.6303400472</v>
      </c>
      <c r="G451" s="33">
        <f>(Examples!$E$6*Examples!$E$7*Examples!$E$8*EXP(-Examples!$E$9*$A451)*(1-(Examples!$E$12*(1-EXP(-Examples!$E$13*$A451))/(1+EXP(MIN(700,MAX(-700,(Examples!$E$14*$A451-Examples!$E$15)/Examples!$E$16))))))+Examples!$E$17*$A451^2)</f>
        <v>206775.36965995285</v>
      </c>
      <c r="H451" s="33">
        <f>Examples!$F$18-(Examples!$F$10+Examples!$F$11)*$A451-(Examples!$F$6*Examples!$F$7*Examples!$F$8*EXP(-Examples!$F$9*$A451)*(1-(Examples!$F$12*(1-EXP(-Examples!$F$13*$A451))/(1+EXP(MIN(700,MAX(-700,(Examples!$F$14*$A451-Examples!$F$15)/Examples!$F$16))))))+Examples!$F$17*$A451^2)</f>
        <v>-347552.33068846556</v>
      </c>
      <c r="I451" s="33">
        <f>(Examples!$F$6*Examples!$F$7*Examples!$F$8*EXP(-Examples!$F$9*$A451)*(1-(Examples!$F$12*(1-EXP(-Examples!$F$13*$A451))/(1+EXP(MIN(700,MAX(-700,(Examples!$F$14*$A451-Examples!$F$15)/Examples!$F$16))))))+Examples!$F$17*$A451^2)</f>
        <v>407752.33068846556</v>
      </c>
      <c r="J451" s="33">
        <f>Examples!$G$18-(Examples!$G$10+Examples!$G$11)*$A451-(Examples!$G$6*Examples!$G$7*Examples!$G$8*EXP(-Examples!$G$9*$A451)*(1-(Examples!$G$12*(1-EXP(-Examples!$G$13*$A451))/(1+EXP(MIN(700,MAX(-700,(Examples!$G$14*$A451-Examples!$G$15)/Examples!$G$16))))))+Examples!$G$17*$A451^2)</f>
        <v>718301.22013652523</v>
      </c>
      <c r="K451" s="33">
        <f>(Examples!$G$6*Examples!$G$7*Examples!$G$8*EXP(-Examples!$G$9*$A451)*(1-(Examples!$G$12*(1-EXP(-Examples!$G$13*$A451))/(1+EXP(MIN(700,MAX(-700,(Examples!$G$14*$A451-Examples!$G$15)/Examples!$G$16))))))+Examples!$G$17*$A451^2)</f>
        <v>557198.77986347477</v>
      </c>
      <c r="L451" s="33">
        <f>Examples!$H$18-(Examples!$H$10+Examples!$H$11)*$A451-(Examples!$H$6*Examples!$H$7*Examples!$H$8*EXP(-Examples!$H$9*$A451)*(1-(Examples!$H$12*(1-EXP(-Examples!$H$13*$A451))/(1+EXP(MIN(700,MAX(-700,(Examples!$H$14*$A451-Examples!$H$15)/Examples!$H$16))))))+Examples!$H$17*$A451^2)</f>
        <v>699261.44371994445</v>
      </c>
      <c r="M451" s="33">
        <f>(Examples!$H$6*Examples!$H$7*Examples!$H$8*EXP(-Examples!$H$9*$A451)*(1-(Examples!$H$12*(1-EXP(-Examples!$H$13*$A451))/(1+EXP(MIN(700,MAX(-700,(Examples!$H$14*$A451-Examples!$H$15)/Examples!$H$16))))))+Examples!$H$17*$A451^2)</f>
        <v>576238.55628005555</v>
      </c>
    </row>
    <row r="452" spans="1:13" x14ac:dyDescent="0.25">
      <c r="A452">
        <f>(452-2)/100</f>
        <v>4.5</v>
      </c>
      <c r="B452" s="33">
        <f>Examples!$C$18-(Examples!$C$10+Examples!$C$11)*$A452-(Examples!$C$6*Examples!$C$7*Examples!$C$8*EXP(-Examples!$C$9*$A452)*(1-(Examples!$C$12*(1-EXP(-Examples!$C$13*$A452))/(1+EXP(MIN(700,MAX(-700,(Examples!$C$14*$A452-Examples!$C$15)/Examples!$C$16))))))+Examples!$C$17*$A452^2)</f>
        <v>-16787.992829751922</v>
      </c>
      <c r="C452" s="33">
        <f>(Examples!$C$6*Examples!$C$7*Examples!$C$8*EXP(-Examples!$C$9*$A452)*(1-(Examples!$C$12*(1-EXP(-Examples!$C$13*$A452))/(1+EXP(MIN(700,MAX(-700,(Examples!$C$14*$A452-Examples!$C$15)/Examples!$C$16))))))+Examples!$C$17*$A452^2)</f>
        <v>459287.99282975192</v>
      </c>
      <c r="D452" s="33">
        <f>Examples!$D$18-(Examples!$D$10+Examples!$D$11)*$A452-(Examples!$D$6*Examples!$D$7*Examples!$D$8*EXP(-Examples!$D$9*$A452)*(1-(Examples!$D$12*(1-EXP(-Examples!$D$13*$A452))/(1+EXP(MIN(700,MAX(-700,(Examples!$D$14*$A452-Examples!$D$15)/Examples!$D$16))))))+Examples!$D$17*$A452^2)</f>
        <v>1553295.0331348614</v>
      </c>
      <c r="E452" s="33">
        <f>(Examples!$D$6*Examples!$D$7*Examples!$D$8*EXP(-Examples!$D$9*$A452)*(1-(Examples!$D$12*(1-EXP(-Examples!$D$13*$A452))/(1+EXP(MIN(700,MAX(-700,(Examples!$D$14*$A452-Examples!$D$15)/Examples!$D$16))))))+Examples!$D$17*$A452^2)</f>
        <v>744204.9668651385</v>
      </c>
      <c r="F452" s="33">
        <f>Examples!$E$18-(Examples!$E$10+Examples!$E$11)*$A452-(Examples!$E$6*Examples!$E$7*Examples!$E$8*EXP(-Examples!$E$9*$A452)*(1-(Examples!$E$12*(1-EXP(-Examples!$E$13*$A452))/(1+EXP(MIN(700,MAX(-700,(Examples!$E$14*$A452-Examples!$E$15)/Examples!$E$16))))))+Examples!$E$17*$A452^2)</f>
        <v>2410783.6535787415</v>
      </c>
      <c r="G452" s="33">
        <f>(Examples!$E$6*Examples!$E$7*Examples!$E$8*EXP(-Examples!$E$9*$A452)*(1-(Examples!$E$12*(1-EXP(-Examples!$E$13*$A452))/(1+EXP(MIN(700,MAX(-700,(Examples!$E$14*$A452-Examples!$E$15)/Examples!$E$16))))))+Examples!$E$17*$A452^2)</f>
        <v>206716.34642125876</v>
      </c>
      <c r="H452" s="33">
        <f>Examples!$F$18-(Examples!$F$10+Examples!$F$11)*$A452-(Examples!$F$6*Examples!$F$7*Examples!$F$8*EXP(-Examples!$F$9*$A452)*(1-(Examples!$F$12*(1-EXP(-Examples!$F$13*$A452))/(1+EXP(MIN(700,MAX(-700,(Examples!$F$14*$A452-Examples!$F$15)/Examples!$F$16))))))+Examples!$F$17*$A452^2)</f>
        <v>-349536.70032084233</v>
      </c>
      <c r="I452" s="33">
        <f>(Examples!$F$6*Examples!$F$7*Examples!$F$8*EXP(-Examples!$F$9*$A452)*(1-(Examples!$F$12*(1-EXP(-Examples!$F$13*$A452))/(1+EXP(MIN(700,MAX(-700,(Examples!$F$14*$A452-Examples!$F$15)/Examples!$F$16))))))+Examples!$F$17*$A452^2)</f>
        <v>409536.70032084233</v>
      </c>
      <c r="J452" s="33">
        <f>Examples!$G$18-(Examples!$G$10+Examples!$G$11)*$A452-(Examples!$G$6*Examples!$G$7*Examples!$G$8*EXP(-Examples!$G$9*$A452)*(1-(Examples!$G$12*(1-EXP(-Examples!$G$13*$A452))/(1+EXP(MIN(700,MAX(-700,(Examples!$G$14*$A452-Examples!$G$15)/Examples!$G$16))))))+Examples!$G$17*$A452^2)</f>
        <v>718235.42755435628</v>
      </c>
      <c r="K452" s="33">
        <f>(Examples!$G$6*Examples!$G$7*Examples!$G$8*EXP(-Examples!$G$9*$A452)*(1-(Examples!$G$12*(1-EXP(-Examples!$G$13*$A452))/(1+EXP(MIN(700,MAX(-700,(Examples!$G$14*$A452-Examples!$G$15)/Examples!$G$16))))))+Examples!$G$17*$A452^2)</f>
        <v>556764.57244564372</v>
      </c>
      <c r="L452" s="33">
        <f>Examples!$H$18-(Examples!$H$10+Examples!$H$11)*$A452-(Examples!$H$6*Examples!$H$7*Examples!$H$8*EXP(-Examples!$H$9*$A452)*(1-(Examples!$H$12*(1-EXP(-Examples!$H$13*$A452))/(1+EXP(MIN(700,MAX(-700,(Examples!$H$14*$A452-Examples!$H$15)/Examples!$H$16))))))+Examples!$H$17*$A452^2)</f>
        <v>699476.40168979892</v>
      </c>
      <c r="M452" s="33">
        <f>(Examples!$H$6*Examples!$H$7*Examples!$H$8*EXP(-Examples!$H$9*$A452)*(1-(Examples!$H$12*(1-EXP(-Examples!$H$13*$A452))/(1+EXP(MIN(700,MAX(-700,(Examples!$H$14*$A452-Examples!$H$15)/Examples!$H$16))))))+Examples!$H$17*$A452^2)</f>
        <v>575523.59831020108</v>
      </c>
    </row>
    <row r="453" spans="1:13" x14ac:dyDescent="0.25">
      <c r="A453">
        <f>(453-2)/100</f>
        <v>4.51</v>
      </c>
      <c r="B453" s="33">
        <f>Examples!$C$18-(Examples!$C$10+Examples!$C$11)*$A453-(Examples!$C$6*Examples!$C$7*Examples!$C$8*EXP(-Examples!$C$9*$A453)*(1-(Examples!$C$12*(1-EXP(-Examples!$C$13*$A453))/(1+EXP(MIN(700,MAX(-700,(Examples!$C$14*$A453-Examples!$C$15)/Examples!$C$16))))))+Examples!$C$17*$A453^2)</f>
        <v>-18023.774818821228</v>
      </c>
      <c r="C453" s="33">
        <f>(Examples!$C$6*Examples!$C$7*Examples!$C$8*EXP(-Examples!$C$9*$A453)*(1-(Examples!$C$12*(1-EXP(-Examples!$C$13*$A453))/(1+EXP(MIN(700,MAX(-700,(Examples!$C$14*$A453-Examples!$C$15)/Examples!$C$16))))))+Examples!$C$17*$A453^2)</f>
        <v>460173.77481882123</v>
      </c>
      <c r="D453" s="33">
        <f>Examples!$D$18-(Examples!$D$10+Examples!$D$11)*$A453-(Examples!$D$6*Examples!$D$7*Examples!$D$8*EXP(-Examples!$D$9*$A453)*(1-(Examples!$D$12*(1-EXP(-Examples!$D$13*$A453))/(1+EXP(MIN(700,MAX(-700,(Examples!$D$14*$A453-Examples!$D$15)/Examples!$D$16))))))+Examples!$D$17*$A453^2)</f>
        <v>1553903.1767652123</v>
      </c>
      <c r="E453" s="33">
        <f>(Examples!$D$6*Examples!$D$7*Examples!$D$8*EXP(-Examples!$D$9*$A453)*(1-(Examples!$D$12*(1-EXP(-Examples!$D$13*$A453))/(1+EXP(MIN(700,MAX(-700,(Examples!$D$14*$A453-Examples!$D$15)/Examples!$D$16))))))+Examples!$D$17*$A453^2)</f>
        <v>743146.82323478768</v>
      </c>
      <c r="F453" s="33">
        <f>Examples!$E$18-(Examples!$E$10+Examples!$E$11)*$A453-(Examples!$E$6*Examples!$E$7*Examples!$E$8*EXP(-Examples!$E$9*$A453)*(1-(Examples!$E$12*(1-EXP(-Examples!$E$13*$A453))/(1+EXP(MIN(700,MAX(-700,(Examples!$E$14*$A453-Examples!$E$15)/Examples!$E$16))))))+Examples!$E$17*$A453^2)</f>
        <v>2409991.1576655498</v>
      </c>
      <c r="G453" s="33">
        <f>(Examples!$E$6*Examples!$E$7*Examples!$E$8*EXP(-Examples!$E$9*$A453)*(1-(Examples!$E$12*(1-EXP(-Examples!$E$13*$A453))/(1+EXP(MIN(700,MAX(-700,(Examples!$E$14*$A453-Examples!$E$15)/Examples!$E$16))))))+Examples!$E$17*$A453^2)</f>
        <v>206658.84233445034</v>
      </c>
      <c r="H453" s="33">
        <f>Examples!$F$18-(Examples!$F$10+Examples!$F$11)*$A453-(Examples!$F$6*Examples!$F$7*Examples!$F$8*EXP(-Examples!$F$9*$A453)*(1-(Examples!$F$12*(1-EXP(-Examples!$F$13*$A453))/(1+EXP(MIN(700,MAX(-700,(Examples!$F$14*$A453-Examples!$F$15)/Examples!$F$16))))))+Examples!$F$17*$A453^2)</f>
        <v>-351525.11077614536</v>
      </c>
      <c r="I453" s="33">
        <f>(Examples!$F$6*Examples!$F$7*Examples!$F$8*EXP(-Examples!$F$9*$A453)*(1-(Examples!$F$12*(1-EXP(-Examples!$F$13*$A453))/(1+EXP(MIN(700,MAX(-700,(Examples!$F$14*$A453-Examples!$F$15)/Examples!$F$16))))))+Examples!$F$17*$A453^2)</f>
        <v>411325.11077614536</v>
      </c>
      <c r="J453" s="33">
        <f>Examples!$G$18-(Examples!$G$10+Examples!$G$11)*$A453-(Examples!$G$6*Examples!$G$7*Examples!$G$8*EXP(-Examples!$G$9*$A453)*(1-(Examples!$G$12*(1-EXP(-Examples!$G$13*$A453))/(1+EXP(MIN(700,MAX(-700,(Examples!$G$14*$A453-Examples!$G$15)/Examples!$G$16))))))+Examples!$G$17*$A453^2)</f>
        <v>718167.24446020962</v>
      </c>
      <c r="K453" s="33">
        <f>(Examples!$G$6*Examples!$G$7*Examples!$G$8*EXP(-Examples!$G$9*$A453)*(1-(Examples!$G$12*(1-EXP(-Examples!$G$13*$A453))/(1+EXP(MIN(700,MAX(-700,(Examples!$G$14*$A453-Examples!$G$15)/Examples!$G$16))))))+Examples!$G$17*$A453^2)</f>
        <v>556332.75553979038</v>
      </c>
      <c r="L453" s="33">
        <f>Examples!$H$18-(Examples!$H$10+Examples!$H$11)*$A453-(Examples!$H$6*Examples!$H$7*Examples!$H$8*EXP(-Examples!$H$9*$A453)*(1-(Examples!$H$12*(1-EXP(-Examples!$H$13*$A453))/(1+EXP(MIN(700,MAX(-700,(Examples!$H$14*$A453-Examples!$H$15)/Examples!$H$16))))))+Examples!$H$17*$A453^2)</f>
        <v>699685.28279091569</v>
      </c>
      <c r="M453" s="33">
        <f>(Examples!$H$6*Examples!$H$7*Examples!$H$8*EXP(-Examples!$H$9*$A453)*(1-(Examples!$H$12*(1-EXP(-Examples!$H$13*$A453))/(1+EXP(MIN(700,MAX(-700,(Examples!$H$14*$A453-Examples!$H$15)/Examples!$H$16))))))+Examples!$H$17*$A453^2)</f>
        <v>574814.71720908431</v>
      </c>
    </row>
    <row r="454" spans="1:13" x14ac:dyDescent="0.25">
      <c r="A454">
        <f>(454-2)/100</f>
        <v>4.5199999999999996</v>
      </c>
      <c r="B454" s="33">
        <f>Examples!$C$18-(Examples!$C$10+Examples!$C$11)*$A454-(Examples!$C$6*Examples!$C$7*Examples!$C$8*EXP(-Examples!$C$9*$A454)*(1-(Examples!$C$12*(1-EXP(-Examples!$C$13*$A454))/(1+EXP(MIN(700,MAX(-700,(Examples!$C$14*$A454-Examples!$C$15)/Examples!$C$16))))))+Examples!$C$17*$A454^2)</f>
        <v>-19263.945020792773</v>
      </c>
      <c r="C454" s="33">
        <f>(Examples!$C$6*Examples!$C$7*Examples!$C$8*EXP(-Examples!$C$9*$A454)*(1-(Examples!$C$12*(1-EXP(-Examples!$C$13*$A454))/(1+EXP(MIN(700,MAX(-700,(Examples!$C$14*$A454-Examples!$C$15)/Examples!$C$16))))))+Examples!$C$17*$A454^2)</f>
        <v>461063.94502079277</v>
      </c>
      <c r="D454" s="33">
        <f>Examples!$D$18-(Examples!$D$10+Examples!$D$11)*$A454-(Examples!$D$6*Examples!$D$7*Examples!$D$8*EXP(-Examples!$D$9*$A454)*(1-(Examples!$D$12*(1-EXP(-Examples!$D$13*$A454))/(1+EXP(MIN(700,MAX(-700,(Examples!$D$14*$A454-Examples!$D$15)/Examples!$D$16))))))+Examples!$D$17*$A454^2)</f>
        <v>1554517.0458011171</v>
      </c>
      <c r="E454" s="33">
        <f>(Examples!$D$6*Examples!$D$7*Examples!$D$8*EXP(-Examples!$D$9*$A454)*(1-(Examples!$D$12*(1-EXP(-Examples!$D$13*$A454))/(1+EXP(MIN(700,MAX(-700,(Examples!$D$14*$A454-Examples!$D$15)/Examples!$D$16))))))+Examples!$D$17*$A454^2)</f>
        <v>742082.95419888292</v>
      </c>
      <c r="F454" s="33">
        <f>Examples!$E$18-(Examples!$E$10+Examples!$E$11)*$A454-(Examples!$E$6*Examples!$E$7*Examples!$E$8*EXP(-Examples!$E$9*$A454)*(1-(Examples!$E$12*(1-EXP(-Examples!$E$13*$A454))/(1+EXP(MIN(700,MAX(-700,(Examples!$E$14*$A454-Examples!$E$15)/Examples!$E$16))))))+Examples!$E$17*$A454^2)</f>
        <v>2409197.1668092986</v>
      </c>
      <c r="G454" s="33">
        <f>(Examples!$E$6*Examples!$E$7*Examples!$E$8*EXP(-Examples!$E$9*$A454)*(1-(Examples!$E$12*(1-EXP(-Examples!$E$13*$A454))/(1+EXP(MIN(700,MAX(-700,(Examples!$E$14*$A454-Examples!$E$15)/Examples!$E$16))))))+Examples!$E$17*$A454^2)</f>
        <v>206602.83319070158</v>
      </c>
      <c r="H454" s="33">
        <f>Examples!$F$18-(Examples!$F$10+Examples!$F$11)*$A454-(Examples!$F$6*Examples!$F$7*Examples!$F$8*EXP(-Examples!$F$9*$A454)*(1-(Examples!$F$12*(1-EXP(-Examples!$F$13*$A454))/(1+EXP(MIN(700,MAX(-700,(Examples!$F$14*$A454-Examples!$F$15)/Examples!$F$16))))))+Examples!$F$17*$A454^2)</f>
        <v>-353517.56193237141</v>
      </c>
      <c r="I454" s="33">
        <f>(Examples!$F$6*Examples!$F$7*Examples!$F$8*EXP(-Examples!$F$9*$A454)*(1-(Examples!$F$12*(1-EXP(-Examples!$F$13*$A454))/(1+EXP(MIN(700,MAX(-700,(Examples!$F$14*$A454-Examples!$F$15)/Examples!$F$16))))))+Examples!$F$17*$A454^2)</f>
        <v>413117.56193237141</v>
      </c>
      <c r="J454" s="33">
        <f>Examples!$G$18-(Examples!$G$10+Examples!$G$11)*$A454-(Examples!$G$6*Examples!$G$7*Examples!$G$8*EXP(-Examples!$G$9*$A454)*(1-(Examples!$G$12*(1-EXP(-Examples!$G$13*$A454))/(1+EXP(MIN(700,MAX(-700,(Examples!$G$14*$A454-Examples!$G$15)/Examples!$G$16))))))+Examples!$G$17*$A454^2)</f>
        <v>718096.63413795584</v>
      </c>
      <c r="K454" s="33">
        <f>(Examples!$G$6*Examples!$G$7*Examples!$G$8*EXP(-Examples!$G$9*$A454)*(1-(Examples!$G$12*(1-EXP(-Examples!$G$13*$A454))/(1+EXP(MIN(700,MAX(-700,(Examples!$G$14*$A454-Examples!$G$15)/Examples!$G$16))))))+Examples!$G$17*$A454^2)</f>
        <v>555903.36586204416</v>
      </c>
      <c r="L454" s="33">
        <f>Examples!$H$18-(Examples!$H$10+Examples!$H$11)*$A454-(Examples!$H$6*Examples!$H$7*Examples!$H$8*EXP(-Examples!$H$9*$A454)*(1-(Examples!$H$12*(1-EXP(-Examples!$H$13*$A454))/(1+EXP(MIN(700,MAX(-700,(Examples!$H$14*$A454-Examples!$H$15)/Examples!$H$16))))))+Examples!$H$17*$A454^2)</f>
        <v>699888.08456359664</v>
      </c>
      <c r="M454" s="33">
        <f>(Examples!$H$6*Examples!$H$7*Examples!$H$8*EXP(-Examples!$H$9*$A454)*(1-(Examples!$H$12*(1-EXP(-Examples!$H$13*$A454))/(1+EXP(MIN(700,MAX(-700,(Examples!$H$14*$A454-Examples!$H$15)/Examples!$H$16))))))+Examples!$H$17*$A454^2)</f>
        <v>574111.91543640336</v>
      </c>
    </row>
    <row r="455" spans="1:13" x14ac:dyDescent="0.25">
      <c r="A455">
        <f>(455-2)/100</f>
        <v>4.53</v>
      </c>
      <c r="B455" s="33">
        <f>Examples!$C$18-(Examples!$C$10+Examples!$C$11)*$A455-(Examples!$C$6*Examples!$C$7*Examples!$C$8*EXP(-Examples!$C$9*$A455)*(1-(Examples!$C$12*(1-EXP(-Examples!$C$13*$A455))/(1+EXP(MIN(700,MAX(-700,(Examples!$C$14*$A455-Examples!$C$15)/Examples!$C$16))))))+Examples!$C$17*$A455^2)</f>
        <v>-20508.499514745374</v>
      </c>
      <c r="C455" s="33">
        <f>(Examples!$C$6*Examples!$C$7*Examples!$C$8*EXP(-Examples!$C$9*$A455)*(1-(Examples!$C$12*(1-EXP(-Examples!$C$13*$A455))/(1+EXP(MIN(700,MAX(-700,(Examples!$C$14*$A455-Examples!$C$15)/Examples!$C$16))))))+Examples!$C$17*$A455^2)</f>
        <v>461958.49951474537</v>
      </c>
      <c r="D455" s="33">
        <f>Examples!$D$18-(Examples!$D$10+Examples!$D$11)*$A455-(Examples!$D$6*Examples!$D$7*Examples!$D$8*EXP(-Examples!$D$9*$A455)*(1-(Examples!$D$12*(1-EXP(-Examples!$D$13*$A455))/(1+EXP(MIN(700,MAX(-700,(Examples!$D$14*$A455-Examples!$D$15)/Examples!$D$16))))))+Examples!$D$17*$A455^2)</f>
        <v>1555136.5838383725</v>
      </c>
      <c r="E455" s="33">
        <f>(Examples!$D$6*Examples!$D$7*Examples!$D$8*EXP(-Examples!$D$9*$A455)*(1-(Examples!$D$12*(1-EXP(-Examples!$D$13*$A455))/(1+EXP(MIN(700,MAX(-700,(Examples!$D$14*$A455-Examples!$D$15)/Examples!$D$16))))))+Examples!$D$17*$A455^2)</f>
        <v>741013.41616162739</v>
      </c>
      <c r="F455" s="33">
        <f>Examples!$E$18-(Examples!$E$10+Examples!$E$11)*$A455-(Examples!$E$6*Examples!$E$7*Examples!$E$8*EXP(-Examples!$E$9*$A455)*(1-(Examples!$E$12*(1-EXP(-Examples!$E$13*$A455))/(1+EXP(MIN(700,MAX(-700,(Examples!$E$14*$A455-Examples!$E$15)/Examples!$E$16))))))+Examples!$E$17*$A455^2)</f>
        <v>2408401.7048656666</v>
      </c>
      <c r="G455" s="33">
        <f>(Examples!$E$6*Examples!$E$7*Examples!$E$8*EXP(-Examples!$E$9*$A455)*(1-(Examples!$E$12*(1-EXP(-Examples!$E$13*$A455))/(1+EXP(MIN(700,MAX(-700,(Examples!$E$14*$A455-Examples!$E$15)/Examples!$E$16))))))+Examples!$E$17*$A455^2)</f>
        <v>206548.29513433334</v>
      </c>
      <c r="H455" s="33">
        <f>Examples!$F$18-(Examples!$F$10+Examples!$F$11)*$A455-(Examples!$F$6*Examples!$F$7*Examples!$F$8*EXP(-Examples!$F$9*$A455)*(1-(Examples!$F$12*(1-EXP(-Examples!$F$13*$A455))/(1+EXP(MIN(700,MAX(-700,(Examples!$F$14*$A455-Examples!$F$15)/Examples!$F$16))))))+Examples!$F$17*$A455^2)</f>
        <v>-355514.05366787151</v>
      </c>
      <c r="I455" s="33">
        <f>(Examples!$F$6*Examples!$F$7*Examples!$F$8*EXP(-Examples!$F$9*$A455)*(1-(Examples!$F$12*(1-EXP(-Examples!$F$13*$A455))/(1+EXP(MIN(700,MAX(-700,(Examples!$F$14*$A455-Examples!$F$15)/Examples!$F$16))))))+Examples!$F$17*$A455^2)</f>
        <v>414914.05366787151</v>
      </c>
      <c r="J455" s="33">
        <f>Examples!$G$18-(Examples!$G$10+Examples!$G$11)*$A455-(Examples!$G$6*Examples!$G$7*Examples!$G$8*EXP(-Examples!$G$9*$A455)*(1-(Examples!$G$12*(1-EXP(-Examples!$G$13*$A455))/(1+EXP(MIN(700,MAX(-700,(Examples!$G$14*$A455-Examples!$G$15)/Examples!$G$16))))))+Examples!$G$17*$A455^2)</f>
        <v>718023.56031460455</v>
      </c>
      <c r="K455" s="33">
        <f>(Examples!$G$6*Examples!$G$7*Examples!$G$8*EXP(-Examples!$G$9*$A455)*(1-(Examples!$G$12*(1-EXP(-Examples!$G$13*$A455))/(1+EXP(MIN(700,MAX(-700,(Examples!$G$14*$A455-Examples!$G$15)/Examples!$G$16))))))+Examples!$G$17*$A455^2)</f>
        <v>555476.43968539545</v>
      </c>
      <c r="L455" s="33">
        <f>Examples!$H$18-(Examples!$H$10+Examples!$H$11)*$A455-(Examples!$H$6*Examples!$H$7*Examples!$H$8*EXP(-Examples!$H$9*$A455)*(1-(Examples!$H$12*(1-EXP(-Examples!$H$13*$A455))/(1+EXP(MIN(700,MAX(-700,(Examples!$H$14*$A455-Examples!$H$15)/Examples!$H$16))))))+Examples!$H$17*$A455^2)</f>
        <v>700084.80516490946</v>
      </c>
      <c r="M455" s="33">
        <f>(Examples!$H$6*Examples!$H$7*Examples!$H$8*EXP(-Examples!$H$9*$A455)*(1-(Examples!$H$12*(1-EXP(-Examples!$H$13*$A455))/(1+EXP(MIN(700,MAX(-700,(Examples!$H$14*$A455-Examples!$H$15)/Examples!$H$16))))))+Examples!$H$17*$A455^2)</f>
        <v>573415.19483509054</v>
      </c>
    </row>
    <row r="456" spans="1:13" x14ac:dyDescent="0.25">
      <c r="A456">
        <f>(456-2)/100</f>
        <v>4.54</v>
      </c>
      <c r="B456" s="33">
        <f>Examples!$C$18-(Examples!$C$10+Examples!$C$11)*$A456-(Examples!$C$6*Examples!$C$7*Examples!$C$8*EXP(-Examples!$C$9*$A456)*(1-(Examples!$C$12*(1-EXP(-Examples!$C$13*$A456))/(1+EXP(MIN(700,MAX(-700,(Examples!$C$14*$A456-Examples!$C$15)/Examples!$C$16))))))+Examples!$C$17*$A456^2)</f>
        <v>-21757.43438330153</v>
      </c>
      <c r="C456" s="33">
        <f>(Examples!$C$6*Examples!$C$7*Examples!$C$8*EXP(-Examples!$C$9*$A456)*(1-(Examples!$C$12*(1-EXP(-Examples!$C$13*$A456))/(1+EXP(MIN(700,MAX(-700,(Examples!$C$14*$A456-Examples!$C$15)/Examples!$C$16))))))+Examples!$C$17*$A456^2)</f>
        <v>462857.43438330153</v>
      </c>
      <c r="D456" s="33">
        <f>Examples!$D$18-(Examples!$D$10+Examples!$D$11)*$A456-(Examples!$D$6*Examples!$D$7*Examples!$D$8*EXP(-Examples!$D$9*$A456)*(1-(Examples!$D$12*(1-EXP(-Examples!$D$13*$A456))/(1+EXP(MIN(700,MAX(-700,(Examples!$D$14*$A456-Examples!$D$15)/Examples!$D$16))))))+Examples!$D$17*$A456^2)</f>
        <v>1555761.7321209693</v>
      </c>
      <c r="E456" s="33">
        <f>(Examples!$D$6*Examples!$D$7*Examples!$D$8*EXP(-Examples!$D$9*$A456)*(1-(Examples!$D$12*(1-EXP(-Examples!$D$13*$A456))/(1+EXP(MIN(700,MAX(-700,(Examples!$D$14*$A456-Examples!$D$15)/Examples!$D$16))))))+Examples!$D$17*$A456^2)</f>
        <v>739938.26787903055</v>
      </c>
      <c r="F456" s="33">
        <f>Examples!$E$18-(Examples!$E$10+Examples!$E$11)*$A456-(Examples!$E$6*Examples!$E$7*Examples!$E$8*EXP(-Examples!$E$9*$A456)*(1-(Examples!$E$12*(1-EXP(-Examples!$E$13*$A456))/(1+EXP(MIN(700,MAX(-700,(Examples!$E$14*$A456-Examples!$E$15)/Examples!$E$16))))))+Examples!$E$17*$A456^2)</f>
        <v>2407604.7953393171</v>
      </c>
      <c r="G456" s="33">
        <f>(Examples!$E$6*Examples!$E$7*Examples!$E$8*EXP(-Examples!$E$9*$A456)*(1-(Examples!$E$12*(1-EXP(-Examples!$E$13*$A456))/(1+EXP(MIN(700,MAX(-700,(Examples!$E$14*$A456-Examples!$E$15)/Examples!$E$16))))))+Examples!$E$17*$A456^2)</f>
        <v>206495.20466068288</v>
      </c>
      <c r="H456" s="33">
        <f>Examples!$F$18-(Examples!$F$10+Examples!$F$11)*$A456-(Examples!$F$6*Examples!$F$7*Examples!$F$8*EXP(-Examples!$F$9*$A456)*(1-(Examples!$F$12*(1-EXP(-Examples!$F$13*$A456))/(1+EXP(MIN(700,MAX(-700,(Examples!$F$14*$A456-Examples!$F$15)/Examples!$F$16))))))+Examples!$F$17*$A456^2)</f>
        <v>-357514.58586134942</v>
      </c>
      <c r="I456" s="33">
        <f>(Examples!$F$6*Examples!$F$7*Examples!$F$8*EXP(-Examples!$F$9*$A456)*(1-(Examples!$F$12*(1-EXP(-Examples!$F$13*$A456))/(1+EXP(MIN(700,MAX(-700,(Examples!$F$14*$A456-Examples!$F$15)/Examples!$F$16))))))+Examples!$F$17*$A456^2)</f>
        <v>416714.58586134942</v>
      </c>
      <c r="J456" s="33">
        <f>Examples!$G$18-(Examples!$G$10+Examples!$G$11)*$A456-(Examples!$G$6*Examples!$G$7*Examples!$G$8*EXP(-Examples!$G$9*$A456)*(1-(Examples!$G$12*(1-EXP(-Examples!$G$13*$A456))/(1+EXP(MIN(700,MAX(-700,(Examples!$G$14*$A456-Examples!$G$15)/Examples!$G$16))))))+Examples!$G$17*$A456^2)</f>
        <v>717947.98716106394</v>
      </c>
      <c r="K456" s="33">
        <f>(Examples!$G$6*Examples!$G$7*Examples!$G$8*EXP(-Examples!$G$9*$A456)*(1-(Examples!$G$12*(1-EXP(-Examples!$G$13*$A456))/(1+EXP(MIN(700,MAX(-700,(Examples!$G$14*$A456-Examples!$G$15)/Examples!$G$16))))))+Examples!$G$17*$A456^2)</f>
        <v>555052.01283893606</v>
      </c>
      <c r="L456" s="33">
        <f>Examples!$H$18-(Examples!$H$10+Examples!$H$11)*$A456-(Examples!$H$6*Examples!$H$7*Examples!$H$8*EXP(-Examples!$H$9*$A456)*(1-(Examples!$H$12*(1-EXP(-Examples!$H$13*$A456))/(1+EXP(MIN(700,MAX(-700,(Examples!$H$14*$A456-Examples!$H$15)/Examples!$H$16))))))+Examples!$H$17*$A456^2)</f>
        <v>700275.44334640028</v>
      </c>
      <c r="M456" s="33">
        <f>(Examples!$H$6*Examples!$H$7*Examples!$H$8*EXP(-Examples!$H$9*$A456)*(1-(Examples!$H$12*(1-EXP(-Examples!$H$13*$A456))/(1+EXP(MIN(700,MAX(-700,(Examples!$H$14*$A456-Examples!$H$15)/Examples!$H$16))))))+Examples!$H$17*$A456^2)</f>
        <v>572724.55665359972</v>
      </c>
    </row>
    <row r="457" spans="1:13" x14ac:dyDescent="0.25">
      <c r="A457">
        <f>(457-2)/100</f>
        <v>4.55</v>
      </c>
      <c r="B457" s="33">
        <f>Examples!$C$18-(Examples!$C$10+Examples!$C$11)*$A457-(Examples!$C$6*Examples!$C$7*Examples!$C$8*EXP(-Examples!$C$9*$A457)*(1-(Examples!$C$12*(1-EXP(-Examples!$C$13*$A457))/(1+EXP(MIN(700,MAX(-700,(Examples!$C$14*$A457-Examples!$C$15)/Examples!$C$16))))))+Examples!$C$17*$A457^2)</f>
        <v>-23010.745712899254</v>
      </c>
      <c r="C457" s="33">
        <f>(Examples!$C$6*Examples!$C$7*Examples!$C$8*EXP(-Examples!$C$9*$A457)*(1-(Examples!$C$12*(1-EXP(-Examples!$C$13*$A457))/(1+EXP(MIN(700,MAX(-700,(Examples!$C$14*$A457-Examples!$C$15)/Examples!$C$16))))))+Examples!$C$17*$A457^2)</f>
        <v>463760.74571289925</v>
      </c>
      <c r="D457" s="33">
        <f>Examples!$D$18-(Examples!$D$10+Examples!$D$11)*$A457-(Examples!$D$6*Examples!$D$7*Examples!$D$8*EXP(-Examples!$D$9*$A457)*(1-(Examples!$D$12*(1-EXP(-Examples!$D$13*$A457))/(1+EXP(MIN(700,MAX(-700,(Examples!$D$14*$A457-Examples!$D$15)/Examples!$D$16))))))+Examples!$D$17*$A457^2)</f>
        <v>1556392.4296076437</v>
      </c>
      <c r="E457" s="33">
        <f>(Examples!$D$6*Examples!$D$7*Examples!$D$8*EXP(-Examples!$D$9*$A457)*(1-(Examples!$D$12*(1-EXP(-Examples!$D$13*$A457))/(1+EXP(MIN(700,MAX(-700,(Examples!$D$14*$A457-Examples!$D$15)/Examples!$D$16))))))+Examples!$D$17*$A457^2)</f>
        <v>738857.57039235614</v>
      </c>
      <c r="F457" s="33">
        <f>Examples!$E$18-(Examples!$E$10+Examples!$E$11)*$A457-(Examples!$E$6*Examples!$E$7*Examples!$E$8*EXP(-Examples!$E$9*$A457)*(1-(Examples!$E$12*(1-EXP(-Examples!$E$13*$A457))/(1+EXP(MIN(700,MAX(-700,(Examples!$E$14*$A457-Examples!$E$15)/Examples!$E$16))))))+Examples!$E$17*$A457^2)</f>
        <v>2406806.4613860147</v>
      </c>
      <c r="G457" s="33">
        <f>(Examples!$E$6*Examples!$E$7*Examples!$E$8*EXP(-Examples!$E$9*$A457)*(1-(Examples!$E$12*(1-EXP(-Examples!$E$13*$A457))/(1+EXP(MIN(700,MAX(-700,(Examples!$E$14*$A457-Examples!$E$15)/Examples!$E$16))))))+Examples!$E$17*$A457^2)</f>
        <v>206443.53861398518</v>
      </c>
      <c r="H457" s="33">
        <f>Examples!$F$18-(Examples!$F$10+Examples!$F$11)*$A457-(Examples!$F$6*Examples!$F$7*Examples!$F$8*EXP(-Examples!$F$9*$A457)*(1-(Examples!$F$12*(1-EXP(-Examples!$F$13*$A457))/(1+EXP(MIN(700,MAX(-700,(Examples!$F$14*$A457-Examples!$F$15)/Examples!$F$16))))))+Examples!$F$17*$A457^2)</f>
        <v>-359519.15839186218</v>
      </c>
      <c r="I457" s="33">
        <f>(Examples!$F$6*Examples!$F$7*Examples!$F$8*EXP(-Examples!$F$9*$A457)*(1-(Examples!$F$12*(1-EXP(-Examples!$F$13*$A457))/(1+EXP(MIN(700,MAX(-700,(Examples!$F$14*$A457-Examples!$F$15)/Examples!$F$16))))))+Examples!$F$17*$A457^2)</f>
        <v>418519.15839186218</v>
      </c>
      <c r="J457" s="33">
        <f>Examples!$G$18-(Examples!$G$10+Examples!$G$11)*$A457-(Examples!$G$6*Examples!$G$7*Examples!$G$8*EXP(-Examples!$G$9*$A457)*(1-(Examples!$G$12*(1-EXP(-Examples!$G$13*$A457))/(1+EXP(MIN(700,MAX(-700,(Examples!$G$14*$A457-Examples!$G$15)/Examples!$G$16))))))+Examples!$G$17*$A457^2)</f>
        <v>717869.87929271534</v>
      </c>
      <c r="K457" s="33">
        <f>(Examples!$G$6*Examples!$G$7*Examples!$G$8*EXP(-Examples!$G$9*$A457)*(1-(Examples!$G$12*(1-EXP(-Examples!$G$13*$A457))/(1+EXP(MIN(700,MAX(-700,(Examples!$G$14*$A457-Examples!$G$15)/Examples!$G$16))))))+Examples!$G$17*$A457^2)</f>
        <v>554630.12070728466</v>
      </c>
      <c r="L457" s="33">
        <f>Examples!$H$18-(Examples!$H$10+Examples!$H$11)*$A457-(Examples!$H$6*Examples!$H$7*Examples!$H$8*EXP(-Examples!$H$9*$A457)*(1-(Examples!$H$12*(1-EXP(-Examples!$H$13*$A457))/(1+EXP(MIN(700,MAX(-700,(Examples!$H$14*$A457-Examples!$H$15)/Examples!$H$16))))))+Examples!$H$17*$A457^2)</f>
        <v>700459.9984325344</v>
      </c>
      <c r="M457" s="33">
        <f>(Examples!$H$6*Examples!$H$7*Examples!$H$8*EXP(-Examples!$H$9*$A457)*(1-(Examples!$H$12*(1-EXP(-Examples!$H$13*$A457))/(1+EXP(MIN(700,MAX(-700,(Examples!$H$14*$A457-Examples!$H$15)/Examples!$H$16))))))+Examples!$H$17*$A457^2)</f>
        <v>572040.0015674656</v>
      </c>
    </row>
    <row r="458" spans="1:13" x14ac:dyDescent="0.25">
      <c r="A458">
        <f>(458-2)/100</f>
        <v>4.5599999999999996</v>
      </c>
      <c r="B458" s="33">
        <f>Examples!$C$18-(Examples!$C$10+Examples!$C$11)*$A458-(Examples!$C$6*Examples!$C$7*Examples!$C$8*EXP(-Examples!$C$9*$A458)*(1-(Examples!$C$12*(1-EXP(-Examples!$C$13*$A458))/(1+EXP(MIN(700,MAX(-700,(Examples!$C$14*$A458-Examples!$C$15)/Examples!$C$16))))))+Examples!$C$17*$A458^2)</f>
        <v>-24268.429594052839</v>
      </c>
      <c r="C458" s="33">
        <f>(Examples!$C$6*Examples!$C$7*Examples!$C$8*EXP(-Examples!$C$9*$A458)*(1-(Examples!$C$12*(1-EXP(-Examples!$C$13*$A458))/(1+EXP(MIN(700,MAX(-700,(Examples!$C$14*$A458-Examples!$C$15)/Examples!$C$16))))))+Examples!$C$17*$A458^2)</f>
        <v>464668.42959405284</v>
      </c>
      <c r="D458" s="33">
        <f>Examples!$D$18-(Examples!$D$10+Examples!$D$11)*$A458-(Examples!$D$6*Examples!$D$7*Examples!$D$8*EXP(-Examples!$D$9*$A458)*(1-(Examples!$D$12*(1-EXP(-Examples!$D$13*$A458))/(1+EXP(MIN(700,MAX(-700,(Examples!$D$14*$A458-Examples!$D$15)/Examples!$D$16))))))+Examples!$D$17*$A458^2)</f>
        <v>1557028.6130383019</v>
      </c>
      <c r="E458" s="33">
        <f>(Examples!$D$6*Examples!$D$7*Examples!$D$8*EXP(-Examples!$D$9*$A458)*(1-(Examples!$D$12*(1-EXP(-Examples!$D$13*$A458))/(1+EXP(MIN(700,MAX(-700,(Examples!$D$14*$A458-Examples!$D$15)/Examples!$D$16))))))+Examples!$D$17*$A458^2)</f>
        <v>737771.38696169818</v>
      </c>
      <c r="F458" s="33">
        <f>Examples!$E$18-(Examples!$E$10+Examples!$E$11)*$A458-(Examples!$E$6*Examples!$E$7*Examples!$E$8*EXP(-Examples!$E$9*$A458)*(1-(Examples!$E$12*(1-EXP(-Examples!$E$13*$A458))/(1+EXP(MIN(700,MAX(-700,(Examples!$E$14*$A458-Examples!$E$15)/Examples!$E$16))))))+Examples!$E$17*$A458^2)</f>
        <v>2406006.7258147374</v>
      </c>
      <c r="G458" s="33">
        <f>(Examples!$E$6*Examples!$E$7*Examples!$E$8*EXP(-Examples!$E$9*$A458)*(1-(Examples!$E$12*(1-EXP(-Examples!$E$13*$A458))/(1+EXP(MIN(700,MAX(-700,(Examples!$E$14*$A458-Examples!$E$15)/Examples!$E$16))))))+Examples!$E$17*$A458^2)</f>
        <v>206393.27418526259</v>
      </c>
      <c r="H458" s="33">
        <f>Examples!$F$18-(Examples!$F$10+Examples!$F$11)*$A458-(Examples!$F$6*Examples!$F$7*Examples!$F$8*EXP(-Examples!$F$9*$A458)*(1-(Examples!$F$12*(1-EXP(-Examples!$F$13*$A458))/(1+EXP(MIN(700,MAX(-700,(Examples!$F$14*$A458-Examples!$F$15)/Examples!$F$16))))))+Examples!$F$17*$A458^2)</f>
        <v>-361527.77113881888</v>
      </c>
      <c r="I458" s="33">
        <f>(Examples!$F$6*Examples!$F$7*Examples!$F$8*EXP(-Examples!$F$9*$A458)*(1-(Examples!$F$12*(1-EXP(-Examples!$F$13*$A458))/(1+EXP(MIN(700,MAX(-700,(Examples!$F$14*$A458-Examples!$F$15)/Examples!$F$16))))))+Examples!$F$17*$A458^2)</f>
        <v>420327.77113881888</v>
      </c>
      <c r="J458" s="33">
        <f>Examples!$G$18-(Examples!$G$10+Examples!$G$11)*$A458-(Examples!$G$6*Examples!$G$7*Examples!$G$8*EXP(-Examples!$G$9*$A458)*(1-(Examples!$G$12*(1-EXP(-Examples!$G$13*$A458))/(1+EXP(MIN(700,MAX(-700,(Examples!$G$14*$A458-Examples!$G$15)/Examples!$G$16))))))+Examples!$G$17*$A458^2)</f>
        <v>717789.20176980912</v>
      </c>
      <c r="K458" s="33">
        <f>(Examples!$G$6*Examples!$G$7*Examples!$G$8*EXP(-Examples!$G$9*$A458)*(1-(Examples!$G$12*(1-EXP(-Examples!$G$13*$A458))/(1+EXP(MIN(700,MAX(-700,(Examples!$G$14*$A458-Examples!$G$15)/Examples!$G$16))))))+Examples!$G$17*$A458^2)</f>
        <v>554210.79823019088</v>
      </c>
      <c r="L458" s="33">
        <f>Examples!$H$18-(Examples!$H$10+Examples!$H$11)*$A458-(Examples!$H$6*Examples!$H$7*Examples!$H$8*EXP(-Examples!$H$9*$A458)*(1-(Examples!$H$12*(1-EXP(-Examples!$H$13*$A458))/(1+EXP(MIN(700,MAX(-700,(Examples!$H$14*$A458-Examples!$H$15)/Examples!$H$16))))))+Examples!$H$17*$A458^2)</f>
        <v>700638.47029984114</v>
      </c>
      <c r="M458" s="33">
        <f>(Examples!$H$6*Examples!$H$7*Examples!$H$8*EXP(-Examples!$H$9*$A458)*(1-(Examples!$H$12*(1-EXP(-Examples!$H$13*$A458))/(1+EXP(MIN(700,MAX(-700,(Examples!$H$14*$A458-Examples!$H$15)/Examples!$H$16))))))+Examples!$H$17*$A458^2)</f>
        <v>571361.52970015886</v>
      </c>
    </row>
    <row r="459" spans="1:13" x14ac:dyDescent="0.25">
      <c r="A459">
        <f>(459-2)/100</f>
        <v>4.57</v>
      </c>
      <c r="B459" s="33">
        <f>Examples!$C$18-(Examples!$C$10+Examples!$C$11)*$A459-(Examples!$C$6*Examples!$C$7*Examples!$C$8*EXP(-Examples!$C$9*$A459)*(1-(Examples!$C$12*(1-EXP(-Examples!$C$13*$A459))/(1+EXP(MIN(700,MAX(-700,(Examples!$C$14*$A459-Examples!$C$15)/Examples!$C$16))))))+Examples!$C$17*$A459^2)</f>
        <v>-25530.482121602865</v>
      </c>
      <c r="C459" s="33">
        <f>(Examples!$C$6*Examples!$C$7*Examples!$C$8*EXP(-Examples!$C$9*$A459)*(1-(Examples!$C$12*(1-EXP(-Examples!$C$13*$A459))/(1+EXP(MIN(700,MAX(-700,(Examples!$C$14*$A459-Examples!$C$15)/Examples!$C$16))))))+Examples!$C$17*$A459^2)</f>
        <v>465580.48212160286</v>
      </c>
      <c r="D459" s="33">
        <f>Examples!$D$18-(Examples!$D$10+Examples!$D$11)*$A459-(Examples!$D$6*Examples!$D$7*Examples!$D$8*EXP(-Examples!$D$9*$A459)*(1-(Examples!$D$12*(1-EXP(-Examples!$D$13*$A459))/(1+EXP(MIN(700,MAX(-700,(Examples!$D$14*$A459-Examples!$D$15)/Examples!$D$16))))))+Examples!$D$17*$A459^2)</f>
        <v>1557670.2170002663</v>
      </c>
      <c r="E459" s="33">
        <f>(Examples!$D$6*Examples!$D$7*Examples!$D$8*EXP(-Examples!$D$9*$A459)*(1-(Examples!$D$12*(1-EXP(-Examples!$D$13*$A459))/(1+EXP(MIN(700,MAX(-700,(Examples!$D$14*$A459-Examples!$D$15)/Examples!$D$16))))))+Examples!$D$17*$A459^2)</f>
        <v>736679.7829997337</v>
      </c>
      <c r="F459" s="33">
        <f>Examples!$E$18-(Examples!$E$10+Examples!$E$11)*$A459-(Examples!$E$6*Examples!$E$7*Examples!$E$8*EXP(-Examples!$E$9*$A459)*(1-(Examples!$E$12*(1-EXP(-Examples!$E$13*$A459))/(1+EXP(MIN(700,MAX(-700,(Examples!$E$14*$A459-Examples!$E$15)/Examples!$E$16))))))+Examples!$E$17*$A459^2)</f>
        <v>2405205.6110897749</v>
      </c>
      <c r="G459" s="33">
        <f>(Examples!$E$6*Examples!$E$7*Examples!$E$8*EXP(-Examples!$E$9*$A459)*(1-(Examples!$E$12*(1-EXP(-Examples!$E$13*$A459))/(1+EXP(MIN(700,MAX(-700,(Examples!$E$14*$A459-Examples!$E$15)/Examples!$E$16))))))+Examples!$E$17*$A459^2)</f>
        <v>206344.38891022513</v>
      </c>
      <c r="H459" s="33">
        <f>Examples!$F$18-(Examples!$F$10+Examples!$F$11)*$A459-(Examples!$F$6*Examples!$F$7*Examples!$F$8*EXP(-Examples!$F$9*$A459)*(1-(Examples!$F$12*(1-EXP(-Examples!$F$13*$A459))/(1+EXP(MIN(700,MAX(-700,(Examples!$F$14*$A459-Examples!$F$15)/Examples!$F$16))))))+Examples!$F$17*$A459^2)</f>
        <v>-363540.42398198007</v>
      </c>
      <c r="I459" s="33">
        <f>(Examples!$F$6*Examples!$F$7*Examples!$F$8*EXP(-Examples!$F$9*$A459)*(1-(Examples!$F$12*(1-EXP(-Examples!$F$13*$A459))/(1+EXP(MIN(700,MAX(-700,(Examples!$F$14*$A459-Examples!$F$15)/Examples!$F$16))))))+Examples!$F$17*$A459^2)</f>
        <v>422140.42398198007</v>
      </c>
      <c r="J459" s="33">
        <f>Examples!$G$18-(Examples!$G$10+Examples!$G$11)*$A459-(Examples!$G$6*Examples!$G$7*Examples!$G$8*EXP(-Examples!$G$9*$A459)*(1-(Examples!$G$12*(1-EXP(-Examples!$G$13*$A459))/(1+EXP(MIN(700,MAX(-700,(Examples!$G$14*$A459-Examples!$G$15)/Examples!$G$16))))))+Examples!$G$17*$A459^2)</f>
        <v>717705.92009768612</v>
      </c>
      <c r="K459" s="33">
        <f>(Examples!$G$6*Examples!$G$7*Examples!$G$8*EXP(-Examples!$G$9*$A459)*(1-(Examples!$G$12*(1-EXP(-Examples!$G$13*$A459))/(1+EXP(MIN(700,MAX(-700,(Examples!$G$14*$A459-Examples!$G$15)/Examples!$G$16))))))+Examples!$G$17*$A459^2)</f>
        <v>553794.07990231388</v>
      </c>
      <c r="L459" s="33">
        <f>Examples!$H$18-(Examples!$H$10+Examples!$H$11)*$A459-(Examples!$H$6*Examples!$H$7*Examples!$H$8*EXP(-Examples!$H$9*$A459)*(1-(Examples!$H$12*(1-EXP(-Examples!$H$13*$A459))/(1+EXP(MIN(700,MAX(-700,(Examples!$H$14*$A459-Examples!$H$15)/Examples!$H$16))))))+Examples!$H$17*$A459^2)</f>
        <v>700810.85935674142</v>
      </c>
      <c r="M459" s="33">
        <f>(Examples!$H$6*Examples!$H$7*Examples!$H$8*EXP(-Examples!$H$9*$A459)*(1-(Examples!$H$12*(1-EXP(-Examples!$H$13*$A459))/(1+EXP(MIN(700,MAX(-700,(Examples!$H$14*$A459-Examples!$H$15)/Examples!$H$16))))))+Examples!$H$17*$A459^2)</f>
        <v>570689.14064325858</v>
      </c>
    </row>
    <row r="460" spans="1:13" x14ac:dyDescent="0.25">
      <c r="A460">
        <f>(460-2)/100</f>
        <v>4.58</v>
      </c>
      <c r="B460" s="33">
        <f>Examples!$C$18-(Examples!$C$10+Examples!$C$11)*$A460-(Examples!$C$6*Examples!$C$7*Examples!$C$8*EXP(-Examples!$C$9*$A460)*(1-(Examples!$C$12*(1-EXP(-Examples!$C$13*$A460))/(1+EXP(MIN(700,MAX(-700,(Examples!$C$14*$A460-Examples!$C$15)/Examples!$C$16))))))+Examples!$C$17*$A460^2)</f>
        <v>-26796.899394957465</v>
      </c>
      <c r="C460" s="33">
        <f>(Examples!$C$6*Examples!$C$7*Examples!$C$8*EXP(-Examples!$C$9*$A460)*(1-(Examples!$C$12*(1-EXP(-Examples!$C$13*$A460))/(1+EXP(MIN(700,MAX(-700,(Examples!$C$14*$A460-Examples!$C$15)/Examples!$C$16))))))+Examples!$C$17*$A460^2)</f>
        <v>466496.89939495747</v>
      </c>
      <c r="D460" s="33">
        <f>Examples!$D$18-(Examples!$D$10+Examples!$D$11)*$A460-(Examples!$D$6*Examples!$D$7*Examples!$D$8*EXP(-Examples!$D$9*$A460)*(1-(Examples!$D$12*(1-EXP(-Examples!$D$13*$A460))/(1+EXP(MIN(700,MAX(-700,(Examples!$D$14*$A460-Examples!$D$15)/Examples!$D$16))))))+Examples!$D$17*$A460^2)</f>
        <v>1558317.1739943197</v>
      </c>
      <c r="E460" s="33">
        <f>(Examples!$D$6*Examples!$D$7*Examples!$D$8*EXP(-Examples!$D$9*$A460)*(1-(Examples!$D$12*(1-EXP(-Examples!$D$13*$A460))/(1+EXP(MIN(700,MAX(-700,(Examples!$D$14*$A460-Examples!$D$15)/Examples!$D$16))))))+Examples!$D$17*$A460^2)</f>
        <v>735582.82600568025</v>
      </c>
      <c r="F460" s="33">
        <f>Examples!$E$18-(Examples!$E$10+Examples!$E$11)*$A460-(Examples!$E$6*Examples!$E$7*Examples!$E$8*EXP(-Examples!$E$9*$A460)*(1-(Examples!$E$12*(1-EXP(-Examples!$E$13*$A460))/(1+EXP(MIN(700,MAX(-700,(Examples!$E$14*$A460-Examples!$E$15)/Examples!$E$16))))))+Examples!$E$17*$A460^2)</f>
        <v>2404403.1393328221</v>
      </c>
      <c r="G460" s="33">
        <f>(Examples!$E$6*Examples!$E$7*Examples!$E$8*EXP(-Examples!$E$9*$A460)*(1-(Examples!$E$12*(1-EXP(-Examples!$E$13*$A460))/(1+EXP(MIN(700,MAX(-700,(Examples!$E$14*$A460-Examples!$E$15)/Examples!$E$16))))))+Examples!$E$17*$A460^2)</f>
        <v>206296.86066717809</v>
      </c>
      <c r="H460" s="33">
        <f>Examples!$F$18-(Examples!$F$10+Examples!$F$11)*$A460-(Examples!$F$6*Examples!$F$7*Examples!$F$8*EXP(-Examples!$F$9*$A460)*(1-(Examples!$F$12*(1-EXP(-Examples!$F$13*$A460))/(1+EXP(MIN(700,MAX(-700,(Examples!$F$14*$A460-Examples!$F$15)/Examples!$F$16))))))+Examples!$F$17*$A460^2)</f>
        <v>-365557.11680145696</v>
      </c>
      <c r="I460" s="33">
        <f>(Examples!$F$6*Examples!$F$7*Examples!$F$8*EXP(-Examples!$F$9*$A460)*(1-(Examples!$F$12*(1-EXP(-Examples!$F$13*$A460))/(1+EXP(MIN(700,MAX(-700,(Examples!$F$14*$A460-Examples!$F$15)/Examples!$F$16))))))+Examples!$F$17*$A460^2)</f>
        <v>423957.11680145696</v>
      </c>
      <c r="J460" s="33">
        <f>Examples!$G$18-(Examples!$G$10+Examples!$G$11)*$A460-(Examples!$G$6*Examples!$G$7*Examples!$G$8*EXP(-Examples!$G$9*$A460)*(1-(Examples!$G$12*(1-EXP(-Examples!$G$13*$A460))/(1+EXP(MIN(700,MAX(-700,(Examples!$G$14*$A460-Examples!$G$15)/Examples!$G$16))))))+Examples!$G$17*$A460^2)</f>
        <v>717620.00022683153</v>
      </c>
      <c r="K460" s="33">
        <f>(Examples!$G$6*Examples!$G$7*Examples!$G$8*EXP(-Examples!$G$9*$A460)*(1-(Examples!$G$12*(1-EXP(-Examples!$G$13*$A460))/(1+EXP(MIN(700,MAX(-700,(Examples!$G$14*$A460-Examples!$G$15)/Examples!$G$16))))))+Examples!$G$17*$A460^2)</f>
        <v>553379.99977316847</v>
      </c>
      <c r="L460" s="33">
        <f>Examples!$H$18-(Examples!$H$10+Examples!$H$11)*$A460-(Examples!$H$6*Examples!$H$7*Examples!$H$8*EXP(-Examples!$H$9*$A460)*(1-(Examples!$H$12*(1-EXP(-Examples!$H$13*$A460))/(1+EXP(MIN(700,MAX(-700,(Examples!$H$14*$A460-Examples!$H$15)/Examples!$H$16))))))+Examples!$H$17*$A460^2)</f>
        <v>700977.16652403702</v>
      </c>
      <c r="M460" s="33">
        <f>(Examples!$H$6*Examples!$H$7*Examples!$H$8*EXP(-Examples!$H$9*$A460)*(1-(Examples!$H$12*(1-EXP(-Examples!$H$13*$A460))/(1+EXP(MIN(700,MAX(-700,(Examples!$H$14*$A460-Examples!$H$15)/Examples!$H$16))))))+Examples!$H$17*$A460^2)</f>
        <v>570022.83347596298</v>
      </c>
    </row>
    <row r="461" spans="1:13" x14ac:dyDescent="0.25">
      <c r="A461">
        <f>(461-2)/100</f>
        <v>4.59</v>
      </c>
      <c r="B461" s="33">
        <f>Examples!$C$18-(Examples!$C$10+Examples!$C$11)*$A461-(Examples!$C$6*Examples!$C$7*Examples!$C$8*EXP(-Examples!$C$9*$A461)*(1-(Examples!$C$12*(1-EXP(-Examples!$C$13*$A461))/(1+EXP(MIN(700,MAX(-700,(Examples!$C$14*$A461-Examples!$C$15)/Examples!$C$16))))))+Examples!$C$17*$A461^2)</f>
        <v>-28067.677518323821</v>
      </c>
      <c r="C461" s="33">
        <f>(Examples!$C$6*Examples!$C$7*Examples!$C$8*EXP(-Examples!$C$9*$A461)*(1-(Examples!$C$12*(1-EXP(-Examples!$C$13*$A461))/(1+EXP(MIN(700,MAX(-700,(Examples!$C$14*$A461-Examples!$C$15)/Examples!$C$16))))))+Examples!$C$17*$A461^2)</f>
        <v>467417.67751832382</v>
      </c>
      <c r="D461" s="33">
        <f>Examples!$D$18-(Examples!$D$10+Examples!$D$11)*$A461-(Examples!$D$6*Examples!$D$7*Examples!$D$8*EXP(-Examples!$D$9*$A461)*(1-(Examples!$D$12*(1-EXP(-Examples!$D$13*$A461))/(1+EXP(MIN(700,MAX(-700,(Examples!$D$14*$A461-Examples!$D$15)/Examples!$D$16))))))+Examples!$D$17*$A461^2)</f>
        <v>1558969.4145004952</v>
      </c>
      <c r="E461" s="33">
        <f>(Examples!$D$6*Examples!$D$7*Examples!$D$8*EXP(-Examples!$D$9*$A461)*(1-(Examples!$D$12*(1-EXP(-Examples!$D$13*$A461))/(1+EXP(MIN(700,MAX(-700,(Examples!$D$14*$A461-Examples!$D$15)/Examples!$D$16))))))+Examples!$D$17*$A461^2)</f>
        <v>734480.58549950481</v>
      </c>
      <c r="F461" s="33">
        <f>Examples!$E$18-(Examples!$E$10+Examples!$E$11)*$A461-(Examples!$E$6*Examples!$E$7*Examples!$E$8*EXP(-Examples!$E$9*$A461)*(1-(Examples!$E$12*(1-EXP(-Examples!$E$13*$A461))/(1+EXP(MIN(700,MAX(-700,(Examples!$E$14*$A461-Examples!$E$15)/Examples!$E$16))))))+Examples!$E$17*$A461^2)</f>
        <v>2403599.3323250613</v>
      </c>
      <c r="G461" s="33">
        <f>(Examples!$E$6*Examples!$E$7*Examples!$E$8*EXP(-Examples!$E$9*$A461)*(1-(Examples!$E$12*(1-EXP(-Examples!$E$13*$A461))/(1+EXP(MIN(700,MAX(-700,(Examples!$E$14*$A461-Examples!$E$15)/Examples!$E$16))))))+Examples!$E$17*$A461^2)</f>
        <v>206250.66767493883</v>
      </c>
      <c r="H461" s="33">
        <f>Examples!$F$18-(Examples!$F$10+Examples!$F$11)*$A461-(Examples!$F$6*Examples!$F$7*Examples!$F$8*EXP(-Examples!$F$9*$A461)*(1-(Examples!$F$12*(1-EXP(-Examples!$F$13*$A461))/(1+EXP(MIN(700,MAX(-700,(Examples!$F$14*$A461-Examples!$F$15)/Examples!$F$16))))))+Examples!$F$17*$A461^2)</f>
        <v>-367577.84947771108</v>
      </c>
      <c r="I461" s="33">
        <f>(Examples!$F$6*Examples!$F$7*Examples!$F$8*EXP(-Examples!$F$9*$A461)*(1-(Examples!$F$12*(1-EXP(-Examples!$F$13*$A461))/(1+EXP(MIN(700,MAX(-700,(Examples!$F$14*$A461-Examples!$F$15)/Examples!$F$16))))))+Examples!$F$17*$A461^2)</f>
        <v>425777.84947771108</v>
      </c>
      <c r="J461" s="33">
        <f>Examples!$G$18-(Examples!$G$10+Examples!$G$11)*$A461-(Examples!$G$6*Examples!$G$7*Examples!$G$8*EXP(-Examples!$G$9*$A461)*(1-(Examples!$G$12*(1-EXP(-Examples!$G$13*$A461))/(1+EXP(MIN(700,MAX(-700,(Examples!$G$14*$A461-Examples!$G$15)/Examples!$G$16))))))+Examples!$G$17*$A461^2)</f>
        <v>717531.40855276445</v>
      </c>
      <c r="K461" s="33">
        <f>(Examples!$G$6*Examples!$G$7*Examples!$G$8*EXP(-Examples!$G$9*$A461)*(1-(Examples!$G$12*(1-EXP(-Examples!$G$13*$A461))/(1+EXP(MIN(700,MAX(-700,(Examples!$G$14*$A461-Examples!$G$15)/Examples!$G$16))))))+Examples!$G$17*$A461^2)</f>
        <v>552968.59144723555</v>
      </c>
      <c r="L461" s="33">
        <f>Examples!$H$18-(Examples!$H$10+Examples!$H$11)*$A461-(Examples!$H$6*Examples!$H$7*Examples!$H$8*EXP(-Examples!$H$9*$A461)*(1-(Examples!$H$12*(1-EXP(-Examples!$H$13*$A461))/(1+EXP(MIN(700,MAX(-700,(Examples!$H$14*$A461-Examples!$H$15)/Examples!$H$16))))))+Examples!$H$17*$A461^2)</f>
        <v>701137.39321603999</v>
      </c>
      <c r="M461" s="33">
        <f>(Examples!$H$6*Examples!$H$7*Examples!$H$8*EXP(-Examples!$H$9*$A461)*(1-(Examples!$H$12*(1-EXP(-Examples!$H$13*$A461))/(1+EXP(MIN(700,MAX(-700,(Examples!$H$14*$A461-Examples!$H$15)/Examples!$H$16))))))+Examples!$H$17*$A461^2)</f>
        <v>569362.60678396001</v>
      </c>
    </row>
    <row r="462" spans="1:13" x14ac:dyDescent="0.25">
      <c r="A462">
        <f>(462-2)/100</f>
        <v>4.5999999999999996</v>
      </c>
      <c r="B462" s="33">
        <f>Examples!$C$18-(Examples!$C$10+Examples!$C$11)*$A462-(Examples!$C$6*Examples!$C$7*Examples!$C$8*EXP(-Examples!$C$9*$A462)*(1-(Examples!$C$12*(1-EXP(-Examples!$C$13*$A462))/(1+EXP(MIN(700,MAX(-700,(Examples!$C$14*$A462-Examples!$C$15)/Examples!$C$16))))))+Examples!$C$17*$A462^2)</f>
        <v>-29342.812600930571</v>
      </c>
      <c r="C462" s="33">
        <f>(Examples!$C$6*Examples!$C$7*Examples!$C$8*EXP(-Examples!$C$9*$A462)*(1-(Examples!$C$12*(1-EXP(-Examples!$C$13*$A462))/(1+EXP(MIN(700,MAX(-700,(Examples!$C$14*$A462-Examples!$C$15)/Examples!$C$16))))))+Examples!$C$17*$A462^2)</f>
        <v>468342.81260093057</v>
      </c>
      <c r="D462" s="33">
        <f>Examples!$D$18-(Examples!$D$10+Examples!$D$11)*$A462-(Examples!$D$6*Examples!$D$7*Examples!$D$8*EXP(-Examples!$D$9*$A462)*(1-(Examples!$D$12*(1-EXP(-Examples!$D$13*$A462))/(1+EXP(MIN(700,MAX(-700,(Examples!$D$14*$A462-Examples!$D$15)/Examples!$D$16))))))+Examples!$D$17*$A462^2)</f>
        <v>1559626.8670435851</v>
      </c>
      <c r="E462" s="33">
        <f>(Examples!$D$6*Examples!$D$7*Examples!$D$8*EXP(-Examples!$D$9*$A462)*(1-(Examples!$D$12*(1-EXP(-Examples!$D$13*$A462))/(1+EXP(MIN(700,MAX(-700,(Examples!$D$14*$A462-Examples!$D$15)/Examples!$D$16))))))+Examples!$D$17*$A462^2)</f>
        <v>733373.13295641495</v>
      </c>
      <c r="F462" s="33">
        <f>Examples!$E$18-(Examples!$E$10+Examples!$E$11)*$A462-(Examples!$E$6*Examples!$E$7*Examples!$E$8*EXP(-Examples!$E$9*$A462)*(1-(Examples!$E$12*(1-EXP(-Examples!$E$13*$A462))/(1+EXP(MIN(700,MAX(-700,(Examples!$E$14*$A462-Examples!$E$15)/Examples!$E$16))))))+Examples!$E$17*$A462^2)</f>
        <v>2402794.2115092399</v>
      </c>
      <c r="G462" s="33">
        <f>(Examples!$E$6*Examples!$E$7*Examples!$E$8*EXP(-Examples!$E$9*$A462)*(1-(Examples!$E$12*(1-EXP(-Examples!$E$13*$A462))/(1+EXP(MIN(700,MAX(-700,(Examples!$E$14*$A462-Examples!$E$15)/Examples!$E$16))))))+Examples!$E$17*$A462^2)</f>
        <v>206205.78849076026</v>
      </c>
      <c r="H462" s="33">
        <f>Examples!$F$18-(Examples!$F$10+Examples!$F$11)*$A462-(Examples!$F$6*Examples!$F$7*Examples!$F$8*EXP(-Examples!$F$9*$A462)*(1-(Examples!$F$12*(1-EXP(-Examples!$F$13*$A462))/(1+EXP(MIN(700,MAX(-700,(Examples!$F$14*$A462-Examples!$F$15)/Examples!$F$16))))))+Examples!$F$17*$A462^2)</f>
        <v>-369602.62189155363</v>
      </c>
      <c r="I462" s="33">
        <f>(Examples!$F$6*Examples!$F$7*Examples!$F$8*EXP(-Examples!$F$9*$A462)*(1-(Examples!$F$12*(1-EXP(-Examples!$F$13*$A462))/(1+EXP(MIN(700,MAX(-700,(Examples!$F$14*$A462-Examples!$F$15)/Examples!$F$16))))))+Examples!$F$17*$A462^2)</f>
        <v>427602.62189155363</v>
      </c>
      <c r="J462" s="33">
        <f>Examples!$G$18-(Examples!$G$10+Examples!$G$11)*$A462-(Examples!$G$6*Examples!$G$7*Examples!$G$8*EXP(-Examples!$G$9*$A462)*(1-(Examples!$G$12*(1-EXP(-Examples!$G$13*$A462))/(1+EXP(MIN(700,MAX(-700,(Examples!$G$14*$A462-Examples!$G$15)/Examples!$G$16))))))+Examples!$G$17*$A462^2)</f>
        <v>717440.11191577069</v>
      </c>
      <c r="K462" s="33">
        <f>(Examples!$G$6*Examples!$G$7*Examples!$G$8*EXP(-Examples!$G$9*$A462)*(1-(Examples!$G$12*(1-EXP(-Examples!$G$13*$A462))/(1+EXP(MIN(700,MAX(-700,(Examples!$G$14*$A462-Examples!$G$15)/Examples!$G$16))))))+Examples!$G$17*$A462^2)</f>
        <v>552559.88808422931</v>
      </c>
      <c r="L462" s="33">
        <f>Examples!$H$18-(Examples!$H$10+Examples!$H$11)*$A462-(Examples!$H$6*Examples!$H$7*Examples!$H$8*EXP(-Examples!$H$9*$A462)*(1-(Examples!$H$12*(1-EXP(-Examples!$H$13*$A462))/(1+EXP(MIN(700,MAX(-700,(Examples!$H$14*$A462-Examples!$H$15)/Examples!$H$16))))))+Examples!$H$17*$A462^2)</f>
        <v>701291.54132232408</v>
      </c>
      <c r="M462" s="33">
        <f>(Examples!$H$6*Examples!$H$7*Examples!$H$8*EXP(-Examples!$H$9*$A462)*(1-(Examples!$H$12*(1-EXP(-Examples!$H$13*$A462))/(1+EXP(MIN(700,MAX(-700,(Examples!$H$14*$A462-Examples!$H$15)/Examples!$H$16))))))+Examples!$H$17*$A462^2)</f>
        <v>568708.45867767592</v>
      </c>
    </row>
    <row r="463" spans="1:13" x14ac:dyDescent="0.25">
      <c r="A463">
        <f>(463-2)/100</f>
        <v>4.6100000000000003</v>
      </c>
      <c r="B463" s="33">
        <f>Examples!$C$18-(Examples!$C$10+Examples!$C$11)*$A463-(Examples!$C$6*Examples!$C$7*Examples!$C$8*EXP(-Examples!$C$9*$A463)*(1-(Examples!$C$12*(1-EXP(-Examples!$C$13*$A463))/(1+EXP(MIN(700,MAX(-700,(Examples!$C$14*$A463-Examples!$C$15)/Examples!$C$16))))))+Examples!$C$17*$A463^2)</f>
        <v>-30622.300757241668</v>
      </c>
      <c r="C463" s="33">
        <f>(Examples!$C$6*Examples!$C$7*Examples!$C$8*EXP(-Examples!$C$9*$A463)*(1-(Examples!$C$12*(1-EXP(-Examples!$C$13*$A463))/(1+EXP(MIN(700,MAX(-700,(Examples!$C$14*$A463-Examples!$C$15)/Examples!$C$16))))))+Examples!$C$17*$A463^2)</f>
        <v>469272.30075724167</v>
      </c>
      <c r="D463" s="33">
        <f>Examples!$D$18-(Examples!$D$10+Examples!$D$11)*$A463-(Examples!$D$6*Examples!$D$7*Examples!$D$8*EXP(-Examples!$D$9*$A463)*(1-(Examples!$D$12*(1-EXP(-Examples!$D$13*$A463))/(1+EXP(MIN(700,MAX(-700,(Examples!$D$14*$A463-Examples!$D$15)/Examples!$D$16))))))+Examples!$D$17*$A463^2)</f>
        <v>1560289.4582583315</v>
      </c>
      <c r="E463" s="33">
        <f>(Examples!$D$6*Examples!$D$7*Examples!$D$8*EXP(-Examples!$D$9*$A463)*(1-(Examples!$D$12*(1-EXP(-Examples!$D$13*$A463))/(1+EXP(MIN(700,MAX(-700,(Examples!$D$14*$A463-Examples!$D$15)/Examples!$D$16))))))+Examples!$D$17*$A463^2)</f>
        <v>732260.54174166848</v>
      </c>
      <c r="F463" s="33">
        <f>Examples!$E$18-(Examples!$E$10+Examples!$E$11)*$A463-(Examples!$E$6*Examples!$E$7*Examples!$E$8*EXP(-Examples!$E$9*$A463)*(1-(Examples!$E$12*(1-EXP(-Examples!$E$13*$A463))/(1+EXP(MIN(700,MAX(-700,(Examples!$E$14*$A463-Examples!$E$15)/Examples!$E$16))))))+Examples!$E$17*$A463^2)</f>
        <v>2401987.7979917377</v>
      </c>
      <c r="G463" s="33">
        <f>(Examples!$E$6*Examples!$E$7*Examples!$E$8*EXP(-Examples!$E$9*$A463)*(1-(Examples!$E$12*(1-EXP(-Examples!$E$13*$A463))/(1+EXP(MIN(700,MAX(-700,(Examples!$E$14*$A463-Examples!$E$15)/Examples!$E$16))))))+Examples!$E$17*$A463^2)</f>
        <v>206162.20200826204</v>
      </c>
      <c r="H463" s="33">
        <f>Examples!$F$18-(Examples!$F$10+Examples!$F$11)*$A463-(Examples!$F$6*Examples!$F$7*Examples!$F$8*EXP(-Examples!$F$9*$A463)*(1-(Examples!$F$12*(1-EXP(-Examples!$F$13*$A463))/(1+EXP(MIN(700,MAX(-700,(Examples!$F$14*$A463-Examples!$F$15)/Examples!$F$16))))))+Examples!$F$17*$A463^2)</f>
        <v>-371631.43392414442</v>
      </c>
      <c r="I463" s="33">
        <f>(Examples!$F$6*Examples!$F$7*Examples!$F$8*EXP(-Examples!$F$9*$A463)*(1-(Examples!$F$12*(1-EXP(-Examples!$F$13*$A463))/(1+EXP(MIN(700,MAX(-700,(Examples!$F$14*$A463-Examples!$F$15)/Examples!$F$16))))))+Examples!$F$17*$A463^2)</f>
        <v>429431.43392414442</v>
      </c>
      <c r="J463" s="33">
        <f>Examples!$G$18-(Examples!$G$10+Examples!$G$11)*$A463-(Examples!$G$6*Examples!$G$7*Examples!$G$8*EXP(-Examples!$G$9*$A463)*(1-(Examples!$G$12*(1-EXP(-Examples!$G$13*$A463))/(1+EXP(MIN(700,MAX(-700,(Examples!$G$14*$A463-Examples!$G$15)/Examples!$G$16))))))+Examples!$G$17*$A463^2)</f>
        <v>717346.07760048145</v>
      </c>
      <c r="K463" s="33">
        <f>(Examples!$G$6*Examples!$G$7*Examples!$G$8*EXP(-Examples!$G$9*$A463)*(1-(Examples!$G$12*(1-EXP(-Examples!$G$13*$A463))/(1+EXP(MIN(700,MAX(-700,(Examples!$G$14*$A463-Examples!$G$15)/Examples!$G$16))))))+Examples!$G$17*$A463^2)</f>
        <v>552153.92239951855</v>
      </c>
      <c r="L463" s="33">
        <f>Examples!$H$18-(Examples!$H$10+Examples!$H$11)*$A463-(Examples!$H$6*Examples!$H$7*Examples!$H$8*EXP(-Examples!$H$9*$A463)*(1-(Examples!$H$12*(1-EXP(-Examples!$H$13*$A463))/(1+EXP(MIN(700,MAX(-700,(Examples!$H$14*$A463-Examples!$H$15)/Examples!$H$16))))))+Examples!$H$17*$A463^2)</f>
        <v>701439.61319007678</v>
      </c>
      <c r="M463" s="33">
        <f>(Examples!$H$6*Examples!$H$7*Examples!$H$8*EXP(-Examples!$H$9*$A463)*(1-(Examples!$H$12*(1-EXP(-Examples!$H$13*$A463))/(1+EXP(MIN(700,MAX(-700,(Examples!$H$14*$A463-Examples!$H$15)/Examples!$H$16))))))+Examples!$H$17*$A463^2)</f>
        <v>568060.38680992322</v>
      </c>
    </row>
    <row r="464" spans="1:13" x14ac:dyDescent="0.25">
      <c r="A464">
        <f>(464-2)/100</f>
        <v>4.62</v>
      </c>
      <c r="B464" s="33">
        <f>Examples!$C$18-(Examples!$C$10+Examples!$C$11)*$A464-(Examples!$C$6*Examples!$C$7*Examples!$C$8*EXP(-Examples!$C$9*$A464)*(1-(Examples!$C$12*(1-EXP(-Examples!$C$13*$A464))/(1+EXP(MIN(700,MAX(-700,(Examples!$C$14*$A464-Examples!$C$15)/Examples!$C$16))))))+Examples!$C$17*$A464^2)</f>
        <v>-31906.138107160863</v>
      </c>
      <c r="C464" s="33">
        <f>(Examples!$C$6*Examples!$C$7*Examples!$C$8*EXP(-Examples!$C$9*$A464)*(1-(Examples!$C$12*(1-EXP(-Examples!$C$13*$A464))/(1+EXP(MIN(700,MAX(-700,(Examples!$C$14*$A464-Examples!$C$15)/Examples!$C$16))))))+Examples!$C$17*$A464^2)</f>
        <v>470206.13810716086</v>
      </c>
      <c r="D464" s="33">
        <f>Examples!$D$18-(Examples!$D$10+Examples!$D$11)*$A464-(Examples!$D$6*Examples!$D$7*Examples!$D$8*EXP(-Examples!$D$9*$A464)*(1-(Examples!$D$12*(1-EXP(-Examples!$D$13*$A464))/(1+EXP(MIN(700,MAX(-700,(Examples!$D$14*$A464-Examples!$D$15)/Examples!$D$16))))))+Examples!$D$17*$A464^2)</f>
        <v>1560957.1129542608</v>
      </c>
      <c r="E464" s="33">
        <f>(Examples!$D$6*Examples!$D$7*Examples!$D$8*EXP(-Examples!$D$9*$A464)*(1-(Examples!$D$12*(1-EXP(-Examples!$D$13*$A464))/(1+EXP(MIN(700,MAX(-700,(Examples!$D$14*$A464-Examples!$D$15)/Examples!$D$16))))))+Examples!$D$17*$A464^2)</f>
        <v>731142.88704573922</v>
      </c>
      <c r="F464" s="33">
        <f>Examples!$E$18-(Examples!$E$10+Examples!$E$11)*$A464-(Examples!$E$6*Examples!$E$7*Examples!$E$8*EXP(-Examples!$E$9*$A464)*(1-(Examples!$E$12*(1-EXP(-Examples!$E$13*$A464))/(1+EXP(MIN(700,MAX(-700,(Examples!$E$14*$A464-Examples!$E$15)/Examples!$E$16))))))+Examples!$E$17*$A464^2)</f>
        <v>2401180.1125446325</v>
      </c>
      <c r="G464" s="33">
        <f>(Examples!$E$6*Examples!$E$7*Examples!$E$8*EXP(-Examples!$E$9*$A464)*(1-(Examples!$E$12*(1-EXP(-Examples!$E$13*$A464))/(1+EXP(MIN(700,MAX(-700,(Examples!$E$14*$A464-Examples!$E$15)/Examples!$E$16))))))+Examples!$E$17*$A464^2)</f>
        <v>206119.88745536751</v>
      </c>
      <c r="H464" s="33">
        <f>Examples!$F$18-(Examples!$F$10+Examples!$F$11)*$A464-(Examples!$F$6*Examples!$F$7*Examples!$F$8*EXP(-Examples!$F$9*$A464)*(1-(Examples!$F$12*(1-EXP(-Examples!$F$13*$A464))/(1+EXP(MIN(700,MAX(-700,(Examples!$F$14*$A464-Examples!$F$15)/Examples!$F$16))))))+Examples!$F$17*$A464^2)</f>
        <v>-373664.28545699106</v>
      </c>
      <c r="I464" s="33">
        <f>(Examples!$F$6*Examples!$F$7*Examples!$F$8*EXP(-Examples!$F$9*$A464)*(1-(Examples!$F$12*(1-EXP(-Examples!$F$13*$A464))/(1+EXP(MIN(700,MAX(-700,(Examples!$F$14*$A464-Examples!$F$15)/Examples!$F$16))))))+Examples!$F$17*$A464^2)</f>
        <v>431264.28545699106</v>
      </c>
      <c r="J464" s="33">
        <f>Examples!$G$18-(Examples!$G$10+Examples!$G$11)*$A464-(Examples!$G$6*Examples!$G$7*Examples!$G$8*EXP(-Examples!$G$9*$A464)*(1-(Examples!$G$12*(1-EXP(-Examples!$G$13*$A464))/(1+EXP(MIN(700,MAX(-700,(Examples!$G$14*$A464-Examples!$G$15)/Examples!$G$16))))))+Examples!$G$17*$A464^2)</f>
        <v>717249.27333530434</v>
      </c>
      <c r="K464" s="33">
        <f>(Examples!$G$6*Examples!$G$7*Examples!$G$8*EXP(-Examples!$G$9*$A464)*(1-(Examples!$G$12*(1-EXP(-Examples!$G$13*$A464))/(1+EXP(MIN(700,MAX(-700,(Examples!$G$14*$A464-Examples!$G$15)/Examples!$G$16))))))+Examples!$G$17*$A464^2)</f>
        <v>551750.72666469566</v>
      </c>
      <c r="L464" s="33">
        <f>Examples!$H$18-(Examples!$H$10+Examples!$H$11)*$A464-(Examples!$H$6*Examples!$H$7*Examples!$H$8*EXP(-Examples!$H$9*$A464)*(1-(Examples!$H$12*(1-EXP(-Examples!$H$13*$A464))/(1+EXP(MIN(700,MAX(-700,(Examples!$H$14*$A464-Examples!$H$15)/Examples!$H$16))))))+Examples!$H$17*$A464^2)</f>
        <v>701581.61160703469</v>
      </c>
      <c r="M464" s="33">
        <f>(Examples!$H$6*Examples!$H$7*Examples!$H$8*EXP(-Examples!$H$9*$A464)*(1-(Examples!$H$12*(1-EXP(-Examples!$H$13*$A464))/(1+EXP(MIN(700,MAX(-700,(Examples!$H$14*$A464-Examples!$H$15)/Examples!$H$16))))))+Examples!$H$17*$A464^2)</f>
        <v>567418.38839296531</v>
      </c>
    </row>
    <row r="465" spans="1:13" x14ac:dyDescent="0.25">
      <c r="A465">
        <f>(465-2)/100</f>
        <v>4.63</v>
      </c>
      <c r="B465" s="33">
        <f>Examples!$C$18-(Examples!$C$10+Examples!$C$11)*$A465-(Examples!$C$6*Examples!$C$7*Examples!$C$8*EXP(-Examples!$C$9*$A465)*(1-(Examples!$C$12*(1-EXP(-Examples!$C$13*$A465))/(1+EXP(MIN(700,MAX(-700,(Examples!$C$14*$A465-Examples!$C$15)/Examples!$C$16))))))+Examples!$C$17*$A465^2)</f>
        <v>-33194.320776229724</v>
      </c>
      <c r="C465" s="33">
        <f>(Examples!$C$6*Examples!$C$7*Examples!$C$8*EXP(-Examples!$C$9*$A465)*(1-(Examples!$C$12*(1-EXP(-Examples!$C$13*$A465))/(1+EXP(MIN(700,MAX(-700,(Examples!$C$14*$A465-Examples!$C$15)/Examples!$C$16))))))+Examples!$C$17*$A465^2)</f>
        <v>471144.32077622972</v>
      </c>
      <c r="D465" s="33">
        <f>Examples!$D$18-(Examples!$D$10+Examples!$D$11)*$A465-(Examples!$D$6*Examples!$D$7*Examples!$D$8*EXP(-Examples!$D$9*$A465)*(1-(Examples!$D$12*(1-EXP(-Examples!$D$13*$A465))/(1+EXP(MIN(700,MAX(-700,(Examples!$D$14*$A465-Examples!$D$15)/Examples!$D$16))))))+Examples!$D$17*$A465^2)</f>
        <v>1561629.754180131</v>
      </c>
      <c r="E465" s="33">
        <f>(Examples!$D$6*Examples!$D$7*Examples!$D$8*EXP(-Examples!$D$9*$A465)*(1-(Examples!$D$12*(1-EXP(-Examples!$D$13*$A465))/(1+EXP(MIN(700,MAX(-700,(Examples!$D$14*$A465-Examples!$D$15)/Examples!$D$16))))))+Examples!$D$17*$A465^2)</f>
        <v>730020.24581986899</v>
      </c>
      <c r="F465" s="33">
        <f>Examples!$E$18-(Examples!$E$10+Examples!$E$11)*$A465-(Examples!$E$6*Examples!$E$7*Examples!$E$8*EXP(-Examples!$E$9*$A465)*(1-(Examples!$E$12*(1-EXP(-Examples!$E$13*$A465))/(1+EXP(MIN(700,MAX(-700,(Examples!$E$14*$A465-Examples!$E$15)/Examples!$E$16))))))+Examples!$E$17*$A465^2)</f>
        <v>2400371.1756077525</v>
      </c>
      <c r="G465" s="33">
        <f>(Examples!$E$6*Examples!$E$7*Examples!$E$8*EXP(-Examples!$E$9*$A465)*(1-(Examples!$E$12*(1-EXP(-Examples!$E$13*$A465))/(1+EXP(MIN(700,MAX(-700,(Examples!$E$14*$A465-Examples!$E$15)/Examples!$E$16))))))+Examples!$E$17*$A465^2)</f>
        <v>206078.82439224754</v>
      </c>
      <c r="H465" s="33">
        <f>Examples!$F$18-(Examples!$F$10+Examples!$F$11)*$A465-(Examples!$F$6*Examples!$F$7*Examples!$F$8*EXP(-Examples!$F$9*$A465)*(1-(Examples!$F$12*(1-EXP(-Examples!$F$13*$A465))/(1+EXP(MIN(700,MAX(-700,(Examples!$F$14*$A465-Examples!$F$15)/Examples!$F$16))))))+Examples!$F$17*$A465^2)</f>
        <v>-375701.17637194885</v>
      </c>
      <c r="I465" s="33">
        <f>(Examples!$F$6*Examples!$F$7*Examples!$F$8*EXP(-Examples!$F$9*$A465)*(1-(Examples!$F$12*(1-EXP(-Examples!$F$13*$A465))/(1+EXP(MIN(700,MAX(-700,(Examples!$F$14*$A465-Examples!$F$15)/Examples!$F$16))))))+Examples!$F$17*$A465^2)</f>
        <v>433101.17637194885</v>
      </c>
      <c r="J465" s="33">
        <f>Examples!$G$18-(Examples!$G$10+Examples!$G$11)*$A465-(Examples!$G$6*Examples!$G$7*Examples!$G$8*EXP(-Examples!$G$9*$A465)*(1-(Examples!$G$12*(1-EXP(-Examples!$G$13*$A465))/(1+EXP(MIN(700,MAX(-700,(Examples!$G$14*$A465-Examples!$G$15)/Examples!$G$16))))))+Examples!$G$17*$A465^2)</f>
        <v>717149.6672917126</v>
      </c>
      <c r="K465" s="33">
        <f>(Examples!$G$6*Examples!$G$7*Examples!$G$8*EXP(-Examples!$G$9*$A465)*(1-(Examples!$G$12*(1-EXP(-Examples!$G$13*$A465))/(1+EXP(MIN(700,MAX(-700,(Examples!$G$14*$A465-Examples!$G$15)/Examples!$G$16))))))+Examples!$G$17*$A465^2)</f>
        <v>551350.3327082874</v>
      </c>
      <c r="L465" s="33">
        <f>Examples!$H$18-(Examples!$H$10+Examples!$H$11)*$A465-(Examples!$H$6*Examples!$H$7*Examples!$H$8*EXP(-Examples!$H$9*$A465)*(1-(Examples!$H$12*(1-EXP(-Examples!$H$13*$A465))/(1+EXP(MIN(700,MAX(-700,(Examples!$H$14*$A465-Examples!$H$15)/Examples!$H$16))))))+Examples!$H$17*$A465^2)</f>
        <v>701717.53978498245</v>
      </c>
      <c r="M465" s="33">
        <f>(Examples!$H$6*Examples!$H$7*Examples!$H$8*EXP(-Examples!$H$9*$A465)*(1-(Examples!$H$12*(1-EXP(-Examples!$H$13*$A465))/(1+EXP(MIN(700,MAX(-700,(Examples!$H$14*$A465-Examples!$H$15)/Examples!$H$16))))))+Examples!$H$17*$A465^2)</f>
        <v>566782.46021501755</v>
      </c>
    </row>
    <row r="466" spans="1:13" x14ac:dyDescent="0.25">
      <c r="A466">
        <f>(466-2)/100</f>
        <v>4.6399999999999997</v>
      </c>
      <c r="B466" s="33">
        <f>Examples!$C$18-(Examples!$C$10+Examples!$C$11)*$A466-(Examples!$C$6*Examples!$C$7*Examples!$C$8*EXP(-Examples!$C$9*$A466)*(1-(Examples!$C$12*(1-EXP(-Examples!$C$13*$A466))/(1+EXP(MIN(700,MAX(-700,(Examples!$C$14*$A466-Examples!$C$15)/Examples!$C$16))))))+Examples!$C$17*$A466^2)</f>
        <v>-34486.844895816292</v>
      </c>
      <c r="C466" s="33">
        <f>(Examples!$C$6*Examples!$C$7*Examples!$C$8*EXP(-Examples!$C$9*$A466)*(1-(Examples!$C$12*(1-EXP(-Examples!$C$13*$A466))/(1+EXP(MIN(700,MAX(-700,(Examples!$C$14*$A466-Examples!$C$15)/Examples!$C$16))))))+Examples!$C$17*$A466^2)</f>
        <v>472086.84489581629</v>
      </c>
      <c r="D466" s="33">
        <f>Examples!$D$18-(Examples!$D$10+Examples!$D$11)*$A466-(Examples!$D$6*Examples!$D$7*Examples!$D$8*EXP(-Examples!$D$9*$A466)*(1-(Examples!$D$12*(1-EXP(-Examples!$D$13*$A466))/(1+EXP(MIN(700,MAX(-700,(Examples!$D$14*$A466-Examples!$D$15)/Examples!$D$16))))))+Examples!$D$17*$A466^2)</f>
        <v>1562307.3032879622</v>
      </c>
      <c r="E466" s="33">
        <f>(Examples!$D$6*Examples!$D$7*Examples!$D$8*EXP(-Examples!$D$9*$A466)*(1-(Examples!$D$12*(1-EXP(-Examples!$D$13*$A466))/(1+EXP(MIN(700,MAX(-700,(Examples!$D$14*$A466-Examples!$D$15)/Examples!$D$16))))))+Examples!$D$17*$A466^2)</f>
        <v>728892.69671203778</v>
      </c>
      <c r="F466" s="33">
        <f>Examples!$E$18-(Examples!$E$10+Examples!$E$11)*$A466-(Examples!$E$6*Examples!$E$7*Examples!$E$8*EXP(-Examples!$E$9*$A466)*(1-(Examples!$E$12*(1-EXP(-Examples!$E$13*$A466))/(1+EXP(MIN(700,MAX(-700,(Examples!$E$14*$A466-Examples!$E$15)/Examples!$E$16))))))+Examples!$E$17*$A466^2)</f>
        <v>2399561.0072907312</v>
      </c>
      <c r="G466" s="33">
        <f>(Examples!$E$6*Examples!$E$7*Examples!$E$8*EXP(-Examples!$E$9*$A466)*(1-(Examples!$E$12*(1-EXP(-Examples!$E$13*$A466))/(1+EXP(MIN(700,MAX(-700,(Examples!$E$14*$A466-Examples!$E$15)/Examples!$E$16))))))+Examples!$E$17*$A466^2)</f>
        <v>206038.9927092689</v>
      </c>
      <c r="H466" s="33">
        <f>Examples!$F$18-(Examples!$F$10+Examples!$F$11)*$A466-(Examples!$F$6*Examples!$F$7*Examples!$F$8*EXP(-Examples!$F$9*$A466)*(1-(Examples!$F$12*(1-EXP(-Examples!$F$13*$A466))/(1+EXP(MIN(700,MAX(-700,(Examples!$F$14*$A466-Examples!$F$15)/Examples!$F$16))))))+Examples!$F$17*$A466^2)</f>
        <v>-377742.10655121983</v>
      </c>
      <c r="I466" s="33">
        <f>(Examples!$F$6*Examples!$F$7*Examples!$F$8*EXP(-Examples!$F$9*$A466)*(1-(Examples!$F$12*(1-EXP(-Examples!$F$13*$A466))/(1+EXP(MIN(700,MAX(-700,(Examples!$F$14*$A466-Examples!$F$15)/Examples!$F$16))))))+Examples!$F$17*$A466^2)</f>
        <v>434942.10655121983</v>
      </c>
      <c r="J466" s="33">
        <f>Examples!$G$18-(Examples!$G$10+Examples!$G$11)*$A466-(Examples!$G$6*Examples!$G$7*Examples!$G$8*EXP(-Examples!$G$9*$A466)*(1-(Examples!$G$12*(1-EXP(-Examples!$G$13*$A466))/(1+EXP(MIN(700,MAX(-700,(Examples!$G$14*$A466-Examples!$G$15)/Examples!$G$16))))))+Examples!$G$17*$A466^2)</f>
        <v>717047.22808339284</v>
      </c>
      <c r="K466" s="33">
        <f>(Examples!$G$6*Examples!$G$7*Examples!$G$8*EXP(-Examples!$G$9*$A466)*(1-(Examples!$G$12*(1-EXP(-Examples!$G$13*$A466))/(1+EXP(MIN(700,MAX(-700,(Examples!$G$14*$A466-Examples!$G$15)/Examples!$G$16))))))+Examples!$G$17*$A466^2)</f>
        <v>550952.77191660716</v>
      </c>
      <c r="L466" s="33">
        <f>Examples!$H$18-(Examples!$H$10+Examples!$H$11)*$A466-(Examples!$H$6*Examples!$H$7*Examples!$H$8*EXP(-Examples!$H$9*$A466)*(1-(Examples!$H$12*(1-EXP(-Examples!$H$13*$A466))/(1+EXP(MIN(700,MAX(-700,(Examples!$H$14*$A466-Examples!$H$15)/Examples!$H$16))))))+Examples!$H$17*$A466^2)</f>
        <v>701847.4013437978</v>
      </c>
      <c r="M466" s="33">
        <f>(Examples!$H$6*Examples!$H$7*Examples!$H$8*EXP(-Examples!$H$9*$A466)*(1-(Examples!$H$12*(1-EXP(-Examples!$H$13*$A466))/(1+EXP(MIN(700,MAX(-700,(Examples!$H$14*$A466-Examples!$H$15)/Examples!$H$16))))))+Examples!$H$17*$A466^2)</f>
        <v>566152.5986562022</v>
      </c>
    </row>
    <row r="467" spans="1:13" x14ac:dyDescent="0.25">
      <c r="A467">
        <f>(467-2)/100</f>
        <v>4.6500000000000004</v>
      </c>
      <c r="B467" s="33">
        <f>Examples!$C$18-(Examples!$C$10+Examples!$C$11)*$A467-(Examples!$C$6*Examples!$C$7*Examples!$C$8*EXP(-Examples!$C$9*$A467)*(1-(Examples!$C$12*(1-EXP(-Examples!$C$13*$A467))/(1+EXP(MIN(700,MAX(-700,(Examples!$C$14*$A467-Examples!$C$15)/Examples!$C$16))))))+Examples!$C$17*$A467^2)</f>
        <v>-35783.706603296567</v>
      </c>
      <c r="C467" s="33">
        <f>(Examples!$C$6*Examples!$C$7*Examples!$C$8*EXP(-Examples!$C$9*$A467)*(1-(Examples!$C$12*(1-EXP(-Examples!$C$13*$A467))/(1+EXP(MIN(700,MAX(-700,(Examples!$C$14*$A467-Examples!$C$15)/Examples!$C$16))))))+Examples!$C$17*$A467^2)</f>
        <v>473033.70660329657</v>
      </c>
      <c r="D467" s="33">
        <f>Examples!$D$18-(Examples!$D$10+Examples!$D$11)*$A467-(Examples!$D$6*Examples!$D$7*Examples!$D$8*EXP(-Examples!$D$9*$A467)*(1-(Examples!$D$12*(1-EXP(-Examples!$D$13*$A467))/(1+EXP(MIN(700,MAX(-700,(Examples!$D$14*$A467-Examples!$D$15)/Examples!$D$16))))))+Examples!$D$17*$A467^2)</f>
        <v>1562989.6799966099</v>
      </c>
      <c r="E467" s="33">
        <f>(Examples!$D$6*Examples!$D$7*Examples!$D$8*EXP(-Examples!$D$9*$A467)*(1-(Examples!$D$12*(1-EXP(-Examples!$D$13*$A467))/(1+EXP(MIN(700,MAX(-700,(Examples!$D$14*$A467-Examples!$D$15)/Examples!$D$16))))))+Examples!$D$17*$A467^2)</f>
        <v>727760.32000339008</v>
      </c>
      <c r="F467" s="33">
        <f>Examples!$E$18-(Examples!$E$10+Examples!$E$11)*$A467-(Examples!$E$6*Examples!$E$7*Examples!$E$8*EXP(-Examples!$E$9*$A467)*(1-(Examples!$E$12*(1-EXP(-Examples!$E$13*$A467))/(1+EXP(MIN(700,MAX(-700,(Examples!$E$14*$A467-Examples!$E$15)/Examples!$E$16))))))+Examples!$E$17*$A467^2)</f>
        <v>2398749.6273750518</v>
      </c>
      <c r="G467" s="33">
        <f>(Examples!$E$6*Examples!$E$7*Examples!$E$8*EXP(-Examples!$E$9*$A467)*(1-(Examples!$E$12*(1-EXP(-Examples!$E$13*$A467))/(1+EXP(MIN(700,MAX(-700,(Examples!$E$14*$A467-Examples!$E$15)/Examples!$E$16))))))+Examples!$E$17*$A467^2)</f>
        <v>206000.37262494824</v>
      </c>
      <c r="H467" s="33">
        <f>Examples!$F$18-(Examples!$F$10+Examples!$F$11)*$A467-(Examples!$F$6*Examples!$F$7*Examples!$F$8*EXP(-Examples!$F$9*$A467)*(1-(Examples!$F$12*(1-EXP(-Examples!$F$13*$A467))/(1+EXP(MIN(700,MAX(-700,(Examples!$F$14*$A467-Examples!$F$15)/Examples!$F$16))))))+Examples!$F$17*$A467^2)</f>
        <v>-379787.07587735174</v>
      </c>
      <c r="I467" s="33">
        <f>(Examples!$F$6*Examples!$F$7*Examples!$F$8*EXP(-Examples!$F$9*$A467)*(1-(Examples!$F$12*(1-EXP(-Examples!$F$13*$A467))/(1+EXP(MIN(700,MAX(-700,(Examples!$F$14*$A467-Examples!$F$15)/Examples!$F$16))))))+Examples!$F$17*$A467^2)</f>
        <v>436787.07587735174</v>
      </c>
      <c r="J467" s="33">
        <f>Examples!$G$18-(Examples!$G$10+Examples!$G$11)*$A467-(Examples!$G$6*Examples!$G$7*Examples!$G$8*EXP(-Examples!$G$9*$A467)*(1-(Examples!$G$12*(1-EXP(-Examples!$G$13*$A467))/(1+EXP(MIN(700,MAX(-700,(Examples!$G$14*$A467-Examples!$G$15)/Examples!$G$16))))))+Examples!$G$17*$A467^2)</f>
        <v>716941.9247652631</v>
      </c>
      <c r="K467" s="33">
        <f>(Examples!$G$6*Examples!$G$7*Examples!$G$8*EXP(-Examples!$G$9*$A467)*(1-(Examples!$G$12*(1-EXP(-Examples!$G$13*$A467))/(1+EXP(MIN(700,MAX(-700,(Examples!$G$14*$A467-Examples!$G$15)/Examples!$G$16))))))+Examples!$G$17*$A467^2)</f>
        <v>550558.0752347369</v>
      </c>
      <c r="L467" s="33">
        <f>Examples!$H$18-(Examples!$H$10+Examples!$H$11)*$A467-(Examples!$H$6*Examples!$H$7*Examples!$H$8*EXP(-Examples!$H$9*$A467)*(1-(Examples!$H$12*(1-EXP(-Examples!$H$13*$A467))/(1+EXP(MIN(700,MAX(-700,(Examples!$H$14*$A467-Examples!$H$15)/Examples!$H$16))))))+Examples!$H$17*$A467^2)</f>
        <v>701971.20029602747</v>
      </c>
      <c r="M467" s="33">
        <f>(Examples!$H$6*Examples!$H$7*Examples!$H$8*EXP(-Examples!$H$9*$A467)*(1-(Examples!$H$12*(1-EXP(-Examples!$H$13*$A467))/(1+EXP(MIN(700,MAX(-700,(Examples!$H$14*$A467-Examples!$H$15)/Examples!$H$16))))))+Examples!$H$17*$A467^2)</f>
        <v>565528.79970397253</v>
      </c>
    </row>
    <row r="468" spans="1:13" x14ac:dyDescent="0.25">
      <c r="A468">
        <f>(468-2)/100</f>
        <v>4.66</v>
      </c>
      <c r="B468" s="33">
        <f>Examples!$C$18-(Examples!$C$10+Examples!$C$11)*$A468-(Examples!$C$6*Examples!$C$7*Examples!$C$8*EXP(-Examples!$C$9*$A468)*(1-(Examples!$C$12*(1-EXP(-Examples!$C$13*$A468))/(1+EXP(MIN(700,MAX(-700,(Examples!$C$14*$A468-Examples!$C$15)/Examples!$C$16))))))+Examples!$C$17*$A468^2)</f>
        <v>-37084.902042228845</v>
      </c>
      <c r="C468" s="33">
        <f>(Examples!$C$6*Examples!$C$7*Examples!$C$8*EXP(-Examples!$C$9*$A468)*(1-(Examples!$C$12*(1-EXP(-Examples!$C$13*$A468))/(1+EXP(MIN(700,MAX(-700,(Examples!$C$14*$A468-Examples!$C$15)/Examples!$C$16))))))+Examples!$C$17*$A468^2)</f>
        <v>473984.90204222884</v>
      </c>
      <c r="D468" s="33">
        <f>Examples!$D$18-(Examples!$D$10+Examples!$D$11)*$A468-(Examples!$D$6*Examples!$D$7*Examples!$D$8*EXP(-Examples!$D$9*$A468)*(1-(Examples!$D$12*(1-EXP(-Examples!$D$13*$A468))/(1+EXP(MIN(700,MAX(-700,(Examples!$D$14*$A468-Examples!$D$15)/Examples!$D$16))))))+Examples!$D$17*$A468^2)</f>
        <v>1563676.8024548623</v>
      </c>
      <c r="E468" s="33">
        <f>(Examples!$D$6*Examples!$D$7*Examples!$D$8*EXP(-Examples!$D$9*$A468)*(1-(Examples!$D$12*(1-EXP(-Examples!$D$13*$A468))/(1+EXP(MIN(700,MAX(-700,(Examples!$D$14*$A468-Examples!$D$15)/Examples!$D$16))))))+Examples!$D$17*$A468^2)</f>
        <v>726623.19754513784</v>
      </c>
      <c r="F468" s="33">
        <f>Examples!$E$18-(Examples!$E$10+Examples!$E$11)*$A468-(Examples!$E$6*Examples!$E$7*Examples!$E$8*EXP(-Examples!$E$9*$A468)*(1-(Examples!$E$12*(1-EXP(-Examples!$E$13*$A468))/(1+EXP(MIN(700,MAX(-700,(Examples!$E$14*$A468-Examples!$E$15)/Examples!$E$16))))))+Examples!$E$17*$A468^2)</f>
        <v>2397937.0553160897</v>
      </c>
      <c r="G468" s="33">
        <f>(Examples!$E$6*Examples!$E$7*Examples!$E$8*EXP(-Examples!$E$9*$A468)*(1-(Examples!$E$12*(1-EXP(-Examples!$E$13*$A468))/(1+EXP(MIN(700,MAX(-700,(Examples!$E$14*$A468-Examples!$E$15)/Examples!$E$16))))))+Examples!$E$17*$A468^2)</f>
        <v>205962.94468391041</v>
      </c>
      <c r="H468" s="33">
        <f>Examples!$F$18-(Examples!$F$10+Examples!$F$11)*$A468-(Examples!$F$6*Examples!$F$7*Examples!$F$8*EXP(-Examples!$F$9*$A468)*(1-(Examples!$F$12*(1-EXP(-Examples!$F$13*$A468))/(1+EXP(MIN(700,MAX(-700,(Examples!$F$14*$A468-Examples!$F$15)/Examples!$F$16))))))+Examples!$F$17*$A468^2)</f>
        <v>-381836.0842332372</v>
      </c>
      <c r="I468" s="33">
        <f>(Examples!$F$6*Examples!$F$7*Examples!$F$8*EXP(-Examples!$F$9*$A468)*(1-(Examples!$F$12*(1-EXP(-Examples!$F$13*$A468))/(1+EXP(MIN(700,MAX(-700,(Examples!$F$14*$A468-Examples!$F$15)/Examples!$F$16))))))+Examples!$F$17*$A468^2)</f>
        <v>438636.0842332372</v>
      </c>
      <c r="J468" s="33">
        <f>Examples!$G$18-(Examples!$G$10+Examples!$G$11)*$A468-(Examples!$G$6*Examples!$G$7*Examples!$G$8*EXP(-Examples!$G$9*$A468)*(1-(Examples!$G$12*(1-EXP(-Examples!$G$13*$A468))/(1+EXP(MIN(700,MAX(-700,(Examples!$G$14*$A468-Examples!$G$15)/Examples!$G$16))))))+Examples!$G$17*$A468^2)</f>
        <v>716833.72683235921</v>
      </c>
      <c r="K468" s="33">
        <f>(Examples!$G$6*Examples!$G$7*Examples!$G$8*EXP(-Examples!$G$9*$A468)*(1-(Examples!$G$12*(1-EXP(-Examples!$G$13*$A468))/(1+EXP(MIN(700,MAX(-700,(Examples!$G$14*$A468-Examples!$G$15)/Examples!$G$16))))))+Examples!$G$17*$A468^2)</f>
        <v>550166.27316764079</v>
      </c>
      <c r="L468" s="33">
        <f>Examples!$H$18-(Examples!$H$10+Examples!$H$11)*$A468-(Examples!$H$6*Examples!$H$7*Examples!$H$8*EXP(-Examples!$H$9*$A468)*(1-(Examples!$H$12*(1-EXP(-Examples!$H$13*$A468))/(1+EXP(MIN(700,MAX(-700,(Examples!$H$14*$A468-Examples!$H$15)/Examples!$H$16))))))+Examples!$H$17*$A468^2)</f>
        <v>702088.94103197358</v>
      </c>
      <c r="M468" s="33">
        <f>(Examples!$H$6*Examples!$H$7*Examples!$H$8*EXP(-Examples!$H$9*$A468)*(1-(Examples!$H$12*(1-EXP(-Examples!$H$13*$A468))/(1+EXP(MIN(700,MAX(-700,(Examples!$H$14*$A468-Examples!$H$15)/Examples!$H$16))))))+Examples!$H$17*$A468^2)</f>
        <v>564911.05896802642</v>
      </c>
    </row>
    <row r="469" spans="1:13" x14ac:dyDescent="0.25">
      <c r="A469">
        <f>(469-2)/100</f>
        <v>4.67</v>
      </c>
      <c r="B469" s="33">
        <f>Examples!$C$18-(Examples!$C$10+Examples!$C$11)*$A469-(Examples!$C$6*Examples!$C$7*Examples!$C$8*EXP(-Examples!$C$9*$A469)*(1-(Examples!$C$12*(1-EXP(-Examples!$C$13*$A469))/(1+EXP(MIN(700,MAX(-700,(Examples!$C$14*$A469-Examples!$C$15)/Examples!$C$16))))))+Examples!$C$17*$A469^2)</f>
        <v>-38390.427362520481</v>
      </c>
      <c r="C469" s="33">
        <f>(Examples!$C$6*Examples!$C$7*Examples!$C$8*EXP(-Examples!$C$9*$A469)*(1-(Examples!$C$12*(1-EXP(-Examples!$C$13*$A469))/(1+EXP(MIN(700,MAX(-700,(Examples!$C$14*$A469-Examples!$C$15)/Examples!$C$16))))))+Examples!$C$17*$A469^2)</f>
        <v>474940.42736252048</v>
      </c>
      <c r="D469" s="33">
        <f>Examples!$D$18-(Examples!$D$10+Examples!$D$11)*$A469-(Examples!$D$6*Examples!$D$7*Examples!$D$8*EXP(-Examples!$D$9*$A469)*(1-(Examples!$D$12*(1-EXP(-Examples!$D$13*$A469))/(1+EXP(MIN(700,MAX(-700,(Examples!$D$14*$A469-Examples!$D$15)/Examples!$D$16))))))+Examples!$D$17*$A469^2)</f>
        <v>1564368.5873040217</v>
      </c>
      <c r="E469" s="33">
        <f>(Examples!$D$6*Examples!$D$7*Examples!$D$8*EXP(-Examples!$D$9*$A469)*(1-(Examples!$D$12*(1-EXP(-Examples!$D$13*$A469))/(1+EXP(MIN(700,MAX(-700,(Examples!$D$14*$A469-Examples!$D$15)/Examples!$D$16))))))+Examples!$D$17*$A469^2)</f>
        <v>725481.4126959783</v>
      </c>
      <c r="F469" s="33">
        <f>Examples!$E$18-(Examples!$E$10+Examples!$E$11)*$A469-(Examples!$E$6*Examples!$E$7*Examples!$E$8*EXP(-Examples!$E$9*$A469)*(1-(Examples!$E$12*(1-EXP(-Examples!$E$13*$A469))/(1+EXP(MIN(700,MAX(-700,(Examples!$E$14*$A469-Examples!$E$15)/Examples!$E$16))))))+Examples!$E$17*$A469^2)</f>
        <v>2397123.3102451493</v>
      </c>
      <c r="G469" s="33">
        <f>(Examples!$E$6*Examples!$E$7*Examples!$E$8*EXP(-Examples!$E$9*$A469)*(1-(Examples!$E$12*(1-EXP(-Examples!$E$13*$A469))/(1+EXP(MIN(700,MAX(-700,(Examples!$E$14*$A469-Examples!$E$15)/Examples!$E$16))))))+Examples!$E$17*$A469^2)</f>
        <v>205926.68975485061</v>
      </c>
      <c r="H469" s="33">
        <f>Examples!$F$18-(Examples!$F$10+Examples!$F$11)*$A469-(Examples!$F$6*Examples!$F$7*Examples!$F$8*EXP(-Examples!$F$9*$A469)*(1-(Examples!$F$12*(1-EXP(-Examples!$F$13*$A469))/(1+EXP(MIN(700,MAX(-700,(Examples!$F$14*$A469-Examples!$F$15)/Examples!$F$16))))))+Examples!$F$17*$A469^2)</f>
        <v>-383889.13150211336</v>
      </c>
      <c r="I469" s="33">
        <f>(Examples!$F$6*Examples!$F$7*Examples!$F$8*EXP(-Examples!$F$9*$A469)*(1-(Examples!$F$12*(1-EXP(-Examples!$F$13*$A469))/(1+EXP(MIN(700,MAX(-700,(Examples!$F$14*$A469-Examples!$F$15)/Examples!$F$16))))))+Examples!$F$17*$A469^2)</f>
        <v>440489.13150211336</v>
      </c>
      <c r="J469" s="33">
        <f>Examples!$G$18-(Examples!$G$10+Examples!$G$11)*$A469-(Examples!$G$6*Examples!$G$7*Examples!$G$8*EXP(-Examples!$G$9*$A469)*(1-(Examples!$G$12*(1-EXP(-Examples!$G$13*$A469))/(1+EXP(MIN(700,MAX(-700,(Examples!$G$14*$A469-Examples!$G$15)/Examples!$G$16))))))+Examples!$G$17*$A469^2)</f>
        <v>716722.60421859694</v>
      </c>
      <c r="K469" s="33">
        <f>(Examples!$G$6*Examples!$G$7*Examples!$G$8*EXP(-Examples!$G$9*$A469)*(1-(Examples!$G$12*(1-EXP(-Examples!$G$13*$A469))/(1+EXP(MIN(700,MAX(-700,(Examples!$G$14*$A469-Examples!$G$15)/Examples!$G$16))))))+Examples!$G$17*$A469^2)</f>
        <v>549777.39578140306</v>
      </c>
      <c r="L469" s="33">
        <f>Examples!$H$18-(Examples!$H$10+Examples!$H$11)*$A469-(Examples!$H$6*Examples!$H$7*Examples!$H$8*EXP(-Examples!$H$9*$A469)*(1-(Examples!$H$12*(1-EXP(-Examples!$H$13*$A469))/(1+EXP(MIN(700,MAX(-700,(Examples!$H$14*$A469-Examples!$H$15)/Examples!$H$16))))))+Examples!$H$17*$A469^2)</f>
        <v>702200.62830527651</v>
      </c>
      <c r="M469" s="33">
        <f>(Examples!$H$6*Examples!$H$7*Examples!$H$8*EXP(-Examples!$H$9*$A469)*(1-(Examples!$H$12*(1-EXP(-Examples!$H$13*$A469))/(1+EXP(MIN(700,MAX(-700,(Examples!$H$14*$A469-Examples!$H$15)/Examples!$H$16))))))+Examples!$H$17*$A469^2)</f>
        <v>564299.37169472349</v>
      </c>
    </row>
    <row r="470" spans="1:13" x14ac:dyDescent="0.25">
      <c r="A470">
        <f>(470-2)/100</f>
        <v>4.68</v>
      </c>
      <c r="B470" s="33">
        <f>Examples!$C$18-(Examples!$C$10+Examples!$C$11)*$A470-(Examples!$C$6*Examples!$C$7*Examples!$C$8*EXP(-Examples!$C$9*$A470)*(1-(Examples!$C$12*(1-EXP(-Examples!$C$13*$A470))/(1+EXP(MIN(700,MAX(-700,(Examples!$C$14*$A470-Examples!$C$15)/Examples!$C$16))))))+Examples!$C$17*$A470^2)</f>
        <v>-39700.278720589005</v>
      </c>
      <c r="C470" s="33">
        <f>(Examples!$C$6*Examples!$C$7*Examples!$C$8*EXP(-Examples!$C$9*$A470)*(1-(Examples!$C$12*(1-EXP(-Examples!$C$13*$A470))/(1+EXP(MIN(700,MAX(-700,(Examples!$C$14*$A470-Examples!$C$15)/Examples!$C$16))))))+Examples!$C$17*$A470^2)</f>
        <v>475900.27872058901</v>
      </c>
      <c r="D470" s="33">
        <f>Examples!$D$18-(Examples!$D$10+Examples!$D$11)*$A470-(Examples!$D$6*Examples!$D$7*Examples!$D$8*EXP(-Examples!$D$9*$A470)*(1-(Examples!$D$12*(1-EXP(-Examples!$D$13*$A470))/(1+EXP(MIN(700,MAX(-700,(Examples!$D$14*$A470-Examples!$D$15)/Examples!$D$16))))))+Examples!$D$17*$A470^2)</f>
        <v>1565064.9497399498</v>
      </c>
      <c r="E470" s="33">
        <f>(Examples!$D$6*Examples!$D$7*Examples!$D$8*EXP(-Examples!$D$9*$A470)*(1-(Examples!$D$12*(1-EXP(-Examples!$D$13*$A470))/(1+EXP(MIN(700,MAX(-700,(Examples!$D$14*$A470-Examples!$D$15)/Examples!$D$16))))))+Examples!$D$17*$A470^2)</f>
        <v>724335.05026005034</v>
      </c>
      <c r="F470" s="33">
        <f>Examples!$E$18-(Examples!$E$10+Examples!$E$11)*$A470-(Examples!$E$6*Examples!$E$7*Examples!$E$8*EXP(-Examples!$E$9*$A470)*(1-(Examples!$E$12*(1-EXP(-Examples!$E$13*$A470))/(1+EXP(MIN(700,MAX(-700,(Examples!$E$14*$A470-Examples!$E$15)/Examples!$E$16))))))+Examples!$E$17*$A470^2)</f>
        <v>2396308.410971499</v>
      </c>
      <c r="G470" s="33">
        <f>(Examples!$E$6*Examples!$E$7*Examples!$E$8*EXP(-Examples!$E$9*$A470)*(1-(Examples!$E$12*(1-EXP(-Examples!$E$13*$A470))/(1+EXP(MIN(700,MAX(-700,(Examples!$E$14*$A470-Examples!$E$15)/Examples!$E$16))))))+Examples!$E$17*$A470^2)</f>
        <v>205891.58902850075</v>
      </c>
      <c r="H470" s="33">
        <f>Examples!$F$18-(Examples!$F$10+Examples!$F$11)*$A470-(Examples!$F$6*Examples!$F$7*Examples!$F$8*EXP(-Examples!$F$9*$A470)*(1-(Examples!$F$12*(1-EXP(-Examples!$F$13*$A470))/(1+EXP(MIN(700,MAX(-700,(Examples!$F$14*$A470-Examples!$F$15)/Examples!$F$16))))))+Examples!$F$17*$A470^2)</f>
        <v>-385946.21756756137</v>
      </c>
      <c r="I470" s="33">
        <f>(Examples!$F$6*Examples!$F$7*Examples!$F$8*EXP(-Examples!$F$9*$A470)*(1-(Examples!$F$12*(1-EXP(-Examples!$F$13*$A470))/(1+EXP(MIN(700,MAX(-700,(Examples!$F$14*$A470-Examples!$F$15)/Examples!$F$16))))))+Examples!$F$17*$A470^2)</f>
        <v>442346.21756756137</v>
      </c>
      <c r="J470" s="33">
        <f>Examples!$G$18-(Examples!$G$10+Examples!$G$11)*$A470-(Examples!$G$6*Examples!$G$7*Examples!$G$8*EXP(-Examples!$G$9*$A470)*(1-(Examples!$G$12*(1-EXP(-Examples!$G$13*$A470))/(1+EXP(MIN(700,MAX(-700,(Examples!$G$14*$A470-Examples!$G$15)/Examples!$G$16))))))+Examples!$G$17*$A470^2)</f>
        <v>716608.52729541622</v>
      </c>
      <c r="K470" s="33">
        <f>(Examples!$G$6*Examples!$G$7*Examples!$G$8*EXP(-Examples!$G$9*$A470)*(1-(Examples!$G$12*(1-EXP(-Examples!$G$13*$A470))/(1+EXP(MIN(700,MAX(-700,(Examples!$G$14*$A470-Examples!$G$15)/Examples!$G$16))))))+Examples!$G$17*$A470^2)</f>
        <v>549391.47270458378</v>
      </c>
      <c r="L470" s="33">
        <f>Examples!$H$18-(Examples!$H$10+Examples!$H$11)*$A470-(Examples!$H$6*Examples!$H$7*Examples!$H$8*EXP(-Examples!$H$9*$A470)*(1-(Examples!$H$12*(1-EXP(-Examples!$H$13*$A470))/(1+EXP(MIN(700,MAX(-700,(Examples!$H$14*$A470-Examples!$H$15)/Examples!$H$16))))))+Examples!$H$17*$A470^2)</f>
        <v>702306.26721897966</v>
      </c>
      <c r="M470" s="33">
        <f>(Examples!$H$6*Examples!$H$7*Examples!$H$8*EXP(-Examples!$H$9*$A470)*(1-(Examples!$H$12*(1-EXP(-Examples!$H$13*$A470))/(1+EXP(MIN(700,MAX(-700,(Examples!$H$14*$A470-Examples!$H$15)/Examples!$H$16))))))+Examples!$H$17*$A470^2)</f>
        <v>563693.73278102034</v>
      </c>
    </row>
    <row r="471" spans="1:13" x14ac:dyDescent="0.25">
      <c r="A471">
        <f>(471-2)/100</f>
        <v>4.6900000000000004</v>
      </c>
      <c r="B471" s="33">
        <f>Examples!$C$18-(Examples!$C$10+Examples!$C$11)*$A471-(Examples!$C$6*Examples!$C$7*Examples!$C$8*EXP(-Examples!$C$9*$A471)*(1-(Examples!$C$12*(1-EXP(-Examples!$C$13*$A471))/(1+EXP(MIN(700,MAX(-700,(Examples!$C$14*$A471-Examples!$C$15)/Examples!$C$16))))))+Examples!$C$17*$A471^2)</f>
        <v>-41014.452279514575</v>
      </c>
      <c r="C471" s="33">
        <f>(Examples!$C$6*Examples!$C$7*Examples!$C$8*EXP(-Examples!$C$9*$A471)*(1-(Examples!$C$12*(1-EXP(-Examples!$C$13*$A471))/(1+EXP(MIN(700,MAX(-700,(Examples!$C$14*$A471-Examples!$C$15)/Examples!$C$16))))))+Examples!$C$17*$A471^2)</f>
        <v>476864.45227951457</v>
      </c>
      <c r="D471" s="33">
        <f>Examples!$D$18-(Examples!$D$10+Examples!$D$11)*$A471-(Examples!$D$6*Examples!$D$7*Examples!$D$8*EXP(-Examples!$D$9*$A471)*(1-(Examples!$D$12*(1-EXP(-Examples!$D$13*$A471))/(1+EXP(MIN(700,MAX(-700,(Examples!$D$14*$A471-Examples!$D$15)/Examples!$D$16))))))+Examples!$D$17*$A471^2)</f>
        <v>1565765.8035745444</v>
      </c>
      <c r="E471" s="33">
        <f>(Examples!$D$6*Examples!$D$7*Examples!$D$8*EXP(-Examples!$D$9*$A471)*(1-(Examples!$D$12*(1-EXP(-Examples!$D$13*$A471))/(1+EXP(MIN(700,MAX(-700,(Examples!$D$14*$A471-Examples!$D$15)/Examples!$D$16))))))+Examples!$D$17*$A471^2)</f>
        <v>723184.19642545551</v>
      </c>
      <c r="F471" s="33">
        <f>Examples!$E$18-(Examples!$E$10+Examples!$E$11)*$A471-(Examples!$E$6*Examples!$E$7*Examples!$E$8*EXP(-Examples!$E$9*$A471)*(1-(Examples!$E$12*(1-EXP(-Examples!$E$13*$A471))/(1+EXP(MIN(700,MAX(-700,(Examples!$E$14*$A471-Examples!$E$15)/Examples!$E$16))))))+Examples!$E$17*$A471^2)</f>
        <v>2395492.3759844019</v>
      </c>
      <c r="G471" s="33">
        <f>(Examples!$E$6*Examples!$E$7*Examples!$E$8*EXP(-Examples!$E$9*$A471)*(1-(Examples!$E$12*(1-EXP(-Examples!$E$13*$A471))/(1+EXP(MIN(700,MAX(-700,(Examples!$E$14*$A471-Examples!$E$15)/Examples!$E$16))))))+Examples!$E$17*$A471^2)</f>
        <v>205857.62401559792</v>
      </c>
      <c r="H471" s="33">
        <f>Examples!$F$18-(Examples!$F$10+Examples!$F$11)*$A471-(Examples!$F$6*Examples!$F$7*Examples!$F$8*EXP(-Examples!$F$9*$A471)*(1-(Examples!$F$12*(1-EXP(-Examples!$F$13*$A471))/(1+EXP(MIN(700,MAX(-700,(Examples!$F$14*$A471-Examples!$F$15)/Examples!$F$16))))))+Examples!$F$17*$A471^2)</f>
        <v>-388007.34231350484</v>
      </c>
      <c r="I471" s="33">
        <f>(Examples!$F$6*Examples!$F$7*Examples!$F$8*EXP(-Examples!$F$9*$A471)*(1-(Examples!$F$12*(1-EXP(-Examples!$F$13*$A471))/(1+EXP(MIN(700,MAX(-700,(Examples!$F$14*$A471-Examples!$F$15)/Examples!$F$16))))))+Examples!$F$17*$A471^2)</f>
        <v>444207.34231350484</v>
      </c>
      <c r="J471" s="33">
        <f>Examples!$G$18-(Examples!$G$10+Examples!$G$11)*$A471-(Examples!$G$6*Examples!$G$7*Examples!$G$8*EXP(-Examples!$G$9*$A471)*(1-(Examples!$G$12*(1-EXP(-Examples!$G$13*$A471))/(1+EXP(MIN(700,MAX(-700,(Examples!$G$14*$A471-Examples!$G$15)/Examples!$G$16))))))+Examples!$G$17*$A471^2)</f>
        <v>716491.46687030711</v>
      </c>
      <c r="K471" s="33">
        <f>(Examples!$G$6*Examples!$G$7*Examples!$G$8*EXP(-Examples!$G$9*$A471)*(1-(Examples!$G$12*(1-EXP(-Examples!$G$13*$A471))/(1+EXP(MIN(700,MAX(-700,(Examples!$G$14*$A471-Examples!$G$15)/Examples!$G$16))))))+Examples!$G$17*$A471^2)</f>
        <v>549008.53312969289</v>
      </c>
      <c r="L471" s="33">
        <f>Examples!$H$18-(Examples!$H$10+Examples!$H$11)*$A471-(Examples!$H$6*Examples!$H$7*Examples!$H$8*EXP(-Examples!$H$9*$A471)*(1-(Examples!$H$12*(1-EXP(-Examples!$H$13*$A471))/(1+EXP(MIN(700,MAX(-700,(Examples!$H$14*$A471-Examples!$H$15)/Examples!$H$16))))))+Examples!$H$17*$A471^2)</f>
        <v>702405.86321205646</v>
      </c>
      <c r="M471" s="33">
        <f>(Examples!$H$6*Examples!$H$7*Examples!$H$8*EXP(-Examples!$H$9*$A471)*(1-(Examples!$H$12*(1-EXP(-Examples!$H$13*$A471))/(1+EXP(MIN(700,MAX(-700,(Examples!$H$14*$A471-Examples!$H$15)/Examples!$H$16))))))+Examples!$H$17*$A471^2)</f>
        <v>563094.13678794354</v>
      </c>
    </row>
    <row r="472" spans="1:13" x14ac:dyDescent="0.25">
      <c r="A472">
        <f>(472-2)/100</f>
        <v>4.7</v>
      </c>
      <c r="B472" s="33">
        <f>Examples!$C$18-(Examples!$C$10+Examples!$C$11)*$A472-(Examples!$C$6*Examples!$C$7*Examples!$C$8*EXP(-Examples!$C$9*$A472)*(1-(Examples!$C$12*(1-EXP(-Examples!$C$13*$A472))/(1+EXP(MIN(700,MAX(-700,(Examples!$C$14*$A472-Examples!$C$15)/Examples!$C$16))))))+Examples!$C$17*$A472^2)</f>
        <v>-42332.944209187815</v>
      </c>
      <c r="C472" s="33">
        <f>(Examples!$C$6*Examples!$C$7*Examples!$C$8*EXP(-Examples!$C$9*$A472)*(1-(Examples!$C$12*(1-EXP(-Examples!$C$13*$A472))/(1+EXP(MIN(700,MAX(-700,(Examples!$C$14*$A472-Examples!$C$15)/Examples!$C$16))))))+Examples!$C$17*$A472^2)</f>
        <v>477832.94420918782</v>
      </c>
      <c r="D472" s="33">
        <f>Examples!$D$18-(Examples!$D$10+Examples!$D$11)*$A472-(Examples!$D$6*Examples!$D$7*Examples!$D$8*EXP(-Examples!$D$9*$A472)*(1-(Examples!$D$12*(1-EXP(-Examples!$D$13*$A472))/(1+EXP(MIN(700,MAX(-700,(Examples!$D$14*$A472-Examples!$D$15)/Examples!$D$16))))))+Examples!$D$17*$A472^2)</f>
        <v>1566471.0612966241</v>
      </c>
      <c r="E472" s="33">
        <f>(Examples!$D$6*Examples!$D$7*Examples!$D$8*EXP(-Examples!$D$9*$A472)*(1-(Examples!$D$12*(1-EXP(-Examples!$D$13*$A472))/(1+EXP(MIN(700,MAX(-700,(Examples!$D$14*$A472-Examples!$D$15)/Examples!$D$16))))))+Examples!$D$17*$A472^2)</f>
        <v>722028.93870337598</v>
      </c>
      <c r="F472" s="33">
        <f>Examples!$E$18-(Examples!$E$10+Examples!$E$11)*$A472-(Examples!$E$6*Examples!$E$7*Examples!$E$8*EXP(-Examples!$E$9*$A472)*(1-(Examples!$E$12*(1-EXP(-Examples!$E$13*$A472))/(1+EXP(MIN(700,MAX(-700,(Examples!$E$14*$A472-Examples!$E$15)/Examples!$E$16))))))+Examples!$E$17*$A472^2)</f>
        <v>2394675.2234551432</v>
      </c>
      <c r="G472" s="33">
        <f>(Examples!$E$6*Examples!$E$7*Examples!$E$8*EXP(-Examples!$E$9*$A472)*(1-(Examples!$E$12*(1-EXP(-Examples!$E$13*$A472))/(1+EXP(MIN(700,MAX(-700,(Examples!$E$14*$A472-Examples!$E$15)/Examples!$E$16))))))+Examples!$E$17*$A472^2)</f>
        <v>205824.7765448569</v>
      </c>
      <c r="H472" s="33">
        <f>Examples!$F$18-(Examples!$F$10+Examples!$F$11)*$A472-(Examples!$F$6*Examples!$F$7*Examples!$F$8*EXP(-Examples!$F$9*$A472)*(1-(Examples!$F$12*(1-EXP(-Examples!$F$13*$A472))/(1+EXP(MIN(700,MAX(-700,(Examples!$F$14*$A472-Examples!$F$15)/Examples!$F$16))))))+Examples!$F$17*$A472^2)</f>
        <v>-390072.50562420918</v>
      </c>
      <c r="I472" s="33">
        <f>(Examples!$F$6*Examples!$F$7*Examples!$F$8*EXP(-Examples!$F$9*$A472)*(1-(Examples!$F$12*(1-EXP(-Examples!$F$13*$A472))/(1+EXP(MIN(700,MAX(-700,(Examples!$F$14*$A472-Examples!$F$15)/Examples!$F$16))))))+Examples!$F$17*$A472^2)</f>
        <v>446072.50562420918</v>
      </c>
      <c r="J472" s="33">
        <f>Examples!$G$18-(Examples!$G$10+Examples!$G$11)*$A472-(Examples!$G$6*Examples!$G$7*Examples!$G$8*EXP(-Examples!$G$9*$A472)*(1-(Examples!$G$12*(1-EXP(-Examples!$G$13*$A472))/(1+EXP(MIN(700,MAX(-700,(Examples!$G$14*$A472-Examples!$G$15)/Examples!$G$16))))))+Examples!$G$17*$A472^2)</f>
        <v>716371.39418522606</v>
      </c>
      <c r="K472" s="33">
        <f>(Examples!$G$6*Examples!$G$7*Examples!$G$8*EXP(-Examples!$G$9*$A472)*(1-(Examples!$G$12*(1-EXP(-Examples!$G$13*$A472))/(1+EXP(MIN(700,MAX(-700,(Examples!$G$14*$A472-Examples!$G$15)/Examples!$G$16))))))+Examples!$G$17*$A472^2)</f>
        <v>548628.60581477394</v>
      </c>
      <c r="L472" s="33">
        <f>Examples!$H$18-(Examples!$H$10+Examples!$H$11)*$A472-(Examples!$H$6*Examples!$H$7*Examples!$H$8*EXP(-Examples!$H$9*$A472)*(1-(Examples!$H$12*(1-EXP(-Examples!$H$13*$A472))/(1+EXP(MIN(700,MAX(-700,(Examples!$H$14*$A472-Examples!$H$15)/Examples!$H$16))))))+Examples!$H$17*$A472^2)</f>
        <v>702499.42204638966</v>
      </c>
      <c r="M472" s="33">
        <f>(Examples!$H$6*Examples!$H$7*Examples!$H$8*EXP(-Examples!$H$9*$A472)*(1-(Examples!$H$12*(1-EXP(-Examples!$H$13*$A472))/(1+EXP(MIN(700,MAX(-700,(Examples!$H$14*$A472-Examples!$H$15)/Examples!$H$16))))))+Examples!$H$17*$A472^2)</f>
        <v>562500.57795361034</v>
      </c>
    </row>
    <row r="473" spans="1:13" x14ac:dyDescent="0.25">
      <c r="A473">
        <f>(473-2)/100</f>
        <v>4.71</v>
      </c>
      <c r="B473" s="33">
        <f>Examples!$C$18-(Examples!$C$10+Examples!$C$11)*$A473-(Examples!$C$6*Examples!$C$7*Examples!$C$8*EXP(-Examples!$C$9*$A473)*(1-(Examples!$C$12*(1-EXP(-Examples!$C$13*$A473))/(1+EXP(MIN(700,MAX(-700,(Examples!$C$14*$A473-Examples!$C$15)/Examples!$C$16))))))+Examples!$C$17*$A473^2)</f>
        <v>-43655.750686450745</v>
      </c>
      <c r="C473" s="33">
        <f>(Examples!$C$6*Examples!$C$7*Examples!$C$8*EXP(-Examples!$C$9*$A473)*(1-(Examples!$C$12*(1-EXP(-Examples!$C$13*$A473))/(1+EXP(MIN(700,MAX(-700,(Examples!$C$14*$A473-Examples!$C$15)/Examples!$C$16))))))+Examples!$C$17*$A473^2)</f>
        <v>478805.75068645074</v>
      </c>
      <c r="D473" s="33">
        <f>Examples!$D$18-(Examples!$D$10+Examples!$D$11)*$A473-(Examples!$D$6*Examples!$D$7*Examples!$D$8*EXP(-Examples!$D$9*$A473)*(1-(Examples!$D$12*(1-EXP(-Examples!$D$13*$A473))/(1+EXP(MIN(700,MAX(-700,(Examples!$D$14*$A473-Examples!$D$15)/Examples!$D$16))))))+Examples!$D$17*$A473^2)</f>
        <v>1567180.6341321913</v>
      </c>
      <c r="E473" s="33">
        <f>(Examples!$D$6*Examples!$D$7*Examples!$D$8*EXP(-Examples!$D$9*$A473)*(1-(Examples!$D$12*(1-EXP(-Examples!$D$13*$A473))/(1+EXP(MIN(700,MAX(-700,(Examples!$D$14*$A473-Examples!$D$15)/Examples!$D$16))))))+Examples!$D$17*$A473^2)</f>
        <v>720869.36586780869</v>
      </c>
      <c r="F473" s="33">
        <f>Examples!$E$18-(Examples!$E$10+Examples!$E$11)*$A473-(Examples!$E$6*Examples!$E$7*Examples!$E$8*EXP(-Examples!$E$9*$A473)*(1-(Examples!$E$12*(1-EXP(-Examples!$E$13*$A473))/(1+EXP(MIN(700,MAX(-700,(Examples!$E$14*$A473-Examples!$E$15)/Examples!$E$16))))))+Examples!$E$17*$A473^2)</f>
        <v>2393856.9712390564</v>
      </c>
      <c r="G473" s="33">
        <f>(Examples!$E$6*Examples!$E$7*Examples!$E$8*EXP(-Examples!$E$9*$A473)*(1-(Examples!$E$12*(1-EXP(-Examples!$E$13*$A473))/(1+EXP(MIN(700,MAX(-700,(Examples!$E$14*$A473-Examples!$E$15)/Examples!$E$16))))))+Examples!$E$17*$A473^2)</f>
        <v>205793.0287609435</v>
      </c>
      <c r="H473" s="33">
        <f>Examples!$F$18-(Examples!$F$10+Examples!$F$11)*$A473-(Examples!$F$6*Examples!$F$7*Examples!$F$8*EXP(-Examples!$F$9*$A473)*(1-(Examples!$F$12*(1-EXP(-Examples!$F$13*$A473))/(1+EXP(MIN(700,MAX(-700,(Examples!$F$14*$A473-Examples!$F$15)/Examples!$F$16))))))+Examples!$F$17*$A473^2)</f>
        <v>-392141.70738428138</v>
      </c>
      <c r="I473" s="33">
        <f>(Examples!$F$6*Examples!$F$7*Examples!$F$8*EXP(-Examples!$F$9*$A473)*(1-(Examples!$F$12*(1-EXP(-Examples!$F$13*$A473))/(1+EXP(MIN(700,MAX(-700,(Examples!$F$14*$A473-Examples!$F$15)/Examples!$F$16))))))+Examples!$F$17*$A473^2)</f>
        <v>447941.70738428138</v>
      </c>
      <c r="J473" s="33">
        <f>Examples!$G$18-(Examples!$G$10+Examples!$G$11)*$A473-(Examples!$G$6*Examples!$G$7*Examples!$G$8*EXP(-Examples!$G$9*$A473)*(1-(Examples!$G$12*(1-EXP(-Examples!$G$13*$A473))/(1+EXP(MIN(700,MAX(-700,(Examples!$G$14*$A473-Examples!$G$15)/Examples!$G$16))))))+Examples!$G$17*$A473^2)</f>
        <v>716248.28091490478</v>
      </c>
      <c r="K473" s="33">
        <f>(Examples!$G$6*Examples!$G$7*Examples!$G$8*EXP(-Examples!$G$9*$A473)*(1-(Examples!$G$12*(1-EXP(-Examples!$G$13*$A473))/(1+EXP(MIN(700,MAX(-700,(Examples!$G$14*$A473-Examples!$G$15)/Examples!$G$16))))))+Examples!$G$17*$A473^2)</f>
        <v>548251.71908509522</v>
      </c>
      <c r="L473" s="33">
        <f>Examples!$H$18-(Examples!$H$10+Examples!$H$11)*$A473-(Examples!$H$6*Examples!$H$7*Examples!$H$8*EXP(-Examples!$H$9*$A473)*(1-(Examples!$H$12*(1-EXP(-Examples!$H$13*$A473))/(1+EXP(MIN(700,MAX(-700,(Examples!$H$14*$A473-Examples!$H$15)/Examples!$H$16))))))+Examples!$H$17*$A473^2)</f>
        <v>702586.94979418605</v>
      </c>
      <c r="M473" s="33">
        <f>(Examples!$H$6*Examples!$H$7*Examples!$H$8*EXP(-Examples!$H$9*$A473)*(1-(Examples!$H$12*(1-EXP(-Examples!$H$13*$A473))/(1+EXP(MIN(700,MAX(-700,(Examples!$H$14*$A473-Examples!$H$15)/Examples!$H$16))))))+Examples!$H$17*$A473^2)</f>
        <v>561913.05020581395</v>
      </c>
    </row>
    <row r="474" spans="1:13" x14ac:dyDescent="0.25">
      <c r="A474">
        <f>(474-2)/100</f>
        <v>4.72</v>
      </c>
      <c r="B474" s="33">
        <f>Examples!$C$18-(Examples!$C$10+Examples!$C$11)*$A474-(Examples!$C$6*Examples!$C$7*Examples!$C$8*EXP(-Examples!$C$9*$A474)*(1-(Examples!$C$12*(1-EXP(-Examples!$C$13*$A474))/(1+EXP(MIN(700,MAX(-700,(Examples!$C$14*$A474-Examples!$C$15)/Examples!$C$16))))))+Examples!$C$17*$A474^2)</f>
        <v>-44982.867895232164</v>
      </c>
      <c r="C474" s="33">
        <f>(Examples!$C$6*Examples!$C$7*Examples!$C$8*EXP(-Examples!$C$9*$A474)*(1-(Examples!$C$12*(1-EXP(-Examples!$C$13*$A474))/(1+EXP(MIN(700,MAX(-700,(Examples!$C$14*$A474-Examples!$C$15)/Examples!$C$16))))))+Examples!$C$17*$A474^2)</f>
        <v>479782.86789523216</v>
      </c>
      <c r="D474" s="33">
        <f>Examples!$D$18-(Examples!$D$10+Examples!$D$11)*$A474-(Examples!$D$6*Examples!$D$7*Examples!$D$8*EXP(-Examples!$D$9*$A474)*(1-(Examples!$D$12*(1-EXP(-Examples!$D$13*$A474))/(1+EXP(MIN(700,MAX(-700,(Examples!$D$14*$A474-Examples!$D$15)/Examples!$D$16))))))+Examples!$D$17*$A474^2)</f>
        <v>1567894.4321040618</v>
      </c>
      <c r="E474" s="33">
        <f>(Examples!$D$6*Examples!$D$7*Examples!$D$8*EXP(-Examples!$D$9*$A474)*(1-(Examples!$D$12*(1-EXP(-Examples!$D$13*$A474))/(1+EXP(MIN(700,MAX(-700,(Examples!$D$14*$A474-Examples!$D$15)/Examples!$D$16))))))+Examples!$D$17*$A474^2)</f>
        <v>719705.56789593818</v>
      </c>
      <c r="F474" s="33">
        <f>Examples!$E$18-(Examples!$E$10+Examples!$E$11)*$A474-(Examples!$E$6*Examples!$E$7*Examples!$E$8*EXP(-Examples!$E$9*$A474)*(1-(Examples!$E$12*(1-EXP(-Examples!$E$13*$A474))/(1+EXP(MIN(700,MAX(-700,(Examples!$E$14*$A474-Examples!$E$15)/Examples!$E$16))))))+Examples!$E$17*$A474^2)</f>
        <v>2393037.6368775489</v>
      </c>
      <c r="G474" s="33">
        <f>(Examples!$E$6*Examples!$E$7*Examples!$E$8*EXP(-Examples!$E$9*$A474)*(1-(Examples!$E$12*(1-EXP(-Examples!$E$13*$A474))/(1+EXP(MIN(700,MAX(-700,(Examples!$E$14*$A474-Examples!$E$15)/Examples!$E$16))))))+Examples!$E$17*$A474^2)</f>
        <v>205762.36312245135</v>
      </c>
      <c r="H474" s="33">
        <f>Examples!$F$18-(Examples!$F$10+Examples!$F$11)*$A474-(Examples!$F$6*Examples!$F$7*Examples!$F$8*EXP(-Examples!$F$9*$A474)*(1-(Examples!$F$12*(1-EXP(-Examples!$F$13*$A474))/(1+EXP(MIN(700,MAX(-700,(Examples!$F$14*$A474-Examples!$F$15)/Examples!$F$16))))))+Examples!$F$17*$A474^2)</f>
        <v>-394214.94747866882</v>
      </c>
      <c r="I474" s="33">
        <f>(Examples!$F$6*Examples!$F$7*Examples!$F$8*EXP(-Examples!$F$9*$A474)*(1-(Examples!$F$12*(1-EXP(-Examples!$F$13*$A474))/(1+EXP(MIN(700,MAX(-700,(Examples!$F$14*$A474-Examples!$F$15)/Examples!$F$16))))))+Examples!$F$17*$A474^2)</f>
        <v>449814.94747866882</v>
      </c>
      <c r="J474" s="33">
        <f>Examples!$G$18-(Examples!$G$10+Examples!$G$11)*$A474-(Examples!$G$6*Examples!$G$7*Examples!$G$8*EXP(-Examples!$G$9*$A474)*(1-(Examples!$G$12*(1-EXP(-Examples!$G$13*$A474))/(1+EXP(MIN(700,MAX(-700,(Examples!$G$14*$A474-Examples!$G$15)/Examples!$G$16))))))+Examples!$G$17*$A474^2)</f>
        <v>716122.0991650559</v>
      </c>
      <c r="K474" s="33">
        <f>(Examples!$G$6*Examples!$G$7*Examples!$G$8*EXP(-Examples!$G$9*$A474)*(1-(Examples!$G$12*(1-EXP(-Examples!$G$13*$A474))/(1+EXP(MIN(700,MAX(-700,(Examples!$G$14*$A474-Examples!$G$15)/Examples!$G$16))))))+Examples!$G$17*$A474^2)</f>
        <v>547877.9008349441</v>
      </c>
      <c r="L474" s="33">
        <f>Examples!$H$18-(Examples!$H$10+Examples!$H$11)*$A474-(Examples!$H$6*Examples!$H$7*Examples!$H$8*EXP(-Examples!$H$9*$A474)*(1-(Examples!$H$12*(1-EXP(-Examples!$H$13*$A474))/(1+EXP(MIN(700,MAX(-700,(Examples!$H$14*$A474-Examples!$H$15)/Examples!$H$16))))))+Examples!$H$17*$A474^2)</f>
        <v>702668.45282581123</v>
      </c>
      <c r="M474" s="33">
        <f>(Examples!$H$6*Examples!$H$7*Examples!$H$8*EXP(-Examples!$H$9*$A474)*(1-(Examples!$H$12*(1-EXP(-Examples!$H$13*$A474))/(1+EXP(MIN(700,MAX(-700,(Examples!$H$14*$A474-Examples!$H$15)/Examples!$H$16))))))+Examples!$H$17*$A474^2)</f>
        <v>561331.54717418877</v>
      </c>
    </row>
    <row r="475" spans="1:13" x14ac:dyDescent="0.25">
      <c r="A475">
        <f>(475-2)/100</f>
        <v>4.7300000000000004</v>
      </c>
      <c r="B475" s="33">
        <f>Examples!$C$18-(Examples!$C$10+Examples!$C$11)*$A475-(Examples!$C$6*Examples!$C$7*Examples!$C$8*EXP(-Examples!$C$9*$A475)*(1-(Examples!$C$12*(1-EXP(-Examples!$C$13*$A475))/(1+EXP(MIN(700,MAX(-700,(Examples!$C$14*$A475-Examples!$C$15)/Examples!$C$16))))))+Examples!$C$17*$A475^2)</f>
        <v>-46314.292026676587</v>
      </c>
      <c r="C475" s="33">
        <f>(Examples!$C$6*Examples!$C$7*Examples!$C$8*EXP(-Examples!$C$9*$A475)*(1-(Examples!$C$12*(1-EXP(-Examples!$C$13*$A475))/(1+EXP(MIN(700,MAX(-700,(Examples!$C$14*$A475-Examples!$C$15)/Examples!$C$16))))))+Examples!$C$17*$A475^2)</f>
        <v>480764.29202667659</v>
      </c>
      <c r="D475" s="33">
        <f>Examples!$D$18-(Examples!$D$10+Examples!$D$11)*$A475-(Examples!$D$6*Examples!$D$7*Examples!$D$8*EXP(-Examples!$D$9*$A475)*(1-(Examples!$D$12*(1-EXP(-Examples!$D$13*$A475))/(1+EXP(MIN(700,MAX(-700,(Examples!$D$14*$A475-Examples!$D$15)/Examples!$D$16))))))+Examples!$D$17*$A475^2)</f>
        <v>1568612.3640908184</v>
      </c>
      <c r="E475" s="33">
        <f>(Examples!$D$6*Examples!$D$7*Examples!$D$8*EXP(-Examples!$D$9*$A475)*(1-(Examples!$D$12*(1-EXP(-Examples!$D$13*$A475))/(1+EXP(MIN(700,MAX(-700,(Examples!$D$14*$A475-Examples!$D$15)/Examples!$D$16))))))+Examples!$D$17*$A475^2)</f>
        <v>718537.63590918167</v>
      </c>
      <c r="F475" s="33">
        <f>Examples!$E$18-(Examples!$E$10+Examples!$E$11)*$A475-(Examples!$E$6*Examples!$E$7*Examples!$E$8*EXP(-Examples!$E$9*$A475)*(1-(Examples!$E$12*(1-EXP(-Examples!$E$13*$A475))/(1+EXP(MIN(700,MAX(-700,(Examples!$E$14*$A475-Examples!$E$15)/Examples!$E$16))))))+Examples!$E$17*$A475^2)</f>
        <v>2392217.2376001212</v>
      </c>
      <c r="G475" s="33">
        <f>(Examples!$E$6*Examples!$E$7*Examples!$E$8*EXP(-Examples!$E$9*$A475)*(1-(Examples!$E$12*(1-EXP(-Examples!$E$13*$A475))/(1+EXP(MIN(700,MAX(-700,(Examples!$E$14*$A475-Examples!$E$15)/Examples!$E$16))))))+Examples!$E$17*$A475^2)</f>
        <v>205732.76239987867</v>
      </c>
      <c r="H475" s="33">
        <f>Examples!$F$18-(Examples!$F$10+Examples!$F$11)*$A475-(Examples!$F$6*Examples!$F$7*Examples!$F$8*EXP(-Examples!$F$9*$A475)*(1-(Examples!$F$12*(1-EXP(-Examples!$F$13*$A475))/(1+EXP(MIN(700,MAX(-700,(Examples!$F$14*$A475-Examples!$F$15)/Examples!$F$16))))))+Examples!$F$17*$A475^2)</f>
        <v>-396292.22579265875</v>
      </c>
      <c r="I475" s="33">
        <f>(Examples!$F$6*Examples!$F$7*Examples!$F$8*EXP(-Examples!$F$9*$A475)*(1-(Examples!$F$12*(1-EXP(-Examples!$F$13*$A475))/(1+EXP(MIN(700,MAX(-700,(Examples!$F$14*$A475-Examples!$F$15)/Examples!$F$16))))))+Examples!$F$17*$A475^2)</f>
        <v>451692.22579265875</v>
      </c>
      <c r="J475" s="33">
        <f>Examples!$G$18-(Examples!$G$10+Examples!$G$11)*$A475-(Examples!$G$6*Examples!$G$7*Examples!$G$8*EXP(-Examples!$G$9*$A475)*(1-(Examples!$G$12*(1-EXP(-Examples!$G$13*$A475))/(1+EXP(MIN(700,MAX(-700,(Examples!$G$14*$A475-Examples!$G$15)/Examples!$G$16))))))+Examples!$G$17*$A475^2)</f>
        <v>715992.82147047902</v>
      </c>
      <c r="K475" s="33">
        <f>(Examples!$G$6*Examples!$G$7*Examples!$G$8*EXP(-Examples!$G$9*$A475)*(1-(Examples!$G$12*(1-EXP(-Examples!$G$13*$A475))/(1+EXP(MIN(700,MAX(-700,(Examples!$G$14*$A475-Examples!$G$15)/Examples!$G$16))))))+Examples!$G$17*$A475^2)</f>
        <v>547507.17852952098</v>
      </c>
      <c r="L475" s="33">
        <f>Examples!$H$18-(Examples!$H$10+Examples!$H$11)*$A475-(Examples!$H$6*Examples!$H$7*Examples!$H$8*EXP(-Examples!$H$9*$A475)*(1-(Examples!$H$12*(1-EXP(-Examples!$H$13*$A475))/(1+EXP(MIN(700,MAX(-700,(Examples!$H$14*$A475-Examples!$H$15)/Examples!$H$16))))))+Examples!$H$17*$A475^2)</f>
        <v>702743.93779803417</v>
      </c>
      <c r="M475" s="33">
        <f>(Examples!$H$6*Examples!$H$7*Examples!$H$8*EXP(-Examples!$H$9*$A475)*(1-(Examples!$H$12*(1-EXP(-Examples!$H$13*$A475))/(1+EXP(MIN(700,MAX(-700,(Examples!$H$14*$A475-Examples!$H$15)/Examples!$H$16))))))+Examples!$H$17*$A475^2)</f>
        <v>560756.06220196583</v>
      </c>
    </row>
    <row r="476" spans="1:13" x14ac:dyDescent="0.25">
      <c r="A476">
        <f>(476-2)/100</f>
        <v>4.74</v>
      </c>
      <c r="B476" s="33">
        <f>Examples!$C$18-(Examples!$C$10+Examples!$C$11)*$A476-(Examples!$C$6*Examples!$C$7*Examples!$C$8*EXP(-Examples!$C$9*$A476)*(1-(Examples!$C$12*(1-EXP(-Examples!$C$13*$A476))/(1+EXP(MIN(700,MAX(-700,(Examples!$C$14*$A476-Examples!$C$15)/Examples!$C$16))))))+Examples!$C$17*$A476^2)</f>
        <v>-47650.019279267697</v>
      </c>
      <c r="C476" s="33">
        <f>(Examples!$C$6*Examples!$C$7*Examples!$C$8*EXP(-Examples!$C$9*$A476)*(1-(Examples!$C$12*(1-EXP(-Examples!$C$13*$A476))/(1+EXP(MIN(700,MAX(-700,(Examples!$C$14*$A476-Examples!$C$15)/Examples!$C$16))))))+Examples!$C$17*$A476^2)</f>
        <v>481750.0192792677</v>
      </c>
      <c r="D476" s="33">
        <f>Examples!$D$18-(Examples!$D$10+Examples!$D$11)*$A476-(Examples!$D$6*Examples!$D$7*Examples!$D$8*EXP(-Examples!$D$9*$A476)*(1-(Examples!$D$12*(1-EXP(-Examples!$D$13*$A476))/(1+EXP(MIN(700,MAX(-700,(Examples!$D$14*$A476-Examples!$D$15)/Examples!$D$16))))))+Examples!$D$17*$A476^2)</f>
        <v>1569334.3378850853</v>
      </c>
      <c r="E476" s="33">
        <f>(Examples!$D$6*Examples!$D$7*Examples!$D$8*EXP(-Examples!$D$9*$A476)*(1-(Examples!$D$12*(1-EXP(-Examples!$D$13*$A476))/(1+EXP(MIN(700,MAX(-700,(Examples!$D$14*$A476-Examples!$D$15)/Examples!$D$16))))))+Examples!$D$17*$A476^2)</f>
        <v>717365.66211491474</v>
      </c>
      <c r="F476" s="33">
        <f>Examples!$E$18-(Examples!$E$10+Examples!$E$11)*$A476-(Examples!$E$6*Examples!$E$7*Examples!$E$8*EXP(-Examples!$E$9*$A476)*(1-(Examples!$E$12*(1-EXP(-Examples!$E$13*$A476))/(1+EXP(MIN(700,MAX(-700,(Examples!$E$14*$A476-Examples!$E$15)/Examples!$E$16))))))+Examples!$E$17*$A476^2)</f>
        <v>2391395.7903263927</v>
      </c>
      <c r="G476" s="33">
        <f>(Examples!$E$6*Examples!$E$7*Examples!$E$8*EXP(-Examples!$E$9*$A476)*(1-(Examples!$E$12*(1-EXP(-Examples!$E$13*$A476))/(1+EXP(MIN(700,MAX(-700,(Examples!$E$14*$A476-Examples!$E$15)/Examples!$E$16))))))+Examples!$E$17*$A476^2)</f>
        <v>205704.20967360737</v>
      </c>
      <c r="H476" s="33">
        <f>Examples!$F$18-(Examples!$F$10+Examples!$F$11)*$A476-(Examples!$F$6*Examples!$F$7*Examples!$F$8*EXP(-Examples!$F$9*$A476)*(1-(Examples!$F$12*(1-EXP(-Examples!$F$13*$A476))/(1+EXP(MIN(700,MAX(-700,(Examples!$F$14*$A476-Examples!$F$15)/Examples!$F$16))))))+Examples!$F$17*$A476^2)</f>
        <v>-398373.54221187643</v>
      </c>
      <c r="I476" s="33">
        <f>(Examples!$F$6*Examples!$F$7*Examples!$F$8*EXP(-Examples!$F$9*$A476)*(1-(Examples!$F$12*(1-EXP(-Examples!$F$13*$A476))/(1+EXP(MIN(700,MAX(-700,(Examples!$F$14*$A476-Examples!$F$15)/Examples!$F$16))))))+Examples!$F$17*$A476^2)</f>
        <v>453573.54221187643</v>
      </c>
      <c r="J476" s="33">
        <f>Examples!$G$18-(Examples!$G$10+Examples!$G$11)*$A476-(Examples!$G$6*Examples!$G$7*Examples!$G$8*EXP(-Examples!$G$9*$A476)*(1-(Examples!$G$12*(1-EXP(-Examples!$G$13*$A476))/(1+EXP(MIN(700,MAX(-700,(Examples!$G$14*$A476-Examples!$G$15)/Examples!$G$16))))))+Examples!$G$17*$A476^2)</f>
        <v>715860.42079307325</v>
      </c>
      <c r="K476" s="33">
        <f>(Examples!$G$6*Examples!$G$7*Examples!$G$8*EXP(-Examples!$G$9*$A476)*(1-(Examples!$G$12*(1-EXP(-Examples!$G$13*$A476))/(1+EXP(MIN(700,MAX(-700,(Examples!$G$14*$A476-Examples!$G$15)/Examples!$G$16))))))+Examples!$G$17*$A476^2)</f>
        <v>547139.57920692675</v>
      </c>
      <c r="L476" s="33">
        <f>Examples!$H$18-(Examples!$H$10+Examples!$H$11)*$A476-(Examples!$H$6*Examples!$H$7*Examples!$H$8*EXP(-Examples!$H$9*$A476)*(1-(Examples!$H$12*(1-EXP(-Examples!$H$13*$A476))/(1+EXP(MIN(700,MAX(-700,(Examples!$H$14*$A476-Examples!$H$15)/Examples!$H$16))))))+Examples!$H$17*$A476^2)</f>
        <v>702813.41164266644</v>
      </c>
      <c r="M476" s="33">
        <f>(Examples!$H$6*Examples!$H$7*Examples!$H$8*EXP(-Examples!$H$9*$A476)*(1-(Examples!$H$12*(1-EXP(-Examples!$H$13*$A476))/(1+EXP(MIN(700,MAX(-700,(Examples!$H$14*$A476-Examples!$H$15)/Examples!$H$16))))))+Examples!$H$17*$A476^2)</f>
        <v>560186.58835733356</v>
      </c>
    </row>
    <row r="477" spans="1:13" x14ac:dyDescent="0.25">
      <c r="A477">
        <f>(477-2)/100</f>
        <v>4.75</v>
      </c>
      <c r="B477" s="33">
        <f>Examples!$C$18-(Examples!$C$10+Examples!$C$11)*$A477-(Examples!$C$6*Examples!$C$7*Examples!$C$8*EXP(-Examples!$C$9*$A477)*(1-(Examples!$C$12*(1-EXP(-Examples!$C$13*$A477))/(1+EXP(MIN(700,MAX(-700,(Examples!$C$14*$A477-Examples!$C$15)/Examples!$C$16))))))+Examples!$C$17*$A477^2)</f>
        <v>-48990.045858947909</v>
      </c>
      <c r="C477" s="33">
        <f>(Examples!$C$6*Examples!$C$7*Examples!$C$8*EXP(-Examples!$C$9*$A477)*(1-(Examples!$C$12*(1-EXP(-Examples!$C$13*$A477))/(1+EXP(MIN(700,MAX(-700,(Examples!$C$14*$A477-Examples!$C$15)/Examples!$C$16))))))+Examples!$C$17*$A477^2)</f>
        <v>482740.04585894791</v>
      </c>
      <c r="D477" s="33">
        <f>Examples!$D$18-(Examples!$D$10+Examples!$D$11)*$A477-(Examples!$D$6*Examples!$D$7*Examples!$D$8*EXP(-Examples!$D$9*$A477)*(1-(Examples!$D$12*(1-EXP(-Examples!$D$13*$A477))/(1+EXP(MIN(700,MAX(-700,(Examples!$D$14*$A477-Examples!$D$15)/Examples!$D$16))))))+Examples!$D$17*$A477^2)</f>
        <v>1570060.260251093</v>
      </c>
      <c r="E477" s="33">
        <f>(Examples!$D$6*Examples!$D$7*Examples!$D$8*EXP(-Examples!$D$9*$A477)*(1-(Examples!$D$12*(1-EXP(-Examples!$D$13*$A477))/(1+EXP(MIN(700,MAX(-700,(Examples!$D$14*$A477-Examples!$D$15)/Examples!$D$16))))))+Examples!$D$17*$A477^2)</f>
        <v>716189.73974890704</v>
      </c>
      <c r="F477" s="33">
        <f>Examples!$E$18-(Examples!$E$10+Examples!$E$11)*$A477-(Examples!$E$6*Examples!$E$7*Examples!$E$8*EXP(-Examples!$E$9*$A477)*(1-(Examples!$E$12*(1-EXP(-Examples!$E$13*$A477))/(1+EXP(MIN(700,MAX(-700,(Examples!$E$14*$A477-Examples!$E$15)/Examples!$E$16))))))+Examples!$E$17*$A477^2)</f>
        <v>2390573.311668118</v>
      </c>
      <c r="G477" s="33">
        <f>(Examples!$E$6*Examples!$E$7*Examples!$E$8*EXP(-Examples!$E$9*$A477)*(1-(Examples!$E$12*(1-EXP(-Examples!$E$13*$A477))/(1+EXP(MIN(700,MAX(-700,(Examples!$E$14*$A477-Examples!$E$15)/Examples!$E$16))))))+Examples!$E$17*$A477^2)</f>
        <v>205676.688331882</v>
      </c>
      <c r="H477" s="33">
        <f>Examples!$F$18-(Examples!$F$10+Examples!$F$11)*$A477-(Examples!$F$6*Examples!$F$7*Examples!$F$8*EXP(-Examples!$F$9*$A477)*(1-(Examples!$F$12*(1-EXP(-Examples!$F$13*$A477))/(1+EXP(MIN(700,MAX(-700,(Examples!$F$14*$A477-Examples!$F$15)/Examples!$F$16))))))+Examples!$F$17*$A477^2)</f>
        <v>-400458.896622286</v>
      </c>
      <c r="I477" s="33">
        <f>(Examples!$F$6*Examples!$F$7*Examples!$F$8*EXP(-Examples!$F$9*$A477)*(1-(Examples!$F$12*(1-EXP(-Examples!$F$13*$A477))/(1+EXP(MIN(700,MAX(-700,(Examples!$F$14*$A477-Examples!$F$15)/Examples!$F$16))))))+Examples!$F$17*$A477^2)</f>
        <v>455458.896622286</v>
      </c>
      <c r="J477" s="33">
        <f>Examples!$G$18-(Examples!$G$10+Examples!$G$11)*$A477-(Examples!$G$6*Examples!$G$7*Examples!$G$8*EXP(-Examples!$G$9*$A477)*(1-(Examples!$G$12*(1-EXP(-Examples!$G$13*$A477))/(1+EXP(MIN(700,MAX(-700,(Examples!$G$14*$A477-Examples!$G$15)/Examples!$G$16))))))+Examples!$G$17*$A477^2)</f>
        <v>715724.87051975692</v>
      </c>
      <c r="K477" s="33">
        <f>(Examples!$G$6*Examples!$G$7*Examples!$G$8*EXP(-Examples!$G$9*$A477)*(1-(Examples!$G$12*(1-EXP(-Examples!$G$13*$A477))/(1+EXP(MIN(700,MAX(-700,(Examples!$G$14*$A477-Examples!$G$15)/Examples!$G$16))))))+Examples!$G$17*$A477^2)</f>
        <v>546775.12948024308</v>
      </c>
      <c r="L477" s="33">
        <f>Examples!$H$18-(Examples!$H$10+Examples!$H$11)*$A477-(Examples!$H$6*Examples!$H$7*Examples!$H$8*EXP(-Examples!$H$9*$A477)*(1-(Examples!$H$12*(1-EXP(-Examples!$H$13*$A477))/(1+EXP(MIN(700,MAX(-700,(Examples!$H$14*$A477-Examples!$H$15)/Examples!$H$16))))))+Examples!$H$17*$A477^2)</f>
        <v>702876.88155558275</v>
      </c>
      <c r="M477" s="33">
        <f>(Examples!$H$6*Examples!$H$7*Examples!$H$8*EXP(-Examples!$H$9*$A477)*(1-(Examples!$H$12*(1-EXP(-Examples!$H$13*$A477))/(1+EXP(MIN(700,MAX(-700,(Examples!$H$14*$A477-Examples!$H$15)/Examples!$H$16))))))+Examples!$H$17*$A477^2)</f>
        <v>559623.11844441725</v>
      </c>
    </row>
    <row r="478" spans="1:13" x14ac:dyDescent="0.25">
      <c r="A478">
        <f>(478-2)/100</f>
        <v>4.76</v>
      </c>
      <c r="B478" s="33">
        <f>Examples!$C$18-(Examples!$C$10+Examples!$C$11)*$A478-(Examples!$C$6*Examples!$C$7*Examples!$C$8*EXP(-Examples!$C$9*$A478)*(1-(Examples!$C$12*(1-EXP(-Examples!$C$13*$A478))/(1+EXP(MIN(700,MAX(-700,(Examples!$C$14*$A478-Examples!$C$15)/Examples!$C$16))))))+Examples!$C$17*$A478^2)</f>
        <v>-50334.367979230592</v>
      </c>
      <c r="C478" s="33">
        <f>(Examples!$C$6*Examples!$C$7*Examples!$C$8*EXP(-Examples!$C$9*$A478)*(1-(Examples!$C$12*(1-EXP(-Examples!$C$13*$A478))/(1+EXP(MIN(700,MAX(-700,(Examples!$C$14*$A478-Examples!$C$15)/Examples!$C$16))))))+Examples!$C$17*$A478^2)</f>
        <v>483734.36797923059</v>
      </c>
      <c r="D478" s="33">
        <f>Examples!$D$18-(Examples!$D$10+Examples!$D$11)*$A478-(Examples!$D$6*Examples!$D$7*Examples!$D$8*EXP(-Examples!$D$9*$A478)*(1-(Examples!$D$12*(1-EXP(-Examples!$D$13*$A478))/(1+EXP(MIN(700,MAX(-700,(Examples!$D$14*$A478-Examples!$D$15)/Examples!$D$16))))))+Examples!$D$17*$A478^2)</f>
        <v>1570790.0369815135</v>
      </c>
      <c r="E478" s="33">
        <f>(Examples!$D$6*Examples!$D$7*Examples!$D$8*EXP(-Examples!$D$9*$A478)*(1-(Examples!$D$12*(1-EXP(-Examples!$D$13*$A478))/(1+EXP(MIN(700,MAX(-700,(Examples!$D$14*$A478-Examples!$D$15)/Examples!$D$16))))))+Examples!$D$17*$A478^2)</f>
        <v>715009.96301848651</v>
      </c>
      <c r="F478" s="33">
        <f>Examples!$E$18-(Examples!$E$10+Examples!$E$11)*$A478-(Examples!$E$6*Examples!$E$7*Examples!$E$8*EXP(-Examples!$E$9*$A478)*(1-(Examples!$E$12*(1-EXP(-Examples!$E$13*$A478))/(1+EXP(MIN(700,MAX(-700,(Examples!$E$14*$A478-Examples!$E$15)/Examples!$E$16))))))+Examples!$E$17*$A478^2)</f>
        <v>2389749.8179312102</v>
      </c>
      <c r="G478" s="33">
        <f>(Examples!$E$6*Examples!$E$7*Examples!$E$8*EXP(-Examples!$E$9*$A478)*(1-(Examples!$E$12*(1-EXP(-Examples!$E$13*$A478))/(1+EXP(MIN(700,MAX(-700,(Examples!$E$14*$A478-Examples!$E$15)/Examples!$E$16))))))+Examples!$E$17*$A478^2)</f>
        <v>205650.18206878973</v>
      </c>
      <c r="H478" s="33">
        <f>Examples!$F$18-(Examples!$F$10+Examples!$F$11)*$A478-(Examples!$F$6*Examples!$F$7*Examples!$F$8*EXP(-Examples!$F$9*$A478)*(1-(Examples!$F$12*(1-EXP(-Examples!$F$13*$A478))/(1+EXP(MIN(700,MAX(-700,(Examples!$F$14*$A478-Examples!$F$15)/Examples!$F$16))))))+Examples!$F$17*$A478^2)</f>
        <v>-402548.28891018842</v>
      </c>
      <c r="I478" s="33">
        <f>(Examples!$F$6*Examples!$F$7*Examples!$F$8*EXP(-Examples!$F$9*$A478)*(1-(Examples!$F$12*(1-EXP(-Examples!$F$13*$A478))/(1+EXP(MIN(700,MAX(-700,(Examples!$F$14*$A478-Examples!$F$15)/Examples!$F$16))))))+Examples!$F$17*$A478^2)</f>
        <v>457348.28891018842</v>
      </c>
      <c r="J478" s="33">
        <f>Examples!$G$18-(Examples!$G$10+Examples!$G$11)*$A478-(Examples!$G$6*Examples!$G$7*Examples!$G$8*EXP(-Examples!$G$9*$A478)*(1-(Examples!$G$12*(1-EXP(-Examples!$G$13*$A478))/(1+EXP(MIN(700,MAX(-700,(Examples!$G$14*$A478-Examples!$G$15)/Examples!$G$16))))))+Examples!$G$17*$A478^2)</f>
        <v>715586.14446030103</v>
      </c>
      <c r="K478" s="33">
        <f>(Examples!$G$6*Examples!$G$7*Examples!$G$8*EXP(-Examples!$G$9*$A478)*(1-(Examples!$G$12*(1-EXP(-Examples!$G$13*$A478))/(1+EXP(MIN(700,MAX(-700,(Examples!$G$14*$A478-Examples!$G$15)/Examples!$G$16))))))+Examples!$G$17*$A478^2)</f>
        <v>546413.85553969897</v>
      </c>
      <c r="L478" s="33">
        <f>Examples!$H$18-(Examples!$H$10+Examples!$H$11)*$A478-(Examples!$H$6*Examples!$H$7*Examples!$H$8*EXP(-Examples!$H$9*$A478)*(1-(Examples!$H$12*(1-EXP(-Examples!$H$13*$A478))/(1+EXP(MIN(700,MAX(-700,(Examples!$H$14*$A478-Examples!$H$15)/Examples!$H$16))))))+Examples!$H$17*$A478^2)</f>
        <v>702934.35498611303</v>
      </c>
      <c r="M478" s="33">
        <f>(Examples!$H$6*Examples!$H$7*Examples!$H$8*EXP(-Examples!$H$9*$A478)*(1-(Examples!$H$12*(1-EXP(-Examples!$H$13*$A478))/(1+EXP(MIN(700,MAX(-700,(Examples!$H$14*$A478-Examples!$H$15)/Examples!$H$16))))))+Examples!$H$17*$A478^2)</f>
        <v>559065.64501388697</v>
      </c>
    </row>
    <row r="479" spans="1:13" x14ac:dyDescent="0.25">
      <c r="A479">
        <f>(479-2)/100</f>
        <v>4.7699999999999996</v>
      </c>
      <c r="B479" s="33">
        <f>Examples!$C$18-(Examples!$C$10+Examples!$C$11)*$A479-(Examples!$C$6*Examples!$C$7*Examples!$C$8*EXP(-Examples!$C$9*$A479)*(1-(Examples!$C$12*(1-EXP(-Examples!$C$13*$A479))/(1+EXP(MIN(700,MAX(-700,(Examples!$C$14*$A479-Examples!$C$15)/Examples!$C$16))))))+Examples!$C$17*$A479^2)</f>
        <v>-51682.981861308683</v>
      </c>
      <c r="C479" s="33">
        <f>(Examples!$C$6*Examples!$C$7*Examples!$C$8*EXP(-Examples!$C$9*$A479)*(1-(Examples!$C$12*(1-EXP(-Examples!$C$13*$A479))/(1+EXP(MIN(700,MAX(-700,(Examples!$C$14*$A479-Examples!$C$15)/Examples!$C$16))))))+Examples!$C$17*$A479^2)</f>
        <v>484732.98186130868</v>
      </c>
      <c r="D479" s="33">
        <f>Examples!$D$18-(Examples!$D$10+Examples!$D$11)*$A479-(Examples!$D$6*Examples!$D$7*Examples!$D$8*EXP(-Examples!$D$9*$A479)*(1-(Examples!$D$12*(1-EXP(-Examples!$D$13*$A479))/(1+EXP(MIN(700,MAX(-700,(Examples!$D$14*$A479-Examples!$D$15)/Examples!$D$16))))))+Examples!$D$17*$A479^2)</f>
        <v>1571523.5729535525</v>
      </c>
      <c r="E479" s="33">
        <f>(Examples!$D$6*Examples!$D$7*Examples!$D$8*EXP(-Examples!$D$9*$A479)*(1-(Examples!$D$12*(1-EXP(-Examples!$D$13*$A479))/(1+EXP(MIN(700,MAX(-700,(Examples!$D$14*$A479-Examples!$D$15)/Examples!$D$16))))))+Examples!$D$17*$A479^2)</f>
        <v>713826.42704644741</v>
      </c>
      <c r="F479" s="33">
        <f>Examples!$E$18-(Examples!$E$10+Examples!$E$11)*$A479-(Examples!$E$6*Examples!$E$7*Examples!$E$8*EXP(-Examples!$E$9*$A479)*(1-(Examples!$E$12*(1-EXP(-Examples!$E$13*$A479))/(1+EXP(MIN(700,MAX(-700,(Examples!$E$14*$A479-Examples!$E$15)/Examples!$E$16))))))+Examples!$E$17*$A479^2)</f>
        <v>2388925.3251177603</v>
      </c>
      <c r="G479" s="33">
        <f>(Examples!$E$6*Examples!$E$7*Examples!$E$8*EXP(-Examples!$E$9*$A479)*(1-(Examples!$E$12*(1-EXP(-Examples!$E$13*$A479))/(1+EXP(MIN(700,MAX(-700,(Examples!$E$14*$A479-Examples!$E$15)/Examples!$E$16))))))+Examples!$E$17*$A479^2)</f>
        <v>205624.67488223989</v>
      </c>
      <c r="H479" s="33">
        <f>Examples!$F$18-(Examples!$F$10+Examples!$F$11)*$A479-(Examples!$F$6*Examples!$F$7*Examples!$F$8*EXP(-Examples!$F$9*$A479)*(1-(Examples!$F$12*(1-EXP(-Examples!$F$13*$A479))/(1+EXP(MIN(700,MAX(-700,(Examples!$F$14*$A479-Examples!$F$15)/Examples!$F$16))))))+Examples!$F$17*$A479^2)</f>
        <v>-404641.71896222088</v>
      </c>
      <c r="I479" s="33">
        <f>(Examples!$F$6*Examples!$F$7*Examples!$F$8*EXP(-Examples!$F$9*$A479)*(1-(Examples!$F$12*(1-EXP(-Examples!$F$13*$A479))/(1+EXP(MIN(700,MAX(-700,(Examples!$F$14*$A479-Examples!$F$15)/Examples!$F$16))))))+Examples!$F$17*$A479^2)</f>
        <v>459241.71896222088</v>
      </c>
      <c r="J479" s="33">
        <f>Examples!$G$18-(Examples!$G$10+Examples!$G$11)*$A479-(Examples!$G$6*Examples!$G$7*Examples!$G$8*EXP(-Examples!$G$9*$A479)*(1-(Examples!$G$12*(1-EXP(-Examples!$G$13*$A479))/(1+EXP(MIN(700,MAX(-700,(Examples!$G$14*$A479-Examples!$G$15)/Examples!$G$16))))))+Examples!$G$17*$A479^2)</f>
        <v>715444.21684507735</v>
      </c>
      <c r="K479" s="33">
        <f>(Examples!$G$6*Examples!$G$7*Examples!$G$8*EXP(-Examples!$G$9*$A479)*(1-(Examples!$G$12*(1-EXP(-Examples!$G$13*$A479))/(1+EXP(MIN(700,MAX(-700,(Examples!$G$14*$A479-Examples!$G$15)/Examples!$G$16))))))+Examples!$G$17*$A479^2)</f>
        <v>546055.78315492265</v>
      </c>
      <c r="L479" s="33">
        <f>Examples!$H$18-(Examples!$H$10+Examples!$H$11)*$A479-(Examples!$H$6*Examples!$H$7*Examples!$H$8*EXP(-Examples!$H$9*$A479)*(1-(Examples!$H$12*(1-EXP(-Examples!$H$13*$A479))/(1+EXP(MIN(700,MAX(-700,(Examples!$H$14*$A479-Examples!$H$15)/Examples!$H$16))))))+Examples!$H$17*$A479^2)</f>
        <v>702985.83962679014</v>
      </c>
      <c r="M479" s="33">
        <f>(Examples!$H$6*Examples!$H$7*Examples!$H$8*EXP(-Examples!$H$9*$A479)*(1-(Examples!$H$12*(1-EXP(-Examples!$H$13*$A479))/(1+EXP(MIN(700,MAX(-700,(Examples!$H$14*$A479-Examples!$H$15)/Examples!$H$16))))))+Examples!$H$17*$A479^2)</f>
        <v>558514.16037320986</v>
      </c>
    </row>
    <row r="480" spans="1:13" x14ac:dyDescent="0.25">
      <c r="A480">
        <f>(480-2)/100</f>
        <v>4.78</v>
      </c>
      <c r="B480" s="33">
        <f>Examples!$C$18-(Examples!$C$10+Examples!$C$11)*$A480-(Examples!$C$6*Examples!$C$7*Examples!$C$8*EXP(-Examples!$C$9*$A480)*(1-(Examples!$C$12*(1-EXP(-Examples!$C$13*$A480))/(1+EXP(MIN(700,MAX(-700,(Examples!$C$14*$A480-Examples!$C$15)/Examples!$C$16))))))+Examples!$C$17*$A480^2)</f>
        <v>-53035.883734158124</v>
      </c>
      <c r="C480" s="33">
        <f>(Examples!$C$6*Examples!$C$7*Examples!$C$8*EXP(-Examples!$C$9*$A480)*(1-(Examples!$C$12*(1-EXP(-Examples!$C$13*$A480))/(1+EXP(MIN(700,MAX(-700,(Examples!$C$14*$A480-Examples!$C$15)/Examples!$C$16))))))+Examples!$C$17*$A480^2)</f>
        <v>485735.88373415812</v>
      </c>
      <c r="D480" s="33">
        <f>Examples!$D$18-(Examples!$D$10+Examples!$D$11)*$A480-(Examples!$D$6*Examples!$D$7*Examples!$D$8*EXP(-Examples!$D$9*$A480)*(1-(Examples!$D$12*(1-EXP(-Examples!$D$13*$A480))/(1+EXP(MIN(700,MAX(-700,(Examples!$D$14*$A480-Examples!$D$15)/Examples!$D$16))))))+Examples!$D$17*$A480^2)</f>
        <v>1572260.7721842751</v>
      </c>
      <c r="E480" s="33">
        <f>(Examples!$D$6*Examples!$D$7*Examples!$D$8*EXP(-Examples!$D$9*$A480)*(1-(Examples!$D$12*(1-EXP(-Examples!$D$13*$A480))/(1+EXP(MIN(700,MAX(-700,(Examples!$D$14*$A480-Examples!$D$15)/Examples!$D$16))))))+Examples!$D$17*$A480^2)</f>
        <v>712639.22781572479</v>
      </c>
      <c r="F480" s="33">
        <f>Examples!$E$18-(Examples!$E$10+Examples!$E$11)*$A480-(Examples!$E$6*Examples!$E$7*Examples!$E$8*EXP(-Examples!$E$9*$A480)*(1-(Examples!$E$12*(1-EXP(-Examples!$E$13*$A480))/(1+EXP(MIN(700,MAX(-700,(Examples!$E$14*$A480-Examples!$E$15)/Examples!$E$16))))))+Examples!$E$17*$A480^2)</f>
        <v>2388099.8489280567</v>
      </c>
      <c r="G480" s="33">
        <f>(Examples!$E$6*Examples!$E$7*Examples!$E$8*EXP(-Examples!$E$9*$A480)*(1-(Examples!$E$12*(1-EXP(-Examples!$E$13*$A480))/(1+EXP(MIN(700,MAX(-700,(Examples!$E$14*$A480-Examples!$E$15)/Examples!$E$16))))))+Examples!$E$17*$A480^2)</f>
        <v>205600.15107194346</v>
      </c>
      <c r="H480" s="33">
        <f>Examples!$F$18-(Examples!$F$10+Examples!$F$11)*$A480-(Examples!$F$6*Examples!$F$7*Examples!$F$8*EXP(-Examples!$F$9*$A480)*(1-(Examples!$F$12*(1-EXP(-Examples!$F$13*$A480))/(1+EXP(MIN(700,MAX(-700,(Examples!$F$14*$A480-Examples!$F$15)/Examples!$F$16))))))+Examples!$F$17*$A480^2)</f>
        <v>-406739.18666535645</v>
      </c>
      <c r="I480" s="33">
        <f>(Examples!$F$6*Examples!$F$7*Examples!$F$8*EXP(-Examples!$F$9*$A480)*(1-(Examples!$F$12*(1-EXP(-Examples!$F$13*$A480))/(1+EXP(MIN(700,MAX(-700,(Examples!$F$14*$A480-Examples!$F$15)/Examples!$F$16))))))+Examples!$F$17*$A480^2)</f>
        <v>461139.18666535645</v>
      </c>
      <c r="J480" s="33">
        <f>Examples!$G$18-(Examples!$G$10+Examples!$G$11)*$A480-(Examples!$G$6*Examples!$G$7*Examples!$G$8*EXP(-Examples!$G$9*$A480)*(1-(Examples!$G$12*(1-EXP(-Examples!$G$13*$A480))/(1+EXP(MIN(700,MAX(-700,(Examples!$G$14*$A480-Examples!$G$15)/Examples!$G$16))))))+Examples!$G$17*$A480^2)</f>
        <v>715299.0623227288</v>
      </c>
      <c r="K480" s="33">
        <f>(Examples!$G$6*Examples!$G$7*Examples!$G$8*EXP(-Examples!$G$9*$A480)*(1-(Examples!$G$12*(1-EXP(-Examples!$G$13*$A480))/(1+EXP(MIN(700,MAX(-700,(Examples!$G$14*$A480-Examples!$G$15)/Examples!$G$16))))))+Examples!$G$17*$A480^2)</f>
        <v>545700.9376772712</v>
      </c>
      <c r="L480" s="33">
        <f>Examples!$H$18-(Examples!$H$10+Examples!$H$11)*$A480-(Examples!$H$6*Examples!$H$7*Examples!$H$8*EXP(-Examples!$H$9*$A480)*(1-(Examples!$H$12*(1-EXP(-Examples!$H$13*$A480))/(1+EXP(MIN(700,MAX(-700,(Examples!$H$14*$A480-Examples!$H$15)/Examples!$H$16))))))+Examples!$H$17*$A480^2)</f>
        <v>703031.34340344579</v>
      </c>
      <c r="M480" s="33">
        <f>(Examples!$H$6*Examples!$H$7*Examples!$H$8*EXP(-Examples!$H$9*$A480)*(1-(Examples!$H$12*(1-EXP(-Examples!$H$13*$A480))/(1+EXP(MIN(700,MAX(-700,(Examples!$H$14*$A480-Examples!$H$15)/Examples!$H$16))))))+Examples!$H$17*$A480^2)</f>
        <v>557968.65659655421</v>
      </c>
    </row>
    <row r="481" spans="1:13" x14ac:dyDescent="0.25">
      <c r="A481">
        <f>(481-2)/100</f>
        <v>4.79</v>
      </c>
      <c r="B481" s="33">
        <f>Examples!$C$18-(Examples!$C$10+Examples!$C$11)*$A481-(Examples!$C$6*Examples!$C$7*Examples!$C$8*EXP(-Examples!$C$9*$A481)*(1-(Examples!$C$12*(1-EXP(-Examples!$C$13*$A481))/(1+EXP(MIN(700,MAX(-700,(Examples!$C$14*$A481-Examples!$C$15)/Examples!$C$16))))))+Examples!$C$17*$A481^2)</f>
        <v>-54393.069834636757</v>
      </c>
      <c r="C481" s="33">
        <f>(Examples!$C$6*Examples!$C$7*Examples!$C$8*EXP(-Examples!$C$9*$A481)*(1-(Examples!$C$12*(1-EXP(-Examples!$C$13*$A481))/(1+EXP(MIN(700,MAX(-700,(Examples!$C$14*$A481-Examples!$C$15)/Examples!$C$16))))))+Examples!$C$17*$A481^2)</f>
        <v>486743.06983463676</v>
      </c>
      <c r="D481" s="33">
        <f>Examples!$D$18-(Examples!$D$10+Examples!$D$11)*$A481-(Examples!$D$6*Examples!$D$7*Examples!$D$8*EXP(-Examples!$D$9*$A481)*(1-(Examples!$D$12*(1-EXP(-Examples!$D$13*$A481))/(1+EXP(MIN(700,MAX(-700,(Examples!$D$14*$A481-Examples!$D$15)/Examples!$D$16))))))+Examples!$D$17*$A481^2)</f>
        <v>1573001.5378851523</v>
      </c>
      <c r="E481" s="33">
        <f>(Examples!$D$6*Examples!$D$7*Examples!$D$8*EXP(-Examples!$D$9*$A481)*(1-(Examples!$D$12*(1-EXP(-Examples!$D$13*$A481))/(1+EXP(MIN(700,MAX(-700,(Examples!$D$14*$A481-Examples!$D$15)/Examples!$D$16))))))+Examples!$D$17*$A481^2)</f>
        <v>711448.46211484785</v>
      </c>
      <c r="F481" s="33">
        <f>Examples!$E$18-(Examples!$E$10+Examples!$E$11)*$A481-(Examples!$E$6*Examples!$E$7*Examples!$E$8*EXP(-Examples!$E$9*$A481)*(1-(Examples!$E$12*(1-EXP(-Examples!$E$13*$A481))/(1+EXP(MIN(700,MAX(-700,(Examples!$E$14*$A481-Examples!$E$15)/Examples!$E$16))))))+Examples!$E$17*$A481^2)</f>
        <v>2387273.404762608</v>
      </c>
      <c r="G481" s="33">
        <f>(Examples!$E$6*Examples!$E$7*Examples!$E$8*EXP(-Examples!$E$9*$A481)*(1-(Examples!$E$12*(1-EXP(-Examples!$E$13*$A481))/(1+EXP(MIN(700,MAX(-700,(Examples!$E$14*$A481-Examples!$E$15)/Examples!$E$16))))))+Examples!$E$17*$A481^2)</f>
        <v>205576.59523739188</v>
      </c>
      <c r="H481" s="33">
        <f>Examples!$F$18-(Examples!$F$10+Examples!$F$11)*$A481-(Examples!$F$6*Examples!$F$7*Examples!$F$8*EXP(-Examples!$F$9*$A481)*(1-(Examples!$F$12*(1-EXP(-Examples!$F$13*$A481))/(1+EXP(MIN(700,MAX(-700,(Examples!$F$14*$A481-Examples!$F$15)/Examples!$F$16))))))+Examples!$F$17*$A481^2)</f>
        <v>-408840.6919069023</v>
      </c>
      <c r="I481" s="33">
        <f>(Examples!$F$6*Examples!$F$7*Examples!$F$8*EXP(-Examples!$F$9*$A481)*(1-(Examples!$F$12*(1-EXP(-Examples!$F$13*$A481))/(1+EXP(MIN(700,MAX(-700,(Examples!$F$14*$A481-Examples!$F$15)/Examples!$F$16))))))+Examples!$F$17*$A481^2)</f>
        <v>463040.6919069023</v>
      </c>
      <c r="J481" s="33">
        <f>Examples!$G$18-(Examples!$G$10+Examples!$G$11)*$A481-(Examples!$G$6*Examples!$G$7*Examples!$G$8*EXP(-Examples!$G$9*$A481)*(1-(Examples!$G$12*(1-EXP(-Examples!$G$13*$A481))/(1+EXP(MIN(700,MAX(-700,(Examples!$G$14*$A481-Examples!$G$15)/Examples!$G$16))))))+Examples!$G$17*$A481^2)</f>
        <v>715150.65595776052</v>
      </c>
      <c r="K481" s="33">
        <f>(Examples!$G$6*Examples!$G$7*Examples!$G$8*EXP(-Examples!$G$9*$A481)*(1-(Examples!$G$12*(1-EXP(-Examples!$G$13*$A481))/(1+EXP(MIN(700,MAX(-700,(Examples!$G$14*$A481-Examples!$G$15)/Examples!$G$16))))))+Examples!$G$17*$A481^2)</f>
        <v>545349.34404223948</v>
      </c>
      <c r="L481" s="33">
        <f>Examples!$H$18-(Examples!$H$10+Examples!$H$11)*$A481-(Examples!$H$6*Examples!$H$7*Examples!$H$8*EXP(-Examples!$H$9*$A481)*(1-(Examples!$H$12*(1-EXP(-Examples!$H$13*$A481))/(1+EXP(MIN(700,MAX(-700,(Examples!$H$14*$A481-Examples!$H$15)/Examples!$H$16))))))+Examples!$H$17*$A481^2)</f>
        <v>703070.87446564063</v>
      </c>
      <c r="M481" s="33">
        <f>(Examples!$H$6*Examples!$H$7*Examples!$H$8*EXP(-Examples!$H$9*$A481)*(1-(Examples!$H$12*(1-EXP(-Examples!$H$13*$A481))/(1+EXP(MIN(700,MAX(-700,(Examples!$H$14*$A481-Examples!$H$15)/Examples!$H$16))))))+Examples!$H$17*$A481^2)</f>
        <v>557429.12553435937</v>
      </c>
    </row>
    <row r="482" spans="1:13" x14ac:dyDescent="0.25">
      <c r="A482">
        <f>(482-2)/100</f>
        <v>4.8</v>
      </c>
      <c r="B482" s="33">
        <f>Examples!$C$18-(Examples!$C$10+Examples!$C$11)*$A482-(Examples!$C$6*Examples!$C$7*Examples!$C$8*EXP(-Examples!$C$9*$A482)*(1-(Examples!$C$12*(1-EXP(-Examples!$C$13*$A482))/(1+EXP(MIN(700,MAX(-700,(Examples!$C$14*$A482-Examples!$C$15)/Examples!$C$16))))))+Examples!$C$17*$A482^2)</f>
        <v>-55754.536407578446</v>
      </c>
      <c r="C482" s="33">
        <f>(Examples!$C$6*Examples!$C$7*Examples!$C$8*EXP(-Examples!$C$9*$A482)*(1-(Examples!$C$12*(1-EXP(-Examples!$C$13*$A482))/(1+EXP(MIN(700,MAX(-700,(Examples!$C$14*$A482-Examples!$C$15)/Examples!$C$16))))))+Examples!$C$17*$A482^2)</f>
        <v>487754.53640757845</v>
      </c>
      <c r="D482" s="33">
        <f>Examples!$D$18-(Examples!$D$10+Examples!$D$11)*$A482-(Examples!$D$6*Examples!$D$7*Examples!$D$8*EXP(-Examples!$D$9*$A482)*(1-(Examples!$D$12*(1-EXP(-Examples!$D$13*$A482))/(1+EXP(MIN(700,MAX(-700,(Examples!$D$14*$A482-Examples!$D$15)/Examples!$D$16))))))+Examples!$D$17*$A482^2)</f>
        <v>1573745.772515812</v>
      </c>
      <c r="E482" s="33">
        <f>(Examples!$D$6*Examples!$D$7*Examples!$D$8*EXP(-Examples!$D$9*$A482)*(1-(Examples!$D$12*(1-EXP(-Examples!$D$13*$A482))/(1+EXP(MIN(700,MAX(-700,(Examples!$D$14*$A482-Examples!$D$15)/Examples!$D$16))))))+Examples!$D$17*$A482^2)</f>
        <v>710254.22748418816</v>
      </c>
      <c r="F482" s="33">
        <f>Examples!$E$18-(Examples!$E$10+Examples!$E$11)*$A482-(Examples!$E$6*Examples!$E$7*Examples!$E$8*EXP(-Examples!$E$9*$A482)*(1-(Examples!$E$12*(1-EXP(-Examples!$E$13*$A482))/(1+EXP(MIN(700,MAX(-700,(Examples!$E$14*$A482-Examples!$E$15)/Examples!$E$16))))))+Examples!$E$17*$A482^2)</f>
        <v>2386446.0077241655</v>
      </c>
      <c r="G482" s="33">
        <f>(Examples!$E$6*Examples!$E$7*Examples!$E$8*EXP(-Examples!$E$9*$A482)*(1-(Examples!$E$12*(1-EXP(-Examples!$E$13*$A482))/(1+EXP(MIN(700,MAX(-700,(Examples!$E$14*$A482-Examples!$E$15)/Examples!$E$16))))))+Examples!$E$17*$A482^2)</f>
        <v>205553.99227583475</v>
      </c>
      <c r="H482" s="33">
        <f>Examples!$F$18-(Examples!$F$10+Examples!$F$11)*$A482-(Examples!$F$6*Examples!$F$7*Examples!$F$8*EXP(-Examples!$F$9*$A482)*(1-(Examples!$F$12*(1-EXP(-Examples!$F$13*$A482))/(1+EXP(MIN(700,MAX(-700,(Examples!$F$14*$A482-Examples!$F$15)/Examples!$F$16))))))+Examples!$F$17*$A482^2)</f>
        <v>-410946.23457449989</v>
      </c>
      <c r="I482" s="33">
        <f>(Examples!$F$6*Examples!$F$7*Examples!$F$8*EXP(-Examples!$F$9*$A482)*(1-(Examples!$F$12*(1-EXP(-Examples!$F$13*$A482))/(1+EXP(MIN(700,MAX(-700,(Examples!$F$14*$A482-Examples!$F$15)/Examples!$F$16))))))+Examples!$F$17*$A482^2)</f>
        <v>464946.23457449989</v>
      </c>
      <c r="J482" s="33">
        <f>Examples!$G$18-(Examples!$G$10+Examples!$G$11)*$A482-(Examples!$G$6*Examples!$G$7*Examples!$G$8*EXP(-Examples!$G$9*$A482)*(1-(Examples!$G$12*(1-EXP(-Examples!$G$13*$A482))/(1+EXP(MIN(700,MAX(-700,(Examples!$G$14*$A482-Examples!$G$15)/Examples!$G$16))))))+Examples!$G$17*$A482^2)</f>
        <v>714998.97322805948</v>
      </c>
      <c r="K482" s="33">
        <f>(Examples!$G$6*Examples!$G$7*Examples!$G$8*EXP(-Examples!$G$9*$A482)*(1-(Examples!$G$12*(1-EXP(-Examples!$G$13*$A482))/(1+EXP(MIN(700,MAX(-700,(Examples!$G$14*$A482-Examples!$G$15)/Examples!$G$16))))))+Examples!$G$17*$A482^2)</f>
        <v>545001.02677194052</v>
      </c>
      <c r="L482" s="33">
        <f>Examples!$H$18-(Examples!$H$10+Examples!$H$11)*$A482-(Examples!$H$6*Examples!$H$7*Examples!$H$8*EXP(-Examples!$H$9*$A482)*(1-(Examples!$H$12*(1-EXP(-Examples!$H$13*$A482))/(1+EXP(MIN(700,MAX(-700,(Examples!$H$14*$A482-Examples!$H$15)/Examples!$H$16))))))+Examples!$H$17*$A482^2)</f>
        <v>703104.44117741822</v>
      </c>
      <c r="M482" s="33">
        <f>(Examples!$H$6*Examples!$H$7*Examples!$H$8*EXP(-Examples!$H$9*$A482)*(1-(Examples!$H$12*(1-EXP(-Examples!$H$13*$A482))/(1+EXP(MIN(700,MAX(-700,(Examples!$H$14*$A482-Examples!$H$15)/Examples!$H$16))))))+Examples!$H$17*$A482^2)</f>
        <v>556895.55882258178</v>
      </c>
    </row>
    <row r="483" spans="1:13" x14ac:dyDescent="0.25">
      <c r="A483">
        <f>(483-2)/100</f>
        <v>4.8099999999999996</v>
      </c>
      <c r="B483" s="33">
        <f>Examples!$C$18-(Examples!$C$10+Examples!$C$11)*$A483-(Examples!$C$6*Examples!$C$7*Examples!$C$8*EXP(-Examples!$C$9*$A483)*(1-(Examples!$C$12*(1-EXP(-Examples!$C$13*$A483))/(1+EXP(MIN(700,MAX(-700,(Examples!$C$14*$A483-Examples!$C$15)/Examples!$C$16))))))+Examples!$C$17*$A483^2)</f>
        <v>-57120.279705882946</v>
      </c>
      <c r="C483" s="33">
        <f>(Examples!$C$6*Examples!$C$7*Examples!$C$8*EXP(-Examples!$C$9*$A483)*(1-(Examples!$C$12*(1-EXP(-Examples!$C$13*$A483))/(1+EXP(MIN(700,MAX(-700,(Examples!$C$14*$A483-Examples!$C$15)/Examples!$C$16))))))+Examples!$C$17*$A483^2)</f>
        <v>488770.27970588295</v>
      </c>
      <c r="D483" s="33">
        <f>Examples!$D$18-(Examples!$D$10+Examples!$D$11)*$A483-(Examples!$D$6*Examples!$D$7*Examples!$D$8*EXP(-Examples!$D$9*$A483)*(1-(Examples!$D$12*(1-EXP(-Examples!$D$13*$A483))/(1+EXP(MIN(700,MAX(-700,(Examples!$D$14*$A483-Examples!$D$15)/Examples!$D$16))))))+Examples!$D$17*$A483^2)</f>
        <v>1574493.3778369785</v>
      </c>
      <c r="E483" s="33">
        <f>(Examples!$D$6*Examples!$D$7*Examples!$D$8*EXP(-Examples!$D$9*$A483)*(1-(Examples!$D$12*(1-EXP(-Examples!$D$13*$A483))/(1+EXP(MIN(700,MAX(-700,(Examples!$D$14*$A483-Examples!$D$15)/Examples!$D$16))))))+Examples!$D$17*$A483^2)</f>
        <v>709056.62216302159</v>
      </c>
      <c r="F483" s="33">
        <f>Examples!$E$18-(Examples!$E$10+Examples!$E$11)*$A483-(Examples!$E$6*Examples!$E$7*Examples!$E$8*EXP(-Examples!$E$9*$A483)*(1-(Examples!$E$12*(1-EXP(-Examples!$E$13*$A483))/(1+EXP(MIN(700,MAX(-700,(Examples!$E$14*$A483-Examples!$E$15)/Examples!$E$16))))))+Examples!$E$17*$A483^2)</f>
        <v>2385617.6726197437</v>
      </c>
      <c r="G483" s="33">
        <f>(Examples!$E$6*Examples!$E$7*Examples!$E$8*EXP(-Examples!$E$9*$A483)*(1-(Examples!$E$12*(1-EXP(-Examples!$E$13*$A483))/(1+EXP(MIN(700,MAX(-700,(Examples!$E$14*$A483-Examples!$E$15)/Examples!$E$16))))))+Examples!$E$17*$A483^2)</f>
        <v>205532.32738025641</v>
      </c>
      <c r="H483" s="33">
        <f>Examples!$F$18-(Examples!$F$10+Examples!$F$11)*$A483-(Examples!$F$6*Examples!$F$7*Examples!$F$8*EXP(-Examples!$F$9*$A483)*(1-(Examples!$F$12*(1-EXP(-Examples!$F$13*$A483))/(1+EXP(MIN(700,MAX(-700,(Examples!$F$14*$A483-Examples!$F$15)/Examples!$F$16))))))+Examples!$F$17*$A483^2)</f>
        <v>-413055.81455612346</v>
      </c>
      <c r="I483" s="33">
        <f>(Examples!$F$6*Examples!$F$7*Examples!$F$8*EXP(-Examples!$F$9*$A483)*(1-(Examples!$F$12*(1-EXP(-Examples!$F$13*$A483))/(1+EXP(MIN(700,MAX(-700,(Examples!$F$14*$A483-Examples!$F$15)/Examples!$F$16))))))+Examples!$F$17*$A483^2)</f>
        <v>466855.81455612346</v>
      </c>
      <c r="J483" s="33">
        <f>Examples!$G$18-(Examples!$G$10+Examples!$G$11)*$A483-(Examples!$G$6*Examples!$G$7*Examples!$G$8*EXP(-Examples!$G$9*$A483)*(1-(Examples!$G$12*(1-EXP(-Examples!$G$13*$A483))/(1+EXP(MIN(700,MAX(-700,(Examples!$G$14*$A483-Examples!$G$15)/Examples!$G$16))))))+Examples!$G$17*$A483^2)</f>
        <v>714843.99002234335</v>
      </c>
      <c r="K483" s="33">
        <f>(Examples!$G$6*Examples!$G$7*Examples!$G$8*EXP(-Examples!$G$9*$A483)*(1-(Examples!$G$12*(1-EXP(-Examples!$G$13*$A483))/(1+EXP(MIN(700,MAX(-700,(Examples!$G$14*$A483-Examples!$G$15)/Examples!$G$16))))))+Examples!$G$17*$A483^2)</f>
        <v>544656.00997765665</v>
      </c>
      <c r="L483" s="33">
        <f>Examples!$H$18-(Examples!$H$10+Examples!$H$11)*$A483-(Examples!$H$6*Examples!$H$7*Examples!$H$8*EXP(-Examples!$H$9*$A483)*(1-(Examples!$H$12*(1-EXP(-Examples!$H$13*$A483))/(1+EXP(MIN(700,MAX(-700,(Examples!$H$14*$A483-Examples!$H$15)/Examples!$H$16))))))+Examples!$H$17*$A483^2)</f>
        <v>703132.05210837361</v>
      </c>
      <c r="M483" s="33">
        <f>(Examples!$H$6*Examples!$H$7*Examples!$H$8*EXP(-Examples!$H$9*$A483)*(1-(Examples!$H$12*(1-EXP(-Examples!$H$13*$A483))/(1+EXP(MIN(700,MAX(-700,(Examples!$H$14*$A483-Examples!$H$15)/Examples!$H$16))))))+Examples!$H$17*$A483^2)</f>
        <v>556367.94789162639</v>
      </c>
    </row>
    <row r="484" spans="1:13" x14ac:dyDescent="0.25">
      <c r="A484">
        <f>(484-2)/100</f>
        <v>4.82</v>
      </c>
      <c r="B484" s="33">
        <f>Examples!$C$18-(Examples!$C$10+Examples!$C$11)*$A484-(Examples!$C$6*Examples!$C$7*Examples!$C$8*EXP(-Examples!$C$9*$A484)*(1-(Examples!$C$12*(1-EXP(-Examples!$C$13*$A484))/(1+EXP(MIN(700,MAX(-700,(Examples!$C$14*$A484-Examples!$C$15)/Examples!$C$16))))))+Examples!$C$17*$A484^2)</f>
        <v>-58490.295990602172</v>
      </c>
      <c r="C484" s="33">
        <f>(Examples!$C$6*Examples!$C$7*Examples!$C$8*EXP(-Examples!$C$9*$A484)*(1-(Examples!$C$12*(1-EXP(-Examples!$C$13*$A484))/(1+EXP(MIN(700,MAX(-700,(Examples!$C$14*$A484-Examples!$C$15)/Examples!$C$16))))))+Examples!$C$17*$A484^2)</f>
        <v>489790.29599060217</v>
      </c>
      <c r="D484" s="33">
        <f>Examples!$D$18-(Examples!$D$10+Examples!$D$11)*$A484-(Examples!$D$6*Examples!$D$7*Examples!$D$8*EXP(-Examples!$D$9*$A484)*(1-(Examples!$D$12*(1-EXP(-Examples!$D$13*$A484))/(1+EXP(MIN(700,MAX(-700,(Examples!$D$14*$A484-Examples!$D$15)/Examples!$D$16))))))+Examples!$D$17*$A484^2)</f>
        <v>1575244.2549625887</v>
      </c>
      <c r="E484" s="33">
        <f>(Examples!$D$6*Examples!$D$7*Examples!$D$8*EXP(-Examples!$D$9*$A484)*(1-(Examples!$D$12*(1-EXP(-Examples!$D$13*$A484))/(1+EXP(MIN(700,MAX(-700,(Examples!$D$14*$A484-Examples!$D$15)/Examples!$D$16))))))+Examples!$D$17*$A484^2)</f>
        <v>707855.74503741122</v>
      </c>
      <c r="F484" s="33">
        <f>Examples!$E$18-(Examples!$E$10+Examples!$E$11)*$A484-(Examples!$E$6*Examples!$E$7*Examples!$E$8*EXP(-Examples!$E$9*$A484)*(1-(Examples!$E$12*(1-EXP(-Examples!$E$13*$A484))/(1+EXP(MIN(700,MAX(-700,(Examples!$E$14*$A484-Examples!$E$15)/Examples!$E$16))))))+Examples!$E$17*$A484^2)</f>
        <v>2384788.4139626492</v>
      </c>
      <c r="G484" s="33">
        <f>(Examples!$E$6*Examples!$E$7*Examples!$E$8*EXP(-Examples!$E$9*$A484)*(1-(Examples!$E$12*(1-EXP(-Examples!$E$13*$A484))/(1+EXP(MIN(700,MAX(-700,(Examples!$E$14*$A484-Examples!$E$15)/Examples!$E$16))))))+Examples!$E$17*$A484^2)</f>
        <v>205511.58603735099</v>
      </c>
      <c r="H484" s="33">
        <f>Examples!$F$18-(Examples!$F$10+Examples!$F$11)*$A484-(Examples!$F$6*Examples!$F$7*Examples!$F$8*EXP(-Examples!$F$9*$A484)*(1-(Examples!$F$12*(1-EXP(-Examples!$F$13*$A484))/(1+EXP(MIN(700,MAX(-700,(Examples!$F$14*$A484-Examples!$F$15)/Examples!$F$16))))))+Examples!$F$17*$A484^2)</f>
        <v>-415169.43174007983</v>
      </c>
      <c r="I484" s="33">
        <f>(Examples!$F$6*Examples!$F$7*Examples!$F$8*EXP(-Examples!$F$9*$A484)*(1-(Examples!$F$12*(1-EXP(-Examples!$F$13*$A484))/(1+EXP(MIN(700,MAX(-700,(Examples!$F$14*$A484-Examples!$F$15)/Examples!$F$16))))))+Examples!$F$17*$A484^2)</f>
        <v>468769.43174007983</v>
      </c>
      <c r="J484" s="33">
        <f>Examples!$G$18-(Examples!$G$10+Examples!$G$11)*$A484-(Examples!$G$6*Examples!$G$7*Examples!$G$8*EXP(-Examples!$G$9*$A484)*(1-(Examples!$G$12*(1-EXP(-Examples!$G$13*$A484))/(1+EXP(MIN(700,MAX(-700,(Examples!$G$14*$A484-Examples!$G$15)/Examples!$G$16))))))+Examples!$G$17*$A484^2)</f>
        <v>714685.68263754388</v>
      </c>
      <c r="K484" s="33">
        <f>(Examples!$G$6*Examples!$G$7*Examples!$G$8*EXP(-Examples!$G$9*$A484)*(1-(Examples!$G$12*(1-EXP(-Examples!$G$13*$A484))/(1+EXP(MIN(700,MAX(-700,(Examples!$G$14*$A484-Examples!$G$15)/Examples!$G$16))))))+Examples!$G$17*$A484^2)</f>
        <v>544314.31736245612</v>
      </c>
      <c r="L484" s="33">
        <f>Examples!$H$18-(Examples!$H$10+Examples!$H$11)*$A484-(Examples!$H$6*Examples!$H$7*Examples!$H$8*EXP(-Examples!$H$9*$A484)*(1-(Examples!$H$12*(1-EXP(-Examples!$H$13*$A484))/(1+EXP(MIN(700,MAX(-700,(Examples!$H$14*$A484-Examples!$H$15)/Examples!$H$16))))))+Examples!$H$17*$A484^2)</f>
        <v>703153.71602502372</v>
      </c>
      <c r="M484" s="33">
        <f>(Examples!$H$6*Examples!$H$7*Examples!$H$8*EXP(-Examples!$H$9*$A484)*(1-(Examples!$H$12*(1-EXP(-Examples!$H$13*$A484))/(1+EXP(MIN(700,MAX(-700,(Examples!$H$14*$A484-Examples!$H$15)/Examples!$H$16))))))+Examples!$H$17*$A484^2)</f>
        <v>555846.28397497628</v>
      </c>
    </row>
    <row r="485" spans="1:13" x14ac:dyDescent="0.25">
      <c r="A485">
        <f>(485-2)/100</f>
        <v>4.83</v>
      </c>
      <c r="B485" s="33">
        <f>Examples!$C$18-(Examples!$C$10+Examples!$C$11)*$A485-(Examples!$C$6*Examples!$C$7*Examples!$C$8*EXP(-Examples!$C$9*$A485)*(1-(Examples!$C$12*(1-EXP(-Examples!$C$13*$A485))/(1+EXP(MIN(700,MAX(-700,(Examples!$C$14*$A485-Examples!$C$15)/Examples!$C$16))))))+Examples!$C$17*$A485^2)</f>
        <v>-59864.581531021337</v>
      </c>
      <c r="C485" s="33">
        <f>(Examples!$C$6*Examples!$C$7*Examples!$C$8*EXP(-Examples!$C$9*$A485)*(1-(Examples!$C$12*(1-EXP(-Examples!$C$13*$A485))/(1+EXP(MIN(700,MAX(-700,(Examples!$C$14*$A485-Examples!$C$15)/Examples!$C$16))))))+Examples!$C$17*$A485^2)</f>
        <v>490814.58153102134</v>
      </c>
      <c r="D485" s="33">
        <f>Examples!$D$18-(Examples!$D$10+Examples!$D$11)*$A485-(Examples!$D$6*Examples!$D$7*Examples!$D$8*EXP(-Examples!$D$9*$A485)*(1-(Examples!$D$12*(1-EXP(-Examples!$D$13*$A485))/(1+EXP(MIN(700,MAX(-700,(Examples!$D$14*$A485-Examples!$D$15)/Examples!$D$16))))))+Examples!$D$17*$A485^2)</f>
        <v>1575998.3044110704</v>
      </c>
      <c r="E485" s="33">
        <f>(Examples!$D$6*Examples!$D$7*Examples!$D$8*EXP(-Examples!$D$9*$A485)*(1-(Examples!$D$12*(1-EXP(-Examples!$D$13*$A485))/(1+EXP(MIN(700,MAX(-700,(Examples!$D$14*$A485-Examples!$D$15)/Examples!$D$16))))))+Examples!$D$17*$A485^2)</f>
        <v>706651.69558892958</v>
      </c>
      <c r="F485" s="33">
        <f>Examples!$E$18-(Examples!$E$10+Examples!$E$11)*$A485-(Examples!$E$6*Examples!$E$7*Examples!$E$8*EXP(-Examples!$E$9*$A485)*(1-(Examples!$E$12*(1-EXP(-Examples!$E$13*$A485))/(1+EXP(MIN(700,MAX(-700,(Examples!$E$14*$A485-Examples!$E$15)/Examples!$E$16))))))+Examples!$E$17*$A485^2)</f>
        <v>2383958.2459745044</v>
      </c>
      <c r="G485" s="33">
        <f>(Examples!$E$6*Examples!$E$7*Examples!$E$8*EXP(-Examples!$E$9*$A485)*(1-(Examples!$E$12*(1-EXP(-Examples!$E$13*$A485))/(1+EXP(MIN(700,MAX(-700,(Examples!$E$14*$A485-Examples!$E$15)/Examples!$E$16))))))+Examples!$E$17*$A485^2)</f>
        <v>205491.75402549573</v>
      </c>
      <c r="H485" s="33">
        <f>Examples!$F$18-(Examples!$F$10+Examples!$F$11)*$A485-(Examples!$F$6*Examples!$F$7*Examples!$F$8*EXP(-Examples!$F$9*$A485)*(1-(Examples!$F$12*(1-EXP(-Examples!$F$13*$A485))/(1+EXP(MIN(700,MAX(-700,(Examples!$F$14*$A485-Examples!$F$15)/Examples!$F$16))))))+Examples!$F$17*$A485^2)</f>
        <v>-417287.08601500612</v>
      </c>
      <c r="I485" s="33">
        <f>(Examples!$F$6*Examples!$F$7*Examples!$F$8*EXP(-Examples!$F$9*$A485)*(1-(Examples!$F$12*(1-EXP(-Examples!$F$13*$A485))/(1+EXP(MIN(700,MAX(-700,(Examples!$F$14*$A485-Examples!$F$15)/Examples!$F$16))))))+Examples!$F$17*$A485^2)</f>
        <v>470687.08601500612</v>
      </c>
      <c r="J485" s="33">
        <f>Examples!$G$18-(Examples!$G$10+Examples!$G$11)*$A485-(Examples!$G$6*Examples!$G$7*Examples!$G$8*EXP(-Examples!$G$9*$A485)*(1-(Examples!$G$12*(1-EXP(-Examples!$G$13*$A485))/(1+EXP(MIN(700,MAX(-700,(Examples!$G$14*$A485-Examples!$G$15)/Examples!$G$16))))))+Examples!$G$17*$A485^2)</f>
        <v>714524.02777612489</v>
      </c>
      <c r="K485" s="33">
        <f>(Examples!$G$6*Examples!$G$7*Examples!$G$8*EXP(-Examples!$G$9*$A485)*(1-(Examples!$G$12*(1-EXP(-Examples!$G$13*$A485))/(1+EXP(MIN(700,MAX(-700,(Examples!$G$14*$A485-Examples!$G$15)/Examples!$G$16))))))+Examples!$G$17*$A485^2)</f>
        <v>543975.97222387511</v>
      </c>
      <c r="L485" s="33">
        <f>Examples!$H$18-(Examples!$H$10+Examples!$H$11)*$A485-(Examples!$H$6*Examples!$H$7*Examples!$H$8*EXP(-Examples!$H$9*$A485)*(1-(Examples!$H$12*(1-EXP(-Examples!$H$13*$A485))/(1+EXP(MIN(700,MAX(-700,(Examples!$H$14*$A485-Examples!$H$15)/Examples!$H$16))))))+Examples!$H$17*$A485^2)</f>
        <v>703169.44188247225</v>
      </c>
      <c r="M485" s="33">
        <f>(Examples!$H$6*Examples!$H$7*Examples!$H$8*EXP(-Examples!$H$9*$A485)*(1-(Examples!$H$12*(1-EXP(-Examples!$H$13*$A485))/(1+EXP(MIN(700,MAX(-700,(Examples!$H$14*$A485-Examples!$H$15)/Examples!$H$16))))))+Examples!$H$17*$A485^2)</f>
        <v>555330.55811752775</v>
      </c>
    </row>
    <row r="486" spans="1:13" x14ac:dyDescent="0.25">
      <c r="A486">
        <f>(486-2)/100</f>
        <v>4.84</v>
      </c>
      <c r="B486" s="33">
        <f>Examples!$C$18-(Examples!$C$10+Examples!$C$11)*$A486-(Examples!$C$6*Examples!$C$7*Examples!$C$8*EXP(-Examples!$C$9*$A486)*(1-(Examples!$C$12*(1-EXP(-Examples!$C$13*$A486))/(1+EXP(MIN(700,MAX(-700,(Examples!$C$14*$A486-Examples!$C$15)/Examples!$C$16))))))+Examples!$C$17*$A486^2)</f>
        <v>-61243.1326047373</v>
      </c>
      <c r="C486" s="33">
        <f>(Examples!$C$6*Examples!$C$7*Examples!$C$8*EXP(-Examples!$C$9*$A486)*(1-(Examples!$C$12*(1-EXP(-Examples!$C$13*$A486))/(1+EXP(MIN(700,MAX(-700,(Examples!$C$14*$A486-Examples!$C$15)/Examples!$C$16))))))+Examples!$C$17*$A486^2)</f>
        <v>491843.1326047373</v>
      </c>
      <c r="D486" s="33">
        <f>Examples!$D$18-(Examples!$D$10+Examples!$D$11)*$A486-(Examples!$D$6*Examples!$D$7*Examples!$D$8*EXP(-Examples!$D$9*$A486)*(1-(Examples!$D$12*(1-EXP(-Examples!$D$13*$A486))/(1+EXP(MIN(700,MAX(-700,(Examples!$D$14*$A486-Examples!$D$15)/Examples!$D$16))))))+Examples!$D$17*$A486^2)</f>
        <v>1576755.4261557735</v>
      </c>
      <c r="E486" s="33">
        <f>(Examples!$D$6*Examples!$D$7*Examples!$D$8*EXP(-Examples!$D$9*$A486)*(1-(Examples!$D$12*(1-EXP(-Examples!$D$13*$A486))/(1+EXP(MIN(700,MAX(-700,(Examples!$D$14*$A486-Examples!$D$15)/Examples!$D$16))))))+Examples!$D$17*$A486^2)</f>
        <v>705444.57384422654</v>
      </c>
      <c r="F486" s="33">
        <f>Examples!$E$18-(Examples!$E$10+Examples!$E$11)*$A486-(Examples!$E$6*Examples!$E$7*Examples!$E$8*EXP(-Examples!$E$9*$A486)*(1-(Examples!$E$12*(1-EXP(-Examples!$E$13*$A486))/(1+EXP(MIN(700,MAX(-700,(Examples!$E$14*$A486-Examples!$E$15)/Examples!$E$16))))))+Examples!$E$17*$A486^2)</f>
        <v>2383127.1825872785</v>
      </c>
      <c r="G486" s="33">
        <f>(Examples!$E$6*Examples!$E$7*Examples!$E$8*EXP(-Examples!$E$9*$A486)*(1-(Examples!$E$12*(1-EXP(-Examples!$E$13*$A486))/(1+EXP(MIN(700,MAX(-700,(Examples!$E$14*$A486-Examples!$E$15)/Examples!$E$16))))))+Examples!$E$17*$A486^2)</f>
        <v>205472.81741272158</v>
      </c>
      <c r="H486" s="33">
        <f>Examples!$F$18-(Examples!$F$10+Examples!$F$11)*$A486-(Examples!$F$6*Examples!$F$7*Examples!$F$8*EXP(-Examples!$F$9*$A486)*(1-(Examples!$F$12*(1-EXP(-Examples!$F$13*$A486))/(1+EXP(MIN(700,MAX(-700,(Examples!$F$14*$A486-Examples!$F$15)/Examples!$F$16))))))+Examples!$F$17*$A486^2)</f>
        <v>-419408.7772698708</v>
      </c>
      <c r="I486" s="33">
        <f>(Examples!$F$6*Examples!$F$7*Examples!$F$8*EXP(-Examples!$F$9*$A486)*(1-(Examples!$F$12*(1-EXP(-Examples!$F$13*$A486))/(1+EXP(MIN(700,MAX(-700,(Examples!$F$14*$A486-Examples!$F$15)/Examples!$F$16))))))+Examples!$F$17*$A486^2)</f>
        <v>472608.7772698708</v>
      </c>
      <c r="J486" s="33">
        <f>Examples!$G$18-(Examples!$G$10+Examples!$G$11)*$A486-(Examples!$G$6*Examples!$G$7*Examples!$G$8*EXP(-Examples!$G$9*$A486)*(1-(Examples!$G$12*(1-EXP(-Examples!$G$13*$A486))/(1+EXP(MIN(700,MAX(-700,(Examples!$G$14*$A486-Examples!$G$15)/Examples!$G$16))))))+Examples!$G$17*$A486^2)</f>
        <v>714359.00254334218</v>
      </c>
      <c r="K486" s="33">
        <f>(Examples!$G$6*Examples!$G$7*Examples!$G$8*EXP(-Examples!$G$9*$A486)*(1-(Examples!$G$12*(1-EXP(-Examples!$G$13*$A486))/(1+EXP(MIN(700,MAX(-700,(Examples!$G$14*$A486-Examples!$G$15)/Examples!$G$16))))))+Examples!$G$17*$A486^2)</f>
        <v>543640.99745665782</v>
      </c>
      <c r="L486" s="33">
        <f>Examples!$H$18-(Examples!$H$10+Examples!$H$11)*$A486-(Examples!$H$6*Examples!$H$7*Examples!$H$8*EXP(-Examples!$H$9*$A486)*(1-(Examples!$H$12*(1-EXP(-Examples!$H$13*$A486))/(1+EXP(MIN(700,MAX(-700,(Examples!$H$14*$A486-Examples!$H$15)/Examples!$H$16))))))+Examples!$H$17*$A486^2)</f>
        <v>703179.23881635885</v>
      </c>
      <c r="M486" s="33">
        <f>(Examples!$H$6*Examples!$H$7*Examples!$H$8*EXP(-Examples!$H$9*$A486)*(1-(Examples!$H$12*(1-EXP(-Examples!$H$13*$A486))/(1+EXP(MIN(700,MAX(-700,(Examples!$H$14*$A486-Examples!$H$15)/Examples!$H$16))))))+Examples!$H$17*$A486^2)</f>
        <v>554820.76118364115</v>
      </c>
    </row>
    <row r="487" spans="1:13" x14ac:dyDescent="0.25">
      <c r="A487">
        <f>(487-2)/100</f>
        <v>4.8499999999999996</v>
      </c>
      <c r="B487" s="33">
        <f>Examples!$C$18-(Examples!$C$10+Examples!$C$11)*$A487-(Examples!$C$6*Examples!$C$7*Examples!$C$8*EXP(-Examples!$C$9*$A487)*(1-(Examples!$C$12*(1-EXP(-Examples!$C$13*$A487))/(1+EXP(MIN(700,MAX(-700,(Examples!$C$14*$A487-Examples!$C$15)/Examples!$C$16))))))+Examples!$C$17*$A487^2)</f>
        <v>-62625.945497732144</v>
      </c>
      <c r="C487" s="33">
        <f>(Examples!$C$6*Examples!$C$7*Examples!$C$8*EXP(-Examples!$C$9*$A487)*(1-(Examples!$C$12*(1-EXP(-Examples!$C$13*$A487))/(1+EXP(MIN(700,MAX(-700,(Examples!$C$14*$A487-Examples!$C$15)/Examples!$C$16))))))+Examples!$C$17*$A487^2)</f>
        <v>492875.94549773214</v>
      </c>
      <c r="D487" s="33">
        <f>Examples!$D$18-(Examples!$D$10+Examples!$D$11)*$A487-(Examples!$D$6*Examples!$D$7*Examples!$D$8*EXP(-Examples!$D$9*$A487)*(1-(Examples!$D$12*(1-EXP(-Examples!$D$13*$A487))/(1+EXP(MIN(700,MAX(-700,(Examples!$D$14*$A487-Examples!$D$15)/Examples!$D$16))))))+Examples!$D$17*$A487^2)</f>
        <v>1577515.5196745424</v>
      </c>
      <c r="E487" s="33">
        <f>(Examples!$D$6*Examples!$D$7*Examples!$D$8*EXP(-Examples!$D$9*$A487)*(1-(Examples!$D$12*(1-EXP(-Examples!$D$13*$A487))/(1+EXP(MIN(700,MAX(-700,(Examples!$D$14*$A487-Examples!$D$15)/Examples!$D$16))))))+Examples!$D$17*$A487^2)</f>
        <v>704234.48032545752</v>
      </c>
      <c r="F487" s="33">
        <f>Examples!$E$18-(Examples!$E$10+Examples!$E$11)*$A487-(Examples!$E$6*Examples!$E$7*Examples!$E$8*EXP(-Examples!$E$9*$A487)*(1-(Examples!$E$12*(1-EXP(-Examples!$E$13*$A487))/(1+EXP(MIN(700,MAX(-700,(Examples!$E$14*$A487-Examples!$E$15)/Examples!$E$16))))))+Examples!$E$17*$A487^2)</f>
        <v>2382295.2374453172</v>
      </c>
      <c r="G487" s="33">
        <f>(Examples!$E$6*Examples!$E$7*Examples!$E$8*EXP(-Examples!$E$9*$A487)*(1-(Examples!$E$12*(1-EXP(-Examples!$E$13*$A487))/(1+EXP(MIN(700,MAX(-700,(Examples!$E$14*$A487-Examples!$E$15)/Examples!$E$16))))))+Examples!$E$17*$A487^2)</f>
        <v>205454.76255468256</v>
      </c>
      <c r="H487" s="33">
        <f>Examples!$F$18-(Examples!$F$10+Examples!$F$11)*$A487-(Examples!$F$6*Examples!$F$7*Examples!$F$8*EXP(-Examples!$F$9*$A487)*(1-(Examples!$F$12*(1-EXP(-Examples!$F$13*$A487))/(1+EXP(MIN(700,MAX(-700,(Examples!$F$14*$A487-Examples!$F$15)/Examples!$F$16))))))+Examples!$F$17*$A487^2)</f>
        <v>-421534.5053939714</v>
      </c>
      <c r="I487" s="33">
        <f>(Examples!$F$6*Examples!$F$7*Examples!$F$8*EXP(-Examples!$F$9*$A487)*(1-(Examples!$F$12*(1-EXP(-Examples!$F$13*$A487))/(1+EXP(MIN(700,MAX(-700,(Examples!$F$14*$A487-Examples!$F$15)/Examples!$F$16))))))+Examples!$F$17*$A487^2)</f>
        <v>474534.5053939714</v>
      </c>
      <c r="J487" s="33">
        <f>Examples!$G$18-(Examples!$G$10+Examples!$G$11)*$A487-(Examples!$G$6*Examples!$G$7*Examples!$G$8*EXP(-Examples!$G$9*$A487)*(1-(Examples!$G$12*(1-EXP(-Examples!$G$13*$A487))/(1+EXP(MIN(700,MAX(-700,(Examples!$G$14*$A487-Examples!$G$15)/Examples!$G$16))))))+Examples!$G$17*$A487^2)</f>
        <v>714190.58444444451</v>
      </c>
      <c r="K487" s="33">
        <f>(Examples!$G$6*Examples!$G$7*Examples!$G$8*EXP(-Examples!$G$9*$A487)*(1-(Examples!$G$12*(1-EXP(-Examples!$G$13*$A487))/(1+EXP(MIN(700,MAX(-700,(Examples!$G$14*$A487-Examples!$G$15)/Examples!$G$16))))))+Examples!$G$17*$A487^2)</f>
        <v>543309.41555555549</v>
      </c>
      <c r="L487" s="33">
        <f>Examples!$H$18-(Examples!$H$10+Examples!$H$11)*$A487-(Examples!$H$6*Examples!$H$7*Examples!$H$8*EXP(-Examples!$H$9*$A487)*(1-(Examples!$H$12*(1-EXP(-Examples!$H$13*$A487))/(1+EXP(MIN(700,MAX(-700,(Examples!$H$14*$A487-Examples!$H$15)/Examples!$H$16))))))+Examples!$H$17*$A487^2)</f>
        <v>703183.11613508011</v>
      </c>
      <c r="M487" s="33">
        <f>(Examples!$H$6*Examples!$H$7*Examples!$H$8*EXP(-Examples!$H$9*$A487)*(1-(Examples!$H$12*(1-EXP(-Examples!$H$13*$A487))/(1+EXP(MIN(700,MAX(-700,(Examples!$H$14*$A487-Examples!$H$15)/Examples!$H$16))))))+Examples!$H$17*$A487^2)</f>
        <v>554316.88386491989</v>
      </c>
    </row>
    <row r="488" spans="1:13" x14ac:dyDescent="0.25">
      <c r="A488">
        <f>(488-2)/100</f>
        <v>4.8600000000000003</v>
      </c>
      <c r="B488" s="33">
        <f>Examples!$C$18-(Examples!$C$10+Examples!$C$11)*$A488-(Examples!$C$6*Examples!$C$7*Examples!$C$8*EXP(-Examples!$C$9*$A488)*(1-(Examples!$C$12*(1-EXP(-Examples!$C$13*$A488))/(1+EXP(MIN(700,MAX(-700,(Examples!$C$14*$A488-Examples!$C$15)/Examples!$C$16))))))+Examples!$C$17*$A488^2)</f>
        <v>-64013.016504444415</v>
      </c>
      <c r="C488" s="33">
        <f>(Examples!$C$6*Examples!$C$7*Examples!$C$8*EXP(-Examples!$C$9*$A488)*(1-(Examples!$C$12*(1-EXP(-Examples!$C$13*$A488))/(1+EXP(MIN(700,MAX(-700,(Examples!$C$14*$A488-Examples!$C$15)/Examples!$C$16))))))+Examples!$C$17*$A488^2)</f>
        <v>493913.01650444441</v>
      </c>
      <c r="D488" s="33">
        <f>Examples!$D$18-(Examples!$D$10+Examples!$D$11)*$A488-(Examples!$D$6*Examples!$D$7*Examples!$D$8*EXP(-Examples!$D$9*$A488)*(1-(Examples!$D$12*(1-EXP(-Examples!$D$13*$A488))/(1+EXP(MIN(700,MAX(-700,(Examples!$D$14*$A488-Examples!$D$15)/Examples!$D$16))))))+Examples!$D$17*$A488^2)</f>
        <v>1578278.4839984188</v>
      </c>
      <c r="E488" s="33">
        <f>(Examples!$D$6*Examples!$D$7*Examples!$D$8*EXP(-Examples!$D$9*$A488)*(1-(Examples!$D$12*(1-EXP(-Examples!$D$13*$A488))/(1+EXP(MIN(700,MAX(-700,(Examples!$D$14*$A488-Examples!$D$15)/Examples!$D$16))))))+Examples!$D$17*$A488^2)</f>
        <v>703021.51600158121</v>
      </c>
      <c r="F488" s="33">
        <f>Examples!$E$18-(Examples!$E$10+Examples!$E$11)*$A488-(Examples!$E$6*Examples!$E$7*Examples!$E$8*EXP(-Examples!$E$9*$A488)*(1-(Examples!$E$12*(1-EXP(-Examples!$E$13*$A488))/(1+EXP(MIN(700,MAX(-700,(Examples!$E$14*$A488-Examples!$E$15)/Examples!$E$16))))))+Examples!$E$17*$A488^2)</f>
        <v>2381462.4239073782</v>
      </c>
      <c r="G488" s="33">
        <f>(Examples!$E$6*Examples!$E$7*Examples!$E$8*EXP(-Examples!$E$9*$A488)*(1-(Examples!$E$12*(1-EXP(-Examples!$E$13*$A488))/(1+EXP(MIN(700,MAX(-700,(Examples!$E$14*$A488-Examples!$E$15)/Examples!$E$16))))))+Examples!$E$17*$A488^2)</f>
        <v>205437.57609262166</v>
      </c>
      <c r="H488" s="33">
        <f>Examples!$F$18-(Examples!$F$10+Examples!$F$11)*$A488-(Examples!$F$6*Examples!$F$7*Examples!$F$8*EXP(-Examples!$F$9*$A488)*(1-(Examples!$F$12*(1-EXP(-Examples!$F$13*$A488))/(1+EXP(MIN(700,MAX(-700,(Examples!$F$14*$A488-Examples!$F$15)/Examples!$F$16))))))+Examples!$F$17*$A488^2)</f>
        <v>-423664.27027693449</v>
      </c>
      <c r="I488" s="33">
        <f>(Examples!$F$6*Examples!$F$7*Examples!$F$8*EXP(-Examples!$F$9*$A488)*(1-(Examples!$F$12*(1-EXP(-Examples!$F$13*$A488))/(1+EXP(MIN(700,MAX(-700,(Examples!$F$14*$A488-Examples!$F$15)/Examples!$F$16))))))+Examples!$F$17*$A488^2)</f>
        <v>476464.27027693449</v>
      </c>
      <c r="J488" s="33">
        <f>Examples!$G$18-(Examples!$G$10+Examples!$G$11)*$A488-(Examples!$G$6*Examples!$G$7*Examples!$G$8*EXP(-Examples!$G$9*$A488)*(1-(Examples!$G$12*(1-EXP(-Examples!$G$13*$A488))/(1+EXP(MIN(700,MAX(-700,(Examples!$G$14*$A488-Examples!$G$15)/Examples!$G$16))))))+Examples!$G$17*$A488^2)</f>
        <v>714018.75138182146</v>
      </c>
      <c r="K488" s="33">
        <f>(Examples!$G$6*Examples!$G$7*Examples!$G$8*EXP(-Examples!$G$9*$A488)*(1-(Examples!$G$12*(1-EXP(-Examples!$G$13*$A488))/(1+EXP(MIN(700,MAX(-700,(Examples!$G$14*$A488-Examples!$G$15)/Examples!$G$16))))))+Examples!$G$17*$A488^2)</f>
        <v>542981.24861817854</v>
      </c>
      <c r="L488" s="33">
        <f>Examples!$H$18-(Examples!$H$10+Examples!$H$11)*$A488-(Examples!$H$6*Examples!$H$7*Examples!$H$8*EXP(-Examples!$H$9*$A488)*(1-(Examples!$H$12*(1-EXP(-Examples!$H$13*$A488))/(1+EXP(MIN(700,MAX(-700,(Examples!$H$14*$A488-Examples!$H$15)/Examples!$H$16))))))+Examples!$H$17*$A488^2)</f>
        <v>703181.08331228024</v>
      </c>
      <c r="M488" s="33">
        <f>(Examples!$H$6*Examples!$H$7*Examples!$H$8*EXP(-Examples!$H$9*$A488)*(1-(Examples!$H$12*(1-EXP(-Examples!$H$13*$A488))/(1+EXP(MIN(700,MAX(-700,(Examples!$H$14*$A488-Examples!$H$15)/Examples!$H$16))))))+Examples!$H$17*$A488^2)</f>
        <v>553818.91668771976</v>
      </c>
    </row>
    <row r="489" spans="1:13" x14ac:dyDescent="0.25">
      <c r="A489">
        <f>(489-2)/100</f>
        <v>4.87</v>
      </c>
      <c r="B489" s="33">
        <f>Examples!$C$18-(Examples!$C$10+Examples!$C$11)*$A489-(Examples!$C$6*Examples!$C$7*Examples!$C$8*EXP(-Examples!$C$9*$A489)*(1-(Examples!$C$12*(1-EXP(-Examples!$C$13*$A489))/(1+EXP(MIN(700,MAX(-700,(Examples!$C$14*$A489-Examples!$C$15)/Examples!$C$16))))))+Examples!$C$17*$A489^2)</f>
        <v>-65404.341927835136</v>
      </c>
      <c r="C489" s="33">
        <f>(Examples!$C$6*Examples!$C$7*Examples!$C$8*EXP(-Examples!$C$9*$A489)*(1-(Examples!$C$12*(1-EXP(-Examples!$C$13*$A489))/(1+EXP(MIN(700,MAX(-700,(Examples!$C$14*$A489-Examples!$C$15)/Examples!$C$16))))))+Examples!$C$17*$A489^2)</f>
        <v>494954.34192783514</v>
      </c>
      <c r="D489" s="33">
        <f>Examples!$D$18-(Examples!$D$10+Examples!$D$11)*$A489-(Examples!$D$6*Examples!$D$7*Examples!$D$8*EXP(-Examples!$D$9*$A489)*(1-(Examples!$D$12*(1-EXP(-Examples!$D$13*$A489))/(1+EXP(MIN(700,MAX(-700,(Examples!$D$14*$A489-Examples!$D$15)/Examples!$D$16))))))+Examples!$D$17*$A489^2)</f>
        <v>1579044.2177594681</v>
      </c>
      <c r="E489" s="33">
        <f>(Examples!$D$6*Examples!$D$7*Examples!$D$8*EXP(-Examples!$D$9*$A489)*(1-(Examples!$D$12*(1-EXP(-Examples!$D$13*$A489))/(1+EXP(MIN(700,MAX(-700,(Examples!$D$14*$A489-Examples!$D$15)/Examples!$D$16))))))+Examples!$D$17*$A489^2)</f>
        <v>701805.78224053176</v>
      </c>
      <c r="F489" s="33">
        <f>Examples!$E$18-(Examples!$E$10+Examples!$E$11)*$A489-(Examples!$E$6*Examples!$E$7*Examples!$E$8*EXP(-Examples!$E$9*$A489)*(1-(Examples!$E$12*(1-EXP(-Examples!$E$13*$A489))/(1+EXP(MIN(700,MAX(-700,(Examples!$E$14*$A489-Examples!$E$15)/Examples!$E$16))))))+Examples!$E$17*$A489^2)</f>
        <v>2380628.7550486661</v>
      </c>
      <c r="G489" s="33">
        <f>(Examples!$E$6*Examples!$E$7*Examples!$E$8*EXP(-Examples!$E$9*$A489)*(1-(Examples!$E$12*(1-EXP(-Examples!$E$13*$A489))/(1+EXP(MIN(700,MAX(-700,(Examples!$E$14*$A489-Examples!$E$15)/Examples!$E$16))))))+Examples!$E$17*$A489^2)</f>
        <v>205421.244951334</v>
      </c>
      <c r="H489" s="33">
        <f>Examples!$F$18-(Examples!$F$10+Examples!$F$11)*$A489-(Examples!$F$6*Examples!$F$7*Examples!$F$8*EXP(-Examples!$F$9*$A489)*(1-(Examples!$F$12*(1-EXP(-Examples!$F$13*$A489))/(1+EXP(MIN(700,MAX(-700,(Examples!$F$14*$A489-Examples!$F$15)/Examples!$F$16))))))+Examples!$F$17*$A489^2)</f>
        <v>-425798.07180871407</v>
      </c>
      <c r="I489" s="33">
        <f>(Examples!$F$6*Examples!$F$7*Examples!$F$8*EXP(-Examples!$F$9*$A489)*(1-(Examples!$F$12*(1-EXP(-Examples!$F$13*$A489))/(1+EXP(MIN(700,MAX(-700,(Examples!$F$14*$A489-Examples!$F$15)/Examples!$F$16))))))+Examples!$F$17*$A489^2)</f>
        <v>478398.07180871407</v>
      </c>
      <c r="J489" s="33">
        <f>Examples!$G$18-(Examples!$G$10+Examples!$G$11)*$A489-(Examples!$G$6*Examples!$G$7*Examples!$G$8*EXP(-Examples!$G$9*$A489)*(1-(Examples!$G$12*(1-EXP(-Examples!$G$13*$A489))/(1+EXP(MIN(700,MAX(-700,(Examples!$G$14*$A489-Examples!$G$15)/Examples!$G$16))))))+Examples!$G$17*$A489^2)</f>
        <v>713843.48165209929</v>
      </c>
      <c r="K489" s="33">
        <f>(Examples!$G$6*Examples!$G$7*Examples!$G$8*EXP(-Examples!$G$9*$A489)*(1-(Examples!$G$12*(1-EXP(-Examples!$G$13*$A489))/(1+EXP(MIN(700,MAX(-700,(Examples!$G$14*$A489-Examples!$G$15)/Examples!$G$16))))))+Examples!$G$17*$A489^2)</f>
        <v>542656.51834790071</v>
      </c>
      <c r="L489" s="33">
        <f>Examples!$H$18-(Examples!$H$10+Examples!$H$11)*$A489-(Examples!$H$6*Examples!$H$7*Examples!$H$8*EXP(-Examples!$H$9*$A489)*(1-(Examples!$H$12*(1-EXP(-Examples!$H$13*$A489))/(1+EXP(MIN(700,MAX(-700,(Examples!$H$14*$A489-Examples!$H$15)/Examples!$H$16))))))+Examples!$H$17*$A489^2)</f>
        <v>703173.1499795944</v>
      </c>
      <c r="M489" s="33">
        <f>(Examples!$H$6*Examples!$H$7*Examples!$H$8*EXP(-Examples!$H$9*$A489)*(1-(Examples!$H$12*(1-EXP(-Examples!$H$13*$A489))/(1+EXP(MIN(700,MAX(-700,(Examples!$H$14*$A489-Examples!$H$15)/Examples!$H$16))))))+Examples!$H$17*$A489^2)</f>
        <v>553326.8500204056</v>
      </c>
    </row>
    <row r="490" spans="1:13" x14ac:dyDescent="0.25">
      <c r="A490">
        <f>(490-2)/100</f>
        <v>4.88</v>
      </c>
      <c r="B490" s="33">
        <f>Examples!$C$18-(Examples!$C$10+Examples!$C$11)*$A490-(Examples!$C$6*Examples!$C$7*Examples!$C$8*EXP(-Examples!$C$9*$A490)*(1-(Examples!$C$12*(1-EXP(-Examples!$C$13*$A490))/(1+EXP(MIN(700,MAX(-700,(Examples!$C$14*$A490-Examples!$C$15)/Examples!$C$16))))))+Examples!$C$17*$A490^2)</f>
        <v>-66799.918079452123</v>
      </c>
      <c r="C490" s="33">
        <f>(Examples!$C$6*Examples!$C$7*Examples!$C$8*EXP(-Examples!$C$9*$A490)*(1-(Examples!$C$12*(1-EXP(-Examples!$C$13*$A490))/(1+EXP(MIN(700,MAX(-700,(Examples!$C$14*$A490-Examples!$C$15)/Examples!$C$16))))))+Examples!$C$17*$A490^2)</f>
        <v>495999.91807945212</v>
      </c>
      <c r="D490" s="33">
        <f>Examples!$D$18-(Examples!$D$10+Examples!$D$11)*$A490-(Examples!$D$6*Examples!$D$7*Examples!$D$8*EXP(-Examples!$D$9*$A490)*(1-(Examples!$D$12*(1-EXP(-Examples!$D$13*$A490))/(1+EXP(MIN(700,MAX(-700,(Examples!$D$14*$A490-Examples!$D$15)/Examples!$D$16))))))+Examples!$D$17*$A490^2)</f>
        <v>1579812.6192377219</v>
      </c>
      <c r="E490" s="33">
        <f>(Examples!$D$6*Examples!$D$7*Examples!$D$8*EXP(-Examples!$D$9*$A490)*(1-(Examples!$D$12*(1-EXP(-Examples!$D$13*$A490))/(1+EXP(MIN(700,MAX(-700,(Examples!$D$14*$A490-Examples!$D$15)/Examples!$D$16))))))+Examples!$D$17*$A490^2)</f>
        <v>700587.38076227822</v>
      </c>
      <c r="F490" s="33">
        <f>Examples!$E$18-(Examples!$E$10+Examples!$E$11)*$A490-(Examples!$E$6*Examples!$E$7*Examples!$E$8*EXP(-Examples!$E$9*$A490)*(1-(Examples!$E$12*(1-EXP(-Examples!$E$13*$A490))/(1+EXP(MIN(700,MAX(-700,(Examples!$E$14*$A490-Examples!$E$15)/Examples!$E$16))))))+Examples!$E$17*$A490^2)</f>
        <v>2379794.2436628728</v>
      </c>
      <c r="G490" s="33">
        <f>(Examples!$E$6*Examples!$E$7*Examples!$E$8*EXP(-Examples!$E$9*$A490)*(1-(Examples!$E$12*(1-EXP(-Examples!$E$13*$A490))/(1+EXP(MIN(700,MAX(-700,(Examples!$E$14*$A490-Examples!$E$15)/Examples!$E$16))))))+Examples!$E$17*$A490^2)</f>
        <v>205405.75633712724</v>
      </c>
      <c r="H490" s="33">
        <f>Examples!$F$18-(Examples!$F$10+Examples!$F$11)*$A490-(Examples!$F$6*Examples!$F$7*Examples!$F$8*EXP(-Examples!$F$9*$A490)*(1-(Examples!$F$12*(1-EXP(-Examples!$F$13*$A490))/(1+EXP(MIN(700,MAX(-700,(Examples!$F$14*$A490-Examples!$F$15)/Examples!$F$16))))))+Examples!$F$17*$A490^2)</f>
        <v>-427935.90987959132</v>
      </c>
      <c r="I490" s="33">
        <f>(Examples!$F$6*Examples!$F$7*Examples!$F$8*EXP(-Examples!$F$9*$A490)*(1-(Examples!$F$12*(1-EXP(-Examples!$F$13*$A490))/(1+EXP(MIN(700,MAX(-700,(Examples!$F$14*$A490-Examples!$F$15)/Examples!$F$16))))))+Examples!$F$17*$A490^2)</f>
        <v>480335.90987959132</v>
      </c>
      <c r="J490" s="33">
        <f>Examples!$G$18-(Examples!$G$10+Examples!$G$11)*$A490-(Examples!$G$6*Examples!$G$7*Examples!$G$8*EXP(-Examples!$G$9*$A490)*(1-(Examples!$G$12*(1-EXP(-Examples!$G$13*$A490))/(1+EXP(MIN(700,MAX(-700,(Examples!$G$14*$A490-Examples!$G$15)/Examples!$G$16))))))+Examples!$G$17*$A490^2)</f>
        <v>713664.75394318847</v>
      </c>
      <c r="K490" s="33">
        <f>(Examples!$G$6*Examples!$G$7*Examples!$G$8*EXP(-Examples!$G$9*$A490)*(1-(Examples!$G$12*(1-EXP(-Examples!$G$13*$A490))/(1+EXP(MIN(700,MAX(-700,(Examples!$G$14*$A490-Examples!$G$15)/Examples!$G$16))))))+Examples!$G$17*$A490^2)</f>
        <v>542335.24605681153</v>
      </c>
      <c r="L490" s="33">
        <f>Examples!$H$18-(Examples!$H$10+Examples!$H$11)*$A490-(Examples!$H$6*Examples!$H$7*Examples!$H$8*EXP(-Examples!$H$9*$A490)*(1-(Examples!$H$12*(1-EXP(-Examples!$H$13*$A490))/(1+EXP(MIN(700,MAX(-700,(Examples!$H$14*$A490-Examples!$H$15)/Examples!$H$16))))))+Examples!$H$17*$A490^2)</f>
        <v>703159.32591964339</v>
      </c>
      <c r="M490" s="33">
        <f>(Examples!$H$6*Examples!$H$7*Examples!$H$8*EXP(-Examples!$H$9*$A490)*(1-(Examples!$H$12*(1-EXP(-Examples!$H$13*$A490))/(1+EXP(MIN(700,MAX(-700,(Examples!$H$14*$A490-Examples!$H$15)/Examples!$H$16))))))+Examples!$H$17*$A490^2)</f>
        <v>552840.67408035661</v>
      </c>
    </row>
    <row r="491" spans="1:13" x14ac:dyDescent="0.25">
      <c r="A491">
        <f>(491-2)/100</f>
        <v>4.8899999999999997</v>
      </c>
      <c r="B491" s="33">
        <f>Examples!$C$18-(Examples!$C$10+Examples!$C$11)*$A491-(Examples!$C$6*Examples!$C$7*Examples!$C$8*EXP(-Examples!$C$9*$A491)*(1-(Examples!$C$12*(1-EXP(-Examples!$C$13*$A491))/(1+EXP(MIN(700,MAX(-700,(Examples!$C$14*$A491-Examples!$C$15)/Examples!$C$16))))))+Examples!$C$17*$A491^2)</f>
        <v>-68199.741279490059</v>
      </c>
      <c r="C491" s="33">
        <f>(Examples!$C$6*Examples!$C$7*Examples!$C$8*EXP(-Examples!$C$9*$A491)*(1-(Examples!$C$12*(1-EXP(-Examples!$C$13*$A491))/(1+EXP(MIN(700,MAX(-700,(Examples!$C$14*$A491-Examples!$C$15)/Examples!$C$16))))))+Examples!$C$17*$A491^2)</f>
        <v>497049.74127949006</v>
      </c>
      <c r="D491" s="33">
        <f>Examples!$D$18-(Examples!$D$10+Examples!$D$11)*$A491-(Examples!$D$6*Examples!$D$7*Examples!$D$8*EXP(-Examples!$D$9*$A491)*(1-(Examples!$D$12*(1-EXP(-Examples!$D$13*$A491))/(1+EXP(MIN(700,MAX(-700,(Examples!$D$14*$A491-Examples!$D$15)/Examples!$D$16))))))+Examples!$D$17*$A491^2)</f>
        <v>1580583.5864072242</v>
      </c>
      <c r="E491" s="33">
        <f>(Examples!$D$6*Examples!$D$7*Examples!$D$8*EXP(-Examples!$D$9*$A491)*(1-(Examples!$D$12*(1-EXP(-Examples!$D$13*$A491))/(1+EXP(MIN(700,MAX(-700,(Examples!$D$14*$A491-Examples!$D$15)/Examples!$D$16))))))+Examples!$D$17*$A491^2)</f>
        <v>699366.41359277582</v>
      </c>
      <c r="F491" s="33">
        <f>Examples!$E$18-(Examples!$E$10+Examples!$E$11)*$A491-(Examples!$E$6*Examples!$E$7*Examples!$E$8*EXP(-Examples!$E$9*$A491)*(1-(Examples!$E$12*(1-EXP(-Examples!$E$13*$A491))/(1+EXP(MIN(700,MAX(-700,(Examples!$E$14*$A491-Examples!$E$15)/Examples!$E$16))))))+Examples!$E$17*$A491^2)</f>
        <v>2378958.9022642216</v>
      </c>
      <c r="G491" s="33">
        <f>(Examples!$E$6*Examples!$E$7*Examples!$E$8*EXP(-Examples!$E$9*$A491)*(1-(Examples!$E$12*(1-EXP(-Examples!$E$13*$A491))/(1+EXP(MIN(700,MAX(-700,(Examples!$E$14*$A491-Examples!$E$15)/Examples!$E$16))))))+Examples!$E$17*$A491^2)</f>
        <v>205391.09773577866</v>
      </c>
      <c r="H491" s="33">
        <f>Examples!$F$18-(Examples!$F$10+Examples!$F$11)*$A491-(Examples!$F$6*Examples!$F$7*Examples!$F$8*EXP(-Examples!$F$9*$A491)*(1-(Examples!$F$12*(1-EXP(-Examples!$F$13*$A491))/(1+EXP(MIN(700,MAX(-700,(Examples!$F$14*$A491-Examples!$F$15)/Examples!$F$16))))))+Examples!$F$17*$A491^2)</f>
        <v>-430077.78438017349</v>
      </c>
      <c r="I491" s="33">
        <f>(Examples!$F$6*Examples!$F$7*Examples!$F$8*EXP(-Examples!$F$9*$A491)*(1-(Examples!$F$12*(1-EXP(-Examples!$F$13*$A491))/(1+EXP(MIN(700,MAX(-700,(Examples!$F$14*$A491-Examples!$F$15)/Examples!$F$16))))))+Examples!$F$17*$A491^2)</f>
        <v>482277.78438017349</v>
      </c>
      <c r="J491" s="33">
        <f>Examples!$G$18-(Examples!$G$10+Examples!$G$11)*$A491-(Examples!$G$6*Examples!$G$7*Examples!$G$8*EXP(-Examples!$G$9*$A491)*(1-(Examples!$G$12*(1-EXP(-Examples!$G$13*$A491))/(1+EXP(MIN(700,MAX(-700,(Examples!$G$14*$A491-Examples!$G$15)/Examples!$G$16))))))+Examples!$G$17*$A491^2)</f>
        <v>713482.54733128496</v>
      </c>
      <c r="K491" s="33">
        <f>(Examples!$G$6*Examples!$G$7*Examples!$G$8*EXP(-Examples!$G$9*$A491)*(1-(Examples!$G$12*(1-EXP(-Examples!$G$13*$A491))/(1+EXP(MIN(700,MAX(-700,(Examples!$G$14*$A491-Examples!$G$15)/Examples!$G$16))))))+Examples!$G$17*$A491^2)</f>
        <v>542017.45266871504</v>
      </c>
      <c r="L491" s="33">
        <f>Examples!$H$18-(Examples!$H$10+Examples!$H$11)*$A491-(Examples!$H$6*Examples!$H$7*Examples!$H$8*EXP(-Examples!$H$9*$A491)*(1-(Examples!$H$12*(1-EXP(-Examples!$H$13*$A491))/(1+EXP(MIN(700,MAX(-700,(Examples!$H$14*$A491-Examples!$H$15)/Examples!$H$16))))))+Examples!$H$17*$A491^2)</f>
        <v>703139.62105926673</v>
      </c>
      <c r="M491" s="33">
        <f>(Examples!$H$6*Examples!$H$7*Examples!$H$8*EXP(-Examples!$H$9*$A491)*(1-(Examples!$H$12*(1-EXP(-Examples!$H$13*$A491))/(1+EXP(MIN(700,MAX(-700,(Examples!$H$14*$A491-Examples!$H$15)/Examples!$H$16))))))+Examples!$H$17*$A491^2)</f>
        <v>552360.37894073327</v>
      </c>
    </row>
    <row r="492" spans="1:13" x14ac:dyDescent="0.25">
      <c r="A492">
        <f>(492-2)/100</f>
        <v>4.9000000000000004</v>
      </c>
      <c r="B492" s="33">
        <f>Examples!$C$18-(Examples!$C$10+Examples!$C$11)*$A492-(Examples!$C$6*Examples!$C$7*Examples!$C$8*EXP(-Examples!$C$9*$A492)*(1-(Examples!$C$12*(1-EXP(-Examples!$C$13*$A492))/(1+EXP(MIN(700,MAX(-700,(Examples!$C$14*$A492-Examples!$C$15)/Examples!$C$16))))))+Examples!$C$17*$A492^2)</f>
        <v>-69603.807856847881</v>
      </c>
      <c r="C492" s="33">
        <f>(Examples!$C$6*Examples!$C$7*Examples!$C$8*EXP(-Examples!$C$9*$A492)*(1-(Examples!$C$12*(1-EXP(-Examples!$C$13*$A492))/(1+EXP(MIN(700,MAX(-700,(Examples!$C$14*$A492-Examples!$C$15)/Examples!$C$16))))))+Examples!$C$17*$A492^2)</f>
        <v>498103.80785684788</v>
      </c>
      <c r="D492" s="33">
        <f>Examples!$D$18-(Examples!$D$10+Examples!$D$11)*$A492-(Examples!$D$6*Examples!$D$7*Examples!$D$8*EXP(-Examples!$D$9*$A492)*(1-(Examples!$D$12*(1-EXP(-Examples!$D$13*$A492))/(1+EXP(MIN(700,MAX(-700,(Examples!$D$14*$A492-Examples!$D$15)/Examples!$D$16))))))+Examples!$D$17*$A492^2)</f>
        <v>1581357.0169811868</v>
      </c>
      <c r="E492" s="33">
        <f>(Examples!$D$6*Examples!$D$7*Examples!$D$8*EXP(-Examples!$D$9*$A492)*(1-(Examples!$D$12*(1-EXP(-Examples!$D$13*$A492))/(1+EXP(MIN(700,MAX(-700,(Examples!$D$14*$A492-Examples!$D$15)/Examples!$D$16))))))+Examples!$D$17*$A492^2)</f>
        <v>698142.98301881331</v>
      </c>
      <c r="F492" s="33">
        <f>Examples!$E$18-(Examples!$E$10+Examples!$E$11)*$A492-(Examples!$E$6*Examples!$E$7*Examples!$E$8*EXP(-Examples!$E$9*$A492)*(1-(Examples!$E$12*(1-EXP(-Examples!$E$13*$A492))/(1+EXP(MIN(700,MAX(-700,(Examples!$E$14*$A492-Examples!$E$15)/Examples!$E$16))))))+Examples!$E$17*$A492^2)</f>
        <v>2378122.7430895111</v>
      </c>
      <c r="G492" s="33">
        <f>(Examples!$E$6*Examples!$E$7*Examples!$E$8*EXP(-Examples!$E$9*$A492)*(1-(Examples!$E$12*(1-EXP(-Examples!$E$13*$A492))/(1+EXP(MIN(700,MAX(-700,(Examples!$E$14*$A492-Examples!$E$15)/Examples!$E$16))))))+Examples!$E$17*$A492^2)</f>
        <v>205377.25691048877</v>
      </c>
      <c r="H492" s="33">
        <f>Examples!$F$18-(Examples!$F$10+Examples!$F$11)*$A492-(Examples!$F$6*Examples!$F$7*Examples!$F$8*EXP(-Examples!$F$9*$A492)*(1-(Examples!$F$12*(1-EXP(-Examples!$F$13*$A492))/(1+EXP(MIN(700,MAX(-700,(Examples!$F$14*$A492-Examples!$F$15)/Examples!$F$16))))))+Examples!$F$17*$A492^2)</f>
        <v>-432223.69520139345</v>
      </c>
      <c r="I492" s="33">
        <f>(Examples!$F$6*Examples!$F$7*Examples!$F$8*EXP(-Examples!$F$9*$A492)*(1-(Examples!$F$12*(1-EXP(-Examples!$F$13*$A492))/(1+EXP(MIN(700,MAX(-700,(Examples!$F$14*$A492-Examples!$F$15)/Examples!$F$16))))))+Examples!$F$17*$A492^2)</f>
        <v>484223.69520139345</v>
      </c>
      <c r="J492" s="33">
        <f>Examples!$G$18-(Examples!$G$10+Examples!$G$11)*$A492-(Examples!$G$6*Examples!$G$7*Examples!$G$8*EXP(-Examples!$G$9*$A492)*(1-(Examples!$G$12*(1-EXP(-Examples!$G$13*$A492))/(1+EXP(MIN(700,MAX(-700,(Examples!$G$14*$A492-Examples!$G$15)/Examples!$G$16))))))+Examples!$G$17*$A492^2)</f>
        <v>713296.8412778296</v>
      </c>
      <c r="K492" s="33">
        <f>(Examples!$G$6*Examples!$G$7*Examples!$G$8*EXP(-Examples!$G$9*$A492)*(1-(Examples!$G$12*(1-EXP(-Examples!$G$13*$A492))/(1+EXP(MIN(700,MAX(-700,(Examples!$G$14*$A492-Examples!$G$15)/Examples!$G$16))))))+Examples!$G$17*$A492^2)</f>
        <v>541703.1587221704</v>
      </c>
      <c r="L492" s="33">
        <f>Examples!$H$18-(Examples!$H$10+Examples!$H$11)*$A492-(Examples!$H$6*Examples!$H$7*Examples!$H$8*EXP(-Examples!$H$9*$A492)*(1-(Examples!$H$12*(1-EXP(-Examples!$H$13*$A492))/(1+EXP(MIN(700,MAX(-700,(Examples!$H$14*$A492-Examples!$H$15)/Examples!$H$16))))))+Examples!$H$17*$A492^2)</f>
        <v>703114.04546298902</v>
      </c>
      <c r="M492" s="33">
        <f>(Examples!$H$6*Examples!$H$7*Examples!$H$8*EXP(-Examples!$H$9*$A492)*(1-(Examples!$H$12*(1-EXP(-Examples!$H$13*$A492))/(1+EXP(MIN(700,MAX(-700,(Examples!$H$14*$A492-Examples!$H$15)/Examples!$H$16))))))+Examples!$H$17*$A492^2)</f>
        <v>551885.95453701098</v>
      </c>
    </row>
    <row r="493" spans="1:13" x14ac:dyDescent="0.25">
      <c r="A493">
        <f>(493-2)/100</f>
        <v>4.91</v>
      </c>
      <c r="B493" s="33">
        <f>Examples!$C$18-(Examples!$C$10+Examples!$C$11)*$A493-(Examples!$C$6*Examples!$C$7*Examples!$C$8*EXP(-Examples!$C$9*$A493)*(1-(Examples!$C$12*(1-EXP(-Examples!$C$13*$A493))/(1+EXP(MIN(700,MAX(-700,(Examples!$C$14*$A493-Examples!$C$15)/Examples!$C$16))))))+Examples!$C$17*$A493^2)</f>
        <v>-71012.11414918222</v>
      </c>
      <c r="C493" s="33">
        <f>(Examples!$C$6*Examples!$C$7*Examples!$C$8*EXP(-Examples!$C$9*$A493)*(1-(Examples!$C$12*(1-EXP(-Examples!$C$13*$A493))/(1+EXP(MIN(700,MAX(-700,(Examples!$C$14*$A493-Examples!$C$15)/Examples!$C$16))))))+Examples!$C$17*$A493^2)</f>
        <v>499162.11414918222</v>
      </c>
      <c r="D493" s="33">
        <f>Examples!$D$18-(Examples!$D$10+Examples!$D$11)*$A493-(Examples!$D$6*Examples!$D$7*Examples!$D$8*EXP(-Examples!$D$9*$A493)*(1-(Examples!$D$12*(1-EXP(-Examples!$D$13*$A493))/(1+EXP(MIN(700,MAX(-700,(Examples!$D$14*$A493-Examples!$D$15)/Examples!$D$16))))))+Examples!$D$17*$A493^2)</f>
        <v>1582132.8084562328</v>
      </c>
      <c r="E493" s="33">
        <f>(Examples!$D$6*Examples!$D$7*Examples!$D$8*EXP(-Examples!$D$9*$A493)*(1-(Examples!$D$12*(1-EXP(-Examples!$D$13*$A493))/(1+EXP(MIN(700,MAX(-700,(Examples!$D$14*$A493-Examples!$D$15)/Examples!$D$16))))))+Examples!$D$17*$A493^2)</f>
        <v>696917.19154376711</v>
      </c>
      <c r="F493" s="33">
        <f>Examples!$E$18-(Examples!$E$10+Examples!$E$11)*$A493-(Examples!$E$6*Examples!$E$7*Examples!$E$8*EXP(-Examples!$E$9*$A493)*(1-(Examples!$E$12*(1-EXP(-Examples!$E$13*$A493))/(1+EXP(MIN(700,MAX(-700,(Examples!$E$14*$A493-Examples!$E$15)/Examples!$E$16))))))+Examples!$E$17*$A493^2)</f>
        <v>2377285.7781001688</v>
      </c>
      <c r="G493" s="33">
        <f>(Examples!$E$6*Examples!$E$7*Examples!$E$8*EXP(-Examples!$E$9*$A493)*(1-(Examples!$E$12*(1-EXP(-Examples!$E$13*$A493))/(1+EXP(MIN(700,MAX(-700,(Examples!$E$14*$A493-Examples!$E$15)/Examples!$E$16))))))+Examples!$E$17*$A493^2)</f>
        <v>205364.2218998312</v>
      </c>
      <c r="H493" s="33">
        <f>Examples!$F$18-(Examples!$F$10+Examples!$F$11)*$A493-(Examples!$F$6*Examples!$F$7*Examples!$F$8*EXP(-Examples!$F$9*$A493)*(1-(Examples!$F$12*(1-EXP(-Examples!$F$13*$A493))/(1+EXP(MIN(700,MAX(-700,(Examples!$F$14*$A493-Examples!$F$15)/Examples!$F$16))))))+Examples!$F$17*$A493^2)</f>
        <v>-434373.64223450725</v>
      </c>
      <c r="I493" s="33">
        <f>(Examples!$F$6*Examples!$F$7*Examples!$F$8*EXP(-Examples!$F$9*$A493)*(1-(Examples!$F$12*(1-EXP(-Examples!$F$13*$A493))/(1+EXP(MIN(700,MAX(-700,(Examples!$F$14*$A493-Examples!$F$15)/Examples!$F$16))))))+Examples!$F$17*$A493^2)</f>
        <v>486173.64223450725</v>
      </c>
      <c r="J493" s="33">
        <f>Examples!$G$18-(Examples!$G$10+Examples!$G$11)*$A493-(Examples!$G$6*Examples!$G$7*Examples!$G$8*EXP(-Examples!$G$9*$A493)*(1-(Examples!$G$12*(1-EXP(-Examples!$G$13*$A493))/(1+EXP(MIN(700,MAX(-700,(Examples!$G$14*$A493-Examples!$G$15)/Examples!$G$16))))))+Examples!$G$17*$A493^2)</f>
        <v>713107.61562642502</v>
      </c>
      <c r="K493" s="33">
        <f>(Examples!$G$6*Examples!$G$7*Examples!$G$8*EXP(-Examples!$G$9*$A493)*(1-(Examples!$G$12*(1-EXP(-Examples!$G$13*$A493))/(1+EXP(MIN(700,MAX(-700,(Examples!$G$14*$A493-Examples!$G$15)/Examples!$G$16))))))+Examples!$G$17*$A493^2)</f>
        <v>541392.38437357498</v>
      </c>
      <c r="L493" s="33">
        <f>Examples!$H$18-(Examples!$H$10+Examples!$H$11)*$A493-(Examples!$H$6*Examples!$H$7*Examples!$H$8*EXP(-Examples!$H$9*$A493)*(1-(Examples!$H$12*(1-EXP(-Examples!$H$13*$A493))/(1+EXP(MIN(700,MAX(-700,(Examples!$H$14*$A493-Examples!$H$15)/Examples!$H$16))))))+Examples!$H$17*$A493^2)</f>
        <v>703082.60932670976</v>
      </c>
      <c r="M493" s="33">
        <f>(Examples!$H$6*Examples!$H$7*Examples!$H$8*EXP(-Examples!$H$9*$A493)*(1-(Examples!$H$12*(1-EXP(-Examples!$H$13*$A493))/(1+EXP(MIN(700,MAX(-700,(Examples!$H$14*$A493-Examples!$H$15)/Examples!$H$16))))))+Examples!$H$17*$A493^2)</f>
        <v>551417.39067329024</v>
      </c>
    </row>
    <row r="494" spans="1:13" x14ac:dyDescent="0.25">
      <c r="A494">
        <f>(494-2)/100</f>
        <v>4.92</v>
      </c>
      <c r="B494" s="33">
        <f>Examples!$C$18-(Examples!$C$10+Examples!$C$11)*$A494-(Examples!$C$6*Examples!$C$7*Examples!$C$8*EXP(-Examples!$C$9*$A494)*(1-(Examples!$C$12*(1-EXP(-Examples!$C$13*$A494))/(1+EXP(MIN(700,MAX(-700,(Examples!$C$14*$A494-Examples!$C$15)/Examples!$C$16))))))+Examples!$C$17*$A494^2)</f>
        <v>-72424.656502959784</v>
      </c>
      <c r="C494" s="33">
        <f>(Examples!$C$6*Examples!$C$7*Examples!$C$8*EXP(-Examples!$C$9*$A494)*(1-(Examples!$C$12*(1-EXP(-Examples!$C$13*$A494))/(1+EXP(MIN(700,MAX(-700,(Examples!$C$14*$A494-Examples!$C$15)/Examples!$C$16))))))+Examples!$C$17*$A494^2)</f>
        <v>500224.65650295978</v>
      </c>
      <c r="D494" s="33">
        <f>Examples!$D$18-(Examples!$D$10+Examples!$D$11)*$A494-(Examples!$D$6*Examples!$D$7*Examples!$D$8*EXP(-Examples!$D$9*$A494)*(1-(Examples!$D$12*(1-EXP(-Examples!$D$13*$A494))/(1+EXP(MIN(700,MAX(-700,(Examples!$D$14*$A494-Examples!$D$15)/Examples!$D$16))))))+Examples!$D$17*$A494^2)</f>
        <v>1582910.8581557414</v>
      </c>
      <c r="E494" s="33">
        <f>(Examples!$D$6*Examples!$D$7*Examples!$D$8*EXP(-Examples!$D$9*$A494)*(1-(Examples!$D$12*(1-EXP(-Examples!$D$13*$A494))/(1+EXP(MIN(700,MAX(-700,(Examples!$D$14*$A494-Examples!$D$15)/Examples!$D$16))))))+Examples!$D$17*$A494^2)</f>
        <v>695689.14184425876</v>
      </c>
      <c r="F494" s="33">
        <f>Examples!$E$18-(Examples!$E$10+Examples!$E$11)*$A494-(Examples!$E$6*Examples!$E$7*Examples!$E$8*EXP(-Examples!$E$9*$A494)*(1-(Examples!$E$12*(1-EXP(-Examples!$E$13*$A494))/(1+EXP(MIN(700,MAX(-700,(Examples!$E$14*$A494-Examples!$E$15)/Examples!$E$16))))))+Examples!$E$17*$A494^2)</f>
        <v>2376448.0189843015</v>
      </c>
      <c r="G494" s="33">
        <f>(Examples!$E$6*Examples!$E$7*Examples!$E$8*EXP(-Examples!$E$9*$A494)*(1-(Examples!$E$12*(1-EXP(-Examples!$E$13*$A494))/(1+EXP(MIN(700,MAX(-700,(Examples!$E$14*$A494-Examples!$E$15)/Examples!$E$16))))))+Examples!$E$17*$A494^2)</f>
        <v>205351.98101569869</v>
      </c>
      <c r="H494" s="33">
        <f>Examples!$F$18-(Examples!$F$10+Examples!$F$11)*$A494-(Examples!$F$6*Examples!$F$7*Examples!$F$8*EXP(-Examples!$F$9*$A494)*(1-(Examples!$F$12*(1-EXP(-Examples!$F$13*$A494))/(1+EXP(MIN(700,MAX(-700,(Examples!$F$14*$A494-Examples!$F$15)/Examples!$F$16))))))+Examples!$F$17*$A494^2)</f>
        <v>-436527.62537109572</v>
      </c>
      <c r="I494" s="33">
        <f>(Examples!$F$6*Examples!$F$7*Examples!$F$8*EXP(-Examples!$F$9*$A494)*(1-(Examples!$F$12*(1-EXP(-Examples!$F$13*$A494))/(1+EXP(MIN(700,MAX(-700,(Examples!$F$14*$A494-Examples!$F$15)/Examples!$F$16))))))+Examples!$F$17*$A494^2)</f>
        <v>488127.62537109572</v>
      </c>
      <c r="J494" s="33">
        <f>Examples!$G$18-(Examples!$G$10+Examples!$G$11)*$A494-(Examples!$G$6*Examples!$G$7*Examples!$G$8*EXP(-Examples!$G$9*$A494)*(1-(Examples!$G$12*(1-EXP(-Examples!$G$13*$A494))/(1+EXP(MIN(700,MAX(-700,(Examples!$G$14*$A494-Examples!$G$15)/Examples!$G$16))))))+Examples!$G$17*$A494^2)</f>
        <v>712914.85059971642</v>
      </c>
      <c r="K494" s="33">
        <f>(Examples!$G$6*Examples!$G$7*Examples!$G$8*EXP(-Examples!$G$9*$A494)*(1-(Examples!$G$12*(1-EXP(-Examples!$G$13*$A494))/(1+EXP(MIN(700,MAX(-700,(Examples!$G$14*$A494-Examples!$G$15)/Examples!$G$16))))))+Examples!$G$17*$A494^2)</f>
        <v>541085.14940028358</v>
      </c>
      <c r="L494" s="33">
        <f>Examples!$H$18-(Examples!$H$10+Examples!$H$11)*$A494-(Examples!$H$6*Examples!$H$7*Examples!$H$8*EXP(-Examples!$H$9*$A494)*(1-(Examples!$H$12*(1-EXP(-Examples!$H$13*$A494))/(1+EXP(MIN(700,MAX(-700,(Examples!$H$14*$A494-Examples!$H$15)/Examples!$H$16))))))+Examples!$H$17*$A494^2)</f>
        <v>703045.32297161163</v>
      </c>
      <c r="M494" s="33">
        <f>(Examples!$H$6*Examples!$H$7*Examples!$H$8*EXP(-Examples!$H$9*$A494)*(1-(Examples!$H$12*(1-EXP(-Examples!$H$13*$A494))/(1+EXP(MIN(700,MAX(-700,(Examples!$H$14*$A494-Examples!$H$15)/Examples!$H$16))))))+Examples!$H$17*$A494^2)</f>
        <v>550954.67702838837</v>
      </c>
    </row>
    <row r="495" spans="1:13" x14ac:dyDescent="0.25">
      <c r="A495">
        <f>(495-2)/100</f>
        <v>4.93</v>
      </c>
      <c r="B495" s="33">
        <f>Examples!$C$18-(Examples!$C$10+Examples!$C$11)*$A495-(Examples!$C$6*Examples!$C$7*Examples!$C$8*EXP(-Examples!$C$9*$A495)*(1-(Examples!$C$12*(1-EXP(-Examples!$C$13*$A495))/(1+EXP(MIN(700,MAX(-700,(Examples!$C$14*$A495-Examples!$C$15)/Examples!$C$16))))))+Examples!$C$17*$A495^2)</f>
        <v>-73841.431273504859</v>
      </c>
      <c r="C495" s="33">
        <f>(Examples!$C$6*Examples!$C$7*Examples!$C$8*EXP(-Examples!$C$9*$A495)*(1-(Examples!$C$12*(1-EXP(-Examples!$C$13*$A495))/(1+EXP(MIN(700,MAX(-700,(Examples!$C$14*$A495-Examples!$C$15)/Examples!$C$16))))))+Examples!$C$17*$A495^2)</f>
        <v>501291.43127350486</v>
      </c>
      <c r="D495" s="33">
        <f>Examples!$D$18-(Examples!$D$10+Examples!$D$11)*$A495-(Examples!$D$6*Examples!$D$7*Examples!$D$8*EXP(-Examples!$D$9*$A495)*(1-(Examples!$D$12*(1-EXP(-Examples!$D$13*$A495))/(1+EXP(MIN(700,MAX(-700,(Examples!$D$14*$A495-Examples!$D$15)/Examples!$D$16))))))+Examples!$D$17*$A495^2)</f>
        <v>1583691.0632722741</v>
      </c>
      <c r="E495" s="33">
        <f>(Examples!$D$6*Examples!$D$7*Examples!$D$8*EXP(-Examples!$D$9*$A495)*(1-(Examples!$D$12*(1-EXP(-Examples!$D$13*$A495))/(1+EXP(MIN(700,MAX(-700,(Examples!$D$14*$A495-Examples!$D$15)/Examples!$D$16))))))+Examples!$D$17*$A495^2)</f>
        <v>694458.93672772602</v>
      </c>
      <c r="F495" s="33">
        <f>Examples!$E$18-(Examples!$E$10+Examples!$E$11)*$A495-(Examples!$E$6*Examples!$E$7*Examples!$E$8*EXP(-Examples!$E$9*$A495)*(1-(Examples!$E$12*(1-EXP(-Examples!$E$13*$A495))/(1+EXP(MIN(700,MAX(-700,(Examples!$E$14*$A495-Examples!$E$15)/Examples!$E$16))))))+Examples!$E$17*$A495^2)</f>
        <v>2375609.4771587546</v>
      </c>
      <c r="G495" s="33">
        <f>(Examples!$E$6*Examples!$E$7*Examples!$E$8*EXP(-Examples!$E$9*$A495)*(1-(Examples!$E$12*(1-EXP(-Examples!$E$13*$A495))/(1+EXP(MIN(700,MAX(-700,(Examples!$E$14*$A495-Examples!$E$15)/Examples!$E$16))))))+Examples!$E$17*$A495^2)</f>
        <v>205340.52284124561</v>
      </c>
      <c r="H495" s="33">
        <f>Examples!$F$18-(Examples!$F$10+Examples!$F$11)*$A495-(Examples!$F$6*Examples!$F$7*Examples!$F$8*EXP(-Examples!$F$9*$A495)*(1-(Examples!$F$12*(1-EXP(-Examples!$F$13*$A495))/(1+EXP(MIN(700,MAX(-700,(Examples!$F$14*$A495-Examples!$F$15)/Examples!$F$16))))))+Examples!$F$17*$A495^2)</f>
        <v>-438685.6445030616</v>
      </c>
      <c r="I495" s="33">
        <f>(Examples!$F$6*Examples!$F$7*Examples!$F$8*EXP(-Examples!$F$9*$A495)*(1-(Examples!$F$12*(1-EXP(-Examples!$F$13*$A495))/(1+EXP(MIN(700,MAX(-700,(Examples!$F$14*$A495-Examples!$F$15)/Examples!$F$16))))))+Examples!$F$17*$A495^2)</f>
        <v>490085.6445030616</v>
      </c>
      <c r="J495" s="33">
        <f>Examples!$G$18-(Examples!$G$10+Examples!$G$11)*$A495-(Examples!$G$6*Examples!$G$7*Examples!$G$8*EXP(-Examples!$G$9*$A495)*(1-(Examples!$G$12*(1-EXP(-Examples!$G$13*$A495))/(1+EXP(MIN(700,MAX(-700,(Examples!$G$14*$A495-Examples!$G$15)/Examples!$G$16))))))+Examples!$G$17*$A495^2)</f>
        <v>712718.52679623535</v>
      </c>
      <c r="K495" s="33">
        <f>(Examples!$G$6*Examples!$G$7*Examples!$G$8*EXP(-Examples!$G$9*$A495)*(1-(Examples!$G$12*(1-EXP(-Examples!$G$13*$A495))/(1+EXP(MIN(700,MAX(-700,(Examples!$G$14*$A495-Examples!$G$15)/Examples!$G$16))))))+Examples!$G$17*$A495^2)</f>
        <v>540781.47320376465</v>
      </c>
      <c r="L495" s="33">
        <f>Examples!$H$18-(Examples!$H$10+Examples!$H$11)*$A495-(Examples!$H$6*Examples!$H$7*Examples!$H$8*EXP(-Examples!$H$9*$A495)*(1-(Examples!$H$12*(1-EXP(-Examples!$H$13*$A495))/(1+EXP(MIN(700,MAX(-700,(Examples!$H$14*$A495-Examples!$H$15)/Examples!$H$16))))))+Examples!$H$17*$A495^2)</f>
        <v>703002.19683827774</v>
      </c>
      <c r="M495" s="33">
        <f>(Examples!$H$6*Examples!$H$7*Examples!$H$8*EXP(-Examples!$H$9*$A495)*(1-(Examples!$H$12*(1-EXP(-Examples!$H$13*$A495))/(1+EXP(MIN(700,MAX(-700,(Examples!$H$14*$A495-Examples!$H$15)/Examples!$H$16))))))+Examples!$H$17*$A495^2)</f>
        <v>550497.80316172226</v>
      </c>
    </row>
    <row r="496" spans="1:13" x14ac:dyDescent="0.25">
      <c r="A496">
        <f>(496-2)/100</f>
        <v>4.9400000000000004</v>
      </c>
      <c r="B496" s="33">
        <f>Examples!$C$18-(Examples!$C$10+Examples!$C$11)*$A496-(Examples!$C$6*Examples!$C$7*Examples!$C$8*EXP(-Examples!$C$9*$A496)*(1-(Examples!$C$12*(1-EXP(-Examples!$C$13*$A496))/(1+EXP(MIN(700,MAX(-700,(Examples!$C$14*$A496-Examples!$C$15)/Examples!$C$16))))))+Examples!$C$17*$A496^2)</f>
        <v>-75262.434825045406</v>
      </c>
      <c r="C496" s="33">
        <f>(Examples!$C$6*Examples!$C$7*Examples!$C$8*EXP(-Examples!$C$9*$A496)*(1-(Examples!$C$12*(1-EXP(-Examples!$C$13*$A496))/(1+EXP(MIN(700,MAX(-700,(Examples!$C$14*$A496-Examples!$C$15)/Examples!$C$16))))))+Examples!$C$17*$A496^2)</f>
        <v>502362.43482504541</v>
      </c>
      <c r="D496" s="33">
        <f>Examples!$D$18-(Examples!$D$10+Examples!$D$11)*$A496-(Examples!$D$6*Examples!$D$7*Examples!$D$8*EXP(-Examples!$D$9*$A496)*(1-(Examples!$D$12*(1-EXP(-Examples!$D$13*$A496))/(1+EXP(MIN(700,MAX(-700,(Examples!$D$14*$A496-Examples!$D$15)/Examples!$D$16))))))+Examples!$D$17*$A496^2)</f>
        <v>1584473.3209090922</v>
      </c>
      <c r="E496" s="33">
        <f>(Examples!$D$6*Examples!$D$7*Examples!$D$8*EXP(-Examples!$D$9*$A496)*(1-(Examples!$D$12*(1-EXP(-Examples!$D$13*$A496))/(1+EXP(MIN(700,MAX(-700,(Examples!$D$14*$A496-Examples!$D$15)/Examples!$D$16))))))+Examples!$D$17*$A496^2)</f>
        <v>693226.67909090768</v>
      </c>
      <c r="F496" s="33">
        <f>Examples!$E$18-(Examples!$E$10+Examples!$E$11)*$A496-(Examples!$E$6*Examples!$E$7*Examples!$E$8*EXP(-Examples!$E$9*$A496)*(1-(Examples!$E$12*(1-EXP(-Examples!$E$13*$A496))/(1+EXP(MIN(700,MAX(-700,(Examples!$E$14*$A496-Examples!$E$15)/Examples!$E$16))))))+Examples!$E$17*$A496^2)</f>
        <v>2374770.1637711744</v>
      </c>
      <c r="G496" s="33">
        <f>(Examples!$E$6*Examples!$E$7*Examples!$E$8*EXP(-Examples!$E$9*$A496)*(1-(Examples!$E$12*(1-EXP(-Examples!$E$13*$A496))/(1+EXP(MIN(700,MAX(-700,(Examples!$E$14*$A496-Examples!$E$15)/Examples!$E$16))))))+Examples!$E$17*$A496^2)</f>
        <v>205329.83622882568</v>
      </c>
      <c r="H496" s="33">
        <f>Examples!$F$18-(Examples!$F$10+Examples!$F$11)*$A496-(Examples!$F$6*Examples!$F$7*Examples!$F$8*EXP(-Examples!$F$9*$A496)*(1-(Examples!$F$12*(1-EXP(-Examples!$F$13*$A496))/(1+EXP(MIN(700,MAX(-700,(Examples!$F$14*$A496-Examples!$F$15)/Examples!$F$16))))))+Examples!$F$17*$A496^2)</f>
        <v>-440847.69952262967</v>
      </c>
      <c r="I496" s="33">
        <f>(Examples!$F$6*Examples!$F$7*Examples!$F$8*EXP(-Examples!$F$9*$A496)*(1-(Examples!$F$12*(1-EXP(-Examples!$F$13*$A496))/(1+EXP(MIN(700,MAX(-700,(Examples!$F$14*$A496-Examples!$F$15)/Examples!$F$16))))))+Examples!$F$17*$A496^2)</f>
        <v>492047.69952262967</v>
      </c>
      <c r="J496" s="33">
        <f>Examples!$G$18-(Examples!$G$10+Examples!$G$11)*$A496-(Examples!$G$6*Examples!$G$7*Examples!$G$8*EXP(-Examples!$G$9*$A496)*(1-(Examples!$G$12*(1-EXP(-Examples!$G$13*$A496))/(1+EXP(MIN(700,MAX(-700,(Examples!$G$14*$A496-Examples!$G$15)/Examples!$G$16))))))+Examples!$G$17*$A496^2)</f>
        <v>712518.62518721155</v>
      </c>
      <c r="K496" s="33">
        <f>(Examples!$G$6*Examples!$G$7*Examples!$G$8*EXP(-Examples!$G$9*$A496)*(1-(Examples!$G$12*(1-EXP(-Examples!$G$13*$A496))/(1+EXP(MIN(700,MAX(-700,(Examples!$G$14*$A496-Examples!$G$15)/Examples!$G$16))))))+Examples!$G$17*$A496^2)</f>
        <v>540481.37481278845</v>
      </c>
      <c r="L496" s="33">
        <f>Examples!$H$18-(Examples!$H$10+Examples!$H$11)*$A496-(Examples!$H$6*Examples!$H$7*Examples!$H$8*EXP(-Examples!$H$9*$A496)*(1-(Examples!$H$12*(1-EXP(-Examples!$H$13*$A496))/(1+EXP(MIN(700,MAX(-700,(Examples!$H$14*$A496-Examples!$H$15)/Examples!$H$16))))))+Examples!$H$17*$A496^2)</f>
        <v>702953.24148101266</v>
      </c>
      <c r="M496" s="33">
        <f>(Examples!$H$6*Examples!$H$7*Examples!$H$8*EXP(-Examples!$H$9*$A496)*(1-(Examples!$H$12*(1-EXP(-Examples!$H$13*$A496))/(1+EXP(MIN(700,MAX(-700,(Examples!$H$14*$A496-Examples!$H$15)/Examples!$H$16))))))+Examples!$H$17*$A496^2)</f>
        <v>550046.75851898734</v>
      </c>
    </row>
    <row r="497" spans="1:13" x14ac:dyDescent="0.25">
      <c r="A497">
        <f>(497-2)/100</f>
        <v>4.95</v>
      </c>
      <c r="B497" s="33">
        <f>Examples!$C$18-(Examples!$C$10+Examples!$C$11)*$A497-(Examples!$C$6*Examples!$C$7*Examples!$C$8*EXP(-Examples!$C$9*$A497)*(1-(Examples!$C$12*(1-EXP(-Examples!$C$13*$A497))/(1+EXP(MIN(700,MAX(-700,(Examples!$C$14*$A497-Examples!$C$15)/Examples!$C$16))))))+Examples!$C$17*$A497^2)</f>
        <v>-76687.663530755788</v>
      </c>
      <c r="C497" s="33">
        <f>(Examples!$C$6*Examples!$C$7*Examples!$C$8*EXP(-Examples!$C$9*$A497)*(1-(Examples!$C$12*(1-EXP(-Examples!$C$13*$A497))/(1+EXP(MIN(700,MAX(-700,(Examples!$C$14*$A497-Examples!$C$15)/Examples!$C$16))))))+Examples!$C$17*$A497^2)</f>
        <v>503437.66353075579</v>
      </c>
      <c r="D497" s="33">
        <f>Examples!$D$18-(Examples!$D$10+Examples!$D$11)*$A497-(Examples!$D$6*Examples!$D$7*Examples!$D$8*EXP(-Examples!$D$9*$A497)*(1-(Examples!$D$12*(1-EXP(-Examples!$D$13*$A497))/(1+EXP(MIN(700,MAX(-700,(Examples!$D$14*$A497-Examples!$D$15)/Examples!$D$16))))))+Examples!$D$17*$A497^2)</f>
        <v>1585257.5281207571</v>
      </c>
      <c r="E497" s="33">
        <f>(Examples!$D$6*Examples!$D$7*Examples!$D$8*EXP(-Examples!$D$9*$A497)*(1-(Examples!$D$12*(1-EXP(-Examples!$D$13*$A497))/(1+EXP(MIN(700,MAX(-700,(Examples!$D$14*$A497-Examples!$D$15)/Examples!$D$16))))))+Examples!$D$17*$A497^2)</f>
        <v>691992.47187924304</v>
      </c>
      <c r="F497" s="33">
        <f>Examples!$E$18-(Examples!$E$10+Examples!$E$11)*$A497-(Examples!$E$6*Examples!$E$7*Examples!$E$8*EXP(-Examples!$E$9*$A497)*(1-(Examples!$E$12*(1-EXP(-Examples!$E$13*$A497))/(1+EXP(MIN(700,MAX(-700,(Examples!$E$14*$A497-Examples!$E$15)/Examples!$E$16))))))+Examples!$E$17*$A497^2)</f>
        <v>2373930.0897020744</v>
      </c>
      <c r="G497" s="33">
        <f>(Examples!$E$6*Examples!$E$7*Examples!$E$8*EXP(-Examples!$E$9*$A497)*(1-(Examples!$E$12*(1-EXP(-Examples!$E$13*$A497))/(1+EXP(MIN(700,MAX(-700,(Examples!$E$14*$A497-Examples!$E$15)/Examples!$E$16))))))+Examples!$E$17*$A497^2)</f>
        <v>205319.91029792582</v>
      </c>
      <c r="H497" s="33">
        <f>Examples!$F$18-(Examples!$F$10+Examples!$F$11)*$A497-(Examples!$F$6*Examples!$F$7*Examples!$F$8*EXP(-Examples!$F$9*$A497)*(1-(Examples!$F$12*(1-EXP(-Examples!$F$13*$A497))/(1+EXP(MIN(700,MAX(-700,(Examples!$F$14*$A497-Examples!$F$15)/Examples!$F$16))))))+Examples!$F$17*$A497^2)</f>
        <v>-443013.79032234487</v>
      </c>
      <c r="I497" s="33">
        <f>(Examples!$F$6*Examples!$F$7*Examples!$F$8*EXP(-Examples!$F$9*$A497)*(1-(Examples!$F$12*(1-EXP(-Examples!$F$13*$A497))/(1+EXP(MIN(700,MAX(-700,(Examples!$F$14*$A497-Examples!$F$15)/Examples!$F$16))))))+Examples!$F$17*$A497^2)</f>
        <v>494013.79032234487</v>
      </c>
      <c r="J497" s="33">
        <f>Examples!$G$18-(Examples!$G$10+Examples!$G$11)*$A497-(Examples!$G$6*Examples!$G$7*Examples!$G$8*EXP(-Examples!$G$9*$A497)*(1-(Examples!$G$12*(1-EXP(-Examples!$G$13*$A497))/(1+EXP(MIN(700,MAX(-700,(Examples!$G$14*$A497-Examples!$G$15)/Examples!$G$16))))))+Examples!$G$17*$A497^2)</f>
        <v>712315.12711335323</v>
      </c>
      <c r="K497" s="33">
        <f>(Examples!$G$6*Examples!$G$7*Examples!$G$8*EXP(-Examples!$G$9*$A497)*(1-(Examples!$G$12*(1-EXP(-Examples!$G$13*$A497))/(1+EXP(MIN(700,MAX(-700,(Examples!$G$14*$A497-Examples!$G$15)/Examples!$G$16))))))+Examples!$G$17*$A497^2)</f>
        <v>540184.87288664677</v>
      </c>
      <c r="L497" s="33">
        <f>Examples!$H$18-(Examples!$H$10+Examples!$H$11)*$A497-(Examples!$H$6*Examples!$H$7*Examples!$H$8*EXP(-Examples!$H$9*$A497)*(1-(Examples!$H$12*(1-EXP(-Examples!$H$13*$A497))/(1+EXP(MIN(700,MAX(-700,(Examples!$H$14*$A497-Examples!$H$15)/Examples!$H$16))))))+Examples!$H$17*$A497^2)</f>
        <v>702898.46756235883</v>
      </c>
      <c r="M497" s="33">
        <f>(Examples!$H$6*Examples!$H$7*Examples!$H$8*EXP(-Examples!$H$9*$A497)*(1-(Examples!$H$12*(1-EXP(-Examples!$H$13*$A497))/(1+EXP(MIN(700,MAX(-700,(Examples!$H$14*$A497-Examples!$H$15)/Examples!$H$16))))))+Examples!$H$17*$A497^2)</f>
        <v>549601.53243764117</v>
      </c>
    </row>
    <row r="498" spans="1:13" x14ac:dyDescent="0.25">
      <c r="A498">
        <f>(498-2)/100</f>
        <v>4.96</v>
      </c>
      <c r="B498" s="33">
        <f>Examples!$C$18-(Examples!$C$10+Examples!$C$11)*$A498-(Examples!$C$6*Examples!$C$7*Examples!$C$8*EXP(-Examples!$C$9*$A498)*(1-(Examples!$C$12*(1-EXP(-Examples!$C$13*$A498))/(1+EXP(MIN(700,MAX(-700,(Examples!$C$14*$A498-Examples!$C$15)/Examples!$C$16))))))+Examples!$C$17*$A498^2)</f>
        <v>-78117.113772797748</v>
      </c>
      <c r="C498" s="33">
        <f>(Examples!$C$6*Examples!$C$7*Examples!$C$8*EXP(-Examples!$C$9*$A498)*(1-(Examples!$C$12*(1-EXP(-Examples!$C$13*$A498))/(1+EXP(MIN(700,MAX(-700,(Examples!$C$14*$A498-Examples!$C$15)/Examples!$C$16))))))+Examples!$C$17*$A498^2)</f>
        <v>504517.11377279775</v>
      </c>
      <c r="D498" s="33">
        <f>Examples!$D$18-(Examples!$D$10+Examples!$D$11)*$A498-(Examples!$D$6*Examples!$D$7*Examples!$D$8*EXP(-Examples!$D$9*$A498)*(1-(Examples!$D$12*(1-EXP(-Examples!$D$13*$A498))/(1+EXP(MIN(700,MAX(-700,(Examples!$D$14*$A498-Examples!$D$15)/Examples!$D$16))))))+Examples!$D$17*$A498^2)</f>
        <v>1586043.5819528124</v>
      </c>
      <c r="E498" s="33">
        <f>(Examples!$D$6*Examples!$D$7*Examples!$D$8*EXP(-Examples!$D$9*$A498)*(1-(Examples!$D$12*(1-EXP(-Examples!$D$13*$A498))/(1+EXP(MIN(700,MAX(-700,(Examples!$D$14*$A498-Examples!$D$15)/Examples!$D$16))))))+Examples!$D$17*$A498^2)</f>
        <v>690756.41804718762</v>
      </c>
      <c r="F498" s="33">
        <f>Examples!$E$18-(Examples!$E$10+Examples!$E$11)*$A498-(Examples!$E$6*Examples!$E$7*Examples!$E$8*EXP(-Examples!$E$9*$A498)*(1-(Examples!$E$12*(1-EXP(-Examples!$E$13*$A498))/(1+EXP(MIN(700,MAX(-700,(Examples!$E$14*$A498-Examples!$E$15)/Examples!$E$16))))))+Examples!$E$17*$A498^2)</f>
        <v>2373089.2655669041</v>
      </c>
      <c r="G498" s="33">
        <f>(Examples!$E$6*Examples!$E$7*Examples!$E$8*EXP(-Examples!$E$9*$A498)*(1-(Examples!$E$12*(1-EXP(-Examples!$E$13*$A498))/(1+EXP(MIN(700,MAX(-700,(Examples!$E$14*$A498-Examples!$E$15)/Examples!$E$16))))))+Examples!$E$17*$A498^2)</f>
        <v>205310.7344330959</v>
      </c>
      <c r="H498" s="33">
        <f>Examples!$F$18-(Examples!$F$10+Examples!$F$11)*$A498-(Examples!$F$6*Examples!$F$7*Examples!$F$8*EXP(-Examples!$F$9*$A498)*(1-(Examples!$F$12*(1-EXP(-Examples!$F$13*$A498))/(1+EXP(MIN(700,MAX(-700,(Examples!$F$14*$A498-Examples!$F$15)/Examples!$F$16))))))+Examples!$F$17*$A498^2)</f>
        <v>-445183.91679507308</v>
      </c>
      <c r="I498" s="33">
        <f>(Examples!$F$6*Examples!$F$7*Examples!$F$8*EXP(-Examples!$F$9*$A498)*(1-(Examples!$F$12*(1-EXP(-Examples!$F$13*$A498))/(1+EXP(MIN(700,MAX(-700,(Examples!$F$14*$A498-Examples!$F$15)/Examples!$F$16))))))+Examples!$F$17*$A498^2)</f>
        <v>495983.91679507308</v>
      </c>
      <c r="J498" s="33">
        <f>Examples!$G$18-(Examples!$G$10+Examples!$G$11)*$A498-(Examples!$G$6*Examples!$G$7*Examples!$G$8*EXP(-Examples!$G$9*$A498)*(1-(Examples!$G$12*(1-EXP(-Examples!$G$13*$A498))/(1+EXP(MIN(700,MAX(-700,(Examples!$G$14*$A498-Examples!$G$15)/Examples!$G$16))))))+Examples!$G$17*$A498^2)</f>
        <v>712108.01428159873</v>
      </c>
      <c r="K498" s="33">
        <f>(Examples!$G$6*Examples!$G$7*Examples!$G$8*EXP(-Examples!$G$9*$A498)*(1-(Examples!$G$12*(1-EXP(-Examples!$G$13*$A498))/(1+EXP(MIN(700,MAX(-700,(Examples!$G$14*$A498-Examples!$G$15)/Examples!$G$16))))))+Examples!$G$17*$A498^2)</f>
        <v>539891.98571840127</v>
      </c>
      <c r="L498" s="33">
        <f>Examples!$H$18-(Examples!$H$10+Examples!$H$11)*$A498-(Examples!$H$6*Examples!$H$7*Examples!$H$8*EXP(-Examples!$H$9*$A498)*(1-(Examples!$H$12*(1-EXP(-Examples!$H$13*$A498))/(1+EXP(MIN(700,MAX(-700,(Examples!$H$14*$A498-Examples!$H$15)/Examples!$H$16))))))+Examples!$H$17*$A498^2)</f>
        <v>702837.88584780367</v>
      </c>
      <c r="M498" s="33">
        <f>(Examples!$H$6*Examples!$H$7*Examples!$H$8*EXP(-Examples!$H$9*$A498)*(1-(Examples!$H$12*(1-EXP(-Examples!$H$13*$A498))/(1+EXP(MIN(700,MAX(-700,(Examples!$H$14*$A498-Examples!$H$15)/Examples!$H$16))))))+Examples!$H$17*$A498^2)</f>
        <v>549162.11415219633</v>
      </c>
    </row>
    <row r="499" spans="1:13" x14ac:dyDescent="0.25">
      <c r="A499">
        <f>(499-2)/100</f>
        <v>4.97</v>
      </c>
      <c r="B499" s="33">
        <f>Examples!$C$18-(Examples!$C$10+Examples!$C$11)*$A499-(Examples!$C$6*Examples!$C$7*Examples!$C$8*EXP(-Examples!$C$9*$A499)*(1-(Examples!$C$12*(1-EXP(-Examples!$C$13*$A499))/(1+EXP(MIN(700,MAX(-700,(Examples!$C$14*$A499-Examples!$C$15)/Examples!$C$16))))))+Examples!$C$17*$A499^2)</f>
        <v>-79550.78194235824</v>
      </c>
      <c r="C499" s="33">
        <f>(Examples!$C$6*Examples!$C$7*Examples!$C$8*EXP(-Examples!$C$9*$A499)*(1-(Examples!$C$12*(1-EXP(-Examples!$C$13*$A499))/(1+EXP(MIN(700,MAX(-700,(Examples!$C$14*$A499-Examples!$C$15)/Examples!$C$16))))))+Examples!$C$17*$A499^2)</f>
        <v>505600.78194235824</v>
      </c>
      <c r="D499" s="33">
        <f>Examples!$D$18-(Examples!$D$10+Examples!$D$11)*$A499-(Examples!$D$6*Examples!$D$7*Examples!$D$8*EXP(-Examples!$D$9*$A499)*(1-(Examples!$D$12*(1-EXP(-Examples!$D$13*$A499))/(1+EXP(MIN(700,MAX(-700,(Examples!$D$14*$A499-Examples!$D$15)/Examples!$D$16))))))+Examples!$D$17*$A499^2)</f>
        <v>1586831.3794805505</v>
      </c>
      <c r="E499" s="33">
        <f>(Examples!$D$6*Examples!$D$7*Examples!$D$8*EXP(-Examples!$D$9*$A499)*(1-(Examples!$D$12*(1-EXP(-Examples!$D$13*$A499))/(1+EXP(MIN(700,MAX(-700,(Examples!$D$14*$A499-Examples!$D$15)/Examples!$D$16))))))+Examples!$D$17*$A499^2)</f>
        <v>689518.62051944959</v>
      </c>
      <c r="F499" s="33">
        <f>Examples!$E$18-(Examples!$E$10+Examples!$E$11)*$A499-(Examples!$E$6*Examples!$E$7*Examples!$E$8*EXP(-Examples!$E$9*$A499)*(1-(Examples!$E$12*(1-EXP(-Examples!$E$13*$A499))/(1+EXP(MIN(700,MAX(-700,(Examples!$E$14*$A499-Examples!$E$15)/Examples!$E$16))))))+Examples!$E$17*$A499^2)</f>
        <v>2372247.7017181269</v>
      </c>
      <c r="G499" s="33">
        <f>(Examples!$E$6*Examples!$E$7*Examples!$E$8*EXP(-Examples!$E$9*$A499)*(1-(Examples!$E$12*(1-EXP(-Examples!$E$13*$A499))/(1+EXP(MIN(700,MAX(-700,(Examples!$E$14*$A499-Examples!$E$15)/Examples!$E$16))))))+Examples!$E$17*$A499^2)</f>
        <v>205302.29828187317</v>
      </c>
      <c r="H499" s="33">
        <f>Examples!$F$18-(Examples!$F$10+Examples!$F$11)*$A499-(Examples!$F$6*Examples!$F$7*Examples!$F$8*EXP(-Examples!$F$9*$A499)*(1-(Examples!$F$12*(1-EXP(-Examples!$F$13*$A499))/(1+EXP(MIN(700,MAX(-700,(Examples!$F$14*$A499-Examples!$F$15)/Examples!$F$16))))))+Examples!$F$17*$A499^2)</f>
        <v>-447358.07883399847</v>
      </c>
      <c r="I499" s="33">
        <f>(Examples!$F$6*Examples!$F$7*Examples!$F$8*EXP(-Examples!$F$9*$A499)*(1-(Examples!$F$12*(1-EXP(-Examples!$F$13*$A499))/(1+EXP(MIN(700,MAX(-700,(Examples!$F$14*$A499-Examples!$F$15)/Examples!$F$16))))))+Examples!$F$17*$A499^2)</f>
        <v>497958.07883399847</v>
      </c>
      <c r="J499" s="33">
        <f>Examples!$G$18-(Examples!$G$10+Examples!$G$11)*$A499-(Examples!$G$6*Examples!$G$7*Examples!$G$8*EXP(-Examples!$G$9*$A499)*(1-(Examples!$G$12*(1-EXP(-Examples!$G$13*$A499))/(1+EXP(MIN(700,MAX(-700,(Examples!$G$14*$A499-Examples!$G$15)/Examples!$G$16))))))+Examples!$G$17*$A499^2)</f>
        <v>711897.26876184205</v>
      </c>
      <c r="K499" s="33">
        <f>(Examples!$G$6*Examples!$G$7*Examples!$G$8*EXP(-Examples!$G$9*$A499)*(1-(Examples!$G$12*(1-EXP(-Examples!$G$13*$A499))/(1+EXP(MIN(700,MAX(-700,(Examples!$G$14*$A499-Examples!$G$15)/Examples!$G$16))))))+Examples!$G$17*$A499^2)</f>
        <v>539602.73123815795</v>
      </c>
      <c r="L499" s="33">
        <f>Examples!$H$18-(Examples!$H$10+Examples!$H$11)*$A499-(Examples!$H$6*Examples!$H$7*Examples!$H$8*EXP(-Examples!$H$9*$A499)*(1-(Examples!$H$12*(1-EXP(-Examples!$H$13*$A499))/(1+EXP(MIN(700,MAX(-700,(Examples!$H$14*$A499-Examples!$H$15)/Examples!$H$16))))))+Examples!$H$17*$A499^2)</f>
        <v>702771.50720066961</v>
      </c>
      <c r="M499" s="33">
        <f>(Examples!$H$6*Examples!$H$7*Examples!$H$8*EXP(-Examples!$H$9*$A499)*(1-(Examples!$H$12*(1-EXP(-Examples!$H$13*$A499))/(1+EXP(MIN(700,MAX(-700,(Examples!$H$14*$A499-Examples!$H$15)/Examples!$H$16))))))+Examples!$H$17*$A499^2)</f>
        <v>548728.49279933039</v>
      </c>
    </row>
    <row r="500" spans="1:13" x14ac:dyDescent="0.25">
      <c r="A500">
        <f>(500-2)/100</f>
        <v>4.9800000000000004</v>
      </c>
      <c r="B500" s="33">
        <f>Examples!$C$18-(Examples!$C$10+Examples!$C$11)*$A500-(Examples!$C$6*Examples!$C$7*Examples!$C$8*EXP(-Examples!$C$9*$A500)*(1-(Examples!$C$12*(1-EXP(-Examples!$C$13*$A500))/(1+EXP(MIN(700,MAX(-700,(Examples!$C$14*$A500-Examples!$C$15)/Examples!$C$16))))))+Examples!$C$17*$A500^2)</f>
        <v>-80988.664439685293</v>
      </c>
      <c r="C500" s="33">
        <f>(Examples!$C$6*Examples!$C$7*Examples!$C$8*EXP(-Examples!$C$9*$A500)*(1-(Examples!$C$12*(1-EXP(-Examples!$C$13*$A500))/(1+EXP(MIN(700,MAX(-700,(Examples!$C$14*$A500-Examples!$C$15)/Examples!$C$16))))))+Examples!$C$17*$A500^2)</f>
        <v>506688.66443968529</v>
      </c>
      <c r="D500" s="33">
        <f>Examples!$D$18-(Examples!$D$10+Examples!$D$11)*$A500-(Examples!$D$6*Examples!$D$7*Examples!$D$8*EXP(-Examples!$D$9*$A500)*(1-(Examples!$D$12*(1-EXP(-Examples!$D$13*$A500))/(1+EXP(MIN(700,MAX(-700,(Examples!$D$14*$A500-Examples!$D$15)/Examples!$D$16))))))+Examples!$D$17*$A500^2)</f>
        <v>1587620.8178468624</v>
      </c>
      <c r="E500" s="33">
        <f>(Examples!$D$6*Examples!$D$7*Examples!$D$8*EXP(-Examples!$D$9*$A500)*(1-(Examples!$D$12*(1-EXP(-Examples!$D$13*$A500))/(1+EXP(MIN(700,MAX(-700,(Examples!$D$14*$A500-Examples!$D$15)/Examples!$D$16))))))+Examples!$D$17*$A500^2)</f>
        <v>688279.18215313763</v>
      </c>
      <c r="F500" s="33">
        <f>Examples!$E$18-(Examples!$E$10+Examples!$E$11)*$A500-(Examples!$E$6*Examples!$E$7*Examples!$E$8*EXP(-Examples!$E$9*$A500)*(1-(Examples!$E$12*(1-EXP(-Examples!$E$13*$A500))/(1+EXP(MIN(700,MAX(-700,(Examples!$E$14*$A500-Examples!$E$15)/Examples!$E$16))))))+Examples!$E$17*$A500^2)</f>
        <v>2371405.4082472972</v>
      </c>
      <c r="G500" s="33">
        <f>(Examples!$E$6*Examples!$E$7*Examples!$E$8*EXP(-Examples!$E$9*$A500)*(1-(Examples!$E$12*(1-EXP(-Examples!$E$13*$A500))/(1+EXP(MIN(700,MAX(-700,(Examples!$E$14*$A500-Examples!$E$15)/Examples!$E$16))))))+Examples!$E$17*$A500^2)</f>
        <v>205294.59175270272</v>
      </c>
      <c r="H500" s="33">
        <f>Examples!$F$18-(Examples!$F$10+Examples!$F$11)*$A500-(Examples!$F$6*Examples!$F$7*Examples!$F$8*EXP(-Examples!$F$9*$A500)*(1-(Examples!$F$12*(1-EXP(-Examples!$F$13*$A500))/(1+EXP(MIN(700,MAX(-700,(Examples!$F$14*$A500-Examples!$F$15)/Examples!$F$16))))))+Examples!$F$17*$A500^2)</f>
        <v>-449536.27633262397</v>
      </c>
      <c r="I500" s="33">
        <f>(Examples!$F$6*Examples!$F$7*Examples!$F$8*EXP(-Examples!$F$9*$A500)*(1-(Examples!$F$12*(1-EXP(-Examples!$F$13*$A500))/(1+EXP(MIN(700,MAX(-700,(Examples!$F$14*$A500-Examples!$F$15)/Examples!$F$16))))))+Examples!$F$17*$A500^2)</f>
        <v>499936.27633262397</v>
      </c>
      <c r="J500" s="33">
        <f>Examples!$G$18-(Examples!$G$10+Examples!$G$11)*$A500-(Examples!$G$6*Examples!$G$7*Examples!$G$8*EXP(-Examples!$G$9*$A500)*(1-(Examples!$G$12*(1-EXP(-Examples!$G$13*$A500))/(1+EXP(MIN(700,MAX(-700,(Examples!$G$14*$A500-Examples!$G$15)/Examples!$G$16))))))+Examples!$G$17*$A500^2)</f>
        <v>711682.87298363494</v>
      </c>
      <c r="K500" s="33">
        <f>(Examples!$G$6*Examples!$G$7*Examples!$G$8*EXP(-Examples!$G$9*$A500)*(1-(Examples!$G$12*(1-EXP(-Examples!$G$13*$A500))/(1+EXP(MIN(700,MAX(-700,(Examples!$G$14*$A500-Examples!$G$15)/Examples!$G$16))))))+Examples!$G$17*$A500^2)</f>
        <v>539317.12701636506</v>
      </c>
      <c r="L500" s="33">
        <f>Examples!$H$18-(Examples!$H$10+Examples!$H$11)*$A500-(Examples!$H$6*Examples!$H$7*Examples!$H$8*EXP(-Examples!$H$9*$A500)*(1-(Examples!$H$12*(1-EXP(-Examples!$H$13*$A500))/(1+EXP(MIN(700,MAX(-700,(Examples!$H$14*$A500-Examples!$H$15)/Examples!$H$16))))))+Examples!$H$17*$A500^2)</f>
        <v>702699.34257718176</v>
      </c>
      <c r="M500" s="33">
        <f>(Examples!$H$6*Examples!$H$7*Examples!$H$8*EXP(-Examples!$H$9*$A500)*(1-(Examples!$H$12*(1-EXP(-Examples!$H$13*$A500))/(1+EXP(MIN(700,MAX(-700,(Examples!$H$14*$A500-Examples!$H$15)/Examples!$H$16))))))+Examples!$H$17*$A500^2)</f>
        <v>548300.65742281824</v>
      </c>
    </row>
    <row r="501" spans="1:13" x14ac:dyDescent="0.25">
      <c r="A501">
        <f>(501-2)/100</f>
        <v>4.99</v>
      </c>
      <c r="B501" s="33">
        <f>Examples!$C$18-(Examples!$C$10+Examples!$C$11)*$A501-(Examples!$C$6*Examples!$C$7*Examples!$C$8*EXP(-Examples!$C$9*$A501)*(1-(Examples!$C$12*(1-EXP(-Examples!$C$13*$A501))/(1+EXP(MIN(700,MAX(-700,(Examples!$C$14*$A501-Examples!$C$15)/Examples!$C$16))))))+Examples!$C$17*$A501^2)</f>
        <v>-82430.757674121007</v>
      </c>
      <c r="C501" s="33">
        <f>(Examples!$C$6*Examples!$C$7*Examples!$C$8*EXP(-Examples!$C$9*$A501)*(1-(Examples!$C$12*(1-EXP(-Examples!$C$13*$A501))/(1+EXP(MIN(700,MAX(-700,(Examples!$C$14*$A501-Examples!$C$15)/Examples!$C$16))))))+Examples!$C$17*$A501^2)</f>
        <v>507780.75767412101</v>
      </c>
      <c r="D501" s="33">
        <f>Examples!$D$18-(Examples!$D$10+Examples!$D$11)*$A501-(Examples!$D$6*Examples!$D$7*Examples!$D$8*EXP(-Examples!$D$9*$A501)*(1-(Examples!$D$12*(1-EXP(-Examples!$D$13*$A501))/(1+EXP(MIN(700,MAX(-700,(Examples!$D$14*$A501-Examples!$D$15)/Examples!$D$16))))))+Examples!$D$17*$A501^2)</f>
        <v>1588411.7942991694</v>
      </c>
      <c r="E501" s="33">
        <f>(Examples!$D$6*Examples!$D$7*Examples!$D$8*EXP(-Examples!$D$9*$A501)*(1-(Examples!$D$12*(1-EXP(-Examples!$D$13*$A501))/(1+EXP(MIN(700,MAX(-700,(Examples!$D$14*$A501-Examples!$D$15)/Examples!$D$16))))))+Examples!$D$17*$A501^2)</f>
        <v>687038.20570083056</v>
      </c>
      <c r="F501" s="33">
        <f>Examples!$E$18-(Examples!$E$10+Examples!$E$11)*$A501-(Examples!$E$6*Examples!$E$7*Examples!$E$8*EXP(-Examples!$E$9*$A501)*(1-(Examples!$E$12*(1-EXP(-Examples!$E$13*$A501))/(1+EXP(MIN(700,MAX(-700,(Examples!$E$14*$A501-Examples!$E$15)/Examples!$E$16))))))+Examples!$E$17*$A501^2)</f>
        <v>2370562.3949871468</v>
      </c>
      <c r="G501" s="33">
        <f>(Examples!$E$6*Examples!$E$7*Examples!$E$8*EXP(-Examples!$E$9*$A501)*(1-(Examples!$E$12*(1-EXP(-Examples!$E$13*$A501))/(1+EXP(MIN(700,MAX(-700,(Examples!$E$14*$A501-Examples!$E$15)/Examples!$E$16))))))+Examples!$E$17*$A501^2)</f>
        <v>205287.60501285322</v>
      </c>
      <c r="H501" s="33">
        <f>Examples!$F$18-(Examples!$F$10+Examples!$F$11)*$A501-(Examples!$F$6*Examples!$F$7*Examples!$F$8*EXP(-Examples!$F$9*$A501)*(1-(Examples!$F$12*(1-EXP(-Examples!$F$13*$A501))/(1+EXP(MIN(700,MAX(-700,(Examples!$F$14*$A501-Examples!$F$15)/Examples!$F$16))))))+Examples!$F$17*$A501^2)</f>
        <v>-451718.50918476935</v>
      </c>
      <c r="I501" s="33">
        <f>(Examples!$F$6*Examples!$F$7*Examples!$F$8*EXP(-Examples!$F$9*$A501)*(1-(Examples!$F$12*(1-EXP(-Examples!$F$13*$A501))/(1+EXP(MIN(700,MAX(-700,(Examples!$F$14*$A501-Examples!$F$15)/Examples!$F$16))))))+Examples!$F$17*$A501^2)</f>
        <v>501918.50918476935</v>
      </c>
      <c r="J501" s="33">
        <f>Examples!$G$18-(Examples!$G$10+Examples!$G$11)*$A501-(Examples!$G$6*Examples!$G$7*Examples!$G$8*EXP(-Examples!$G$9*$A501)*(1-(Examples!$G$12*(1-EXP(-Examples!$G$13*$A501))/(1+EXP(MIN(700,MAX(-700,(Examples!$G$14*$A501-Examples!$G$15)/Examples!$G$16))))))+Examples!$G$17*$A501^2)</f>
        <v>711464.80973286473</v>
      </c>
      <c r="K501" s="33">
        <f>(Examples!$G$6*Examples!$G$7*Examples!$G$8*EXP(-Examples!$G$9*$A501)*(1-(Examples!$G$12*(1-EXP(-Examples!$G$13*$A501))/(1+EXP(MIN(700,MAX(-700,(Examples!$G$14*$A501-Examples!$G$15)/Examples!$G$16))))))+Examples!$G$17*$A501^2)</f>
        <v>539035.19026713527</v>
      </c>
      <c r="L501" s="33">
        <f>Examples!$H$18-(Examples!$H$10+Examples!$H$11)*$A501-(Examples!$H$6*Examples!$H$7*Examples!$H$8*EXP(-Examples!$H$9*$A501)*(1-(Examples!$H$12*(1-EXP(-Examples!$H$13*$A501))/(1+EXP(MIN(700,MAX(-700,(Examples!$H$14*$A501-Examples!$H$15)/Examples!$H$16))))))+Examples!$H$17*$A501^2)</f>
        <v>702621.40302170697</v>
      </c>
      <c r="M501" s="33">
        <f>(Examples!$H$6*Examples!$H$7*Examples!$H$8*EXP(-Examples!$H$9*$A501)*(1-(Examples!$H$12*(1-EXP(-Examples!$H$13*$A501))/(1+EXP(MIN(700,MAX(-700,(Examples!$H$14*$A501-Examples!$H$15)/Examples!$H$16))))))+Examples!$H$17*$A501^2)</f>
        <v>547878.59697829303</v>
      </c>
    </row>
    <row r="502" spans="1:13" x14ac:dyDescent="0.25">
      <c r="A502">
        <f>(502-2)/100</f>
        <v>5</v>
      </c>
      <c r="B502" s="33">
        <f>Examples!$C$18-(Examples!$C$10+Examples!$C$11)*$A502-(Examples!$C$6*Examples!$C$7*Examples!$C$8*EXP(-Examples!$C$9*$A502)*(1-(Examples!$C$12*(1-EXP(-Examples!$C$13*$A502))/(1+EXP(MIN(700,MAX(-700,(Examples!$C$14*$A502-Examples!$C$15)/Examples!$C$16))))))+Examples!$C$17*$A502^2)</f>
        <v>-83877.058064133686</v>
      </c>
      <c r="C502" s="33">
        <f>(Examples!$C$6*Examples!$C$7*Examples!$C$8*EXP(-Examples!$C$9*$A502)*(1-(Examples!$C$12*(1-EXP(-Examples!$C$13*$A502))/(1+EXP(MIN(700,MAX(-700,(Examples!$C$14*$A502-Examples!$C$15)/Examples!$C$16))))))+Examples!$C$17*$A502^2)</f>
        <v>508877.05806413369</v>
      </c>
      <c r="D502" s="33">
        <f>Examples!$D$18-(Examples!$D$10+Examples!$D$11)*$A502-(Examples!$D$6*Examples!$D$7*Examples!$D$8*EXP(-Examples!$D$9*$A502)*(1-(Examples!$D$12*(1-EXP(-Examples!$D$13*$A502))/(1+EXP(MIN(700,MAX(-700,(Examples!$D$14*$A502-Examples!$D$15)/Examples!$D$16))))))+Examples!$D$17*$A502^2)</f>
        <v>1589204.2062254425</v>
      </c>
      <c r="E502" s="33">
        <f>(Examples!$D$6*Examples!$D$7*Examples!$D$8*EXP(-Examples!$D$9*$A502)*(1-(Examples!$D$12*(1-EXP(-Examples!$D$13*$A502))/(1+EXP(MIN(700,MAX(-700,(Examples!$D$14*$A502-Examples!$D$15)/Examples!$D$16))))))+Examples!$D$17*$A502^2)</f>
        <v>685795.79377455753</v>
      </c>
      <c r="F502" s="33">
        <f>Examples!$E$18-(Examples!$E$10+Examples!$E$11)*$A502-(Examples!$E$6*Examples!$E$7*Examples!$E$8*EXP(-Examples!$E$9*$A502)*(1-(Examples!$E$12*(1-EXP(-Examples!$E$13*$A502))/(1+EXP(MIN(700,MAX(-700,(Examples!$E$14*$A502-Examples!$E$15)/Examples!$E$16))))))+Examples!$E$17*$A502^2)</f>
        <v>2369718.6715136725</v>
      </c>
      <c r="G502" s="33">
        <f>(Examples!$E$6*Examples!$E$7*Examples!$E$8*EXP(-Examples!$E$9*$A502)*(1-(Examples!$E$12*(1-EXP(-Examples!$E$13*$A502))/(1+EXP(MIN(700,MAX(-700,(Examples!$E$14*$A502-Examples!$E$15)/Examples!$E$16))))))+Examples!$E$17*$A502^2)</f>
        <v>205281.32848632755</v>
      </c>
      <c r="H502" s="33">
        <f>Examples!$F$18-(Examples!$F$10+Examples!$F$11)*$A502-(Examples!$F$6*Examples!$F$7*Examples!$F$8*EXP(-Examples!$F$9*$A502)*(1-(Examples!$F$12*(1-EXP(-Examples!$F$13*$A502))/(1+EXP(MIN(700,MAX(-700,(Examples!$F$14*$A502-Examples!$F$15)/Examples!$F$16))))))+Examples!$F$17*$A502^2)</f>
        <v>-453904.77728457103</v>
      </c>
      <c r="I502" s="33">
        <f>(Examples!$F$6*Examples!$F$7*Examples!$F$8*EXP(-Examples!$F$9*$A502)*(1-(Examples!$F$12*(1-EXP(-Examples!$F$13*$A502))/(1+EXP(MIN(700,MAX(-700,(Examples!$F$14*$A502-Examples!$F$15)/Examples!$F$16))))))+Examples!$F$17*$A502^2)</f>
        <v>503904.77728457103</v>
      </c>
      <c r="J502" s="33">
        <f>Examples!$G$18-(Examples!$G$10+Examples!$G$11)*$A502-(Examples!$G$6*Examples!$G$7*Examples!$G$8*EXP(-Examples!$G$9*$A502)*(1-(Examples!$G$12*(1-EXP(-Examples!$G$13*$A502))/(1+EXP(MIN(700,MAX(-700,(Examples!$G$14*$A502-Examples!$G$15)/Examples!$G$16))))))+Examples!$G$17*$A502^2)</f>
        <v>711243.06214841479</v>
      </c>
      <c r="K502" s="33">
        <f>(Examples!$G$6*Examples!$G$7*Examples!$G$8*EXP(-Examples!$G$9*$A502)*(1-(Examples!$G$12*(1-EXP(-Examples!$G$13*$A502))/(1+EXP(MIN(700,MAX(-700,(Examples!$G$14*$A502-Examples!$G$15)/Examples!$G$16))))))+Examples!$G$17*$A502^2)</f>
        <v>538756.93785158521</v>
      </c>
      <c r="L502" s="33">
        <f>Examples!$H$18-(Examples!$H$10+Examples!$H$11)*$A502-(Examples!$H$6*Examples!$H$7*Examples!$H$8*EXP(-Examples!$H$9*$A502)*(1-(Examples!$H$12*(1-EXP(-Examples!$H$13*$A502))/(1+EXP(MIN(700,MAX(-700,(Examples!$H$14*$A502-Examples!$H$15)/Examples!$H$16))))))+Examples!$H$17*$A502^2)</f>
        <v>702537.69966215838</v>
      </c>
      <c r="M502" s="33">
        <f>(Examples!$H$6*Examples!$H$7*Examples!$H$8*EXP(-Examples!$H$9*$A502)*(1-(Examples!$H$12*(1-EXP(-Examples!$H$13*$A502))/(1+EXP(MIN(700,MAX(-700,(Examples!$H$14*$A502-Examples!$H$15)/Examples!$H$16))))))+Examples!$H$17*$A502^2)</f>
        <v>547462.30033784162</v>
      </c>
    </row>
    <row r="503" spans="1:13" x14ac:dyDescent="0.25">
      <c r="A503">
        <f>(503-2)/100</f>
        <v>5.01</v>
      </c>
      <c r="B503" s="33">
        <f>Examples!$C$18-(Examples!$C$10+Examples!$C$11)*$A503-(Examples!$C$6*Examples!$C$7*Examples!$C$8*EXP(-Examples!$C$9*$A503)*(1-(Examples!$C$12*(1-EXP(-Examples!$C$13*$A503))/(1+EXP(MIN(700,MAX(-700,(Examples!$C$14*$A503-Examples!$C$15)/Examples!$C$16))))))+Examples!$C$17*$A503^2)</f>
        <v>-85327.56203734607</v>
      </c>
      <c r="C503" s="33">
        <f>(Examples!$C$6*Examples!$C$7*Examples!$C$8*EXP(-Examples!$C$9*$A503)*(1-(Examples!$C$12*(1-EXP(-Examples!$C$13*$A503))/(1+EXP(MIN(700,MAX(-700,(Examples!$C$14*$A503-Examples!$C$15)/Examples!$C$16))))))+Examples!$C$17*$A503^2)</f>
        <v>509977.56203734607</v>
      </c>
      <c r="D503" s="33">
        <f>Examples!$D$18-(Examples!$D$10+Examples!$D$11)*$A503-(Examples!$D$6*Examples!$D$7*Examples!$D$8*EXP(-Examples!$D$9*$A503)*(1-(Examples!$D$12*(1-EXP(-Examples!$D$13*$A503))/(1+EXP(MIN(700,MAX(-700,(Examples!$D$14*$A503-Examples!$D$15)/Examples!$D$16))))))+Examples!$D$17*$A503^2)</f>
        <v>1589997.9511893094</v>
      </c>
      <c r="E503" s="33">
        <f>(Examples!$D$6*Examples!$D$7*Examples!$D$8*EXP(-Examples!$D$9*$A503)*(1-(Examples!$D$12*(1-EXP(-Examples!$D$13*$A503))/(1+EXP(MIN(700,MAX(-700,(Examples!$D$14*$A503-Examples!$D$15)/Examples!$D$16))))))+Examples!$D$17*$A503^2)</f>
        <v>684552.04881069076</v>
      </c>
      <c r="F503" s="33">
        <f>Examples!$E$18-(Examples!$E$10+Examples!$E$11)*$A503-(Examples!$E$6*Examples!$E$7*Examples!$E$8*EXP(-Examples!$E$9*$A503)*(1-(Examples!$E$12*(1-EXP(-Examples!$E$13*$A503))/(1+EXP(MIN(700,MAX(-700,(Examples!$E$14*$A503-Examples!$E$15)/Examples!$E$16))))))+Examples!$E$17*$A503^2)</f>
        <v>2368874.2471482311</v>
      </c>
      <c r="G503" s="33">
        <f>(Examples!$E$6*Examples!$E$7*Examples!$E$8*EXP(-Examples!$E$9*$A503)*(1-(Examples!$E$12*(1-EXP(-Examples!$E$13*$A503))/(1+EXP(MIN(700,MAX(-700,(Examples!$E$14*$A503-Examples!$E$15)/Examples!$E$16))))))+Examples!$E$17*$A503^2)</f>
        <v>205275.75285176869</v>
      </c>
      <c r="H503" s="33">
        <f>Examples!$F$18-(Examples!$F$10+Examples!$F$11)*$A503-(Examples!$F$6*Examples!$F$7*Examples!$F$8*EXP(-Examples!$F$9*$A503)*(1-(Examples!$F$12*(1-EXP(-Examples!$F$13*$A503))/(1+EXP(MIN(700,MAX(-700,(Examples!$F$14*$A503-Examples!$F$15)/Examples!$F$16))))))+Examples!$F$17*$A503^2)</f>
        <v>-456095.08052648103</v>
      </c>
      <c r="I503" s="33">
        <f>(Examples!$F$6*Examples!$F$7*Examples!$F$8*EXP(-Examples!$F$9*$A503)*(1-(Examples!$F$12*(1-EXP(-Examples!$F$13*$A503))/(1+EXP(MIN(700,MAX(-700,(Examples!$F$14*$A503-Examples!$F$15)/Examples!$F$16))))))+Examples!$F$17*$A503^2)</f>
        <v>505895.08052648103</v>
      </c>
      <c r="J503" s="33">
        <f>Examples!$G$18-(Examples!$G$10+Examples!$G$11)*$A503-(Examples!$G$6*Examples!$G$7*Examples!$G$8*EXP(-Examples!$G$9*$A503)*(1-(Examples!$G$12*(1-EXP(-Examples!$G$13*$A503))/(1+EXP(MIN(700,MAX(-700,(Examples!$G$14*$A503-Examples!$G$15)/Examples!$G$16))))))+Examples!$G$17*$A503^2)</f>
        <v>711017.61371880397</v>
      </c>
      <c r="K503" s="33">
        <f>(Examples!$G$6*Examples!$G$7*Examples!$G$8*EXP(-Examples!$G$9*$A503)*(1-(Examples!$G$12*(1-EXP(-Examples!$G$13*$A503))/(1+EXP(MIN(700,MAX(-700,(Examples!$G$14*$A503-Examples!$G$15)/Examples!$G$16))))))+Examples!$G$17*$A503^2)</f>
        <v>538482.38628119603</v>
      </c>
      <c r="L503" s="33">
        <f>Examples!$H$18-(Examples!$H$10+Examples!$H$11)*$A503-(Examples!$H$6*Examples!$H$7*Examples!$H$8*EXP(-Examples!$H$9*$A503)*(1-(Examples!$H$12*(1-EXP(-Examples!$H$13*$A503))/(1+EXP(MIN(700,MAX(-700,(Examples!$H$14*$A503-Examples!$H$15)/Examples!$H$16))))))+Examples!$H$17*$A503^2)</f>
        <v>702448.24370556092</v>
      </c>
      <c r="M503" s="33">
        <f>(Examples!$H$6*Examples!$H$7*Examples!$H$8*EXP(-Examples!$H$9*$A503)*(1-(Examples!$H$12*(1-EXP(-Examples!$H$13*$A503))/(1+EXP(MIN(700,MAX(-700,(Examples!$H$14*$A503-Examples!$H$15)/Examples!$H$16))))))+Examples!$H$17*$A503^2)</f>
        <v>547051.75629443908</v>
      </c>
    </row>
    <row r="504" spans="1:13" x14ac:dyDescent="0.25">
      <c r="A504">
        <f>(504-2)/100</f>
        <v>5.0199999999999996</v>
      </c>
      <c r="B504" s="33">
        <f>Examples!$C$18-(Examples!$C$10+Examples!$C$11)*$A504-(Examples!$C$6*Examples!$C$7*Examples!$C$8*EXP(-Examples!$C$9*$A504)*(1-(Examples!$C$12*(1-EXP(-Examples!$C$13*$A504))/(1+EXP(MIN(700,MAX(-700,(Examples!$C$14*$A504-Examples!$C$15)/Examples!$C$16))))))+Examples!$C$17*$A504^2)</f>
        <v>-86782.266030563333</v>
      </c>
      <c r="C504" s="33">
        <f>(Examples!$C$6*Examples!$C$7*Examples!$C$8*EXP(-Examples!$C$9*$A504)*(1-(Examples!$C$12*(1-EXP(-Examples!$C$13*$A504))/(1+EXP(MIN(700,MAX(-700,(Examples!$C$14*$A504-Examples!$C$15)/Examples!$C$16))))))+Examples!$C$17*$A504^2)</f>
        <v>511082.26603056333</v>
      </c>
      <c r="D504" s="33">
        <f>Examples!$D$18-(Examples!$D$10+Examples!$D$11)*$A504-(Examples!$D$6*Examples!$D$7*Examples!$D$8*EXP(-Examples!$D$9*$A504)*(1-(Examples!$D$12*(1-EXP(-Examples!$D$13*$A504))/(1+EXP(MIN(700,MAX(-700,(Examples!$D$14*$A504-Examples!$D$15)/Examples!$D$16))))))+Examples!$D$17*$A504^2)</f>
        <v>1590792.9269642504</v>
      </c>
      <c r="E504" s="33">
        <f>(Examples!$D$6*Examples!$D$7*Examples!$D$8*EXP(-Examples!$D$9*$A504)*(1-(Examples!$D$12*(1-EXP(-Examples!$D$13*$A504))/(1+EXP(MIN(700,MAX(-700,(Examples!$D$14*$A504-Examples!$D$15)/Examples!$D$16))))))+Examples!$D$17*$A504^2)</f>
        <v>683307.07303574961</v>
      </c>
      <c r="F504" s="33">
        <f>Examples!$E$18-(Examples!$E$10+Examples!$E$11)*$A504-(Examples!$E$6*Examples!$E$7*Examples!$E$8*EXP(-Examples!$E$9*$A504)*(1-(Examples!$E$12*(1-EXP(-Examples!$E$13*$A504))/(1+EXP(MIN(700,MAX(-700,(Examples!$E$14*$A504-Examples!$E$15)/Examples!$E$16))))))+Examples!$E$17*$A504^2)</f>
        <v>2368029.1309596389</v>
      </c>
      <c r="G504" s="33">
        <f>(Examples!$E$6*Examples!$E$7*Examples!$E$8*EXP(-Examples!$E$9*$A504)*(1-(Examples!$E$12*(1-EXP(-Examples!$E$13*$A504))/(1+EXP(MIN(700,MAX(-700,(Examples!$E$14*$A504-Examples!$E$15)/Examples!$E$16))))))+Examples!$E$17*$A504^2)</f>
        <v>205270.86904036097</v>
      </c>
      <c r="H504" s="33">
        <f>Examples!$F$18-(Examples!$F$10+Examples!$F$11)*$A504-(Examples!$F$6*Examples!$F$7*Examples!$F$8*EXP(-Examples!$F$9*$A504)*(1-(Examples!$F$12*(1-EXP(-Examples!$F$13*$A504))/(1+EXP(MIN(700,MAX(-700,(Examples!$F$14*$A504-Examples!$F$15)/Examples!$F$16))))))+Examples!$F$17*$A504^2)</f>
        <v>-458289.41880526603</v>
      </c>
      <c r="I504" s="33">
        <f>(Examples!$F$6*Examples!$F$7*Examples!$F$8*EXP(-Examples!$F$9*$A504)*(1-(Examples!$F$12*(1-EXP(-Examples!$F$13*$A504))/(1+EXP(MIN(700,MAX(-700,(Examples!$F$14*$A504-Examples!$F$15)/Examples!$F$16))))))+Examples!$F$17*$A504^2)</f>
        <v>507889.41880526603</v>
      </c>
      <c r="J504" s="33">
        <f>Examples!$G$18-(Examples!$G$10+Examples!$G$11)*$A504-(Examples!$G$6*Examples!$G$7*Examples!$G$8*EXP(-Examples!$G$9*$A504)*(1-(Examples!$G$12*(1-EXP(-Examples!$G$13*$A504))/(1+EXP(MIN(700,MAX(-700,(Examples!$G$14*$A504-Examples!$G$15)/Examples!$G$16))))))+Examples!$G$17*$A504^2)</f>
        <v>710788.44827881269</v>
      </c>
      <c r="K504" s="33">
        <f>(Examples!$G$6*Examples!$G$7*Examples!$G$8*EXP(-Examples!$G$9*$A504)*(1-(Examples!$G$12*(1-EXP(-Examples!$G$13*$A504))/(1+EXP(MIN(700,MAX(-700,(Examples!$G$14*$A504-Examples!$G$15)/Examples!$G$16))))))+Examples!$G$17*$A504^2)</f>
        <v>538211.55172118731</v>
      </c>
      <c r="L504" s="33">
        <f>Examples!$H$18-(Examples!$H$10+Examples!$H$11)*$A504-(Examples!$H$6*Examples!$H$7*Examples!$H$8*EXP(-Examples!$H$9*$A504)*(1-(Examples!$H$12*(1-EXP(-Examples!$H$13*$A504))/(1+EXP(MIN(700,MAX(-700,(Examples!$H$14*$A504-Examples!$H$15)/Examples!$H$16))))))+Examples!$H$17*$A504^2)</f>
        <v>702353.04643377091</v>
      </c>
      <c r="M504" s="33">
        <f>(Examples!$H$6*Examples!$H$7*Examples!$H$8*EXP(-Examples!$H$9*$A504)*(1-(Examples!$H$12*(1-EXP(-Examples!$H$13*$A504))/(1+EXP(MIN(700,MAX(-700,(Examples!$H$14*$A504-Examples!$H$15)/Examples!$H$16))))))+Examples!$H$17*$A504^2)</f>
        <v>546646.95356622909</v>
      </c>
    </row>
    <row r="505" spans="1:13" x14ac:dyDescent="0.25">
      <c r="A505">
        <f>(505-2)/100</f>
        <v>5.03</v>
      </c>
      <c r="B505" s="33">
        <f>Examples!$C$18-(Examples!$C$10+Examples!$C$11)*$A505-(Examples!$C$6*Examples!$C$7*Examples!$C$8*EXP(-Examples!$C$9*$A505)*(1-(Examples!$C$12*(1-EXP(-Examples!$C$13*$A505))/(1+EXP(MIN(700,MAX(-700,(Examples!$C$14*$A505-Examples!$C$15)/Examples!$C$16))))))+Examples!$C$17*$A505^2)</f>
        <v>-88241.166489797411</v>
      </c>
      <c r="C505" s="33">
        <f>(Examples!$C$6*Examples!$C$7*Examples!$C$8*EXP(-Examples!$C$9*$A505)*(1-(Examples!$C$12*(1-EXP(-Examples!$C$13*$A505))/(1+EXP(MIN(700,MAX(-700,(Examples!$C$14*$A505-Examples!$C$15)/Examples!$C$16))))))+Examples!$C$17*$A505^2)</f>
        <v>512191.16648979741</v>
      </c>
      <c r="D505" s="33">
        <f>Examples!$D$18-(Examples!$D$10+Examples!$D$11)*$A505-(Examples!$D$6*Examples!$D$7*Examples!$D$8*EXP(-Examples!$D$9*$A505)*(1-(Examples!$D$12*(1-EXP(-Examples!$D$13*$A505))/(1+EXP(MIN(700,MAX(-700,(Examples!$D$14*$A505-Examples!$D$15)/Examples!$D$16))))))+Examples!$D$17*$A505^2)</f>
        <v>1591589.0315668932</v>
      </c>
      <c r="E505" s="33">
        <f>(Examples!$D$6*Examples!$D$7*Examples!$D$8*EXP(-Examples!$D$9*$A505)*(1-(Examples!$D$12*(1-EXP(-Examples!$D$13*$A505))/(1+EXP(MIN(700,MAX(-700,(Examples!$D$14*$A505-Examples!$D$15)/Examples!$D$16))))))+Examples!$D$17*$A505^2)</f>
        <v>682060.9684331069</v>
      </c>
      <c r="F505" s="33">
        <f>Examples!$E$18-(Examples!$E$10+Examples!$E$11)*$A505-(Examples!$E$6*Examples!$E$7*Examples!$E$8*EXP(-Examples!$E$9*$A505)*(1-(Examples!$E$12*(1-EXP(-Examples!$E$13*$A505))/(1+EXP(MIN(700,MAX(-700,(Examples!$E$14*$A505-Examples!$E$15)/Examples!$E$16))))))+Examples!$E$17*$A505^2)</f>
        <v>2367183.3317662743</v>
      </c>
      <c r="G505" s="33">
        <f>(Examples!$E$6*Examples!$E$7*Examples!$E$8*EXP(-Examples!$E$9*$A505)*(1-(Examples!$E$12*(1-EXP(-Examples!$E$13*$A505))/(1+EXP(MIN(700,MAX(-700,(Examples!$E$14*$A505-Examples!$E$15)/Examples!$E$16))))))+Examples!$E$17*$A505^2)</f>
        <v>205266.66823372588</v>
      </c>
      <c r="H505" s="33">
        <f>Examples!$F$18-(Examples!$F$10+Examples!$F$11)*$A505-(Examples!$F$6*Examples!$F$7*Examples!$F$8*EXP(-Examples!$F$9*$A505)*(1-(Examples!$F$12*(1-EXP(-Examples!$F$13*$A505))/(1+EXP(MIN(700,MAX(-700,(Examples!$F$14*$A505-Examples!$F$15)/Examples!$F$16))))))+Examples!$F$17*$A505^2)</f>
        <v>-460487.79201600666</v>
      </c>
      <c r="I505" s="33">
        <f>(Examples!$F$6*Examples!$F$7*Examples!$F$8*EXP(-Examples!$F$9*$A505)*(1-(Examples!$F$12*(1-EXP(-Examples!$F$13*$A505))/(1+EXP(MIN(700,MAX(-700,(Examples!$F$14*$A505-Examples!$F$15)/Examples!$F$16))))))+Examples!$F$17*$A505^2)</f>
        <v>509887.79201600666</v>
      </c>
      <c r="J505" s="33">
        <f>Examples!$G$18-(Examples!$G$10+Examples!$G$11)*$A505-(Examples!$G$6*Examples!$G$7*Examples!$G$8*EXP(-Examples!$G$9*$A505)*(1-(Examples!$G$12*(1-EXP(-Examples!$G$13*$A505))/(1+EXP(MIN(700,MAX(-700,(Examples!$G$14*$A505-Examples!$G$15)/Examples!$G$16))))))+Examples!$G$17*$A505^2)</f>
        <v>710555.55000609183</v>
      </c>
      <c r="K505" s="33">
        <f>(Examples!$G$6*Examples!$G$7*Examples!$G$8*EXP(-Examples!$G$9*$A505)*(1-(Examples!$G$12*(1-EXP(-Examples!$G$13*$A505))/(1+EXP(MIN(700,MAX(-700,(Examples!$G$14*$A505-Examples!$G$15)/Examples!$G$16))))))+Examples!$G$17*$A505^2)</f>
        <v>537944.44999390817</v>
      </c>
      <c r="L505" s="33">
        <f>Examples!$H$18-(Examples!$H$10+Examples!$H$11)*$A505-(Examples!$H$6*Examples!$H$7*Examples!$H$8*EXP(-Examples!$H$9*$A505)*(1-(Examples!$H$12*(1-EXP(-Examples!$H$13*$A505))/(1+EXP(MIN(700,MAX(-700,(Examples!$H$14*$A505-Examples!$H$15)/Examples!$H$16))))))+Examples!$H$17*$A505^2)</f>
        <v>702252.1191993464</v>
      </c>
      <c r="M505" s="33">
        <f>(Examples!$H$6*Examples!$H$7*Examples!$H$8*EXP(-Examples!$H$9*$A505)*(1-(Examples!$H$12*(1-EXP(-Examples!$H$13*$A505))/(1+EXP(MIN(700,MAX(-700,(Examples!$H$14*$A505-Examples!$H$15)/Examples!$H$16))))))+Examples!$H$17*$A505^2)</f>
        <v>546247.8808006536</v>
      </c>
    </row>
    <row r="506" spans="1:13" x14ac:dyDescent="0.25">
      <c r="A506">
        <f>(506-2)/100</f>
        <v>5.04</v>
      </c>
      <c r="B506" s="33">
        <f>Examples!$C$18-(Examples!$C$10+Examples!$C$11)*$A506-(Examples!$C$6*Examples!$C$7*Examples!$C$8*EXP(-Examples!$C$9*$A506)*(1-(Examples!$C$12*(1-EXP(-Examples!$C$13*$A506))/(1+EXP(MIN(700,MAX(-700,(Examples!$C$14*$A506-Examples!$C$15)/Examples!$C$16))))))+Examples!$C$17*$A506^2)</f>
        <v>-89704.259870290756</v>
      </c>
      <c r="C506" s="33">
        <f>(Examples!$C$6*Examples!$C$7*Examples!$C$8*EXP(-Examples!$C$9*$A506)*(1-(Examples!$C$12*(1-EXP(-Examples!$C$13*$A506))/(1+EXP(MIN(700,MAX(-700,(Examples!$C$14*$A506-Examples!$C$15)/Examples!$C$16))))))+Examples!$C$17*$A506^2)</f>
        <v>513304.25987029076</v>
      </c>
      <c r="D506" s="33">
        <f>Examples!$D$18-(Examples!$D$10+Examples!$D$11)*$A506-(Examples!$D$6*Examples!$D$7*Examples!$D$8*EXP(-Examples!$D$9*$A506)*(1-(Examples!$D$12*(1-EXP(-Examples!$D$13*$A506))/(1+EXP(MIN(700,MAX(-700,(Examples!$D$14*$A506-Examples!$D$15)/Examples!$D$16))))))+Examples!$D$17*$A506^2)</f>
        <v>1592386.1632893998</v>
      </c>
      <c r="E506" s="33">
        <f>(Examples!$D$6*Examples!$D$7*Examples!$D$8*EXP(-Examples!$D$9*$A506)*(1-(Examples!$D$12*(1-EXP(-Examples!$D$13*$A506))/(1+EXP(MIN(700,MAX(-700,(Examples!$D$14*$A506-Examples!$D$15)/Examples!$D$16))))))+Examples!$D$17*$A506^2)</f>
        <v>680813.8367106003</v>
      </c>
      <c r="F506" s="33">
        <f>Examples!$E$18-(Examples!$E$10+Examples!$E$11)*$A506-(Examples!$E$6*Examples!$E$7*Examples!$E$8*EXP(-Examples!$E$9*$A506)*(1-(Examples!$E$12*(1-EXP(-Examples!$E$13*$A506))/(1+EXP(MIN(700,MAX(-700,(Examples!$E$14*$A506-Examples!$E$15)/Examples!$E$16))))))+Examples!$E$17*$A506^2)</f>
        <v>2366336.8581381869</v>
      </c>
      <c r="G506" s="33">
        <f>(Examples!$E$6*Examples!$E$7*Examples!$E$8*EXP(-Examples!$E$9*$A506)*(1-(Examples!$E$12*(1-EXP(-Examples!$E$13*$A506))/(1+EXP(MIN(700,MAX(-700,(Examples!$E$14*$A506-Examples!$E$15)/Examples!$E$16))))))+Examples!$E$17*$A506^2)</f>
        <v>205263.14186181317</v>
      </c>
      <c r="H506" s="33">
        <f>Examples!$F$18-(Examples!$F$10+Examples!$F$11)*$A506-(Examples!$F$6*Examples!$F$7*Examples!$F$8*EXP(-Examples!$F$9*$A506)*(1-(Examples!$F$12*(1-EXP(-Examples!$F$13*$A506))/(1+EXP(MIN(700,MAX(-700,(Examples!$F$14*$A506-Examples!$F$15)/Examples!$F$16))))))+Examples!$F$17*$A506^2)</f>
        <v>-462690.20005409594</v>
      </c>
      <c r="I506" s="33">
        <f>(Examples!$F$6*Examples!$F$7*Examples!$F$8*EXP(-Examples!$F$9*$A506)*(1-(Examples!$F$12*(1-EXP(-Examples!$F$13*$A506))/(1+EXP(MIN(700,MAX(-700,(Examples!$F$14*$A506-Examples!$F$15)/Examples!$F$16))))))+Examples!$F$17*$A506^2)</f>
        <v>511890.20005409594</v>
      </c>
      <c r="J506" s="33">
        <f>Examples!$G$18-(Examples!$G$10+Examples!$G$11)*$A506-(Examples!$G$6*Examples!$G$7*Examples!$G$8*EXP(-Examples!$G$9*$A506)*(1-(Examples!$G$12*(1-EXP(-Examples!$G$13*$A506))/(1+EXP(MIN(700,MAX(-700,(Examples!$G$14*$A506-Examples!$G$15)/Examples!$G$16))))))+Examples!$G$17*$A506^2)</f>
        <v>710318.90341776027</v>
      </c>
      <c r="K506" s="33">
        <f>(Examples!$G$6*Examples!$G$7*Examples!$G$8*EXP(-Examples!$G$9*$A506)*(1-(Examples!$G$12*(1-EXP(-Examples!$G$13*$A506))/(1+EXP(MIN(700,MAX(-700,(Examples!$G$14*$A506-Examples!$G$15)/Examples!$G$16))))))+Examples!$G$17*$A506^2)</f>
        <v>537681.09658223973</v>
      </c>
      <c r="L506" s="33">
        <f>Examples!$H$18-(Examples!$H$10+Examples!$H$11)*$A506-(Examples!$H$6*Examples!$H$7*Examples!$H$8*EXP(-Examples!$H$9*$A506)*(1-(Examples!$H$12*(1-EXP(-Examples!$H$13*$A506))/(1+EXP(MIN(700,MAX(-700,(Examples!$H$14*$A506-Examples!$H$15)/Examples!$H$16))))))+Examples!$H$17*$A506^2)</f>
        <v>702145.47342156037</v>
      </c>
      <c r="M506" s="33">
        <f>(Examples!$H$6*Examples!$H$7*Examples!$H$8*EXP(-Examples!$H$9*$A506)*(1-(Examples!$H$12*(1-EXP(-Examples!$H$13*$A506))/(1+EXP(MIN(700,MAX(-700,(Examples!$H$14*$A506-Examples!$H$15)/Examples!$H$16))))))+Examples!$H$17*$A506^2)</f>
        <v>545854.52657843963</v>
      </c>
    </row>
    <row r="507" spans="1:13" x14ac:dyDescent="0.25">
      <c r="A507">
        <f>(507-2)/100</f>
        <v>5.05</v>
      </c>
      <c r="B507" s="33">
        <f>Examples!$C$18-(Examples!$C$10+Examples!$C$11)*$A507-(Examples!$C$6*Examples!$C$7*Examples!$C$8*EXP(-Examples!$C$9*$A507)*(1-(Examples!$C$12*(1-EXP(-Examples!$C$13*$A507))/(1+EXP(MIN(700,MAX(-700,(Examples!$C$14*$A507-Examples!$C$15)/Examples!$C$16))))))+Examples!$C$17*$A507^2)</f>
        <v>-91171.542636537633</v>
      </c>
      <c r="C507" s="33">
        <f>(Examples!$C$6*Examples!$C$7*Examples!$C$8*EXP(-Examples!$C$9*$A507)*(1-(Examples!$C$12*(1-EXP(-Examples!$C$13*$A507))/(1+EXP(MIN(700,MAX(-700,(Examples!$C$14*$A507-Examples!$C$15)/Examples!$C$16))))))+Examples!$C$17*$A507^2)</f>
        <v>514421.54263653763</v>
      </c>
      <c r="D507" s="33">
        <f>Examples!$D$18-(Examples!$D$10+Examples!$D$11)*$A507-(Examples!$D$6*Examples!$D$7*Examples!$D$8*EXP(-Examples!$D$9*$A507)*(1-(Examples!$D$12*(1-EXP(-Examples!$D$13*$A507))/(1+EXP(MIN(700,MAX(-700,(Examples!$D$14*$A507-Examples!$D$15)/Examples!$D$16))))))+Examples!$D$17*$A507^2)</f>
        <v>1593184.2207309627</v>
      </c>
      <c r="E507" s="33">
        <f>(Examples!$D$6*Examples!$D$7*Examples!$D$8*EXP(-Examples!$D$9*$A507)*(1-(Examples!$D$12*(1-EXP(-Examples!$D$13*$A507))/(1+EXP(MIN(700,MAX(-700,(Examples!$D$14*$A507-Examples!$D$15)/Examples!$D$16))))))+Examples!$D$17*$A507^2)</f>
        <v>679565.7792690373</v>
      </c>
      <c r="F507" s="33">
        <f>Examples!$E$18-(Examples!$E$10+Examples!$E$11)*$A507-(Examples!$E$6*Examples!$E$7*Examples!$E$8*EXP(-Examples!$E$9*$A507)*(1-(Examples!$E$12*(1-EXP(-Examples!$E$13*$A507))/(1+EXP(MIN(700,MAX(-700,(Examples!$E$14*$A507-Examples!$E$15)/Examples!$E$16))))))+Examples!$E$17*$A507^2)</f>
        <v>2365489.7183992132</v>
      </c>
      <c r="G507" s="33">
        <f>(Examples!$E$6*Examples!$E$7*Examples!$E$8*EXP(-Examples!$E$9*$A507)*(1-(Examples!$E$12*(1-EXP(-Examples!$E$13*$A507))/(1+EXP(MIN(700,MAX(-700,(Examples!$E$14*$A507-Examples!$E$15)/Examples!$E$16))))))+Examples!$E$17*$A507^2)</f>
        <v>205260.28160078681</v>
      </c>
      <c r="H507" s="33">
        <f>Examples!$F$18-(Examples!$F$10+Examples!$F$11)*$A507-(Examples!$F$6*Examples!$F$7*Examples!$F$8*EXP(-Examples!$F$9*$A507)*(1-(Examples!$F$12*(1-EXP(-Examples!$F$13*$A507))/(1+EXP(MIN(700,MAX(-700,(Examples!$F$14*$A507-Examples!$F$15)/Examples!$F$16))))))+Examples!$F$17*$A507^2)</f>
        <v>-464896.64281523926</v>
      </c>
      <c r="I507" s="33">
        <f>(Examples!$F$6*Examples!$F$7*Examples!$F$8*EXP(-Examples!$F$9*$A507)*(1-(Examples!$F$12*(1-EXP(-Examples!$F$13*$A507))/(1+EXP(MIN(700,MAX(-700,(Examples!$F$14*$A507-Examples!$F$15)/Examples!$F$16))))))+Examples!$F$17*$A507^2)</f>
        <v>513896.64281523926</v>
      </c>
      <c r="J507" s="33">
        <f>Examples!$G$18-(Examples!$G$10+Examples!$G$11)*$A507-(Examples!$G$6*Examples!$G$7*Examples!$G$8*EXP(-Examples!$G$9*$A507)*(1-(Examples!$G$12*(1-EXP(-Examples!$G$13*$A507))/(1+EXP(MIN(700,MAX(-700,(Examples!$G$14*$A507-Examples!$G$15)/Examples!$G$16))))))+Examples!$G$17*$A507^2)</f>
        <v>710078.49336699233</v>
      </c>
      <c r="K507" s="33">
        <f>(Examples!$G$6*Examples!$G$7*Examples!$G$8*EXP(-Examples!$G$9*$A507)*(1-(Examples!$G$12*(1-EXP(-Examples!$G$13*$A507))/(1+EXP(MIN(700,MAX(-700,(Examples!$G$14*$A507-Examples!$G$15)/Examples!$G$16))))))+Examples!$G$17*$A507^2)</f>
        <v>537421.50663300767</v>
      </c>
      <c r="L507" s="33">
        <f>Examples!$H$18-(Examples!$H$10+Examples!$H$11)*$A507-(Examples!$H$6*Examples!$H$7*Examples!$H$8*EXP(-Examples!$H$9*$A507)*(1-(Examples!$H$12*(1-EXP(-Examples!$H$13*$A507))/(1+EXP(MIN(700,MAX(-700,(Examples!$H$14*$A507-Examples!$H$15)/Examples!$H$16))))))+Examples!$H$17*$A507^2)</f>
        <v>702033.12058255658</v>
      </c>
      <c r="M507" s="33">
        <f>(Examples!$H$6*Examples!$H$7*Examples!$H$8*EXP(-Examples!$H$9*$A507)*(1-(Examples!$H$12*(1-EXP(-Examples!$H$13*$A507))/(1+EXP(MIN(700,MAX(-700,(Examples!$H$14*$A507-Examples!$H$15)/Examples!$H$16))))))+Examples!$H$17*$A507^2)</f>
        <v>545466.87941744342</v>
      </c>
    </row>
    <row r="508" spans="1:13" x14ac:dyDescent="0.25">
      <c r="A508">
        <f>(508-2)/100</f>
        <v>5.0599999999999996</v>
      </c>
      <c r="B508" s="33">
        <f>Examples!$C$18-(Examples!$C$10+Examples!$C$11)*$A508-(Examples!$C$6*Examples!$C$7*Examples!$C$8*EXP(-Examples!$C$9*$A508)*(1-(Examples!$C$12*(1-EXP(-Examples!$C$13*$A508))/(1+EXP(MIN(700,MAX(-700,(Examples!$C$14*$A508-Examples!$C$15)/Examples!$C$16))))))+Examples!$C$17*$A508^2)</f>
        <v>-92643.01126230415</v>
      </c>
      <c r="C508" s="33">
        <f>(Examples!$C$6*Examples!$C$7*Examples!$C$8*EXP(-Examples!$C$9*$A508)*(1-(Examples!$C$12*(1-EXP(-Examples!$C$13*$A508))/(1+EXP(MIN(700,MAX(-700,(Examples!$C$14*$A508-Examples!$C$15)/Examples!$C$16))))))+Examples!$C$17*$A508^2)</f>
        <v>515543.01126230415</v>
      </c>
      <c r="D508" s="33">
        <f>Examples!$D$18-(Examples!$D$10+Examples!$D$11)*$A508-(Examples!$D$6*Examples!$D$7*Examples!$D$8*EXP(-Examples!$D$9*$A508)*(1-(Examples!$D$12*(1-EXP(-Examples!$D$13*$A508))/(1+EXP(MIN(700,MAX(-700,(Examples!$D$14*$A508-Examples!$D$15)/Examples!$D$16))))))+Examples!$D$17*$A508^2)</f>
        <v>1593983.1028284067</v>
      </c>
      <c r="E508" s="33">
        <f>(Examples!$D$6*Examples!$D$7*Examples!$D$8*EXP(-Examples!$D$9*$A508)*(1-(Examples!$D$12*(1-EXP(-Examples!$D$13*$A508))/(1+EXP(MIN(700,MAX(-700,(Examples!$D$14*$A508-Examples!$D$15)/Examples!$D$16))))))+Examples!$D$17*$A508^2)</f>
        <v>678316.89717159339</v>
      </c>
      <c r="F508" s="33">
        <f>Examples!$E$18-(Examples!$E$10+Examples!$E$11)*$A508-(Examples!$E$6*Examples!$E$7*Examples!$E$8*EXP(-Examples!$E$9*$A508)*(1-(Examples!$E$12*(1-EXP(-Examples!$E$13*$A508))/(1+EXP(MIN(700,MAX(-700,(Examples!$E$14*$A508-Examples!$E$15)/Examples!$E$16))))))+Examples!$E$17*$A508^2)</f>
        <v>2364641.9206290939</v>
      </c>
      <c r="G508" s="33">
        <f>(Examples!$E$6*Examples!$E$7*Examples!$E$8*EXP(-Examples!$E$9*$A508)*(1-(Examples!$E$12*(1-EXP(-Examples!$E$13*$A508))/(1+EXP(MIN(700,MAX(-700,(Examples!$E$14*$A508-Examples!$E$15)/Examples!$E$16))))))+Examples!$E$17*$A508^2)</f>
        <v>205258.07937090599</v>
      </c>
      <c r="H508" s="33">
        <f>Examples!$F$18-(Examples!$F$10+Examples!$F$11)*$A508-(Examples!$F$6*Examples!$F$7*Examples!$F$8*EXP(-Examples!$F$9*$A508)*(1-(Examples!$F$12*(1-EXP(-Examples!$F$13*$A508))/(1+EXP(MIN(700,MAX(-700,(Examples!$F$14*$A508-Examples!$F$15)/Examples!$F$16))))))+Examples!$F$17*$A508^2)</f>
        <v>-467107.12019545346</v>
      </c>
      <c r="I508" s="33">
        <f>(Examples!$F$6*Examples!$F$7*Examples!$F$8*EXP(-Examples!$F$9*$A508)*(1-(Examples!$F$12*(1-EXP(-Examples!$F$13*$A508))/(1+EXP(MIN(700,MAX(-700,(Examples!$F$14*$A508-Examples!$F$15)/Examples!$F$16))))))+Examples!$F$17*$A508^2)</f>
        <v>515907.12019545346</v>
      </c>
      <c r="J508" s="33">
        <f>Examples!$G$18-(Examples!$G$10+Examples!$G$11)*$A508-(Examples!$G$6*Examples!$G$7*Examples!$G$8*EXP(-Examples!$G$9*$A508)*(1-(Examples!$G$12*(1-EXP(-Examples!$G$13*$A508))/(1+EXP(MIN(700,MAX(-700,(Examples!$G$14*$A508-Examples!$G$15)/Examples!$G$16))))))+Examples!$G$17*$A508^2)</f>
        <v>709834.3050395936</v>
      </c>
      <c r="K508" s="33">
        <f>(Examples!$G$6*Examples!$G$7*Examples!$G$8*EXP(-Examples!$G$9*$A508)*(1-(Examples!$G$12*(1-EXP(-Examples!$G$13*$A508))/(1+EXP(MIN(700,MAX(-700,(Examples!$G$14*$A508-Examples!$G$15)/Examples!$G$16))))))+Examples!$G$17*$A508^2)</f>
        <v>537165.6949604064</v>
      </c>
      <c r="L508" s="33">
        <f>Examples!$H$18-(Examples!$H$10+Examples!$H$11)*$A508-(Examples!$H$6*Examples!$H$7*Examples!$H$8*EXP(-Examples!$H$9*$A508)*(1-(Examples!$H$12*(1-EXP(-Examples!$H$13*$A508))/(1+EXP(MIN(700,MAX(-700,(Examples!$H$14*$A508-Examples!$H$15)/Examples!$H$16))))))+Examples!$H$17*$A508^2)</f>
        <v>701915.07222363772</v>
      </c>
      <c r="M508" s="33">
        <f>(Examples!$H$6*Examples!$H$7*Examples!$H$8*EXP(-Examples!$H$9*$A508)*(1-(Examples!$H$12*(1-EXP(-Examples!$H$13*$A508))/(1+EXP(MIN(700,MAX(-700,(Examples!$H$14*$A508-Examples!$H$15)/Examples!$H$16))))))+Examples!$H$17*$A508^2)</f>
        <v>545084.92777636228</v>
      </c>
    </row>
    <row r="509" spans="1:13" x14ac:dyDescent="0.25">
      <c r="A509">
        <f>(509-2)/100</f>
        <v>5.07</v>
      </c>
      <c r="B509" s="33">
        <f>Examples!$C$18-(Examples!$C$10+Examples!$C$11)*$A509-(Examples!$C$6*Examples!$C$7*Examples!$C$8*EXP(-Examples!$C$9*$A509)*(1-(Examples!$C$12*(1-EXP(-Examples!$C$13*$A509))/(1+EXP(MIN(700,MAX(-700,(Examples!$C$14*$A509-Examples!$C$15)/Examples!$C$16))))))+Examples!$C$17*$A509^2)</f>
        <v>-94118.662230645656</v>
      </c>
      <c r="C509" s="33">
        <f>(Examples!$C$6*Examples!$C$7*Examples!$C$8*EXP(-Examples!$C$9*$A509)*(1-(Examples!$C$12*(1-EXP(-Examples!$C$13*$A509))/(1+EXP(MIN(700,MAX(-700,(Examples!$C$14*$A509-Examples!$C$15)/Examples!$C$16))))))+Examples!$C$17*$A509^2)</f>
        <v>516668.66223064566</v>
      </c>
      <c r="D509" s="33">
        <f>Examples!$D$18-(Examples!$D$10+Examples!$D$11)*$A509-(Examples!$D$6*Examples!$D$7*Examples!$D$8*EXP(-Examples!$D$9*$A509)*(1-(Examples!$D$12*(1-EXP(-Examples!$D$13*$A509))/(1+EXP(MIN(700,MAX(-700,(Examples!$D$14*$A509-Examples!$D$15)/Examples!$D$16))))))+Examples!$D$17*$A509^2)</f>
        <v>1594782.7088859037</v>
      </c>
      <c r="E509" s="33">
        <f>(Examples!$D$6*Examples!$D$7*Examples!$D$8*EXP(-Examples!$D$9*$A509)*(1-(Examples!$D$12*(1-EXP(-Examples!$D$13*$A509))/(1+EXP(MIN(700,MAX(-700,(Examples!$D$14*$A509-Examples!$D$15)/Examples!$D$16))))))+Examples!$D$17*$A509^2)</f>
        <v>677067.2911140963</v>
      </c>
      <c r="F509" s="33">
        <f>Examples!$E$18-(Examples!$E$10+Examples!$E$11)*$A509-(Examples!$E$6*Examples!$E$7*Examples!$E$8*EXP(-Examples!$E$9*$A509)*(1-(Examples!$E$12*(1-EXP(-Examples!$E$13*$A509))/(1+EXP(MIN(700,MAX(-700,(Examples!$E$14*$A509-Examples!$E$15)/Examples!$E$16))))))+Examples!$E$17*$A509^2)</f>
        <v>2363793.4726655991</v>
      </c>
      <c r="G509" s="33">
        <f>(Examples!$E$6*Examples!$E$7*Examples!$E$8*EXP(-Examples!$E$9*$A509)*(1-(Examples!$E$12*(1-EXP(-Examples!$E$13*$A509))/(1+EXP(MIN(700,MAX(-700,(Examples!$E$14*$A509-Examples!$E$15)/Examples!$E$16))))))+Examples!$E$17*$A509^2)</f>
        <v>205256.52733440086</v>
      </c>
      <c r="H509" s="33">
        <f>Examples!$F$18-(Examples!$F$10+Examples!$F$11)*$A509-(Examples!$F$6*Examples!$F$7*Examples!$F$8*EXP(-Examples!$F$9*$A509)*(1-(Examples!$F$12*(1-EXP(-Examples!$F$13*$A509))/(1+EXP(MIN(700,MAX(-700,(Examples!$F$14*$A509-Examples!$F$15)/Examples!$F$16))))))+Examples!$F$17*$A509^2)</f>
        <v>-469321.63209106517</v>
      </c>
      <c r="I509" s="33">
        <f>(Examples!$F$6*Examples!$F$7*Examples!$F$8*EXP(-Examples!$F$9*$A509)*(1-(Examples!$F$12*(1-EXP(-Examples!$F$13*$A509))/(1+EXP(MIN(700,MAX(-700,(Examples!$F$14*$A509-Examples!$F$15)/Examples!$F$16))))))+Examples!$F$17*$A509^2)</f>
        <v>517921.63209106517</v>
      </c>
      <c r="J509" s="33">
        <f>Examples!$G$18-(Examples!$G$10+Examples!$G$11)*$A509-(Examples!$G$6*Examples!$G$7*Examples!$G$8*EXP(-Examples!$G$9*$A509)*(1-(Examples!$G$12*(1-EXP(-Examples!$G$13*$A509))/(1+EXP(MIN(700,MAX(-700,(Examples!$G$14*$A509-Examples!$G$15)/Examples!$G$16))))))+Examples!$G$17*$A509^2)</f>
        <v>709586.32395057171</v>
      </c>
      <c r="K509" s="33">
        <f>(Examples!$G$6*Examples!$G$7*Examples!$G$8*EXP(-Examples!$G$9*$A509)*(1-(Examples!$G$12*(1-EXP(-Examples!$G$13*$A509))/(1+EXP(MIN(700,MAX(-700,(Examples!$G$14*$A509-Examples!$G$15)/Examples!$G$16))))))+Examples!$G$17*$A509^2)</f>
        <v>536913.67604942829</v>
      </c>
      <c r="L509" s="33">
        <f>Examples!$H$18-(Examples!$H$10+Examples!$H$11)*$A509-(Examples!$H$6*Examples!$H$7*Examples!$H$8*EXP(-Examples!$H$9*$A509)*(1-(Examples!$H$12*(1-EXP(-Examples!$H$13*$A509))/(1+EXP(MIN(700,MAX(-700,(Examples!$H$14*$A509-Examples!$H$15)/Examples!$H$16))))))+Examples!$H$17*$A509^2)</f>
        <v>701791.33994168672</v>
      </c>
      <c r="M509" s="33">
        <f>(Examples!$H$6*Examples!$H$7*Examples!$H$8*EXP(-Examples!$H$9*$A509)*(1-(Examples!$H$12*(1-EXP(-Examples!$H$13*$A509))/(1+EXP(MIN(700,MAX(-700,(Examples!$H$14*$A509-Examples!$H$15)/Examples!$H$16))))))+Examples!$H$17*$A509^2)</f>
        <v>544708.66005831328</v>
      </c>
    </row>
    <row r="510" spans="1:13" x14ac:dyDescent="0.25">
      <c r="A510">
        <f>(510-2)/100</f>
        <v>5.08</v>
      </c>
      <c r="B510" s="33">
        <f>Examples!$C$18-(Examples!$C$10+Examples!$C$11)*$A510-(Examples!$C$6*Examples!$C$7*Examples!$C$8*EXP(-Examples!$C$9*$A510)*(1-(Examples!$C$12*(1-EXP(-Examples!$C$13*$A510))/(1+EXP(MIN(700,MAX(-700,(Examples!$C$14*$A510-Examples!$C$15)/Examples!$C$16))))))+Examples!$C$17*$A510^2)</f>
        <v>-95598.492033923219</v>
      </c>
      <c r="C510" s="33">
        <f>(Examples!$C$6*Examples!$C$7*Examples!$C$8*EXP(-Examples!$C$9*$A510)*(1-(Examples!$C$12*(1-EXP(-Examples!$C$13*$A510))/(1+EXP(MIN(700,MAX(-700,(Examples!$C$14*$A510-Examples!$C$15)/Examples!$C$16))))))+Examples!$C$17*$A510^2)</f>
        <v>517798.49203392322</v>
      </c>
      <c r="D510" s="33">
        <f>Examples!$D$18-(Examples!$D$10+Examples!$D$11)*$A510-(Examples!$D$6*Examples!$D$7*Examples!$D$8*EXP(-Examples!$D$9*$A510)*(1-(Examples!$D$12*(1-EXP(-Examples!$D$13*$A510))/(1+EXP(MIN(700,MAX(-700,(Examples!$D$14*$A510-Examples!$D$15)/Examples!$D$16))))))+Examples!$D$17*$A510^2)</f>
        <v>1595582.9386038105</v>
      </c>
      <c r="E510" s="33">
        <f>(Examples!$D$6*Examples!$D$7*Examples!$D$8*EXP(-Examples!$D$9*$A510)*(1-(Examples!$D$12*(1-EXP(-Examples!$D$13*$A510))/(1+EXP(MIN(700,MAX(-700,(Examples!$D$14*$A510-Examples!$D$15)/Examples!$D$16))))))+Examples!$D$17*$A510^2)</f>
        <v>675817.06139618938</v>
      </c>
      <c r="F510" s="33">
        <f>Examples!$E$18-(Examples!$E$10+Examples!$E$11)*$A510-(Examples!$E$6*Examples!$E$7*Examples!$E$8*EXP(-Examples!$E$9*$A510)*(1-(Examples!$E$12*(1-EXP(-Examples!$E$13*$A510))/(1+EXP(MIN(700,MAX(-700,(Examples!$E$14*$A510-Examples!$E$15)/Examples!$E$16))))))+Examples!$E$17*$A510^2)</f>
        <v>2362944.3821066567</v>
      </c>
      <c r="G510" s="33">
        <f>(Examples!$E$6*Examples!$E$7*Examples!$E$8*EXP(-Examples!$E$9*$A510)*(1-(Examples!$E$12*(1-EXP(-Examples!$E$13*$A510))/(1+EXP(MIN(700,MAX(-700,(Examples!$E$14*$A510-Examples!$E$15)/Examples!$E$16))))))+Examples!$E$17*$A510^2)</f>
        <v>205255.61789334338</v>
      </c>
      <c r="H510" s="33">
        <f>Examples!$F$18-(Examples!$F$10+Examples!$F$11)*$A510-(Examples!$F$6*Examples!$F$7*Examples!$F$8*EXP(-Examples!$F$9*$A510)*(1-(Examples!$F$12*(1-EXP(-Examples!$F$13*$A510))/(1+EXP(MIN(700,MAX(-700,(Examples!$F$14*$A510-Examples!$F$15)/Examples!$F$16))))))+Examples!$F$17*$A510^2)</f>
        <v>-471540.17839871044</v>
      </c>
      <c r="I510" s="33">
        <f>(Examples!$F$6*Examples!$F$7*Examples!$F$8*EXP(-Examples!$F$9*$A510)*(1-(Examples!$F$12*(1-EXP(-Examples!$F$13*$A510))/(1+EXP(MIN(700,MAX(-700,(Examples!$F$14*$A510-Examples!$F$15)/Examples!$F$16))))))+Examples!$F$17*$A510^2)</f>
        <v>519940.17839871044</v>
      </c>
      <c r="J510" s="33">
        <f>Examples!$G$18-(Examples!$G$10+Examples!$G$11)*$A510-(Examples!$G$6*Examples!$G$7*Examples!$G$8*EXP(-Examples!$G$9*$A510)*(1-(Examples!$G$12*(1-EXP(-Examples!$G$13*$A510))/(1+EXP(MIN(700,MAX(-700,(Examples!$G$14*$A510-Examples!$G$15)/Examples!$G$16))))))+Examples!$G$17*$A510^2)</f>
        <v>709334.5359406987</v>
      </c>
      <c r="K510" s="33">
        <f>(Examples!$G$6*Examples!$G$7*Examples!$G$8*EXP(-Examples!$G$9*$A510)*(1-(Examples!$G$12*(1-EXP(-Examples!$G$13*$A510))/(1+EXP(MIN(700,MAX(-700,(Examples!$G$14*$A510-Examples!$G$15)/Examples!$G$16))))))+Examples!$G$17*$A510^2)</f>
        <v>536665.4640593013</v>
      </c>
      <c r="L510" s="33">
        <f>Examples!$H$18-(Examples!$H$10+Examples!$H$11)*$A510-(Examples!$H$6*Examples!$H$7*Examples!$H$8*EXP(-Examples!$H$9*$A510)*(1-(Examples!$H$12*(1-EXP(-Examples!$H$13*$A510))/(1+EXP(MIN(700,MAX(-700,(Examples!$H$14*$A510-Examples!$H$15)/Examples!$H$16))))))+Examples!$H$17*$A510^2)</f>
        <v>701661.93538571196</v>
      </c>
      <c r="M510" s="33">
        <f>(Examples!$H$6*Examples!$H$7*Examples!$H$8*EXP(-Examples!$H$9*$A510)*(1-(Examples!$H$12*(1-EXP(-Examples!$H$13*$A510))/(1+EXP(MIN(700,MAX(-700,(Examples!$H$14*$A510-Examples!$H$15)/Examples!$H$16))))))+Examples!$H$17*$A510^2)</f>
        <v>544338.06461428804</v>
      </c>
    </row>
    <row r="511" spans="1:13" x14ac:dyDescent="0.25">
      <c r="A511">
        <f>(511-2)/100</f>
        <v>5.09</v>
      </c>
      <c r="B511" s="33">
        <f>Examples!$C$18-(Examples!$C$10+Examples!$C$11)*$A511-(Examples!$C$6*Examples!$C$7*Examples!$C$8*EXP(-Examples!$C$9*$A511)*(1-(Examples!$C$12*(1-EXP(-Examples!$C$13*$A511))/(1+EXP(MIN(700,MAX(-700,(Examples!$C$14*$A511-Examples!$C$15)/Examples!$C$16))))))+Examples!$C$17*$A511^2)</f>
        <v>-97082.497173818876</v>
      </c>
      <c r="C511" s="33">
        <f>(Examples!$C$6*Examples!$C$7*Examples!$C$8*EXP(-Examples!$C$9*$A511)*(1-(Examples!$C$12*(1-EXP(-Examples!$C$13*$A511))/(1+EXP(MIN(700,MAX(-700,(Examples!$C$14*$A511-Examples!$C$15)/Examples!$C$16))))))+Examples!$C$17*$A511^2)</f>
        <v>518932.49717381888</v>
      </c>
      <c r="D511" s="33">
        <f>Examples!$D$18-(Examples!$D$10+Examples!$D$11)*$A511-(Examples!$D$6*Examples!$D$7*Examples!$D$8*EXP(-Examples!$D$9*$A511)*(1-(Examples!$D$12*(1-EXP(-Examples!$D$13*$A511))/(1+EXP(MIN(700,MAX(-700,(Examples!$D$14*$A511-Examples!$D$15)/Examples!$D$16))))))+Examples!$D$17*$A511^2)</f>
        <v>1596383.6921066334</v>
      </c>
      <c r="E511" s="33">
        <f>(Examples!$D$6*Examples!$D$7*Examples!$D$8*EXP(-Examples!$D$9*$A511)*(1-(Examples!$D$12*(1-EXP(-Examples!$D$13*$A511))/(1+EXP(MIN(700,MAX(-700,(Examples!$D$14*$A511-Examples!$D$15)/Examples!$D$16))))))+Examples!$D$17*$A511^2)</f>
        <v>674566.30789336667</v>
      </c>
      <c r="F511" s="33">
        <f>Examples!$E$18-(Examples!$E$10+Examples!$E$11)*$A511-(Examples!$E$6*Examples!$E$7*Examples!$E$8*EXP(-Examples!$E$9*$A511)*(1-(Examples!$E$12*(1-EXP(-Examples!$E$13*$A511))/(1+EXP(MIN(700,MAX(-700,(Examples!$E$14*$A511-Examples!$E$15)/Examples!$E$16))))))+Examples!$E$17*$A511^2)</f>
        <v>2362094.6563124871</v>
      </c>
      <c r="G511" s="33">
        <f>(Examples!$E$6*Examples!$E$7*Examples!$E$8*EXP(-Examples!$E$9*$A511)*(1-(Examples!$E$12*(1-EXP(-Examples!$E$13*$A511))/(1+EXP(MIN(700,MAX(-700,(Examples!$E$14*$A511-Examples!$E$15)/Examples!$E$16))))))+Examples!$E$17*$A511^2)</f>
        <v>205255.34368751297</v>
      </c>
      <c r="H511" s="33">
        <f>Examples!$F$18-(Examples!$F$10+Examples!$F$11)*$A511-(Examples!$F$6*Examples!$F$7*Examples!$F$8*EXP(-Examples!$F$9*$A511)*(1-(Examples!$F$12*(1-EXP(-Examples!$F$13*$A511))/(1+EXP(MIN(700,MAX(-700,(Examples!$F$14*$A511-Examples!$F$15)/Examples!$F$16))))))+Examples!$F$17*$A511^2)</f>
        <v>-473762.75901533413</v>
      </c>
      <c r="I511" s="33">
        <f>(Examples!$F$6*Examples!$F$7*Examples!$F$8*EXP(-Examples!$F$9*$A511)*(1-(Examples!$F$12*(1-EXP(-Examples!$F$13*$A511))/(1+EXP(MIN(700,MAX(-700,(Examples!$F$14*$A511-Examples!$F$15)/Examples!$F$16))))))+Examples!$F$17*$A511^2)</f>
        <v>521962.75901533413</v>
      </c>
      <c r="J511" s="33">
        <f>Examples!$G$18-(Examples!$G$10+Examples!$G$11)*$A511-(Examples!$G$6*Examples!$G$7*Examples!$G$8*EXP(-Examples!$G$9*$A511)*(1-(Examples!$G$12*(1-EXP(-Examples!$G$13*$A511))/(1+EXP(MIN(700,MAX(-700,(Examples!$G$14*$A511-Examples!$G$15)/Examples!$G$16))))))+Examples!$G$17*$A511^2)</f>
        <v>709078.92717307061</v>
      </c>
      <c r="K511" s="33">
        <f>(Examples!$G$6*Examples!$G$7*Examples!$G$8*EXP(-Examples!$G$9*$A511)*(1-(Examples!$G$12*(1-EXP(-Examples!$G$13*$A511))/(1+EXP(MIN(700,MAX(-700,(Examples!$G$14*$A511-Examples!$G$15)/Examples!$G$16))))))+Examples!$G$17*$A511^2)</f>
        <v>536421.07282692939</v>
      </c>
      <c r="L511" s="33">
        <f>Examples!$H$18-(Examples!$H$10+Examples!$H$11)*$A511-(Examples!$H$6*Examples!$H$7*Examples!$H$8*EXP(-Examples!$H$9*$A511)*(1-(Examples!$H$12*(1-EXP(-Examples!$H$13*$A511))/(1+EXP(MIN(700,MAX(-700,(Examples!$H$14*$A511-Examples!$H$15)/Examples!$H$16))))))+Examples!$H$17*$A511^2)</f>
        <v>701526.87025351753</v>
      </c>
      <c r="M511" s="33">
        <f>(Examples!$H$6*Examples!$H$7*Examples!$H$8*EXP(-Examples!$H$9*$A511)*(1-(Examples!$H$12*(1-EXP(-Examples!$H$13*$A511))/(1+EXP(MIN(700,MAX(-700,(Examples!$H$14*$A511-Examples!$H$15)/Examples!$H$16))))))+Examples!$H$17*$A511^2)</f>
        <v>543973.12974648247</v>
      </c>
    </row>
    <row r="512" spans="1:13" x14ac:dyDescent="0.25">
      <c r="A512">
        <f>(512-2)/100</f>
        <v>5.0999999999999996</v>
      </c>
      <c r="B512" s="33">
        <f>Examples!$C$18-(Examples!$C$10+Examples!$C$11)*$A512-(Examples!$C$6*Examples!$C$7*Examples!$C$8*EXP(-Examples!$C$9*$A512)*(1-(Examples!$C$12*(1-EXP(-Examples!$C$13*$A512))/(1+EXP(MIN(700,MAX(-700,(Examples!$C$14*$A512-Examples!$C$15)/Examples!$C$16))))))+Examples!$C$17*$A512^2)</f>
        <v>-98570.674161348375</v>
      </c>
      <c r="C512" s="33">
        <f>(Examples!$C$6*Examples!$C$7*Examples!$C$8*EXP(-Examples!$C$9*$A512)*(1-(Examples!$C$12*(1-EXP(-Examples!$C$13*$A512))/(1+EXP(MIN(700,MAX(-700,(Examples!$C$14*$A512-Examples!$C$15)/Examples!$C$16))))))+Examples!$C$17*$A512^2)</f>
        <v>520070.67416134838</v>
      </c>
      <c r="D512" s="33">
        <f>Examples!$D$18-(Examples!$D$10+Examples!$D$11)*$A512-(Examples!$D$6*Examples!$D$7*Examples!$D$8*EXP(-Examples!$D$9*$A512)*(1-(Examples!$D$12*(1-EXP(-Examples!$D$13*$A512))/(1+EXP(MIN(700,MAX(-700,(Examples!$D$14*$A512-Examples!$D$15)/Examples!$D$16))))))+Examples!$D$17*$A512^2)</f>
        <v>1597184.8699701237</v>
      </c>
      <c r="E512" s="33">
        <f>(Examples!$D$6*Examples!$D$7*Examples!$D$8*EXP(-Examples!$D$9*$A512)*(1-(Examples!$D$12*(1-EXP(-Examples!$D$13*$A512))/(1+EXP(MIN(700,MAX(-700,(Examples!$D$14*$A512-Examples!$D$15)/Examples!$D$16))))))+Examples!$D$17*$A512^2)</f>
        <v>673315.13002987625</v>
      </c>
      <c r="F512" s="33">
        <f>Examples!$E$18-(Examples!$E$10+Examples!$E$11)*$A512-(Examples!$E$6*Examples!$E$7*Examples!$E$8*EXP(-Examples!$E$9*$A512)*(1-(Examples!$E$12*(1-EXP(-Examples!$E$13*$A512))/(1+EXP(MIN(700,MAX(-700,(Examples!$E$14*$A512-Examples!$E$15)/Examples!$E$16))))))+Examples!$E$17*$A512^2)</f>
        <v>2361244.3024077429</v>
      </c>
      <c r="G512" s="33">
        <f>(Examples!$E$6*Examples!$E$7*Examples!$E$8*EXP(-Examples!$E$9*$A512)*(1-(Examples!$E$12*(1-EXP(-Examples!$E$13*$A512))/(1+EXP(MIN(700,MAX(-700,(Examples!$E$14*$A512-Examples!$E$15)/Examples!$E$16))))))+Examples!$E$17*$A512^2)</f>
        <v>205255.69759225711</v>
      </c>
      <c r="H512" s="33">
        <f>Examples!$F$18-(Examples!$F$10+Examples!$F$11)*$A512-(Examples!$F$6*Examples!$F$7*Examples!$F$8*EXP(-Examples!$F$9*$A512)*(1-(Examples!$F$12*(1-EXP(-Examples!$F$13*$A512))/(1+EXP(MIN(700,MAX(-700,(Examples!$F$14*$A512-Examples!$F$15)/Examples!$F$16))))))+Examples!$F$17*$A512^2)</f>
        <v>-475989.37383818859</v>
      </c>
      <c r="I512" s="33">
        <f>(Examples!$F$6*Examples!$F$7*Examples!$F$8*EXP(-Examples!$F$9*$A512)*(1-(Examples!$F$12*(1-EXP(-Examples!$F$13*$A512))/(1+EXP(MIN(700,MAX(-700,(Examples!$F$14*$A512-Examples!$F$15)/Examples!$F$16))))))+Examples!$F$17*$A512^2)</f>
        <v>523989.37383818859</v>
      </c>
      <c r="J512" s="33">
        <f>Examples!$G$18-(Examples!$G$10+Examples!$G$11)*$A512-(Examples!$G$6*Examples!$G$7*Examples!$G$8*EXP(-Examples!$G$9*$A512)*(1-(Examples!$G$12*(1-EXP(-Examples!$G$13*$A512))/(1+EXP(MIN(700,MAX(-700,(Examples!$G$14*$A512-Examples!$G$15)/Examples!$G$16))))))+Examples!$G$17*$A512^2)</f>
        <v>708819.48412966251</v>
      </c>
      <c r="K512" s="33">
        <f>(Examples!$G$6*Examples!$G$7*Examples!$G$8*EXP(-Examples!$G$9*$A512)*(1-(Examples!$G$12*(1-EXP(-Examples!$G$13*$A512))/(1+EXP(MIN(700,MAX(-700,(Examples!$G$14*$A512-Examples!$G$15)/Examples!$G$16))))))+Examples!$G$17*$A512^2)</f>
        <v>536180.51587033749</v>
      </c>
      <c r="L512" s="33">
        <f>Examples!$H$18-(Examples!$H$10+Examples!$H$11)*$A512-(Examples!$H$6*Examples!$H$7*Examples!$H$8*EXP(-Examples!$H$9*$A512)*(1-(Examples!$H$12*(1-EXP(-Examples!$H$13*$A512))/(1+EXP(MIN(700,MAX(-700,(Examples!$H$14*$A512-Examples!$H$15)/Examples!$H$16))))))+Examples!$H$17*$A512^2)</f>
        <v>701386.15628848807</v>
      </c>
      <c r="M512" s="33">
        <f>(Examples!$H$6*Examples!$H$7*Examples!$H$8*EXP(-Examples!$H$9*$A512)*(1-(Examples!$H$12*(1-EXP(-Examples!$H$13*$A512))/(1+EXP(MIN(700,MAX(-700,(Examples!$H$14*$A512-Examples!$H$15)/Examples!$H$16))))))+Examples!$H$17*$A512^2)</f>
        <v>543613.84371151193</v>
      </c>
    </row>
    <row r="513" spans="1:13" x14ac:dyDescent="0.25">
      <c r="A513">
        <f>(513-2)/100</f>
        <v>5.1100000000000003</v>
      </c>
      <c r="B513" s="33">
        <f>Examples!$C$18-(Examples!$C$10+Examples!$C$11)*$A513-(Examples!$C$6*Examples!$C$7*Examples!$C$8*EXP(-Examples!$C$9*$A513)*(1-(Examples!$C$12*(1-EXP(-Examples!$C$13*$A513))/(1+EXP(MIN(700,MAX(-700,(Examples!$C$14*$A513-Examples!$C$15)/Examples!$C$16))))))+Examples!$C$17*$A513^2)</f>
        <v>-100063.01951687329</v>
      </c>
      <c r="C513" s="33">
        <f>(Examples!$C$6*Examples!$C$7*Examples!$C$8*EXP(-Examples!$C$9*$A513)*(1-(Examples!$C$12*(1-EXP(-Examples!$C$13*$A513))/(1+EXP(MIN(700,MAX(-700,(Examples!$C$14*$A513-Examples!$C$15)/Examples!$C$16))))))+Examples!$C$17*$A513^2)</f>
        <v>521213.01951687329</v>
      </c>
      <c r="D513" s="33">
        <f>Examples!$D$18-(Examples!$D$10+Examples!$D$11)*$A513-(Examples!$D$6*Examples!$D$7*Examples!$D$8*EXP(-Examples!$D$9*$A513)*(1-(Examples!$D$12*(1-EXP(-Examples!$D$13*$A513))/(1+EXP(MIN(700,MAX(-700,(Examples!$D$14*$A513-Examples!$D$15)/Examples!$D$16))))))+Examples!$D$17*$A513^2)</f>
        <v>1597986.373247521</v>
      </c>
      <c r="E513" s="33">
        <f>(Examples!$D$6*Examples!$D$7*Examples!$D$8*EXP(-Examples!$D$9*$A513)*(1-(Examples!$D$12*(1-EXP(-Examples!$D$13*$A513))/(1+EXP(MIN(700,MAX(-700,(Examples!$D$14*$A513-Examples!$D$15)/Examples!$D$16))))))+Examples!$D$17*$A513^2)</f>
        <v>672063.62675247889</v>
      </c>
      <c r="F513" s="33">
        <f>Examples!$E$18-(Examples!$E$10+Examples!$E$11)*$A513-(Examples!$E$6*Examples!$E$7*Examples!$E$8*EXP(-Examples!$E$9*$A513)*(1-(Examples!$E$12*(1-EXP(-Examples!$E$13*$A513))/(1+EXP(MIN(700,MAX(-700,(Examples!$E$14*$A513-Examples!$E$15)/Examples!$E$16))))))+Examples!$E$17*$A513^2)</f>
        <v>2360393.327283653</v>
      </c>
      <c r="G513" s="33">
        <f>(Examples!$E$6*Examples!$E$7*Examples!$E$8*EXP(-Examples!$E$9*$A513)*(1-(Examples!$E$12*(1-EXP(-Examples!$E$13*$A513))/(1+EXP(MIN(700,MAX(-700,(Examples!$E$14*$A513-Examples!$E$15)/Examples!$E$16))))))+Examples!$E$17*$A513^2)</f>
        <v>205256.67271634724</v>
      </c>
      <c r="H513" s="33">
        <f>Examples!$F$18-(Examples!$F$10+Examples!$F$11)*$A513-(Examples!$F$6*Examples!$F$7*Examples!$F$8*EXP(-Examples!$F$9*$A513)*(1-(Examples!$F$12*(1-EXP(-Examples!$F$13*$A513))/(1+EXP(MIN(700,MAX(-700,(Examples!$F$14*$A513-Examples!$F$15)/Examples!$F$16))))))+Examples!$F$17*$A513^2)</f>
        <v>-478220.02276483295</v>
      </c>
      <c r="I513" s="33">
        <f>(Examples!$F$6*Examples!$F$7*Examples!$F$8*EXP(-Examples!$F$9*$A513)*(1-(Examples!$F$12*(1-EXP(-Examples!$F$13*$A513))/(1+EXP(MIN(700,MAX(-700,(Examples!$F$14*$A513-Examples!$F$15)/Examples!$F$16))))))+Examples!$F$17*$A513^2)</f>
        <v>526020.02276483295</v>
      </c>
      <c r="J513" s="33">
        <f>Examples!$G$18-(Examples!$G$10+Examples!$G$11)*$A513-(Examples!$G$6*Examples!$G$7*Examples!$G$8*EXP(-Examples!$G$9*$A513)*(1-(Examples!$G$12*(1-EXP(-Examples!$G$13*$A513))/(1+EXP(MIN(700,MAX(-700,(Examples!$G$14*$A513-Examples!$G$15)/Examples!$G$16))))))+Examples!$G$17*$A513^2)</f>
        <v>708556.19360788306</v>
      </c>
      <c r="K513" s="33">
        <f>(Examples!$G$6*Examples!$G$7*Examples!$G$8*EXP(-Examples!$G$9*$A513)*(1-(Examples!$G$12*(1-EXP(-Examples!$G$13*$A513))/(1+EXP(MIN(700,MAX(-700,(Examples!$G$14*$A513-Examples!$G$15)/Examples!$G$16))))))+Examples!$G$17*$A513^2)</f>
        <v>535943.80639211694</v>
      </c>
      <c r="L513" s="33">
        <f>Examples!$H$18-(Examples!$H$10+Examples!$H$11)*$A513-(Examples!$H$6*Examples!$H$7*Examples!$H$8*EXP(-Examples!$H$9*$A513)*(1-(Examples!$H$12*(1-EXP(-Examples!$H$13*$A513))/(1+EXP(MIN(700,MAX(-700,(Examples!$H$14*$A513-Examples!$H$15)/Examples!$H$16))))))+Examples!$H$17*$A513^2)</f>
        <v>701239.80527649017</v>
      </c>
      <c r="M513" s="33">
        <f>(Examples!$H$6*Examples!$H$7*Examples!$H$8*EXP(-Examples!$H$9*$A513)*(1-(Examples!$H$12*(1-EXP(-Examples!$H$13*$A513))/(1+EXP(MIN(700,MAX(-700,(Examples!$H$14*$A513-Examples!$H$15)/Examples!$H$16))))))+Examples!$H$17*$A513^2)</f>
        <v>543260.19472350983</v>
      </c>
    </row>
    <row r="514" spans="1:13" x14ac:dyDescent="0.25">
      <c r="A514">
        <f>(514-2)/100</f>
        <v>5.12</v>
      </c>
      <c r="B514" s="33">
        <f>Examples!$C$18-(Examples!$C$10+Examples!$C$11)*$A514-(Examples!$C$6*Examples!$C$7*Examples!$C$8*EXP(-Examples!$C$9*$A514)*(1-(Examples!$C$12*(1-EXP(-Examples!$C$13*$A514))/(1+EXP(MIN(700,MAX(-700,(Examples!$C$14*$A514-Examples!$C$15)/Examples!$C$16))))))+Examples!$C$17*$A514^2)</f>
        <v>-101559.52977011102</v>
      </c>
      <c r="C514" s="33">
        <f>(Examples!$C$6*Examples!$C$7*Examples!$C$8*EXP(-Examples!$C$9*$A514)*(1-(Examples!$C$12*(1-EXP(-Examples!$C$13*$A514))/(1+EXP(MIN(700,MAX(-700,(Examples!$C$14*$A514-Examples!$C$15)/Examples!$C$16))))))+Examples!$C$17*$A514^2)</f>
        <v>522359.52977011102</v>
      </c>
      <c r="D514" s="33">
        <f>Examples!$D$18-(Examples!$D$10+Examples!$D$11)*$A514-(Examples!$D$6*Examples!$D$7*Examples!$D$8*EXP(-Examples!$D$9*$A514)*(1-(Examples!$D$12*(1-EXP(-Examples!$D$13*$A514))/(1+EXP(MIN(700,MAX(-700,(Examples!$D$14*$A514-Examples!$D$15)/Examples!$D$16))))))+Examples!$D$17*$A514^2)</f>
        <v>1598788.1034949408</v>
      </c>
      <c r="E514" s="33">
        <f>(Examples!$D$6*Examples!$D$7*Examples!$D$8*EXP(-Examples!$D$9*$A514)*(1-(Examples!$D$12*(1-EXP(-Examples!$D$13*$A514))/(1+EXP(MIN(700,MAX(-700,(Examples!$D$14*$A514-Examples!$D$15)/Examples!$D$16))))))+Examples!$D$17*$A514^2)</f>
        <v>670811.89650505909</v>
      </c>
      <c r="F514" s="33">
        <f>Examples!$E$18-(Examples!$E$10+Examples!$E$11)*$A514-(Examples!$E$6*Examples!$E$7*Examples!$E$8*EXP(-Examples!$E$9*$A514)*(1-(Examples!$E$12*(1-EXP(-Examples!$E$13*$A514))/(1+EXP(MIN(700,MAX(-700,(Examples!$E$14*$A514-Examples!$E$15)/Examples!$E$16))))))+Examples!$E$17*$A514^2)</f>
        <v>2359541.737600171</v>
      </c>
      <c r="G514" s="33">
        <f>(Examples!$E$6*Examples!$E$7*Examples!$E$8*EXP(-Examples!$E$9*$A514)*(1-(Examples!$E$12*(1-EXP(-Examples!$E$13*$A514))/(1+EXP(MIN(700,MAX(-700,(Examples!$E$14*$A514-Examples!$E$15)/Examples!$E$16))))))+Examples!$E$17*$A514^2)</f>
        <v>205258.26239982917</v>
      </c>
      <c r="H514" s="33">
        <f>Examples!$F$18-(Examples!$F$10+Examples!$F$11)*$A514-(Examples!$F$6*Examples!$F$7*Examples!$F$8*EXP(-Examples!$F$9*$A514)*(1-(Examples!$F$12*(1-EXP(-Examples!$F$13*$A514))/(1+EXP(MIN(700,MAX(-700,(Examples!$F$14*$A514-Examples!$F$15)/Examples!$F$16))))))+Examples!$F$17*$A514^2)</f>
        <v>-480454.70569313189</v>
      </c>
      <c r="I514" s="33">
        <f>(Examples!$F$6*Examples!$F$7*Examples!$F$8*EXP(-Examples!$F$9*$A514)*(1-(Examples!$F$12*(1-EXP(-Examples!$F$13*$A514))/(1+EXP(MIN(700,MAX(-700,(Examples!$F$14*$A514-Examples!$F$15)/Examples!$F$16))))))+Examples!$F$17*$A514^2)</f>
        <v>528054.70569313189</v>
      </c>
      <c r="J514" s="33">
        <f>Examples!$G$18-(Examples!$G$10+Examples!$G$11)*$A514-(Examples!$G$6*Examples!$G$7*Examples!$G$8*EXP(-Examples!$G$9*$A514)*(1-(Examples!$G$12*(1-EXP(-Examples!$G$13*$A514))/(1+EXP(MIN(700,MAX(-700,(Examples!$G$14*$A514-Examples!$G$15)/Examples!$G$16))))))+Examples!$G$17*$A514^2)</f>
        <v>708289.04271712713</v>
      </c>
      <c r="K514" s="33">
        <f>(Examples!$G$6*Examples!$G$7*Examples!$G$8*EXP(-Examples!$G$9*$A514)*(1-(Examples!$G$12*(1-EXP(-Examples!$G$13*$A514))/(1+EXP(MIN(700,MAX(-700,(Examples!$G$14*$A514-Examples!$G$15)/Examples!$G$16))))))+Examples!$G$17*$A514^2)</f>
        <v>535710.95728287287</v>
      </c>
      <c r="L514" s="33">
        <f>Examples!$H$18-(Examples!$H$10+Examples!$H$11)*$A514-(Examples!$H$6*Examples!$H$7*Examples!$H$8*EXP(-Examples!$H$9*$A514)*(1-(Examples!$H$12*(1-EXP(-Examples!$H$13*$A514))/(1+EXP(MIN(700,MAX(-700,(Examples!$H$14*$A514-Examples!$H$15)/Examples!$H$16))))))+Examples!$H$17*$A514^2)</f>
        <v>701087.82904288266</v>
      </c>
      <c r="M514" s="33">
        <f>(Examples!$H$6*Examples!$H$7*Examples!$H$8*EXP(-Examples!$H$9*$A514)*(1-(Examples!$H$12*(1-EXP(-Examples!$H$13*$A514))/(1+EXP(MIN(700,MAX(-700,(Examples!$H$14*$A514-Examples!$H$15)/Examples!$H$16))))))+Examples!$H$17*$A514^2)</f>
        <v>542912.17095711734</v>
      </c>
    </row>
    <row r="515" spans="1:13" x14ac:dyDescent="0.25">
      <c r="A515">
        <f>(515-2)/100</f>
        <v>5.13</v>
      </c>
      <c r="B515" s="33">
        <f>Examples!$C$18-(Examples!$C$10+Examples!$C$11)*$A515-(Examples!$C$6*Examples!$C$7*Examples!$C$8*EXP(-Examples!$C$9*$A515)*(1-(Examples!$C$12*(1-EXP(-Examples!$C$13*$A515))/(1+EXP(MIN(700,MAX(-700,(Examples!$C$14*$A515-Examples!$C$15)/Examples!$C$16))))))+Examples!$C$17*$A515^2)</f>
        <v>-103060.20146014425</v>
      </c>
      <c r="C515" s="33">
        <f>(Examples!$C$6*Examples!$C$7*Examples!$C$8*EXP(-Examples!$C$9*$A515)*(1-(Examples!$C$12*(1-EXP(-Examples!$C$13*$A515))/(1+EXP(MIN(700,MAX(-700,(Examples!$C$14*$A515-Examples!$C$15)/Examples!$C$16))))))+Examples!$C$17*$A515^2)</f>
        <v>523510.20146014425</v>
      </c>
      <c r="D515" s="33">
        <f>Examples!$D$18-(Examples!$D$10+Examples!$D$11)*$A515-(Examples!$D$6*Examples!$D$7*Examples!$D$8*EXP(-Examples!$D$9*$A515)*(1-(Examples!$D$12*(1-EXP(-Examples!$D$13*$A515))/(1+EXP(MIN(700,MAX(-700,(Examples!$D$14*$A515-Examples!$D$15)/Examples!$D$16))))))+Examples!$D$17*$A515^2)</f>
        <v>1599589.962795923</v>
      </c>
      <c r="E515" s="33">
        <f>(Examples!$D$6*Examples!$D$7*Examples!$D$8*EXP(-Examples!$D$9*$A515)*(1-(Examples!$D$12*(1-EXP(-Examples!$D$13*$A515))/(1+EXP(MIN(700,MAX(-700,(Examples!$D$14*$A515-Examples!$D$15)/Examples!$D$16))))))+Examples!$D$17*$A515^2)</f>
        <v>669560.037204077</v>
      </c>
      <c r="F515" s="33">
        <f>Examples!$E$18-(Examples!$E$10+Examples!$E$11)*$A515-(Examples!$E$6*Examples!$E$7*Examples!$E$8*EXP(-Examples!$E$9*$A515)*(1-(Examples!$E$12*(1-EXP(-Examples!$E$13*$A515))/(1+EXP(MIN(700,MAX(-700,(Examples!$E$14*$A515-Examples!$E$15)/Examples!$E$16))))))+Examples!$E$17*$A515^2)</f>
        <v>2358689.5397881311</v>
      </c>
      <c r="G515" s="33">
        <f>(Examples!$E$6*Examples!$E$7*Examples!$E$8*EXP(-Examples!$E$9*$A515)*(1-(Examples!$E$12*(1-EXP(-Examples!$E$13*$A515))/(1+EXP(MIN(700,MAX(-700,(Examples!$E$14*$A515-Examples!$E$15)/Examples!$E$16))))))+Examples!$E$17*$A515^2)</f>
        <v>205260.46021186904</v>
      </c>
      <c r="H515" s="33">
        <f>Examples!$F$18-(Examples!$F$10+Examples!$F$11)*$A515-(Examples!$F$6*Examples!$F$7*Examples!$F$8*EXP(-Examples!$F$9*$A515)*(1-(Examples!$F$12*(1-EXP(-Examples!$F$13*$A515))/(1+EXP(MIN(700,MAX(-700,(Examples!$F$14*$A515-Examples!$F$15)/Examples!$F$16))))))+Examples!$F$17*$A515^2)</f>
        <v>-482693.42252125568</v>
      </c>
      <c r="I515" s="33">
        <f>(Examples!$F$6*Examples!$F$7*Examples!$F$8*EXP(-Examples!$F$9*$A515)*(1-(Examples!$F$12*(1-EXP(-Examples!$F$13*$A515))/(1+EXP(MIN(700,MAX(-700,(Examples!$F$14*$A515-Examples!$F$15)/Examples!$F$16))))))+Examples!$F$17*$A515^2)</f>
        <v>530093.42252125568</v>
      </c>
      <c r="J515" s="33">
        <f>Examples!$G$18-(Examples!$G$10+Examples!$G$11)*$A515-(Examples!$G$6*Examples!$G$7*Examples!$G$8*EXP(-Examples!$G$9*$A515)*(1-(Examples!$G$12*(1-EXP(-Examples!$G$13*$A515))/(1+EXP(MIN(700,MAX(-700,(Examples!$G$14*$A515-Examples!$G$15)/Examples!$G$16))))))+Examples!$G$17*$A515^2)</f>
        <v>708018.01887533185</v>
      </c>
      <c r="K515" s="33">
        <f>(Examples!$G$6*Examples!$G$7*Examples!$G$8*EXP(-Examples!$G$9*$A515)*(1-(Examples!$G$12*(1-EXP(-Examples!$G$13*$A515))/(1+EXP(MIN(700,MAX(-700,(Examples!$G$14*$A515-Examples!$G$15)/Examples!$G$16))))))+Examples!$G$17*$A515^2)</f>
        <v>535481.98112466815</v>
      </c>
      <c r="L515" s="33">
        <f>Examples!$H$18-(Examples!$H$10+Examples!$H$11)*$A515-(Examples!$H$6*Examples!$H$7*Examples!$H$8*EXP(-Examples!$H$9*$A515)*(1-(Examples!$H$12*(1-EXP(-Examples!$H$13*$A515))/(1+EXP(MIN(700,MAX(-700,(Examples!$H$14*$A515-Examples!$H$15)/Examples!$H$16))))))+Examples!$H$17*$A515^2)</f>
        <v>700930.23944963445</v>
      </c>
      <c r="M515" s="33">
        <f>(Examples!$H$6*Examples!$H$7*Examples!$H$8*EXP(-Examples!$H$9*$A515)*(1-(Examples!$H$12*(1-EXP(-Examples!$H$13*$A515))/(1+EXP(MIN(700,MAX(-700,(Examples!$H$14*$A515-Examples!$H$15)/Examples!$H$16))))))+Examples!$H$17*$A515^2)</f>
        <v>542569.76055036555</v>
      </c>
    </row>
    <row r="516" spans="1:13" x14ac:dyDescent="0.25">
      <c r="A516">
        <f>(516-2)/100</f>
        <v>5.14</v>
      </c>
      <c r="B516" s="33">
        <f>Examples!$C$18-(Examples!$C$10+Examples!$C$11)*$A516-(Examples!$C$6*Examples!$C$7*Examples!$C$8*EXP(-Examples!$C$9*$A516)*(1-(Examples!$C$12*(1-EXP(-Examples!$C$13*$A516))/(1+EXP(MIN(700,MAX(-700,(Examples!$C$14*$A516-Examples!$C$15)/Examples!$C$16))))))+Examples!$C$17*$A516^2)</f>
        <v>-104565.03113542846</v>
      </c>
      <c r="C516" s="33">
        <f>(Examples!$C$6*Examples!$C$7*Examples!$C$8*EXP(-Examples!$C$9*$A516)*(1-(Examples!$C$12*(1-EXP(-Examples!$C$13*$A516))/(1+EXP(MIN(700,MAX(-700,(Examples!$C$14*$A516-Examples!$C$15)/Examples!$C$16))))))+Examples!$C$17*$A516^2)</f>
        <v>524665.03113542846</v>
      </c>
      <c r="D516" s="33">
        <f>Examples!$D$18-(Examples!$D$10+Examples!$D$11)*$A516-(Examples!$D$6*Examples!$D$7*Examples!$D$8*EXP(-Examples!$D$9*$A516)*(1-(Examples!$D$12*(1-EXP(-Examples!$D$13*$A516))/(1+EXP(MIN(700,MAX(-700,(Examples!$D$14*$A516-Examples!$D$15)/Examples!$D$16))))))+Examples!$D$17*$A516^2)</f>
        <v>1600391.8537851484</v>
      </c>
      <c r="E516" s="33">
        <f>(Examples!$D$6*Examples!$D$7*Examples!$D$8*EXP(-Examples!$D$9*$A516)*(1-(Examples!$D$12*(1-EXP(-Examples!$D$13*$A516))/(1+EXP(MIN(700,MAX(-700,(Examples!$D$14*$A516-Examples!$D$15)/Examples!$D$16))))))+Examples!$D$17*$A516^2)</f>
        <v>668308.14621485153</v>
      </c>
      <c r="F516" s="33">
        <f>Examples!$E$18-(Examples!$E$10+Examples!$E$11)*$A516-(Examples!$E$6*Examples!$E$7*Examples!$E$8*EXP(-Examples!$E$9*$A516)*(1-(Examples!$E$12*(1-EXP(-Examples!$E$13*$A516))/(1+EXP(MIN(700,MAX(-700,(Examples!$E$14*$A516-Examples!$E$15)/Examples!$E$16))))))+Examples!$E$17*$A516^2)</f>
        <v>2357836.740051406</v>
      </c>
      <c r="G516" s="33">
        <f>(Examples!$E$6*Examples!$E$7*Examples!$E$8*EXP(-Examples!$E$9*$A516)*(1-(Examples!$E$12*(1-EXP(-Examples!$E$13*$A516))/(1+EXP(MIN(700,MAX(-700,(Examples!$E$14*$A516-Examples!$E$15)/Examples!$E$16))))))+Examples!$E$17*$A516^2)</f>
        <v>205263.25994859409</v>
      </c>
      <c r="H516" s="33">
        <f>Examples!$F$18-(Examples!$F$10+Examples!$F$11)*$A516-(Examples!$F$6*Examples!$F$7*Examples!$F$8*EXP(-Examples!$F$9*$A516)*(1-(Examples!$F$12*(1-EXP(-Examples!$F$13*$A516))/(1+EXP(MIN(700,MAX(-700,(Examples!$F$14*$A516-Examples!$F$15)/Examples!$F$16))))))+Examples!$F$17*$A516^2)</f>
        <v>-484936.17314767803</v>
      </c>
      <c r="I516" s="33">
        <f>(Examples!$F$6*Examples!$F$7*Examples!$F$8*EXP(-Examples!$F$9*$A516)*(1-(Examples!$F$12*(1-EXP(-Examples!$F$13*$A516))/(1+EXP(MIN(700,MAX(-700,(Examples!$F$14*$A516-Examples!$F$15)/Examples!$F$16))))))+Examples!$F$17*$A516^2)</f>
        <v>532136.17314767803</v>
      </c>
      <c r="J516" s="33">
        <f>Examples!$G$18-(Examples!$G$10+Examples!$G$11)*$A516-(Examples!$G$6*Examples!$G$7*Examples!$G$8*EXP(-Examples!$G$9*$A516)*(1-(Examples!$G$12*(1-EXP(-Examples!$G$13*$A516))/(1+EXP(MIN(700,MAX(-700,(Examples!$G$14*$A516-Examples!$G$15)/Examples!$G$16))))))+Examples!$G$17*$A516^2)</f>
        <v>707743.10980553145</v>
      </c>
      <c r="K516" s="33">
        <f>(Examples!$G$6*Examples!$G$7*Examples!$G$8*EXP(-Examples!$G$9*$A516)*(1-(Examples!$G$12*(1-EXP(-Examples!$G$13*$A516))/(1+EXP(MIN(700,MAX(-700,(Examples!$G$14*$A516-Examples!$G$15)/Examples!$G$16))))))+Examples!$G$17*$A516^2)</f>
        <v>535256.89019446855</v>
      </c>
      <c r="L516" s="33">
        <f>Examples!$H$18-(Examples!$H$10+Examples!$H$11)*$A516-(Examples!$H$6*Examples!$H$7*Examples!$H$8*EXP(-Examples!$H$9*$A516)*(1-(Examples!$H$12*(1-EXP(-Examples!$H$13*$A516))/(1+EXP(MIN(700,MAX(-700,(Examples!$H$14*$A516-Examples!$H$15)/Examples!$H$16))))))+Examples!$H$17*$A516^2)</f>
        <v>700767.04839254357</v>
      </c>
      <c r="M516" s="33">
        <f>(Examples!$H$6*Examples!$H$7*Examples!$H$8*EXP(-Examples!$H$9*$A516)*(1-(Examples!$H$12*(1-EXP(-Examples!$H$13*$A516))/(1+EXP(MIN(700,MAX(-700,(Examples!$H$14*$A516-Examples!$H$15)/Examples!$H$16))))))+Examples!$H$17*$A516^2)</f>
        <v>542232.95160745643</v>
      </c>
    </row>
    <row r="517" spans="1:13" x14ac:dyDescent="0.25">
      <c r="A517">
        <f>(517-2)/100</f>
        <v>5.15</v>
      </c>
      <c r="B517" s="33">
        <f>Examples!$C$18-(Examples!$C$10+Examples!$C$11)*$A517-(Examples!$C$6*Examples!$C$7*Examples!$C$8*EXP(-Examples!$C$9*$A517)*(1-(Examples!$C$12*(1-EXP(-Examples!$C$13*$A517))/(1+EXP(MIN(700,MAX(-700,(Examples!$C$14*$A517-Examples!$C$15)/Examples!$C$16))))))+Examples!$C$17*$A517^2)</f>
        <v>-106074.0153537984</v>
      </c>
      <c r="C517" s="33">
        <f>(Examples!$C$6*Examples!$C$7*Examples!$C$8*EXP(-Examples!$C$9*$A517)*(1-(Examples!$C$12*(1-EXP(-Examples!$C$13*$A517))/(1+EXP(MIN(700,MAX(-700,(Examples!$C$14*$A517-Examples!$C$15)/Examples!$C$16))))))+Examples!$C$17*$A517^2)</f>
        <v>525824.0153537984</v>
      </c>
      <c r="D517" s="33">
        <f>Examples!$D$18-(Examples!$D$10+Examples!$D$11)*$A517-(Examples!$D$6*Examples!$D$7*Examples!$D$8*EXP(-Examples!$D$9*$A517)*(1-(Examples!$D$12*(1-EXP(-Examples!$D$13*$A517))/(1+EXP(MIN(700,MAX(-700,(Examples!$D$14*$A517-Examples!$D$15)/Examples!$D$16))))))+Examples!$D$17*$A517^2)</f>
        <v>1601193.6796713299</v>
      </c>
      <c r="E517" s="33">
        <f>(Examples!$D$6*Examples!$D$7*Examples!$D$8*EXP(-Examples!$D$9*$A517)*(1-(Examples!$D$12*(1-EXP(-Examples!$D$13*$A517))/(1+EXP(MIN(700,MAX(-700,(Examples!$D$14*$A517-Examples!$D$15)/Examples!$D$16))))))+Examples!$D$17*$A517^2)</f>
        <v>667056.32032867009</v>
      </c>
      <c r="F517" s="33">
        <f>Examples!$E$18-(Examples!$E$10+Examples!$E$11)*$A517-(Examples!$E$6*Examples!$E$7*Examples!$E$8*EXP(-Examples!$E$9*$A517)*(1-(Examples!$E$12*(1-EXP(-Examples!$E$13*$A517))/(1+EXP(MIN(700,MAX(-700,(Examples!$E$14*$A517-Examples!$E$15)/Examples!$E$16))))))+Examples!$E$17*$A517^2)</f>
        <v>2356983.3443690711</v>
      </c>
      <c r="G517" s="33">
        <f>(Examples!$E$6*Examples!$E$7*Examples!$E$8*EXP(-Examples!$E$9*$A517)*(1-(Examples!$E$12*(1-EXP(-Examples!$E$13*$A517))/(1+EXP(MIN(700,MAX(-700,(Examples!$E$14*$A517-Examples!$E$15)/Examples!$E$16))))))+Examples!$E$17*$A517^2)</f>
        <v>205266.65563092887</v>
      </c>
      <c r="H517" s="33">
        <f>Examples!$F$18-(Examples!$F$10+Examples!$F$11)*$A517-(Examples!$F$6*Examples!$F$7*Examples!$F$8*EXP(-Examples!$F$9*$A517)*(1-(Examples!$F$12*(1-EXP(-Examples!$F$13*$A517))/(1+EXP(MIN(700,MAX(-700,(Examples!$F$14*$A517-Examples!$F$15)/Examples!$F$16))))))+Examples!$F$17*$A517^2)</f>
        <v>-487182.95747117698</v>
      </c>
      <c r="I517" s="33">
        <f>(Examples!$F$6*Examples!$F$7*Examples!$F$8*EXP(-Examples!$F$9*$A517)*(1-(Examples!$F$12*(1-EXP(-Examples!$F$13*$A517))/(1+EXP(MIN(700,MAX(-700,(Examples!$F$14*$A517-Examples!$F$15)/Examples!$F$16))))))+Examples!$F$17*$A517^2)</f>
        <v>534182.95747117698</v>
      </c>
      <c r="J517" s="33">
        <f>Examples!$G$18-(Examples!$G$10+Examples!$G$11)*$A517-(Examples!$G$6*Examples!$G$7*Examples!$G$8*EXP(-Examples!$G$9*$A517)*(1-(Examples!$G$12*(1-EXP(-Examples!$G$13*$A517))/(1+EXP(MIN(700,MAX(-700,(Examples!$G$14*$A517-Examples!$G$15)/Examples!$G$16))))))+Examples!$G$17*$A517^2)</f>
        <v>707464.30353241914</v>
      </c>
      <c r="K517" s="33">
        <f>(Examples!$G$6*Examples!$G$7*Examples!$G$8*EXP(-Examples!$G$9*$A517)*(1-(Examples!$G$12*(1-EXP(-Examples!$G$13*$A517))/(1+EXP(MIN(700,MAX(-700,(Examples!$G$14*$A517-Examples!$G$15)/Examples!$G$16))))))+Examples!$G$17*$A517^2)</f>
        <v>535035.69646758086</v>
      </c>
      <c r="L517" s="33">
        <f>Examples!$H$18-(Examples!$H$10+Examples!$H$11)*$A517-(Examples!$H$6*Examples!$H$7*Examples!$H$8*EXP(-Examples!$H$9*$A517)*(1-(Examples!$H$12*(1-EXP(-Examples!$H$13*$A517))/(1+EXP(MIN(700,MAX(-700,(Examples!$H$14*$A517-Examples!$H$15)/Examples!$H$16))))))+Examples!$H$17*$A517^2)</f>
        <v>700598.26779855683</v>
      </c>
      <c r="M517" s="33">
        <f>(Examples!$H$6*Examples!$H$7*Examples!$H$8*EXP(-Examples!$H$9*$A517)*(1-(Examples!$H$12*(1-EXP(-Examples!$H$13*$A517))/(1+EXP(MIN(700,MAX(-700,(Examples!$H$14*$A517-Examples!$H$15)/Examples!$H$16))))))+Examples!$H$17*$A517^2)</f>
        <v>541901.73220144317</v>
      </c>
    </row>
    <row r="518" spans="1:13" x14ac:dyDescent="0.25">
      <c r="A518">
        <f>(518-2)/100</f>
        <v>5.16</v>
      </c>
      <c r="B518" s="33">
        <f>Examples!$C$18-(Examples!$C$10+Examples!$C$11)*$A518-(Examples!$C$6*Examples!$C$7*Examples!$C$8*EXP(-Examples!$C$9*$A518)*(1-(Examples!$C$12*(1-EXP(-Examples!$C$13*$A518))/(1+EXP(MIN(700,MAX(-700,(Examples!$C$14*$A518-Examples!$C$15)/Examples!$C$16))))))+Examples!$C$17*$A518^2)</f>
        <v>-107587.15068247321</v>
      </c>
      <c r="C518" s="33">
        <f>(Examples!$C$6*Examples!$C$7*Examples!$C$8*EXP(-Examples!$C$9*$A518)*(1-(Examples!$C$12*(1-EXP(-Examples!$C$13*$A518))/(1+EXP(MIN(700,MAX(-700,(Examples!$C$14*$A518-Examples!$C$15)/Examples!$C$16))))))+Examples!$C$17*$A518^2)</f>
        <v>526987.15068247321</v>
      </c>
      <c r="D518" s="33">
        <f>Examples!$D$18-(Examples!$D$10+Examples!$D$11)*$A518-(Examples!$D$6*Examples!$D$7*Examples!$D$8*EXP(-Examples!$D$9*$A518)*(1-(Examples!$D$12*(1-EXP(-Examples!$D$13*$A518))/(1+EXP(MIN(700,MAX(-700,(Examples!$D$14*$A518-Examples!$D$15)/Examples!$D$16))))))+Examples!$D$17*$A518^2)</f>
        <v>1601995.3442592875</v>
      </c>
      <c r="E518" s="33">
        <f>(Examples!$D$6*Examples!$D$7*Examples!$D$8*EXP(-Examples!$D$9*$A518)*(1-(Examples!$D$12*(1-EXP(-Examples!$D$13*$A518))/(1+EXP(MIN(700,MAX(-700,(Examples!$D$14*$A518-Examples!$D$15)/Examples!$D$16))))))+Examples!$D$17*$A518^2)</f>
        <v>665804.65574071254</v>
      </c>
      <c r="F518" s="33">
        <f>Examples!$E$18-(Examples!$E$10+Examples!$E$11)*$A518-(Examples!$E$6*Examples!$E$7*Examples!$E$8*EXP(-Examples!$E$9*$A518)*(1-(Examples!$E$12*(1-EXP(-Examples!$E$13*$A518))/(1+EXP(MIN(700,MAX(-700,(Examples!$E$14*$A518-Examples!$E$15)/Examples!$E$16))))))+Examples!$E$17*$A518^2)</f>
        <v>2356129.3584975735</v>
      </c>
      <c r="G518" s="33">
        <f>(Examples!$E$6*Examples!$E$7*Examples!$E$8*EXP(-Examples!$E$9*$A518)*(1-(Examples!$E$12*(1-EXP(-Examples!$E$13*$A518))/(1+EXP(MIN(700,MAX(-700,(Examples!$E$14*$A518-Examples!$E$15)/Examples!$E$16))))))+Examples!$E$17*$A518^2)</f>
        <v>205270.64150242647</v>
      </c>
      <c r="H518" s="33">
        <f>Examples!$F$18-(Examples!$F$10+Examples!$F$11)*$A518-(Examples!$F$6*Examples!$F$7*Examples!$F$8*EXP(-Examples!$F$9*$A518)*(1-(Examples!$F$12*(1-EXP(-Examples!$F$13*$A518))/(1+EXP(MIN(700,MAX(-700,(Examples!$F$14*$A518-Examples!$F$15)/Examples!$F$16))))))+Examples!$F$17*$A518^2)</f>
        <v>-489433.77539083152</v>
      </c>
      <c r="I518" s="33">
        <f>(Examples!$F$6*Examples!$F$7*Examples!$F$8*EXP(-Examples!$F$9*$A518)*(1-(Examples!$F$12*(1-EXP(-Examples!$F$13*$A518))/(1+EXP(MIN(700,MAX(-700,(Examples!$F$14*$A518-Examples!$F$15)/Examples!$F$16))))))+Examples!$F$17*$A518^2)</f>
        <v>536233.77539083152</v>
      </c>
      <c r="J518" s="33">
        <f>Examples!$G$18-(Examples!$G$10+Examples!$G$11)*$A518-(Examples!$G$6*Examples!$G$7*Examples!$G$8*EXP(-Examples!$G$9*$A518)*(1-(Examples!$G$12*(1-EXP(-Examples!$G$13*$A518))/(1+EXP(MIN(700,MAX(-700,(Examples!$G$14*$A518-Examples!$G$15)/Examples!$G$16))))))+Examples!$G$17*$A518^2)</f>
        <v>707181.58837891056</v>
      </c>
      <c r="K518" s="33">
        <f>(Examples!$G$6*Examples!$G$7*Examples!$G$8*EXP(-Examples!$G$9*$A518)*(1-(Examples!$G$12*(1-EXP(-Examples!$G$13*$A518))/(1+EXP(MIN(700,MAX(-700,(Examples!$G$14*$A518-Examples!$G$15)/Examples!$G$16))))))+Examples!$G$17*$A518^2)</f>
        <v>534818.41162108944</v>
      </c>
      <c r="L518" s="33">
        <f>Examples!$H$18-(Examples!$H$10+Examples!$H$11)*$A518-(Examples!$H$6*Examples!$H$7*Examples!$H$8*EXP(-Examples!$H$9*$A518)*(1-(Examples!$H$12*(1-EXP(-Examples!$H$13*$A518))/(1+EXP(MIN(700,MAX(-700,(Examples!$H$14*$A518-Examples!$H$15)/Examples!$H$16))))))+Examples!$H$17*$A518^2)</f>
        <v>700423.90962318587</v>
      </c>
      <c r="M518" s="33">
        <f>(Examples!$H$6*Examples!$H$7*Examples!$H$8*EXP(-Examples!$H$9*$A518)*(1-(Examples!$H$12*(1-EXP(-Examples!$H$13*$A518))/(1+EXP(MIN(700,MAX(-700,(Examples!$H$14*$A518-Examples!$H$15)/Examples!$H$16))))))+Examples!$H$17*$A518^2)</f>
        <v>541576.09037681413</v>
      </c>
    </row>
    <row r="519" spans="1:13" x14ac:dyDescent="0.25">
      <c r="A519">
        <f>(519-2)/100</f>
        <v>5.17</v>
      </c>
      <c r="B519" s="33">
        <f>Examples!$C$18-(Examples!$C$10+Examples!$C$11)*$A519-(Examples!$C$6*Examples!$C$7*Examples!$C$8*EXP(-Examples!$C$9*$A519)*(1-(Examples!$C$12*(1-EXP(-Examples!$C$13*$A519))/(1+EXP(MIN(700,MAX(-700,(Examples!$C$14*$A519-Examples!$C$15)/Examples!$C$16))))))+Examples!$C$17*$A519^2)</f>
        <v>-109104.43369806069</v>
      </c>
      <c r="C519" s="33">
        <f>(Examples!$C$6*Examples!$C$7*Examples!$C$8*EXP(-Examples!$C$9*$A519)*(1-(Examples!$C$12*(1-EXP(-Examples!$C$13*$A519))/(1+EXP(MIN(700,MAX(-700,(Examples!$C$14*$A519-Examples!$C$15)/Examples!$C$16))))))+Examples!$C$17*$A519^2)</f>
        <v>528154.43369806069</v>
      </c>
      <c r="D519" s="33">
        <f>Examples!$D$18-(Examples!$D$10+Examples!$D$11)*$A519-(Examples!$D$6*Examples!$D$7*Examples!$D$8*EXP(-Examples!$D$9*$A519)*(1-(Examples!$D$12*(1-EXP(-Examples!$D$13*$A519))/(1+EXP(MIN(700,MAX(-700,(Examples!$D$14*$A519-Examples!$D$15)/Examples!$D$16))))))+Examples!$D$17*$A519^2)</f>
        <v>1602796.7519712246</v>
      </c>
      <c r="E519" s="33">
        <f>(Examples!$D$6*Examples!$D$7*Examples!$D$8*EXP(-Examples!$D$9*$A519)*(1-(Examples!$D$12*(1-EXP(-Examples!$D$13*$A519))/(1+EXP(MIN(700,MAX(-700,(Examples!$D$14*$A519-Examples!$D$15)/Examples!$D$16))))))+Examples!$D$17*$A519^2)</f>
        <v>664553.24802877544</v>
      </c>
      <c r="F519" s="33">
        <f>Examples!$E$18-(Examples!$E$10+Examples!$E$11)*$A519-(Examples!$E$6*Examples!$E$7*Examples!$E$8*EXP(-Examples!$E$9*$A519)*(1-(Examples!$E$12*(1-EXP(-Examples!$E$13*$A519))/(1+EXP(MIN(700,MAX(-700,(Examples!$E$14*$A519-Examples!$E$15)/Examples!$E$16))))))+Examples!$E$17*$A519^2)</f>
        <v>2355274.7879729043</v>
      </c>
      <c r="G519" s="33">
        <f>(Examples!$E$6*Examples!$E$7*Examples!$E$8*EXP(-Examples!$E$9*$A519)*(1-(Examples!$E$12*(1-EXP(-Examples!$E$13*$A519))/(1+EXP(MIN(700,MAX(-700,(Examples!$E$14*$A519-Examples!$E$15)/Examples!$E$16))))))+Examples!$E$17*$A519^2)</f>
        <v>205275.21202709561</v>
      </c>
      <c r="H519" s="33">
        <f>Examples!$F$18-(Examples!$F$10+Examples!$F$11)*$A519-(Examples!$F$6*Examples!$F$7*Examples!$F$8*EXP(-Examples!$F$9*$A519)*(1-(Examples!$F$12*(1-EXP(-Examples!$F$13*$A519))/(1+EXP(MIN(700,MAX(-700,(Examples!$F$14*$A519-Examples!$F$15)/Examples!$F$16))))))+Examples!$F$17*$A519^2)</f>
        <v>-491688.62680602318</v>
      </c>
      <c r="I519" s="33">
        <f>(Examples!$F$6*Examples!$F$7*Examples!$F$8*EXP(-Examples!$F$9*$A519)*(1-(Examples!$F$12*(1-EXP(-Examples!$F$13*$A519))/(1+EXP(MIN(700,MAX(-700,(Examples!$F$14*$A519-Examples!$F$15)/Examples!$F$16))))))+Examples!$F$17*$A519^2)</f>
        <v>538288.62680602318</v>
      </c>
      <c r="J519" s="33">
        <f>Examples!$G$18-(Examples!$G$10+Examples!$G$11)*$A519-(Examples!$G$6*Examples!$G$7*Examples!$G$8*EXP(-Examples!$G$9*$A519)*(1-(Examples!$G$12*(1-EXP(-Examples!$G$13*$A519))/(1+EXP(MIN(700,MAX(-700,(Examples!$G$14*$A519-Examples!$G$15)/Examples!$G$16))))))+Examples!$G$17*$A519^2)</f>
        <v>706894.95296271553</v>
      </c>
      <c r="K519" s="33">
        <f>(Examples!$G$6*Examples!$G$7*Examples!$G$8*EXP(-Examples!$G$9*$A519)*(1-(Examples!$G$12*(1-EXP(-Examples!$G$13*$A519))/(1+EXP(MIN(700,MAX(-700,(Examples!$G$14*$A519-Examples!$G$15)/Examples!$G$16))))))+Examples!$G$17*$A519^2)</f>
        <v>534605.04703728447</v>
      </c>
      <c r="L519" s="33">
        <f>Examples!$H$18-(Examples!$H$10+Examples!$H$11)*$A519-(Examples!$H$6*Examples!$H$7*Examples!$H$8*EXP(-Examples!$H$9*$A519)*(1-(Examples!$H$12*(1-EXP(-Examples!$H$13*$A519))/(1+EXP(MIN(700,MAX(-700,(Examples!$H$14*$A519-Examples!$H$15)/Examples!$H$16))))))+Examples!$H$17*$A519^2)</f>
        <v>700243.98584801471</v>
      </c>
      <c r="M519" s="33">
        <f>(Examples!$H$6*Examples!$H$7*Examples!$H$8*EXP(-Examples!$H$9*$A519)*(1-(Examples!$H$12*(1-EXP(-Examples!$H$13*$A519))/(1+EXP(MIN(700,MAX(-700,(Examples!$H$14*$A519-Examples!$H$15)/Examples!$H$16))))))+Examples!$H$17*$A519^2)</f>
        <v>541256.01415198529</v>
      </c>
    </row>
    <row r="520" spans="1:13" x14ac:dyDescent="0.25">
      <c r="A520">
        <f>(520-2)/100</f>
        <v>5.18</v>
      </c>
      <c r="B520" s="33">
        <f>Examples!$C$18-(Examples!$C$10+Examples!$C$11)*$A520-(Examples!$C$6*Examples!$C$7*Examples!$C$8*EXP(-Examples!$C$9*$A520)*(1-(Examples!$C$12*(1-EXP(-Examples!$C$13*$A520))/(1+EXP(MIN(700,MAX(-700,(Examples!$C$14*$A520-Examples!$C$15)/Examples!$C$16))))))+Examples!$C$17*$A520^2)</f>
        <v>-110625.86098656035</v>
      </c>
      <c r="C520" s="33">
        <f>(Examples!$C$6*Examples!$C$7*Examples!$C$8*EXP(-Examples!$C$9*$A520)*(1-(Examples!$C$12*(1-EXP(-Examples!$C$13*$A520))/(1+EXP(MIN(700,MAX(-700,(Examples!$C$14*$A520-Examples!$C$15)/Examples!$C$16))))))+Examples!$C$17*$A520^2)</f>
        <v>529325.86098656035</v>
      </c>
      <c r="D520" s="33">
        <f>Examples!$D$18-(Examples!$D$10+Examples!$D$11)*$A520-(Examples!$D$6*Examples!$D$7*Examples!$D$8*EXP(-Examples!$D$9*$A520)*(1-(Examples!$D$12*(1-EXP(-Examples!$D$13*$A520))/(1+EXP(MIN(700,MAX(-700,(Examples!$D$14*$A520-Examples!$D$15)/Examples!$D$16))))))+Examples!$D$17*$A520^2)</f>
        <v>1603597.8078672029</v>
      </c>
      <c r="E520" s="33">
        <f>(Examples!$D$6*Examples!$D$7*Examples!$D$8*EXP(-Examples!$D$9*$A520)*(1-(Examples!$D$12*(1-EXP(-Examples!$D$13*$A520))/(1+EXP(MIN(700,MAX(-700,(Examples!$D$14*$A520-Examples!$D$15)/Examples!$D$16))))))+Examples!$D$17*$A520^2)</f>
        <v>663302.19213279709</v>
      </c>
      <c r="F520" s="33">
        <f>Examples!$E$18-(Examples!$E$10+Examples!$E$11)*$A520-(Examples!$E$6*Examples!$E$7*Examples!$E$8*EXP(-Examples!$E$9*$A520)*(1-(Examples!$E$12*(1-EXP(-Examples!$E$13*$A520))/(1+EXP(MIN(700,MAX(-700,(Examples!$E$14*$A520-Examples!$E$15)/Examples!$E$16))))))+Examples!$E$17*$A520^2)</f>
        <v>2354419.6381127774</v>
      </c>
      <c r="G520" s="33">
        <f>(Examples!$E$6*Examples!$E$7*Examples!$E$8*EXP(-Examples!$E$9*$A520)*(1-(Examples!$E$12*(1-EXP(-Examples!$E$13*$A520))/(1+EXP(MIN(700,MAX(-700,(Examples!$E$14*$A520-Examples!$E$15)/Examples!$E$16))))))+Examples!$E$17*$A520^2)</f>
        <v>205280.36188722262</v>
      </c>
      <c r="H520" s="33">
        <f>Examples!$F$18-(Examples!$F$10+Examples!$F$11)*$A520-(Examples!$F$6*Examples!$F$7*Examples!$F$8*EXP(-Examples!$F$9*$A520)*(1-(Examples!$F$12*(1-EXP(-Examples!$F$13*$A520))/(1+EXP(MIN(700,MAX(-700,(Examples!$F$14*$A520-Examples!$F$15)/Examples!$F$16))))))+Examples!$F$17*$A520^2)</f>
        <v>-493947.51161643374</v>
      </c>
      <c r="I520" s="33">
        <f>(Examples!$F$6*Examples!$F$7*Examples!$F$8*EXP(-Examples!$F$9*$A520)*(1-(Examples!$F$12*(1-EXP(-Examples!$F$13*$A520))/(1+EXP(MIN(700,MAX(-700,(Examples!$F$14*$A520-Examples!$F$15)/Examples!$F$16))))))+Examples!$F$17*$A520^2)</f>
        <v>540347.51161643374</v>
      </c>
      <c r="J520" s="33">
        <f>Examples!$G$18-(Examples!$G$10+Examples!$G$11)*$A520-(Examples!$G$6*Examples!$G$7*Examples!$G$8*EXP(-Examples!$G$9*$A520)*(1-(Examples!$G$12*(1-EXP(-Examples!$G$13*$A520))/(1+EXP(MIN(700,MAX(-700,(Examples!$G$14*$A520-Examples!$G$15)/Examples!$G$16))))))+Examples!$G$17*$A520^2)</f>
        <v>706604.38619291445</v>
      </c>
      <c r="K520" s="33">
        <f>(Examples!$G$6*Examples!$G$7*Examples!$G$8*EXP(-Examples!$G$9*$A520)*(1-(Examples!$G$12*(1-EXP(-Examples!$G$13*$A520))/(1+EXP(MIN(700,MAX(-700,(Examples!$G$14*$A520-Examples!$G$15)/Examples!$G$16))))))+Examples!$G$17*$A520^2)</f>
        <v>534395.61380708555</v>
      </c>
      <c r="L520" s="33">
        <f>Examples!$H$18-(Examples!$H$10+Examples!$H$11)*$A520-(Examples!$H$6*Examples!$H$7*Examples!$H$8*EXP(-Examples!$H$9*$A520)*(1-(Examples!$H$12*(1-EXP(-Examples!$H$13*$A520))/(1+EXP(MIN(700,MAX(-700,(Examples!$H$14*$A520-Examples!$H$15)/Examples!$H$16))))))+Examples!$H$17*$A520^2)</f>
        <v>700058.50847829797</v>
      </c>
      <c r="M520" s="33">
        <f>(Examples!$H$6*Examples!$H$7*Examples!$H$8*EXP(-Examples!$H$9*$A520)*(1-(Examples!$H$12*(1-EXP(-Examples!$H$13*$A520))/(1+EXP(MIN(700,MAX(-700,(Examples!$H$14*$A520-Examples!$H$15)/Examples!$H$16))))))+Examples!$H$17*$A520^2)</f>
        <v>540941.49152170203</v>
      </c>
    </row>
    <row r="521" spans="1:13" x14ac:dyDescent="0.25">
      <c r="A521">
        <f>(521-2)/100</f>
        <v>5.19</v>
      </c>
      <c r="B521" s="33">
        <f>Examples!$C$18-(Examples!$C$10+Examples!$C$11)*$A521-(Examples!$C$6*Examples!$C$7*Examples!$C$8*EXP(-Examples!$C$9*$A521)*(1-(Examples!$C$12*(1-EXP(-Examples!$C$13*$A521))/(1+EXP(MIN(700,MAX(-700,(Examples!$C$14*$A521-Examples!$C$15)/Examples!$C$16))))))+Examples!$C$17*$A521^2)</f>
        <v>-112151.42914336501</v>
      </c>
      <c r="C521" s="33">
        <f>(Examples!$C$6*Examples!$C$7*Examples!$C$8*EXP(-Examples!$C$9*$A521)*(1-(Examples!$C$12*(1-EXP(-Examples!$C$13*$A521))/(1+EXP(MIN(700,MAX(-700,(Examples!$C$14*$A521-Examples!$C$15)/Examples!$C$16))))))+Examples!$C$17*$A521^2)</f>
        <v>530501.42914336501</v>
      </c>
      <c r="D521" s="33">
        <f>Examples!$D$18-(Examples!$D$10+Examples!$D$11)*$A521-(Examples!$D$6*Examples!$D$7*Examples!$D$8*EXP(-Examples!$D$9*$A521)*(1-(Examples!$D$12*(1-EXP(-Examples!$D$13*$A521))/(1+EXP(MIN(700,MAX(-700,(Examples!$D$14*$A521-Examples!$D$15)/Examples!$D$16))))))+Examples!$D$17*$A521^2)</f>
        <v>1604398.4176648385</v>
      </c>
      <c r="E521" s="33">
        <f>(Examples!$D$6*Examples!$D$7*Examples!$D$8*EXP(-Examples!$D$9*$A521)*(1-(Examples!$D$12*(1-EXP(-Examples!$D$13*$A521))/(1+EXP(MIN(700,MAX(-700,(Examples!$D$14*$A521-Examples!$D$15)/Examples!$D$16))))))+Examples!$D$17*$A521^2)</f>
        <v>662051.58233516139</v>
      </c>
      <c r="F521" s="33">
        <f>Examples!$E$18-(Examples!$E$10+Examples!$E$11)*$A521-(Examples!$E$6*Examples!$E$7*Examples!$E$8*EXP(-Examples!$E$9*$A521)*(1-(Examples!$E$12*(1-EXP(-Examples!$E$13*$A521))/(1+EXP(MIN(700,MAX(-700,(Examples!$E$14*$A521-Examples!$E$15)/Examples!$E$16))))))+Examples!$E$17*$A521^2)</f>
        <v>2353563.9140188112</v>
      </c>
      <c r="G521" s="33">
        <f>(Examples!$E$6*Examples!$E$7*Examples!$E$8*EXP(-Examples!$E$9*$A521)*(1-(Examples!$E$12*(1-EXP(-Examples!$E$13*$A521))/(1+EXP(MIN(700,MAX(-700,(Examples!$E$14*$A521-Examples!$E$15)/Examples!$E$16))))))+Examples!$E$17*$A521^2)</f>
        <v>205286.08598118901</v>
      </c>
      <c r="H521" s="33">
        <f>Examples!$F$18-(Examples!$F$10+Examples!$F$11)*$A521-(Examples!$F$6*Examples!$F$7*Examples!$F$8*EXP(-Examples!$F$9*$A521)*(1-(Examples!$F$12*(1-EXP(-Examples!$F$13*$A521))/(1+EXP(MIN(700,MAX(-700,(Examples!$F$14*$A521-Examples!$F$15)/Examples!$F$16))))))+Examples!$F$17*$A521^2)</f>
        <v>-496210.42972204532</v>
      </c>
      <c r="I521" s="33">
        <f>(Examples!$F$6*Examples!$F$7*Examples!$F$8*EXP(-Examples!$F$9*$A521)*(1-(Examples!$F$12*(1-EXP(-Examples!$F$13*$A521))/(1+EXP(MIN(700,MAX(-700,(Examples!$F$14*$A521-Examples!$F$15)/Examples!$F$16))))))+Examples!$F$17*$A521^2)</f>
        <v>542410.42972204532</v>
      </c>
      <c r="J521" s="33">
        <f>Examples!$G$18-(Examples!$G$10+Examples!$G$11)*$A521-(Examples!$G$6*Examples!$G$7*Examples!$G$8*EXP(-Examples!$G$9*$A521)*(1-(Examples!$G$12*(1-EXP(-Examples!$G$13*$A521))/(1+EXP(MIN(700,MAX(-700,(Examples!$G$14*$A521-Examples!$G$15)/Examples!$G$16))))))+Examples!$G$17*$A521^2)</f>
        <v>706309.87726654415</v>
      </c>
      <c r="K521" s="33">
        <f>(Examples!$G$6*Examples!$G$7*Examples!$G$8*EXP(-Examples!$G$9*$A521)*(1-(Examples!$G$12*(1-EXP(-Examples!$G$13*$A521))/(1+EXP(MIN(700,MAX(-700,(Examples!$G$14*$A521-Examples!$G$15)/Examples!$G$16))))))+Examples!$G$17*$A521^2)</f>
        <v>534190.12273345585</v>
      </c>
      <c r="L521" s="33">
        <f>Examples!$H$18-(Examples!$H$10+Examples!$H$11)*$A521-(Examples!$H$6*Examples!$H$7*Examples!$H$8*EXP(-Examples!$H$9*$A521)*(1-(Examples!$H$12*(1-EXP(-Examples!$H$13*$A521))/(1+EXP(MIN(700,MAX(-700,(Examples!$H$14*$A521-Examples!$H$15)/Examples!$H$16))))))+Examples!$H$17*$A521^2)</f>
        <v>699867.48954064562</v>
      </c>
      <c r="M521" s="33">
        <f>(Examples!$H$6*Examples!$H$7*Examples!$H$8*EXP(-Examples!$H$9*$A521)*(1-(Examples!$H$12*(1-EXP(-Examples!$H$13*$A521))/(1+EXP(MIN(700,MAX(-700,(Examples!$H$14*$A521-Examples!$H$15)/Examples!$H$16))))))+Examples!$H$17*$A521^2)</f>
        <v>540632.51045935438</v>
      </c>
    </row>
    <row r="522" spans="1:13" x14ac:dyDescent="0.25">
      <c r="A522">
        <f>(522-2)/100</f>
        <v>5.2</v>
      </c>
      <c r="B522" s="33">
        <f>Examples!$C$18-(Examples!$C$10+Examples!$C$11)*$A522-(Examples!$C$6*Examples!$C$7*Examples!$C$8*EXP(-Examples!$C$9*$A522)*(1-(Examples!$C$12*(1-EXP(-Examples!$C$13*$A522))/(1+EXP(MIN(700,MAX(-700,(Examples!$C$14*$A522-Examples!$C$15)/Examples!$C$16))))))+Examples!$C$17*$A522^2)</f>
        <v>-113681.13477326138</v>
      </c>
      <c r="C522" s="33">
        <f>(Examples!$C$6*Examples!$C$7*Examples!$C$8*EXP(-Examples!$C$9*$A522)*(1-(Examples!$C$12*(1-EXP(-Examples!$C$13*$A522))/(1+EXP(MIN(700,MAX(-700,(Examples!$C$14*$A522-Examples!$C$15)/Examples!$C$16))))))+Examples!$C$17*$A522^2)</f>
        <v>531681.13477326138</v>
      </c>
      <c r="D522" s="33">
        <f>Examples!$D$18-(Examples!$D$10+Examples!$D$11)*$A522-(Examples!$D$6*Examples!$D$7*Examples!$D$8*EXP(-Examples!$D$9*$A522)*(1-(Examples!$D$12*(1-EXP(-Examples!$D$13*$A522))/(1+EXP(MIN(700,MAX(-700,(Examples!$D$14*$A522-Examples!$D$15)/Examples!$D$16))))))+Examples!$D$17*$A522^2)</f>
        <v>1605198.4877582211</v>
      </c>
      <c r="E522" s="33">
        <f>(Examples!$D$6*Examples!$D$7*Examples!$D$8*EXP(-Examples!$D$9*$A522)*(1-(Examples!$D$12*(1-EXP(-Examples!$D$13*$A522))/(1+EXP(MIN(700,MAX(-700,(Examples!$D$14*$A522-Examples!$D$15)/Examples!$D$16))))))+Examples!$D$17*$A522^2)</f>
        <v>660801.51224177901</v>
      </c>
      <c r="F522" s="33">
        <f>Examples!$E$18-(Examples!$E$10+Examples!$E$11)*$A522-(Examples!$E$6*Examples!$E$7*Examples!$E$8*EXP(-Examples!$E$9*$A522)*(1-(Examples!$E$12*(1-EXP(-Examples!$E$13*$A522))/(1+EXP(MIN(700,MAX(-700,(Examples!$E$14*$A522-Examples!$E$15)/Examples!$E$16))))))+Examples!$E$17*$A522^2)</f>
        <v>2352707.6205787142</v>
      </c>
      <c r="G522" s="33">
        <f>(Examples!$E$6*Examples!$E$7*Examples!$E$8*EXP(-Examples!$E$9*$A522)*(1-(Examples!$E$12*(1-EXP(-Examples!$E$13*$A522))/(1+EXP(MIN(700,MAX(-700,(Examples!$E$14*$A522-Examples!$E$15)/Examples!$E$16))))))+Examples!$E$17*$A522^2)</f>
        <v>205292.37942128576</v>
      </c>
      <c r="H522" s="33">
        <f>Examples!$F$18-(Examples!$F$10+Examples!$F$11)*$A522-(Examples!$F$6*Examples!$F$7*Examples!$F$8*EXP(-Examples!$F$9*$A522)*(1-(Examples!$F$12*(1-EXP(-Examples!$F$13*$A522))/(1+EXP(MIN(700,MAX(-700,(Examples!$F$14*$A522-Examples!$F$15)/Examples!$F$16))))))+Examples!$F$17*$A522^2)</f>
        <v>-498477.3810231376</v>
      </c>
      <c r="I522" s="33">
        <f>(Examples!$F$6*Examples!$F$7*Examples!$F$8*EXP(-Examples!$F$9*$A522)*(1-(Examples!$F$12*(1-EXP(-Examples!$F$13*$A522))/(1+EXP(MIN(700,MAX(-700,(Examples!$F$14*$A522-Examples!$F$15)/Examples!$F$16))))))+Examples!$F$17*$A522^2)</f>
        <v>544477.3810231376</v>
      </c>
      <c r="J522" s="33">
        <f>Examples!$G$18-(Examples!$G$10+Examples!$G$11)*$A522-(Examples!$G$6*Examples!$G$7*Examples!$G$8*EXP(-Examples!$G$9*$A522)*(1-(Examples!$G$12*(1-EXP(-Examples!$G$13*$A522))/(1+EXP(MIN(700,MAX(-700,(Examples!$G$14*$A522-Examples!$G$15)/Examples!$G$16))))))+Examples!$G$17*$A522^2)</f>
        <v>706011.41566519195</v>
      </c>
      <c r="K522" s="33">
        <f>(Examples!$G$6*Examples!$G$7*Examples!$G$8*EXP(-Examples!$G$9*$A522)*(1-(Examples!$G$12*(1-EXP(-Examples!$G$13*$A522))/(1+EXP(MIN(700,MAX(-700,(Examples!$G$14*$A522-Examples!$G$15)/Examples!$G$16))))))+Examples!$G$17*$A522^2)</f>
        <v>533988.58433480805</v>
      </c>
      <c r="L522" s="33">
        <f>Examples!$H$18-(Examples!$H$10+Examples!$H$11)*$A522-(Examples!$H$6*Examples!$H$7*Examples!$H$8*EXP(-Examples!$H$9*$A522)*(1-(Examples!$H$12*(1-EXP(-Examples!$H$13*$A522))/(1+EXP(MIN(700,MAX(-700,(Examples!$H$14*$A522-Examples!$H$15)/Examples!$H$16))))))+Examples!$H$17*$A522^2)</f>
        <v>699670.94108079106</v>
      </c>
      <c r="M522" s="33">
        <f>(Examples!$H$6*Examples!$H$7*Examples!$H$8*EXP(-Examples!$H$9*$A522)*(1-(Examples!$H$12*(1-EXP(-Examples!$H$13*$A522))/(1+EXP(MIN(700,MAX(-700,(Examples!$H$14*$A522-Examples!$H$15)/Examples!$H$16))))))+Examples!$H$17*$A522^2)</f>
        <v>540329.05891920894</v>
      </c>
    </row>
    <row r="523" spans="1:13" x14ac:dyDescent="0.25">
      <c r="A523">
        <f>(523-2)/100</f>
        <v>5.21</v>
      </c>
      <c r="B523" s="33">
        <f>Examples!$C$18-(Examples!$C$10+Examples!$C$11)*$A523-(Examples!$C$6*Examples!$C$7*Examples!$C$8*EXP(-Examples!$C$9*$A523)*(1-(Examples!$C$12*(1-EXP(-Examples!$C$13*$A523))/(1+EXP(MIN(700,MAX(-700,(Examples!$C$14*$A523-Examples!$C$15)/Examples!$C$16))))))+Examples!$C$17*$A523^2)</f>
        <v>-115214.97449043067</v>
      </c>
      <c r="C523" s="33">
        <f>(Examples!$C$6*Examples!$C$7*Examples!$C$8*EXP(-Examples!$C$9*$A523)*(1-(Examples!$C$12*(1-EXP(-Examples!$C$13*$A523))/(1+EXP(MIN(700,MAX(-700,(Examples!$C$14*$A523-Examples!$C$15)/Examples!$C$16))))))+Examples!$C$17*$A523^2)</f>
        <v>532864.97449043067</v>
      </c>
      <c r="D523" s="33">
        <f>Examples!$D$18-(Examples!$D$10+Examples!$D$11)*$A523-(Examples!$D$6*Examples!$D$7*Examples!$D$8*EXP(-Examples!$D$9*$A523)*(1-(Examples!$D$12*(1-EXP(-Examples!$D$13*$A523))/(1+EXP(MIN(700,MAX(-700,(Examples!$D$14*$A523-Examples!$D$15)/Examples!$D$16))))))+Examples!$D$17*$A523^2)</f>
        <v>1605997.9252360705</v>
      </c>
      <c r="E523" s="33">
        <f>(Examples!$D$6*Examples!$D$7*Examples!$D$8*EXP(-Examples!$D$9*$A523)*(1-(Examples!$D$12*(1-EXP(-Examples!$D$13*$A523))/(1+EXP(MIN(700,MAX(-700,(Examples!$D$14*$A523-Examples!$D$15)/Examples!$D$16))))))+Examples!$D$17*$A523^2)</f>
        <v>659552.07476392935</v>
      </c>
      <c r="F523" s="33">
        <f>Examples!$E$18-(Examples!$E$10+Examples!$E$11)*$A523-(Examples!$E$6*Examples!$E$7*Examples!$E$8*EXP(-Examples!$E$9*$A523)*(1-(Examples!$E$12*(1-EXP(-Examples!$E$13*$A523))/(1+EXP(MIN(700,MAX(-700,(Examples!$E$14*$A523-Examples!$E$15)/Examples!$E$16))))))+Examples!$E$17*$A523^2)</f>
        <v>2351850.7624684786</v>
      </c>
      <c r="G523" s="33">
        <f>(Examples!$E$6*Examples!$E$7*Examples!$E$8*EXP(-Examples!$E$9*$A523)*(1-(Examples!$E$12*(1-EXP(-Examples!$E$13*$A523))/(1+EXP(MIN(700,MAX(-700,(Examples!$E$14*$A523-Examples!$E$15)/Examples!$E$16))))))+Examples!$E$17*$A523^2)</f>
        <v>205299.23753152147</v>
      </c>
      <c r="H523" s="33">
        <f>Examples!$F$18-(Examples!$F$10+Examples!$F$11)*$A523-(Examples!$F$6*Examples!$F$7*Examples!$F$8*EXP(-Examples!$F$9*$A523)*(1-(Examples!$F$12*(1-EXP(-Examples!$F$13*$A523))/(1+EXP(MIN(700,MAX(-700,(Examples!$F$14*$A523-Examples!$F$15)/Examples!$F$16))))))+Examples!$F$17*$A523^2)</f>
        <v>-500748.3654202898</v>
      </c>
      <c r="I523" s="33">
        <f>(Examples!$F$6*Examples!$F$7*Examples!$F$8*EXP(-Examples!$F$9*$A523)*(1-(Examples!$F$12*(1-EXP(-Examples!$F$13*$A523))/(1+EXP(MIN(700,MAX(-700,(Examples!$F$14*$A523-Examples!$F$15)/Examples!$F$16))))))+Examples!$F$17*$A523^2)</f>
        <v>546548.3654202898</v>
      </c>
      <c r="J523" s="33">
        <f>Examples!$G$18-(Examples!$G$10+Examples!$G$11)*$A523-(Examples!$G$6*Examples!$G$7*Examples!$G$8*EXP(-Examples!$G$9*$A523)*(1-(Examples!$G$12*(1-EXP(-Examples!$G$13*$A523))/(1+EXP(MIN(700,MAX(-700,(Examples!$G$14*$A523-Examples!$G$15)/Examples!$G$16))))))+Examples!$G$17*$A523^2)</f>
        <v>705708.99115160038</v>
      </c>
      <c r="K523" s="33">
        <f>(Examples!$G$6*Examples!$G$7*Examples!$G$8*EXP(-Examples!$G$9*$A523)*(1-(Examples!$G$12*(1-EXP(-Examples!$G$13*$A523))/(1+EXP(MIN(700,MAX(-700,(Examples!$G$14*$A523-Examples!$G$15)/Examples!$G$16))))))+Examples!$G$17*$A523^2)</f>
        <v>533791.00884839962</v>
      </c>
      <c r="L523" s="33">
        <f>Examples!$H$18-(Examples!$H$10+Examples!$H$11)*$A523-(Examples!$H$6*Examples!$H$7*Examples!$H$8*EXP(-Examples!$H$9*$A523)*(1-(Examples!$H$12*(1-EXP(-Examples!$H$13*$A523))/(1+EXP(MIN(700,MAX(-700,(Examples!$H$14*$A523-Examples!$H$15)/Examples!$H$16))))))+Examples!$H$17*$A523^2)</f>
        <v>699468.87516144081</v>
      </c>
      <c r="M523" s="33">
        <f>(Examples!$H$6*Examples!$H$7*Examples!$H$8*EXP(-Examples!$H$9*$A523)*(1-(Examples!$H$12*(1-EXP(-Examples!$H$13*$A523))/(1+EXP(MIN(700,MAX(-700,(Examples!$H$14*$A523-Examples!$H$15)/Examples!$H$16))))))+Examples!$H$17*$A523^2)</f>
        <v>540031.12483855919</v>
      </c>
    </row>
    <row r="524" spans="1:13" x14ac:dyDescent="0.25">
      <c r="A524">
        <f>(524-2)/100</f>
        <v>5.22</v>
      </c>
      <c r="B524" s="33">
        <f>Examples!$C$18-(Examples!$C$10+Examples!$C$11)*$A524-(Examples!$C$6*Examples!$C$7*Examples!$C$8*EXP(-Examples!$C$9*$A524)*(1-(Examples!$C$12*(1-EXP(-Examples!$C$13*$A524))/(1+EXP(MIN(700,MAX(-700,(Examples!$C$14*$A524-Examples!$C$15)/Examples!$C$16))))))+Examples!$C$17*$A524^2)</f>
        <v>-116752.94491844659</v>
      </c>
      <c r="C524" s="33">
        <f>(Examples!$C$6*Examples!$C$7*Examples!$C$8*EXP(-Examples!$C$9*$A524)*(1-(Examples!$C$12*(1-EXP(-Examples!$C$13*$A524))/(1+EXP(MIN(700,MAX(-700,(Examples!$C$14*$A524-Examples!$C$15)/Examples!$C$16))))))+Examples!$C$17*$A524^2)</f>
        <v>534052.94491844659</v>
      </c>
      <c r="D524" s="33">
        <f>Examples!$D$18-(Examples!$D$10+Examples!$D$11)*$A524-(Examples!$D$6*Examples!$D$7*Examples!$D$8*EXP(-Examples!$D$9*$A524)*(1-(Examples!$D$12*(1-EXP(-Examples!$D$13*$A524))/(1+EXP(MIN(700,MAX(-700,(Examples!$D$14*$A524-Examples!$D$15)/Examples!$D$16))))))+Examples!$D$17*$A524^2)</f>
        <v>1606796.6378991455</v>
      </c>
      <c r="E524" s="33">
        <f>(Examples!$D$6*Examples!$D$7*Examples!$D$8*EXP(-Examples!$D$9*$A524)*(1-(Examples!$D$12*(1-EXP(-Examples!$D$13*$A524))/(1+EXP(MIN(700,MAX(-700,(Examples!$D$14*$A524-Examples!$D$15)/Examples!$D$16))))))+Examples!$D$17*$A524^2)</f>
        <v>658303.36210085463</v>
      </c>
      <c r="F524" s="33">
        <f>Examples!$E$18-(Examples!$E$10+Examples!$E$11)*$A524-(Examples!$E$6*Examples!$E$7*Examples!$E$8*EXP(-Examples!$E$9*$A524)*(1-(Examples!$E$12*(1-EXP(-Examples!$E$13*$A524))/(1+EXP(MIN(700,MAX(-700,(Examples!$E$14*$A524-Examples!$E$15)/Examples!$E$16))))))+Examples!$E$17*$A524^2)</f>
        <v>2350993.3441545712</v>
      </c>
      <c r="G524" s="33">
        <f>(Examples!$E$6*Examples!$E$7*Examples!$E$8*EXP(-Examples!$E$9*$A524)*(1-(Examples!$E$12*(1-EXP(-Examples!$E$13*$A524))/(1+EXP(MIN(700,MAX(-700,(Examples!$E$14*$A524-Examples!$E$15)/Examples!$E$16))))))+Examples!$E$17*$A524^2)</f>
        <v>205306.65584542864</v>
      </c>
      <c r="H524" s="33">
        <f>Examples!$F$18-(Examples!$F$10+Examples!$F$11)*$A524-(Examples!$F$6*Examples!$F$7*Examples!$F$8*EXP(-Examples!$F$9*$A524)*(1-(Examples!$F$12*(1-EXP(-Examples!$F$13*$A524))/(1+EXP(MIN(700,MAX(-700,(Examples!$F$14*$A524-Examples!$F$15)/Examples!$F$16))))))+Examples!$F$17*$A524^2)</f>
        <v>-503023.3828143772</v>
      </c>
      <c r="I524" s="33">
        <f>(Examples!$F$6*Examples!$F$7*Examples!$F$8*EXP(-Examples!$F$9*$A524)*(1-(Examples!$F$12*(1-EXP(-Examples!$F$13*$A524))/(1+EXP(MIN(700,MAX(-700,(Examples!$F$14*$A524-Examples!$F$15)/Examples!$F$16))))))+Examples!$F$17*$A524^2)</f>
        <v>548623.3828143772</v>
      </c>
      <c r="J524" s="33">
        <f>Examples!$G$18-(Examples!$G$10+Examples!$G$11)*$A524-(Examples!$G$6*Examples!$G$7*Examples!$G$8*EXP(-Examples!$G$9*$A524)*(1-(Examples!$G$12*(1-EXP(-Examples!$G$13*$A524))/(1+EXP(MIN(700,MAX(-700,(Examples!$G$14*$A524-Examples!$G$15)/Examples!$G$16))))))+Examples!$G$17*$A524^2)</f>
        <v>705402.59376628103</v>
      </c>
      <c r="K524" s="33">
        <f>(Examples!$G$6*Examples!$G$7*Examples!$G$8*EXP(-Examples!$G$9*$A524)*(1-(Examples!$G$12*(1-EXP(-Examples!$G$13*$A524))/(1+EXP(MIN(700,MAX(-700,(Examples!$G$14*$A524-Examples!$G$15)/Examples!$G$16))))))+Examples!$G$17*$A524^2)</f>
        <v>533597.40623371897</v>
      </c>
      <c r="L524" s="33">
        <f>Examples!$H$18-(Examples!$H$10+Examples!$H$11)*$A524-(Examples!$H$6*Examples!$H$7*Examples!$H$8*EXP(-Examples!$H$9*$A524)*(1-(Examples!$H$12*(1-EXP(-Examples!$H$13*$A524))/(1+EXP(MIN(700,MAX(-700,(Examples!$H$14*$A524-Examples!$H$15)/Examples!$H$16))))))+Examples!$H$17*$A524^2)</f>
        <v>699261.30386020092</v>
      </c>
      <c r="M524" s="33">
        <f>(Examples!$H$6*Examples!$H$7*Examples!$H$8*EXP(-Examples!$H$9*$A524)*(1-(Examples!$H$12*(1-EXP(-Examples!$H$13*$A524))/(1+EXP(MIN(700,MAX(-700,(Examples!$H$14*$A524-Examples!$H$15)/Examples!$H$16))))))+Examples!$H$17*$A524^2)</f>
        <v>539738.69613979908</v>
      </c>
    </row>
    <row r="525" spans="1:13" x14ac:dyDescent="0.25">
      <c r="A525">
        <f>(525-2)/100</f>
        <v>5.23</v>
      </c>
      <c r="B525" s="33">
        <f>Examples!$C$18-(Examples!$C$10+Examples!$C$11)*$A525-(Examples!$C$6*Examples!$C$7*Examples!$C$8*EXP(-Examples!$C$9*$A525)*(1-(Examples!$C$12*(1-EXP(-Examples!$C$13*$A525))/(1+EXP(MIN(700,MAX(-700,(Examples!$C$14*$A525-Examples!$C$15)/Examples!$C$16))))))+Examples!$C$17*$A525^2)</f>
        <v>-118295.04269027407</v>
      </c>
      <c r="C525" s="33">
        <f>(Examples!$C$6*Examples!$C$7*Examples!$C$8*EXP(-Examples!$C$9*$A525)*(1-(Examples!$C$12*(1-EXP(-Examples!$C$13*$A525))/(1+EXP(MIN(700,MAX(-700,(Examples!$C$14*$A525-Examples!$C$15)/Examples!$C$16))))))+Examples!$C$17*$A525^2)</f>
        <v>535245.04269027407</v>
      </c>
      <c r="D525" s="33">
        <f>Examples!$D$18-(Examples!$D$10+Examples!$D$11)*$A525-(Examples!$D$6*Examples!$D$7*Examples!$D$8*EXP(-Examples!$D$9*$A525)*(1-(Examples!$D$12*(1-EXP(-Examples!$D$13*$A525))/(1+EXP(MIN(700,MAX(-700,(Examples!$D$14*$A525-Examples!$D$15)/Examples!$D$16))))))+Examples!$D$17*$A525^2)</f>
        <v>1607594.5342769055</v>
      </c>
      <c r="E525" s="33">
        <f>(Examples!$D$6*Examples!$D$7*Examples!$D$8*EXP(-Examples!$D$9*$A525)*(1-(Examples!$D$12*(1-EXP(-Examples!$D$13*$A525))/(1+EXP(MIN(700,MAX(-700,(Examples!$D$14*$A525-Examples!$D$15)/Examples!$D$16))))))+Examples!$D$17*$A525^2)</f>
        <v>657055.46572309453</v>
      </c>
      <c r="F525" s="33">
        <f>Examples!$E$18-(Examples!$E$10+Examples!$E$11)*$A525-(Examples!$E$6*Examples!$E$7*Examples!$E$8*EXP(-Examples!$E$9*$A525)*(1-(Examples!$E$12*(1-EXP(-Examples!$E$13*$A525))/(1+EXP(MIN(700,MAX(-700,(Examples!$E$14*$A525-Examples!$E$15)/Examples!$E$16))))))+Examples!$E$17*$A525^2)</f>
        <v>2350135.3698961358</v>
      </c>
      <c r="G525" s="33">
        <f>(Examples!$E$6*Examples!$E$7*Examples!$E$8*EXP(-Examples!$E$9*$A525)*(1-(Examples!$E$12*(1-EXP(-Examples!$E$13*$A525))/(1+EXP(MIN(700,MAX(-700,(Examples!$E$14*$A525-Examples!$E$15)/Examples!$E$16))))))+Examples!$E$17*$A525^2)</f>
        <v>205314.63010386418</v>
      </c>
      <c r="H525" s="33">
        <f>Examples!$F$18-(Examples!$F$10+Examples!$F$11)*$A525-(Examples!$F$6*Examples!$F$7*Examples!$F$8*EXP(-Examples!$F$9*$A525)*(1-(Examples!$F$12*(1-EXP(-Examples!$F$13*$A525))/(1+EXP(MIN(700,MAX(-700,(Examples!$F$14*$A525-Examples!$F$15)/Examples!$F$16))))))+Examples!$F$17*$A525^2)</f>
        <v>-505302.4331065726</v>
      </c>
      <c r="I525" s="33">
        <f>(Examples!$F$6*Examples!$F$7*Examples!$F$8*EXP(-Examples!$F$9*$A525)*(1-(Examples!$F$12*(1-EXP(-Examples!$F$13*$A525))/(1+EXP(MIN(700,MAX(-700,(Examples!$F$14*$A525-Examples!$F$15)/Examples!$F$16))))))+Examples!$F$17*$A525^2)</f>
        <v>550702.4331065726</v>
      </c>
      <c r="J525" s="33">
        <f>Examples!$G$18-(Examples!$G$10+Examples!$G$11)*$A525-(Examples!$G$6*Examples!$G$7*Examples!$G$8*EXP(-Examples!$G$9*$A525)*(1-(Examples!$G$12*(1-EXP(-Examples!$G$13*$A525))/(1+EXP(MIN(700,MAX(-700,(Examples!$G$14*$A525-Examples!$G$15)/Examples!$G$16))))))+Examples!$G$17*$A525^2)</f>
        <v>705092.21382414224</v>
      </c>
      <c r="K525" s="33">
        <f>(Examples!$G$6*Examples!$G$7*Examples!$G$8*EXP(-Examples!$G$9*$A525)*(1-(Examples!$G$12*(1-EXP(-Examples!$G$13*$A525))/(1+EXP(MIN(700,MAX(-700,(Examples!$G$14*$A525-Examples!$G$15)/Examples!$G$16))))))+Examples!$G$17*$A525^2)</f>
        <v>533407.78617585776</v>
      </c>
      <c r="L525" s="33">
        <f>Examples!$H$18-(Examples!$H$10+Examples!$H$11)*$A525-(Examples!$H$6*Examples!$H$7*Examples!$H$8*EXP(-Examples!$H$9*$A525)*(1-(Examples!$H$12*(1-EXP(-Examples!$H$13*$A525))/(1+EXP(MIN(700,MAX(-700,(Examples!$H$14*$A525-Examples!$H$15)/Examples!$H$16))))))+Examples!$H$17*$A525^2)</f>
        <v>699048.23926758079</v>
      </c>
      <c r="M525" s="33">
        <f>(Examples!$H$6*Examples!$H$7*Examples!$H$8*EXP(-Examples!$H$9*$A525)*(1-(Examples!$H$12*(1-EXP(-Examples!$H$13*$A525))/(1+EXP(MIN(700,MAX(-700,(Examples!$H$14*$A525-Examples!$H$15)/Examples!$H$16))))))+Examples!$H$17*$A525^2)</f>
        <v>539451.76073241921</v>
      </c>
    </row>
    <row r="526" spans="1:13" x14ac:dyDescent="0.25">
      <c r="A526">
        <f>(526-2)/100</f>
        <v>5.24</v>
      </c>
      <c r="B526" s="33">
        <f>Examples!$C$18-(Examples!$C$10+Examples!$C$11)*$A526-(Examples!$C$6*Examples!$C$7*Examples!$C$8*EXP(-Examples!$C$9*$A526)*(1-(Examples!$C$12*(1-EXP(-Examples!$C$13*$A526))/(1+EXP(MIN(700,MAX(-700,(Examples!$C$14*$A526-Examples!$C$15)/Examples!$C$16))))))+Examples!$C$17*$A526^2)</f>
        <v>-119841.26444826531</v>
      </c>
      <c r="C526" s="33">
        <f>(Examples!$C$6*Examples!$C$7*Examples!$C$8*EXP(-Examples!$C$9*$A526)*(1-(Examples!$C$12*(1-EXP(-Examples!$C$13*$A526))/(1+EXP(MIN(700,MAX(-700,(Examples!$C$14*$A526-Examples!$C$15)/Examples!$C$16))))))+Examples!$C$17*$A526^2)</f>
        <v>536441.26444826531</v>
      </c>
      <c r="D526" s="33">
        <f>Examples!$D$18-(Examples!$D$10+Examples!$D$11)*$A526-(Examples!$D$6*Examples!$D$7*Examples!$D$8*EXP(-Examples!$D$9*$A526)*(1-(Examples!$D$12*(1-EXP(-Examples!$D$13*$A526))/(1+EXP(MIN(700,MAX(-700,(Examples!$D$14*$A526-Examples!$D$15)/Examples!$D$16))))))+Examples!$D$17*$A526^2)</f>
        <v>1608391.523643448</v>
      </c>
      <c r="E526" s="33">
        <f>(Examples!$D$6*Examples!$D$7*Examples!$D$8*EXP(-Examples!$D$9*$A526)*(1-(Examples!$D$12*(1-EXP(-Examples!$D$13*$A526))/(1+EXP(MIN(700,MAX(-700,(Examples!$D$14*$A526-Examples!$D$15)/Examples!$D$16))))))+Examples!$D$17*$A526^2)</f>
        <v>655808.47635655187</v>
      </c>
      <c r="F526" s="33">
        <f>Examples!$E$18-(Examples!$E$10+Examples!$E$11)*$A526-(Examples!$E$6*Examples!$E$7*Examples!$E$8*EXP(-Examples!$E$9*$A526)*(1-(Examples!$E$12*(1-EXP(-Examples!$E$13*$A526))/(1+EXP(MIN(700,MAX(-700,(Examples!$E$14*$A526-Examples!$E$15)/Examples!$E$16))))))+Examples!$E$17*$A526^2)</f>
        <v>2349276.8437471925</v>
      </c>
      <c r="G526" s="33">
        <f>(Examples!$E$6*Examples!$E$7*Examples!$E$8*EXP(-Examples!$E$9*$A526)*(1-(Examples!$E$12*(1-EXP(-Examples!$E$13*$A526))/(1+EXP(MIN(700,MAX(-700,(Examples!$E$14*$A526-Examples!$E$15)/Examples!$E$16))))))+Examples!$E$17*$A526^2)</f>
        <v>205323.15625280738</v>
      </c>
      <c r="H526" s="33">
        <f>Examples!$F$18-(Examples!$F$10+Examples!$F$11)*$A526-(Examples!$F$6*Examples!$F$7*Examples!$F$8*EXP(-Examples!$F$9*$A526)*(1-(Examples!$F$12*(1-EXP(-Examples!$F$13*$A526))/(1+EXP(MIN(700,MAX(-700,(Examples!$F$14*$A526-Examples!$F$15)/Examples!$F$16))))))+Examples!$F$17*$A526^2)</f>
        <v>-507585.51619834255</v>
      </c>
      <c r="I526" s="33">
        <f>(Examples!$F$6*Examples!$F$7*Examples!$F$8*EXP(-Examples!$F$9*$A526)*(1-(Examples!$F$12*(1-EXP(-Examples!$F$13*$A526))/(1+EXP(MIN(700,MAX(-700,(Examples!$F$14*$A526-Examples!$F$15)/Examples!$F$16))))))+Examples!$F$17*$A526^2)</f>
        <v>552785.51619834255</v>
      </c>
      <c r="J526" s="33">
        <f>Examples!$G$18-(Examples!$G$10+Examples!$G$11)*$A526-(Examples!$G$6*Examples!$G$7*Examples!$G$8*EXP(-Examples!$G$9*$A526)*(1-(Examples!$G$12*(1-EXP(-Examples!$G$13*$A526))/(1+EXP(MIN(700,MAX(-700,(Examples!$G$14*$A526-Examples!$G$15)/Examples!$G$16))))))+Examples!$G$17*$A526^2)</f>
        <v>704777.84191112791</v>
      </c>
      <c r="K526" s="33">
        <f>(Examples!$G$6*Examples!$G$7*Examples!$G$8*EXP(-Examples!$G$9*$A526)*(1-(Examples!$G$12*(1-EXP(-Examples!$G$13*$A526))/(1+EXP(MIN(700,MAX(-700,(Examples!$G$14*$A526-Examples!$G$15)/Examples!$G$16))))))+Examples!$G$17*$A526^2)</f>
        <v>533222.15808887209</v>
      </c>
      <c r="L526" s="33">
        <f>Examples!$H$18-(Examples!$H$10+Examples!$H$11)*$A526-(Examples!$H$6*Examples!$H$7*Examples!$H$8*EXP(-Examples!$H$9*$A526)*(1-(Examples!$H$12*(1-EXP(-Examples!$H$13*$A526))/(1+EXP(MIN(700,MAX(-700,(Examples!$H$14*$A526-Examples!$H$15)/Examples!$H$16))))))+Examples!$H$17*$A526^2)</f>
        <v>698829.69348506839</v>
      </c>
      <c r="M526" s="33">
        <f>(Examples!$H$6*Examples!$H$7*Examples!$H$8*EXP(-Examples!$H$9*$A526)*(1-(Examples!$H$12*(1-EXP(-Examples!$H$13*$A526))/(1+EXP(MIN(700,MAX(-700,(Examples!$H$14*$A526-Examples!$H$15)/Examples!$H$16))))))+Examples!$H$17*$A526^2)</f>
        <v>539170.30651493161</v>
      </c>
    </row>
    <row r="527" spans="1:13" x14ac:dyDescent="0.25">
      <c r="A527">
        <f>(527-2)/100</f>
        <v>5.25</v>
      </c>
      <c r="B527" s="33">
        <f>Examples!$C$18-(Examples!$C$10+Examples!$C$11)*$A527-(Examples!$C$6*Examples!$C$7*Examples!$C$8*EXP(-Examples!$C$9*$A527)*(1-(Examples!$C$12*(1-EXP(-Examples!$C$13*$A527))/(1+EXP(MIN(700,MAX(-700,(Examples!$C$14*$A527-Examples!$C$15)/Examples!$C$16))))))+Examples!$C$17*$A527^2)</f>
        <v>-121391.60684415686</v>
      </c>
      <c r="C527" s="33">
        <f>(Examples!$C$6*Examples!$C$7*Examples!$C$8*EXP(-Examples!$C$9*$A527)*(1-(Examples!$C$12*(1-EXP(-Examples!$C$13*$A527))/(1+EXP(MIN(700,MAX(-700,(Examples!$C$14*$A527-Examples!$C$15)/Examples!$C$16))))))+Examples!$C$17*$A527^2)</f>
        <v>537641.60684415686</v>
      </c>
      <c r="D527" s="33">
        <f>Examples!$D$18-(Examples!$D$10+Examples!$D$11)*$A527-(Examples!$D$6*Examples!$D$7*Examples!$D$8*EXP(-Examples!$D$9*$A527)*(1-(Examples!$D$12*(1-EXP(-Examples!$D$13*$A527))/(1+EXP(MIN(700,MAX(-700,(Examples!$D$14*$A527-Examples!$D$15)/Examples!$D$16))))))+Examples!$D$17*$A527^2)</f>
        <v>1609187.5160327286</v>
      </c>
      <c r="E527" s="33">
        <f>(Examples!$D$6*Examples!$D$7*Examples!$D$8*EXP(-Examples!$D$9*$A527)*(1-(Examples!$D$12*(1-EXP(-Examples!$D$13*$A527))/(1+EXP(MIN(700,MAX(-700,(Examples!$D$14*$A527-Examples!$D$15)/Examples!$D$16))))))+Examples!$D$17*$A527^2)</f>
        <v>654562.4839672714</v>
      </c>
      <c r="F527" s="33">
        <f>Examples!$E$18-(Examples!$E$10+Examples!$E$11)*$A527-(Examples!$E$6*Examples!$E$7*Examples!$E$8*EXP(-Examples!$E$9*$A527)*(1-(Examples!$E$12*(1-EXP(-Examples!$E$13*$A527))/(1+EXP(MIN(700,MAX(-700,(Examples!$E$14*$A527-Examples!$E$15)/Examples!$E$16))))))+Examples!$E$17*$A527^2)</f>
        <v>2348417.7695588465</v>
      </c>
      <c r="G527" s="33">
        <f>(Examples!$E$6*Examples!$E$7*Examples!$E$8*EXP(-Examples!$E$9*$A527)*(1-(Examples!$E$12*(1-EXP(-Examples!$E$13*$A527))/(1+EXP(MIN(700,MAX(-700,(Examples!$E$14*$A527-Examples!$E$15)/Examples!$E$16))))))+Examples!$E$17*$A527^2)</f>
        <v>205332.23044115346</v>
      </c>
      <c r="H527" s="33">
        <f>Examples!$F$18-(Examples!$F$10+Examples!$F$11)*$A527-(Examples!$F$6*Examples!$F$7*Examples!$F$8*EXP(-Examples!$F$9*$A527)*(1-(Examples!$F$12*(1-EXP(-Examples!$F$13*$A527))/(1+EXP(MIN(700,MAX(-700,(Examples!$F$14*$A527-Examples!$F$15)/Examples!$F$16))))))+Examples!$F$17*$A527^2)</f>
        <v>-509872.63199144963</v>
      </c>
      <c r="I527" s="33">
        <f>(Examples!$F$6*Examples!$F$7*Examples!$F$8*EXP(-Examples!$F$9*$A527)*(1-(Examples!$F$12*(1-EXP(-Examples!$F$13*$A527))/(1+EXP(MIN(700,MAX(-700,(Examples!$F$14*$A527-Examples!$F$15)/Examples!$F$16))))))+Examples!$F$17*$A527^2)</f>
        <v>554872.63199144963</v>
      </c>
      <c r="J527" s="33">
        <f>Examples!$G$18-(Examples!$G$10+Examples!$G$11)*$A527-(Examples!$G$6*Examples!$G$7*Examples!$G$8*EXP(-Examples!$G$9*$A527)*(1-(Examples!$G$12*(1-EXP(-Examples!$G$13*$A527))/(1+EXP(MIN(700,MAX(-700,(Examples!$G$14*$A527-Examples!$G$15)/Examples!$G$16))))))+Examples!$G$17*$A527^2)</f>
        <v>704459.46888087038</v>
      </c>
      <c r="K527" s="33">
        <f>(Examples!$G$6*Examples!$G$7*Examples!$G$8*EXP(-Examples!$G$9*$A527)*(1-(Examples!$G$12*(1-EXP(-Examples!$G$13*$A527))/(1+EXP(MIN(700,MAX(-700,(Examples!$G$14*$A527-Examples!$G$15)/Examples!$G$16))))))+Examples!$G$17*$A527^2)</f>
        <v>533040.53111912962</v>
      </c>
      <c r="L527" s="33">
        <f>Examples!$H$18-(Examples!$H$10+Examples!$H$11)*$A527-(Examples!$H$6*Examples!$H$7*Examples!$H$8*EXP(-Examples!$H$9*$A527)*(1-(Examples!$H$12*(1-EXP(-Examples!$H$13*$A527))/(1+EXP(MIN(700,MAX(-700,(Examples!$H$14*$A527-Examples!$H$15)/Examples!$H$16))))))+Examples!$H$17*$A527^2)</f>
        <v>698605.67862327688</v>
      </c>
      <c r="M527" s="33">
        <f>(Examples!$H$6*Examples!$H$7*Examples!$H$8*EXP(-Examples!$H$9*$A527)*(1-(Examples!$H$12*(1-EXP(-Examples!$H$13*$A527))/(1+EXP(MIN(700,MAX(-700,(Examples!$H$14*$A527-Examples!$H$15)/Examples!$H$16))))))+Examples!$H$17*$A527^2)</f>
        <v>538894.32137672312</v>
      </c>
    </row>
    <row r="528" spans="1:13" x14ac:dyDescent="0.25">
      <c r="A528">
        <f>(528-2)/100</f>
        <v>5.26</v>
      </c>
      <c r="B528" s="33">
        <f>Examples!$C$18-(Examples!$C$10+Examples!$C$11)*$A528-(Examples!$C$6*Examples!$C$7*Examples!$C$8*EXP(-Examples!$C$9*$A528)*(1-(Examples!$C$12*(1-EXP(-Examples!$C$13*$A528))/(1+EXP(MIN(700,MAX(-700,(Examples!$C$14*$A528-Examples!$C$15)/Examples!$C$16))))))+Examples!$C$17*$A528^2)</f>
        <v>-122946.06653906463</v>
      </c>
      <c r="C528" s="33">
        <f>(Examples!$C$6*Examples!$C$7*Examples!$C$8*EXP(-Examples!$C$9*$A528)*(1-(Examples!$C$12*(1-EXP(-Examples!$C$13*$A528))/(1+EXP(MIN(700,MAX(-700,(Examples!$C$14*$A528-Examples!$C$15)/Examples!$C$16))))))+Examples!$C$17*$A528^2)</f>
        <v>538846.06653906463</v>
      </c>
      <c r="D528" s="33">
        <f>Examples!$D$18-(Examples!$D$10+Examples!$D$11)*$A528-(Examples!$D$6*Examples!$D$7*Examples!$D$8*EXP(-Examples!$D$9*$A528)*(1-(Examples!$D$12*(1-EXP(-Examples!$D$13*$A528))/(1+EXP(MIN(700,MAX(-700,(Examples!$D$14*$A528-Examples!$D$15)/Examples!$D$16))))))+Examples!$D$17*$A528^2)</f>
        <v>1609982.4222530709</v>
      </c>
      <c r="E528" s="33">
        <f>(Examples!$D$6*Examples!$D$7*Examples!$D$8*EXP(-Examples!$D$9*$A528)*(1-(Examples!$D$12*(1-EXP(-Examples!$D$13*$A528))/(1+EXP(MIN(700,MAX(-700,(Examples!$D$14*$A528-Examples!$D$15)/Examples!$D$16))))))+Examples!$D$17*$A528^2)</f>
        <v>653317.57774692925</v>
      </c>
      <c r="F528" s="33">
        <f>Examples!$E$18-(Examples!$E$10+Examples!$E$11)*$A528-(Examples!$E$6*Examples!$E$7*Examples!$E$8*EXP(-Examples!$E$9*$A528)*(1-(Examples!$E$12*(1-EXP(-Examples!$E$13*$A528))/(1+EXP(MIN(700,MAX(-700,(Examples!$E$14*$A528-Examples!$E$15)/Examples!$E$16))))))+Examples!$E$17*$A528^2)</f>
        <v>2347558.1509814961</v>
      </c>
      <c r="G528" s="33">
        <f>(Examples!$E$6*Examples!$E$7*Examples!$E$8*EXP(-Examples!$E$9*$A528)*(1-(Examples!$E$12*(1-EXP(-Examples!$E$13*$A528))/(1+EXP(MIN(700,MAX(-700,(Examples!$E$14*$A528-Examples!$E$15)/Examples!$E$16))))))+Examples!$E$17*$A528^2)</f>
        <v>205341.84901850414</v>
      </c>
      <c r="H528" s="33">
        <f>Examples!$F$18-(Examples!$F$10+Examples!$F$11)*$A528-(Examples!$F$6*Examples!$F$7*Examples!$F$8*EXP(-Examples!$F$9*$A528)*(1-(Examples!$F$12*(1-EXP(-Examples!$F$13*$A528))/(1+EXP(MIN(700,MAX(-700,(Examples!$F$14*$A528-Examples!$F$15)/Examples!$F$16))))))+Examples!$F$17*$A528^2)</f>
        <v>-512163.78038794943</v>
      </c>
      <c r="I528" s="33">
        <f>(Examples!$F$6*Examples!$F$7*Examples!$F$8*EXP(-Examples!$F$9*$A528)*(1-(Examples!$F$12*(1-EXP(-Examples!$F$13*$A528))/(1+EXP(MIN(700,MAX(-700,(Examples!$F$14*$A528-Examples!$F$15)/Examples!$F$16))))))+Examples!$F$17*$A528^2)</f>
        <v>556963.78038794943</v>
      </c>
      <c r="J528" s="33">
        <f>Examples!$G$18-(Examples!$G$10+Examples!$G$11)*$A528-(Examples!$G$6*Examples!$G$7*Examples!$G$8*EXP(-Examples!$G$9*$A528)*(1-(Examples!$G$12*(1-EXP(-Examples!$G$13*$A528))/(1+EXP(MIN(700,MAX(-700,(Examples!$G$14*$A528-Examples!$G$15)/Examples!$G$16))))))+Examples!$G$17*$A528^2)</f>
        <v>704137.0858513572</v>
      </c>
      <c r="K528" s="33">
        <f>(Examples!$G$6*Examples!$G$7*Examples!$G$8*EXP(-Examples!$G$9*$A528)*(1-(Examples!$G$12*(1-EXP(-Examples!$G$13*$A528))/(1+EXP(MIN(700,MAX(-700,(Examples!$G$14*$A528-Examples!$G$15)/Examples!$G$16))))))+Examples!$G$17*$A528^2)</f>
        <v>532862.9141486428</v>
      </c>
      <c r="L528" s="33">
        <f>Examples!$H$18-(Examples!$H$10+Examples!$H$11)*$A528-(Examples!$H$6*Examples!$H$7*Examples!$H$8*EXP(-Examples!$H$9*$A528)*(1-(Examples!$H$12*(1-EXP(-Examples!$H$13*$A528))/(1+EXP(MIN(700,MAX(-700,(Examples!$H$14*$A528-Examples!$H$15)/Examples!$H$16))))))+Examples!$H$17*$A528^2)</f>
        <v>698376.20680015895</v>
      </c>
      <c r="M528" s="33">
        <f>(Examples!$H$6*Examples!$H$7*Examples!$H$8*EXP(-Examples!$H$9*$A528)*(1-(Examples!$H$12*(1-EXP(-Examples!$H$13*$A528))/(1+EXP(MIN(700,MAX(-700,(Examples!$H$14*$A528-Examples!$H$15)/Examples!$H$16))))))+Examples!$H$17*$A528^2)</f>
        <v>538623.79319984105</v>
      </c>
    </row>
    <row r="529" spans="1:13" x14ac:dyDescent="0.25">
      <c r="A529">
        <f>(529-2)/100</f>
        <v>5.27</v>
      </c>
      <c r="B529" s="33">
        <f>Examples!$C$18-(Examples!$C$10+Examples!$C$11)*$A529-(Examples!$C$6*Examples!$C$7*Examples!$C$8*EXP(-Examples!$C$9*$A529)*(1-(Examples!$C$12*(1-EXP(-Examples!$C$13*$A529))/(1+EXP(MIN(700,MAX(-700,(Examples!$C$14*$A529-Examples!$C$15)/Examples!$C$16))))))+Examples!$C$17*$A529^2)</f>
        <v>-124504.64020347816</v>
      </c>
      <c r="C529" s="33">
        <f>(Examples!$C$6*Examples!$C$7*Examples!$C$8*EXP(-Examples!$C$9*$A529)*(1-(Examples!$C$12*(1-EXP(-Examples!$C$13*$A529))/(1+EXP(MIN(700,MAX(-700,(Examples!$C$14*$A529-Examples!$C$15)/Examples!$C$16))))))+Examples!$C$17*$A529^2)</f>
        <v>540054.64020347816</v>
      </c>
      <c r="D529" s="33">
        <f>Examples!$D$18-(Examples!$D$10+Examples!$D$11)*$A529-(Examples!$D$6*Examples!$D$7*Examples!$D$8*EXP(-Examples!$D$9*$A529)*(1-(Examples!$D$12*(1-EXP(-Examples!$D$13*$A529))/(1+EXP(MIN(700,MAX(-700,(Examples!$D$14*$A529-Examples!$D$15)/Examples!$D$16))))))+Examples!$D$17*$A529^2)</f>
        <v>1610776.1539009872</v>
      </c>
      <c r="E529" s="33">
        <f>(Examples!$D$6*Examples!$D$7*Examples!$D$8*EXP(-Examples!$D$9*$A529)*(1-(Examples!$D$12*(1-EXP(-Examples!$D$13*$A529))/(1+EXP(MIN(700,MAX(-700,(Examples!$D$14*$A529-Examples!$D$15)/Examples!$D$16))))))+Examples!$D$17*$A529^2)</f>
        <v>652073.84609901276</v>
      </c>
      <c r="F529" s="33">
        <f>Examples!$E$18-(Examples!$E$10+Examples!$E$11)*$A529-(Examples!$E$6*Examples!$E$7*Examples!$E$8*EXP(-Examples!$E$9*$A529)*(1-(Examples!$E$12*(1-EXP(-Examples!$E$13*$A529))/(1+EXP(MIN(700,MAX(-700,(Examples!$E$14*$A529-Examples!$E$15)/Examples!$E$16))))))+Examples!$E$17*$A529^2)</f>
        <v>2346697.9914670456</v>
      </c>
      <c r="G529" s="33">
        <f>(Examples!$E$6*Examples!$E$7*Examples!$E$8*EXP(-Examples!$E$9*$A529)*(1-(Examples!$E$12*(1-EXP(-Examples!$E$13*$A529))/(1+EXP(MIN(700,MAX(-700,(Examples!$E$14*$A529-Examples!$E$15)/Examples!$E$16))))))+Examples!$E$17*$A529^2)</f>
        <v>205352.00853295447</v>
      </c>
      <c r="H529" s="33">
        <f>Examples!$F$18-(Examples!$F$10+Examples!$F$11)*$A529-(Examples!$F$6*Examples!$F$7*Examples!$F$8*EXP(-Examples!$F$9*$A529)*(1-(Examples!$F$12*(1-EXP(-Examples!$F$13*$A529))/(1+EXP(MIN(700,MAX(-700,(Examples!$F$14*$A529-Examples!$F$15)/Examples!$F$16))))))+Examples!$F$17*$A529^2)</f>
        <v>-514458.96129019093</v>
      </c>
      <c r="I529" s="33">
        <f>(Examples!$F$6*Examples!$F$7*Examples!$F$8*EXP(-Examples!$F$9*$A529)*(1-(Examples!$F$12*(1-EXP(-Examples!$F$13*$A529))/(1+EXP(MIN(700,MAX(-700,(Examples!$F$14*$A529-Examples!$F$15)/Examples!$F$16))))))+Examples!$F$17*$A529^2)</f>
        <v>559058.96129019093</v>
      </c>
      <c r="J529" s="33">
        <f>Examples!$G$18-(Examples!$G$10+Examples!$G$11)*$A529-(Examples!$G$6*Examples!$G$7*Examples!$G$8*EXP(-Examples!$G$9*$A529)*(1-(Examples!$G$12*(1-EXP(-Examples!$G$13*$A529))/(1+EXP(MIN(700,MAX(-700,(Examples!$G$14*$A529-Examples!$G$15)/Examples!$G$16))))))+Examples!$G$17*$A529^2)</f>
        <v>703810.68420161353</v>
      </c>
      <c r="K529" s="33">
        <f>(Examples!$G$6*Examples!$G$7*Examples!$G$8*EXP(-Examples!$G$9*$A529)*(1-(Examples!$G$12*(1-EXP(-Examples!$G$13*$A529))/(1+EXP(MIN(700,MAX(-700,(Examples!$G$14*$A529-Examples!$G$15)/Examples!$G$16))))))+Examples!$G$17*$A529^2)</f>
        <v>532689.31579838647</v>
      </c>
      <c r="L529" s="33">
        <f>Examples!$H$18-(Examples!$H$10+Examples!$H$11)*$A529-(Examples!$H$6*Examples!$H$7*Examples!$H$8*EXP(-Examples!$H$9*$A529)*(1-(Examples!$H$12*(1-EXP(-Examples!$H$13*$A529))/(1+EXP(MIN(700,MAX(-700,(Examples!$H$14*$A529-Examples!$H$15)/Examples!$H$16))))))+Examples!$H$17*$A529^2)</f>
        <v>698141.29013928655</v>
      </c>
      <c r="M529" s="33">
        <f>(Examples!$H$6*Examples!$H$7*Examples!$H$8*EXP(-Examples!$H$9*$A529)*(1-(Examples!$H$12*(1-EXP(-Examples!$H$13*$A529))/(1+EXP(MIN(700,MAX(-700,(Examples!$H$14*$A529-Examples!$H$15)/Examples!$H$16))))))+Examples!$H$17*$A529^2)</f>
        <v>538358.70986071345</v>
      </c>
    </row>
    <row r="530" spans="1:13" x14ac:dyDescent="0.25">
      <c r="A530">
        <f>(530-2)/100</f>
        <v>5.28</v>
      </c>
      <c r="B530" s="33">
        <f>Examples!$C$18-(Examples!$C$10+Examples!$C$11)*$A530-(Examples!$C$6*Examples!$C$7*Examples!$C$8*EXP(-Examples!$C$9*$A530)*(1-(Examples!$C$12*(1-EXP(-Examples!$C$13*$A530))/(1+EXP(MIN(700,MAX(-700,(Examples!$C$14*$A530-Examples!$C$15)/Examples!$C$16))))))+Examples!$C$17*$A530^2)</f>
        <v>-126067.32451725472</v>
      </c>
      <c r="C530" s="33">
        <f>(Examples!$C$6*Examples!$C$7*Examples!$C$8*EXP(-Examples!$C$9*$A530)*(1-(Examples!$C$12*(1-EXP(-Examples!$C$13*$A530))/(1+EXP(MIN(700,MAX(-700,(Examples!$C$14*$A530-Examples!$C$15)/Examples!$C$16))))))+Examples!$C$17*$A530^2)</f>
        <v>541267.32451725472</v>
      </c>
      <c r="D530" s="33">
        <f>Examples!$D$18-(Examples!$D$10+Examples!$D$11)*$A530-(Examples!$D$6*Examples!$D$7*Examples!$D$8*EXP(-Examples!$D$9*$A530)*(1-(Examples!$D$12*(1-EXP(-Examples!$D$13*$A530))/(1+EXP(MIN(700,MAX(-700,(Examples!$D$14*$A530-Examples!$D$15)/Examples!$D$16))))))+Examples!$D$17*$A530^2)</f>
        <v>1611568.6233743161</v>
      </c>
      <c r="E530" s="33">
        <f>(Examples!$D$6*Examples!$D$7*Examples!$D$8*EXP(-Examples!$D$9*$A530)*(1-(Examples!$D$12*(1-EXP(-Examples!$D$13*$A530))/(1+EXP(MIN(700,MAX(-700,(Examples!$D$14*$A530-Examples!$D$15)/Examples!$D$16))))))+Examples!$D$17*$A530^2)</f>
        <v>650831.37662568386</v>
      </c>
      <c r="F530" s="33">
        <f>Examples!$E$18-(Examples!$E$10+Examples!$E$11)*$A530-(Examples!$E$6*Examples!$E$7*Examples!$E$8*EXP(-Examples!$E$9*$A530)*(1-(Examples!$E$12*(1-EXP(-Examples!$E$13*$A530))/(1+EXP(MIN(700,MAX(-700,(Examples!$E$14*$A530-Examples!$E$15)/Examples!$E$16))))))+Examples!$E$17*$A530^2)</f>
        <v>2345837.2942711231</v>
      </c>
      <c r="G530" s="33">
        <f>(Examples!$E$6*Examples!$E$7*Examples!$E$8*EXP(-Examples!$E$9*$A530)*(1-(Examples!$E$12*(1-EXP(-Examples!$E$13*$A530))/(1+EXP(MIN(700,MAX(-700,(Examples!$E$14*$A530-Examples!$E$15)/Examples!$E$16))))))+Examples!$E$17*$A530^2)</f>
        <v>205362.70572887699</v>
      </c>
      <c r="H530" s="33">
        <f>Examples!$F$18-(Examples!$F$10+Examples!$F$11)*$A530-(Examples!$F$6*Examples!$F$7*Examples!$F$8*EXP(-Examples!$F$9*$A530)*(1-(Examples!$F$12*(1-EXP(-Examples!$F$13*$A530))/(1+EXP(MIN(700,MAX(-700,(Examples!$F$14*$A530-Examples!$F$15)/Examples!$F$16))))))+Examples!$F$17*$A530^2)</f>
        <v>-516758.1746008147</v>
      </c>
      <c r="I530" s="33">
        <f>(Examples!$F$6*Examples!$F$7*Examples!$F$8*EXP(-Examples!$F$9*$A530)*(1-(Examples!$F$12*(1-EXP(-Examples!$F$13*$A530))/(1+EXP(MIN(700,MAX(-700,(Examples!$F$14*$A530-Examples!$F$15)/Examples!$F$16))))))+Examples!$F$17*$A530^2)</f>
        <v>561158.1746008147</v>
      </c>
      <c r="J530" s="33">
        <f>Examples!$G$18-(Examples!$G$10+Examples!$G$11)*$A530-(Examples!$G$6*Examples!$G$7*Examples!$G$8*EXP(-Examples!$G$9*$A530)*(1-(Examples!$G$12*(1-EXP(-Examples!$G$13*$A530))/(1+EXP(MIN(700,MAX(-700,(Examples!$G$14*$A530-Examples!$G$15)/Examples!$G$16))))))+Examples!$G$17*$A530^2)</f>
        <v>703480.25556839886</v>
      </c>
      <c r="K530" s="33">
        <f>(Examples!$G$6*Examples!$G$7*Examples!$G$8*EXP(-Examples!$G$9*$A530)*(1-(Examples!$G$12*(1-EXP(-Examples!$G$13*$A530))/(1+EXP(MIN(700,MAX(-700,(Examples!$G$14*$A530-Examples!$G$15)/Examples!$G$16))))))+Examples!$G$17*$A530^2)</f>
        <v>532519.74443160114</v>
      </c>
      <c r="L530" s="33">
        <f>Examples!$H$18-(Examples!$H$10+Examples!$H$11)*$A530-(Examples!$H$6*Examples!$H$7*Examples!$H$8*EXP(-Examples!$H$9*$A530)*(1-(Examples!$H$12*(1-EXP(-Examples!$H$13*$A530))/(1+EXP(MIN(700,MAX(-700,(Examples!$H$14*$A530-Examples!$H$15)/Examples!$H$16))))))+Examples!$H$17*$A530^2)</f>
        <v>697900.94076819473</v>
      </c>
      <c r="M530" s="33">
        <f>(Examples!$H$6*Examples!$H$7*Examples!$H$8*EXP(-Examples!$H$9*$A530)*(1-(Examples!$H$12*(1-EXP(-Examples!$H$13*$A530))/(1+EXP(MIN(700,MAX(-700,(Examples!$H$14*$A530-Examples!$H$15)/Examples!$H$16))))))+Examples!$H$17*$A530^2)</f>
        <v>538099.05923180527</v>
      </c>
    </row>
    <row r="531" spans="1:13" x14ac:dyDescent="0.25">
      <c r="A531">
        <f>(531-2)/100</f>
        <v>5.29</v>
      </c>
      <c r="B531" s="33">
        <f>Examples!$C$18-(Examples!$C$10+Examples!$C$11)*$A531-(Examples!$C$6*Examples!$C$7*Examples!$C$8*EXP(-Examples!$C$9*$A531)*(1-(Examples!$C$12*(1-EXP(-Examples!$C$13*$A531))/(1+EXP(MIN(700,MAX(-700,(Examples!$C$14*$A531-Examples!$C$15)/Examples!$C$16))))))+Examples!$C$17*$A531^2)</f>
        <v>-127634.11616961181</v>
      </c>
      <c r="C531" s="33">
        <f>(Examples!$C$6*Examples!$C$7*Examples!$C$8*EXP(-Examples!$C$9*$A531)*(1-(Examples!$C$12*(1-EXP(-Examples!$C$13*$A531))/(1+EXP(MIN(700,MAX(-700,(Examples!$C$14*$A531-Examples!$C$15)/Examples!$C$16))))))+Examples!$C$17*$A531^2)</f>
        <v>542484.11616961181</v>
      </c>
      <c r="D531" s="33">
        <f>Examples!$D$18-(Examples!$D$10+Examples!$D$11)*$A531-(Examples!$D$6*Examples!$D$7*Examples!$D$8*EXP(-Examples!$D$9*$A531)*(1-(Examples!$D$12*(1-EXP(-Examples!$D$13*$A531))/(1+EXP(MIN(700,MAX(-700,(Examples!$D$14*$A531-Examples!$D$15)/Examples!$D$16))))))+Examples!$D$17*$A531^2)</f>
        <v>1612359.7438846866</v>
      </c>
      <c r="E531" s="33">
        <f>(Examples!$D$6*Examples!$D$7*Examples!$D$8*EXP(-Examples!$D$9*$A531)*(1-(Examples!$D$12*(1-EXP(-Examples!$D$13*$A531))/(1+EXP(MIN(700,MAX(-700,(Examples!$D$14*$A531-Examples!$D$15)/Examples!$D$16))))))+Examples!$D$17*$A531^2)</f>
        <v>649590.25611531339</v>
      </c>
      <c r="F531" s="33">
        <f>Examples!$E$18-(Examples!$E$10+Examples!$E$11)*$A531-(Examples!$E$6*Examples!$E$7*Examples!$E$8*EXP(-Examples!$E$9*$A531)*(1-(Examples!$E$12*(1-EXP(-Examples!$E$13*$A531))/(1+EXP(MIN(700,MAX(-700,(Examples!$E$14*$A531-Examples!$E$15)/Examples!$E$16))))))+Examples!$E$17*$A531^2)</f>
        <v>2344976.0624552974</v>
      </c>
      <c r="G531" s="33">
        <f>(Examples!$E$6*Examples!$E$7*Examples!$E$8*EXP(-Examples!$E$9*$A531)*(1-(Examples!$E$12*(1-EXP(-Examples!$E$13*$A531))/(1+EXP(MIN(700,MAX(-700,(Examples!$E$14*$A531-Examples!$E$15)/Examples!$E$16))))))+Examples!$E$17*$A531^2)</f>
        <v>205373.93754470249</v>
      </c>
      <c r="H531" s="33">
        <f>Examples!$F$18-(Examples!$F$10+Examples!$F$11)*$A531-(Examples!$F$6*Examples!$F$7*Examples!$F$8*EXP(-Examples!$F$9*$A531)*(1-(Examples!$F$12*(1-EXP(-Examples!$F$13*$A531))/(1+EXP(MIN(700,MAX(-700,(Examples!$F$14*$A531-Examples!$F$15)/Examples!$F$16))))))+Examples!$F$17*$A531^2)</f>
        <v>-519061.42022275226</v>
      </c>
      <c r="I531" s="33">
        <f>(Examples!$F$6*Examples!$F$7*Examples!$F$8*EXP(-Examples!$F$9*$A531)*(1-(Examples!$F$12*(1-EXP(-Examples!$F$13*$A531))/(1+EXP(MIN(700,MAX(-700,(Examples!$F$14*$A531-Examples!$F$15)/Examples!$F$16))))))+Examples!$F$17*$A531^2)</f>
        <v>563261.42022275226</v>
      </c>
      <c r="J531" s="33">
        <f>Examples!$G$18-(Examples!$G$10+Examples!$G$11)*$A531-(Examples!$G$6*Examples!$G$7*Examples!$G$8*EXP(-Examples!$G$9*$A531)*(1-(Examples!$G$12*(1-EXP(-Examples!$G$13*$A531))/(1+EXP(MIN(700,MAX(-700,(Examples!$G$14*$A531-Examples!$G$15)/Examples!$G$16))))))+Examples!$G$17*$A531^2)</f>
        <v>703145.79184292175</v>
      </c>
      <c r="K531" s="33">
        <f>(Examples!$G$6*Examples!$G$7*Examples!$G$8*EXP(-Examples!$G$9*$A531)*(1-(Examples!$G$12*(1-EXP(-Examples!$G$13*$A531))/(1+EXP(MIN(700,MAX(-700,(Examples!$G$14*$A531-Examples!$G$15)/Examples!$G$16))))))+Examples!$G$17*$A531^2)</f>
        <v>532354.20815707825</v>
      </c>
      <c r="L531" s="33">
        <f>Examples!$H$18-(Examples!$H$10+Examples!$H$11)*$A531-(Examples!$H$6*Examples!$H$7*Examples!$H$8*EXP(-Examples!$H$9*$A531)*(1-(Examples!$H$12*(1-EXP(-Examples!$H$13*$A531))/(1+EXP(MIN(700,MAX(-700,(Examples!$H$14*$A531-Examples!$H$15)/Examples!$H$16))))))+Examples!$H$17*$A531^2)</f>
        <v>697655.17081678705</v>
      </c>
      <c r="M531" s="33">
        <f>(Examples!$H$6*Examples!$H$7*Examples!$H$8*EXP(-Examples!$H$9*$A531)*(1-(Examples!$H$12*(1-EXP(-Examples!$H$13*$A531))/(1+EXP(MIN(700,MAX(-700,(Examples!$H$14*$A531-Examples!$H$15)/Examples!$H$16))))))+Examples!$H$17*$A531^2)</f>
        <v>537844.82918321295</v>
      </c>
    </row>
    <row r="532" spans="1:13" x14ac:dyDescent="0.25">
      <c r="A532">
        <f>(532-2)/100</f>
        <v>5.3</v>
      </c>
      <c r="B532" s="33">
        <f>Examples!$C$18-(Examples!$C$10+Examples!$C$11)*$A532-(Examples!$C$6*Examples!$C$7*Examples!$C$8*EXP(-Examples!$C$9*$A532)*(1-(Examples!$C$12*(1-EXP(-Examples!$C$13*$A532))/(1+EXP(MIN(700,MAX(-700,(Examples!$C$14*$A532-Examples!$C$15)/Examples!$C$16))))))+Examples!$C$17*$A532^2)</f>
        <v>-129205.01185912034</v>
      </c>
      <c r="C532" s="33">
        <f>(Examples!$C$6*Examples!$C$7*Examples!$C$8*EXP(-Examples!$C$9*$A532)*(1-(Examples!$C$12*(1-EXP(-Examples!$C$13*$A532))/(1+EXP(MIN(700,MAX(-700,(Examples!$C$14*$A532-Examples!$C$15)/Examples!$C$16))))))+Examples!$C$17*$A532^2)</f>
        <v>543705.01185912034</v>
      </c>
      <c r="D532" s="33">
        <f>Examples!$D$18-(Examples!$D$10+Examples!$D$11)*$A532-(Examples!$D$6*Examples!$D$7*Examples!$D$8*EXP(-Examples!$D$9*$A532)*(1-(Examples!$D$12*(1-EXP(-Examples!$D$13*$A532))/(1+EXP(MIN(700,MAX(-700,(Examples!$D$14*$A532-Examples!$D$15)/Examples!$D$16))))))+Examples!$D$17*$A532^2)</f>
        <v>1613149.4294693307</v>
      </c>
      <c r="E532" s="33">
        <f>(Examples!$D$6*Examples!$D$7*Examples!$D$8*EXP(-Examples!$D$9*$A532)*(1-(Examples!$D$12*(1-EXP(-Examples!$D$13*$A532))/(1+EXP(MIN(700,MAX(-700,(Examples!$D$14*$A532-Examples!$D$15)/Examples!$D$16))))))+Examples!$D$17*$A532^2)</f>
        <v>648350.5705306693</v>
      </c>
      <c r="F532" s="33">
        <f>Examples!$E$18-(Examples!$E$10+Examples!$E$11)*$A532-(Examples!$E$6*Examples!$E$7*Examples!$E$8*EXP(-Examples!$E$9*$A532)*(1-(Examples!$E$12*(1-EXP(-Examples!$E$13*$A532))/(1+EXP(MIN(700,MAX(-700,(Examples!$E$14*$A532-Examples!$E$15)/Examples!$E$16))))))+Examples!$E$17*$A532^2)</f>
        <v>2344114.2988893017</v>
      </c>
      <c r="G532" s="33">
        <f>(Examples!$E$6*Examples!$E$7*Examples!$E$8*EXP(-Examples!$E$9*$A532)*(1-(Examples!$E$12*(1-EXP(-Examples!$E$13*$A532))/(1+EXP(MIN(700,MAX(-700,(Examples!$E$14*$A532-Examples!$E$15)/Examples!$E$16))))))+Examples!$E$17*$A532^2)</f>
        <v>205385.70111069834</v>
      </c>
      <c r="H532" s="33">
        <f>Examples!$F$18-(Examples!$F$10+Examples!$F$11)*$A532-(Examples!$F$6*Examples!$F$7*Examples!$F$8*EXP(-Examples!$F$9*$A532)*(1-(Examples!$F$12*(1-EXP(-Examples!$F$13*$A532))/(1+EXP(MIN(700,MAX(-700,(Examples!$F$14*$A532-Examples!$F$15)/Examples!$F$16))))))+Examples!$F$17*$A532^2)</f>
        <v>-521368.69805922604</v>
      </c>
      <c r="I532" s="33">
        <f>(Examples!$F$6*Examples!$F$7*Examples!$F$8*EXP(-Examples!$F$9*$A532)*(1-(Examples!$F$12*(1-EXP(-Examples!$F$13*$A532))/(1+EXP(MIN(700,MAX(-700,(Examples!$F$14*$A532-Examples!$F$15)/Examples!$F$16))))))+Examples!$F$17*$A532^2)</f>
        <v>565368.69805922604</v>
      </c>
      <c r="J532" s="33">
        <f>Examples!$G$18-(Examples!$G$10+Examples!$G$11)*$A532-(Examples!$G$6*Examples!$G$7*Examples!$G$8*EXP(-Examples!$G$9*$A532)*(1-(Examples!$G$12*(1-EXP(-Examples!$G$13*$A532))/(1+EXP(MIN(700,MAX(-700,(Examples!$G$14*$A532-Examples!$G$15)/Examples!$G$16))))))+Examples!$G$17*$A532^2)</f>
        <v>702807.28516757046</v>
      </c>
      <c r="K532" s="33">
        <f>(Examples!$G$6*Examples!$G$7*Examples!$G$8*EXP(-Examples!$G$9*$A532)*(1-(Examples!$G$12*(1-EXP(-Examples!$G$13*$A532))/(1+EXP(MIN(700,MAX(-700,(Examples!$G$14*$A532-Examples!$G$15)/Examples!$G$16))))))+Examples!$G$17*$A532^2)</f>
        <v>532192.71483242954</v>
      </c>
      <c r="L532" s="33">
        <f>Examples!$H$18-(Examples!$H$10+Examples!$H$11)*$A532-(Examples!$H$6*Examples!$H$7*Examples!$H$8*EXP(-Examples!$H$9*$A532)*(1-(Examples!$H$12*(1-EXP(-Examples!$H$13*$A532))/(1+EXP(MIN(700,MAX(-700,(Examples!$H$14*$A532-Examples!$H$15)/Examples!$H$16))))))+Examples!$H$17*$A532^2)</f>
        <v>697403.99241579929</v>
      </c>
      <c r="M532" s="33">
        <f>(Examples!$H$6*Examples!$H$7*Examples!$H$8*EXP(-Examples!$H$9*$A532)*(1-(Examples!$H$12*(1-EXP(-Examples!$H$13*$A532))/(1+EXP(MIN(700,MAX(-700,(Examples!$H$14*$A532-Examples!$H$15)/Examples!$H$16))))))+Examples!$H$17*$A532^2)</f>
        <v>537596.00758420071</v>
      </c>
    </row>
    <row r="533" spans="1:13" x14ac:dyDescent="0.25">
      <c r="A533">
        <f>(533-2)/100</f>
        <v>5.31</v>
      </c>
      <c r="B533" s="33">
        <f>Examples!$C$18-(Examples!$C$10+Examples!$C$11)*$A533-(Examples!$C$6*Examples!$C$7*Examples!$C$8*EXP(-Examples!$C$9*$A533)*(1-(Examples!$C$12*(1-EXP(-Examples!$C$13*$A533))/(1+EXP(MIN(700,MAX(-700,(Examples!$C$14*$A533-Examples!$C$15)/Examples!$C$16))))))+Examples!$C$17*$A533^2)</f>
        <v>-130780.00829369563</v>
      </c>
      <c r="C533" s="33">
        <f>(Examples!$C$6*Examples!$C$7*Examples!$C$8*EXP(-Examples!$C$9*$A533)*(1-(Examples!$C$12*(1-EXP(-Examples!$C$13*$A533))/(1+EXP(MIN(700,MAX(-700,(Examples!$C$14*$A533-Examples!$C$15)/Examples!$C$16))))))+Examples!$C$17*$A533^2)</f>
        <v>544930.00829369563</v>
      </c>
      <c r="D533" s="33">
        <f>Examples!$D$18-(Examples!$D$10+Examples!$D$11)*$A533-(Examples!$D$6*Examples!$D$7*Examples!$D$8*EXP(-Examples!$D$9*$A533)*(1-(Examples!$D$12*(1-EXP(-Examples!$D$13*$A533))/(1+EXP(MIN(700,MAX(-700,(Examples!$D$14*$A533-Examples!$D$15)/Examples!$D$16))))))+Examples!$D$17*$A533^2)</f>
        <v>1613937.5950022459</v>
      </c>
      <c r="E533" s="33">
        <f>(Examples!$D$6*Examples!$D$7*Examples!$D$8*EXP(-Examples!$D$9*$A533)*(1-(Examples!$D$12*(1-EXP(-Examples!$D$13*$A533))/(1+EXP(MIN(700,MAX(-700,(Examples!$D$14*$A533-Examples!$D$15)/Examples!$D$16))))))+Examples!$D$17*$A533^2)</f>
        <v>647112.40499775414</v>
      </c>
      <c r="F533" s="33">
        <f>Examples!$E$18-(Examples!$E$10+Examples!$E$11)*$A533-(Examples!$E$6*Examples!$E$7*Examples!$E$8*EXP(-Examples!$E$9*$A533)*(1-(Examples!$E$12*(1-EXP(-Examples!$E$13*$A533))/(1+EXP(MIN(700,MAX(-700,(Examples!$E$14*$A533-Examples!$E$15)/Examples!$E$16))))))+Examples!$E$17*$A533^2)</f>
        <v>2343252.006253256</v>
      </c>
      <c r="G533" s="33">
        <f>(Examples!$E$6*Examples!$E$7*Examples!$E$8*EXP(-Examples!$E$9*$A533)*(1-(Examples!$E$12*(1-EXP(-Examples!$E$13*$A533))/(1+EXP(MIN(700,MAX(-700,(Examples!$E$14*$A533-Examples!$E$15)/Examples!$E$16))))))+Examples!$E$17*$A533^2)</f>
        <v>205397.993746744</v>
      </c>
      <c r="H533" s="33">
        <f>Examples!$F$18-(Examples!$F$10+Examples!$F$11)*$A533-(Examples!$F$6*Examples!$F$7*Examples!$F$8*EXP(-Examples!$F$9*$A533)*(1-(Examples!$F$12*(1-EXP(-Examples!$F$13*$A533))/(1+EXP(MIN(700,MAX(-700,(Examples!$F$14*$A533-Examples!$F$15)/Examples!$F$16))))))+Examples!$F$17*$A533^2)</f>
        <v>-523680.0080137474</v>
      </c>
      <c r="I533" s="33">
        <f>(Examples!$F$6*Examples!$F$7*Examples!$F$8*EXP(-Examples!$F$9*$A533)*(1-(Examples!$F$12*(1-EXP(-Examples!$F$13*$A533))/(1+EXP(MIN(700,MAX(-700,(Examples!$F$14*$A533-Examples!$F$15)/Examples!$F$16))))))+Examples!$F$17*$A533^2)</f>
        <v>567480.0080137474</v>
      </c>
      <c r="J533" s="33">
        <f>Examples!$G$18-(Examples!$G$10+Examples!$G$11)*$A533-(Examples!$G$6*Examples!$G$7*Examples!$G$8*EXP(-Examples!$G$9*$A533)*(1-(Examples!$G$12*(1-EXP(-Examples!$G$13*$A533))/(1+EXP(MIN(700,MAX(-700,(Examples!$G$14*$A533-Examples!$G$15)/Examples!$G$16))))))+Examples!$G$17*$A533^2)</f>
        <v>702464.72793266212</v>
      </c>
      <c r="K533" s="33">
        <f>(Examples!$G$6*Examples!$G$7*Examples!$G$8*EXP(-Examples!$G$9*$A533)*(1-(Examples!$G$12*(1-EXP(-Examples!$G$13*$A533))/(1+EXP(MIN(700,MAX(-700,(Examples!$G$14*$A533-Examples!$G$15)/Examples!$G$16))))))+Examples!$G$17*$A533^2)</f>
        <v>532035.27206733788</v>
      </c>
      <c r="L533" s="33">
        <f>Examples!$H$18-(Examples!$H$10+Examples!$H$11)*$A533-(Examples!$H$6*Examples!$H$7*Examples!$H$8*EXP(-Examples!$H$9*$A533)*(1-(Examples!$H$12*(1-EXP(-Examples!$H$13*$A533))/(1+EXP(MIN(700,MAX(-700,(Examples!$H$14*$A533-Examples!$H$15)/Examples!$H$16))))))+Examples!$H$17*$A533^2)</f>
        <v>697147.41769532161</v>
      </c>
      <c r="M533" s="33">
        <f>(Examples!$H$6*Examples!$H$7*Examples!$H$8*EXP(-Examples!$H$9*$A533)*(1-(Examples!$H$12*(1-EXP(-Examples!$H$13*$A533))/(1+EXP(MIN(700,MAX(-700,(Examples!$H$14*$A533-Examples!$H$15)/Examples!$H$16))))))+Examples!$H$17*$A533^2)</f>
        <v>537352.58230467839</v>
      </c>
    </row>
    <row r="534" spans="1:13" x14ac:dyDescent="0.25">
      <c r="A534">
        <f>(534-2)/100</f>
        <v>5.32</v>
      </c>
      <c r="B534" s="33">
        <f>Examples!$C$18-(Examples!$C$10+Examples!$C$11)*$A534-(Examples!$C$6*Examples!$C$7*Examples!$C$8*EXP(-Examples!$C$9*$A534)*(1-(Examples!$C$12*(1-EXP(-Examples!$C$13*$A534))/(1+EXP(MIN(700,MAX(-700,(Examples!$C$14*$A534-Examples!$C$15)/Examples!$C$16))))))+Examples!$C$17*$A534^2)</f>
        <v>-132359.1021905886</v>
      </c>
      <c r="C534" s="33">
        <f>(Examples!$C$6*Examples!$C$7*Examples!$C$8*EXP(-Examples!$C$9*$A534)*(1-(Examples!$C$12*(1-EXP(-Examples!$C$13*$A534))/(1+EXP(MIN(700,MAX(-700,(Examples!$C$14*$A534-Examples!$C$15)/Examples!$C$16))))))+Examples!$C$17*$A534^2)</f>
        <v>546159.1021905886</v>
      </c>
      <c r="D534" s="33">
        <f>Examples!$D$18-(Examples!$D$10+Examples!$D$11)*$A534-(Examples!$D$6*Examples!$D$7*Examples!$D$8*EXP(-Examples!$D$9*$A534)*(1-(Examples!$D$12*(1-EXP(-Examples!$D$13*$A534))/(1+EXP(MIN(700,MAX(-700,(Examples!$D$14*$A534-Examples!$D$15)/Examples!$D$16))))))+Examples!$D$17*$A534^2)</f>
        <v>1614724.1562047261</v>
      </c>
      <c r="E534" s="33">
        <f>(Examples!$D$6*Examples!$D$7*Examples!$D$8*EXP(-Examples!$D$9*$A534)*(1-(Examples!$D$12*(1-EXP(-Examples!$D$13*$A534))/(1+EXP(MIN(700,MAX(-700,(Examples!$D$14*$A534-Examples!$D$15)/Examples!$D$16))))))+Examples!$D$17*$A534^2)</f>
        <v>645875.84379527392</v>
      </c>
      <c r="F534" s="33">
        <f>Examples!$E$18-(Examples!$E$10+Examples!$E$11)*$A534-(Examples!$E$6*Examples!$E$7*Examples!$E$8*EXP(-Examples!$E$9*$A534)*(1-(Examples!$E$12*(1-EXP(-Examples!$E$13*$A534))/(1+EXP(MIN(700,MAX(-700,(Examples!$E$14*$A534-Examples!$E$15)/Examples!$E$16))))))+Examples!$E$17*$A534^2)</f>
        <v>2342389.1870398959</v>
      </c>
      <c r="G534" s="33">
        <f>(Examples!$E$6*Examples!$E$7*Examples!$E$8*EXP(-Examples!$E$9*$A534)*(1-(Examples!$E$12*(1-EXP(-Examples!$E$13*$A534))/(1+EXP(MIN(700,MAX(-700,(Examples!$E$14*$A534-Examples!$E$15)/Examples!$E$16))))))+Examples!$E$17*$A534^2)</f>
        <v>205410.81296010414</v>
      </c>
      <c r="H534" s="33">
        <f>Examples!$F$18-(Examples!$F$10+Examples!$F$11)*$A534-(Examples!$F$6*Examples!$F$7*Examples!$F$8*EXP(-Examples!$F$9*$A534)*(1-(Examples!$F$12*(1-EXP(-Examples!$F$13*$A534))/(1+EXP(MIN(700,MAX(-700,(Examples!$F$14*$A534-Examples!$F$15)/Examples!$F$16))))))+Examples!$F$17*$A534^2)</f>
        <v>-525995.3499901169</v>
      </c>
      <c r="I534" s="33">
        <f>(Examples!$F$6*Examples!$F$7*Examples!$F$8*EXP(-Examples!$F$9*$A534)*(1-(Examples!$F$12*(1-EXP(-Examples!$F$13*$A534))/(1+EXP(MIN(700,MAX(-700,(Examples!$F$14*$A534-Examples!$F$15)/Examples!$F$16))))))+Examples!$F$17*$A534^2)</f>
        <v>569595.3499901169</v>
      </c>
      <c r="J534" s="33">
        <f>Examples!$G$18-(Examples!$G$10+Examples!$G$11)*$A534-(Examples!$G$6*Examples!$G$7*Examples!$G$8*EXP(-Examples!$G$9*$A534)*(1-(Examples!$G$12*(1-EXP(-Examples!$G$13*$A534))/(1+EXP(MIN(700,MAX(-700,(Examples!$G$14*$A534-Examples!$G$15)/Examples!$G$16))))))+Examples!$G$17*$A534^2)</f>
        <v>702118.11277320865</v>
      </c>
      <c r="K534" s="33">
        <f>(Examples!$G$6*Examples!$G$7*Examples!$G$8*EXP(-Examples!$G$9*$A534)*(1-(Examples!$G$12*(1-EXP(-Examples!$G$13*$A534))/(1+EXP(MIN(700,MAX(-700,(Examples!$G$14*$A534-Examples!$G$15)/Examples!$G$16))))))+Examples!$G$17*$A534^2)</f>
        <v>531881.88722679135</v>
      </c>
      <c r="L534" s="33">
        <f>Examples!$H$18-(Examples!$H$10+Examples!$H$11)*$A534-(Examples!$H$6*Examples!$H$7*Examples!$H$8*EXP(-Examples!$H$9*$A534)*(1-(Examples!$H$12*(1-EXP(-Examples!$H$13*$A534))/(1+EXP(MIN(700,MAX(-700,(Examples!$H$14*$A534-Examples!$H$15)/Examples!$H$16))))))+Examples!$H$17*$A534^2)</f>
        <v>696885.45878337428</v>
      </c>
      <c r="M534" s="33">
        <f>(Examples!$H$6*Examples!$H$7*Examples!$H$8*EXP(-Examples!$H$9*$A534)*(1-(Examples!$H$12*(1-EXP(-Examples!$H$13*$A534))/(1+EXP(MIN(700,MAX(-700,(Examples!$H$14*$A534-Examples!$H$15)/Examples!$H$16))))))+Examples!$H$17*$A534^2)</f>
        <v>537114.54121662572</v>
      </c>
    </row>
    <row r="535" spans="1:13" x14ac:dyDescent="0.25">
      <c r="A535">
        <f>(535-2)/100</f>
        <v>5.33</v>
      </c>
      <c r="B535" s="33">
        <f>Examples!$C$18-(Examples!$C$10+Examples!$C$11)*$A535-(Examples!$C$6*Examples!$C$7*Examples!$C$8*EXP(-Examples!$C$9*$A535)*(1-(Examples!$C$12*(1-EXP(-Examples!$C$13*$A535))/(1+EXP(MIN(700,MAX(-700,(Examples!$C$14*$A535-Examples!$C$15)/Examples!$C$16))))))+Examples!$C$17*$A535^2)</f>
        <v>-133942.2902763756</v>
      </c>
      <c r="C535" s="33">
        <f>(Examples!$C$6*Examples!$C$7*Examples!$C$8*EXP(-Examples!$C$9*$A535)*(1-(Examples!$C$12*(1-EXP(-Examples!$C$13*$A535))/(1+EXP(MIN(700,MAX(-700,(Examples!$C$14*$A535-Examples!$C$15)/Examples!$C$16))))))+Examples!$C$17*$A535^2)</f>
        <v>547392.2902763756</v>
      </c>
      <c r="D535" s="33">
        <f>Examples!$D$18-(Examples!$D$10+Examples!$D$11)*$A535-(Examples!$D$6*Examples!$D$7*Examples!$D$8*EXP(-Examples!$D$9*$A535)*(1-(Examples!$D$12*(1-EXP(-Examples!$D$13*$A535))/(1+EXP(MIN(700,MAX(-700,(Examples!$D$14*$A535-Examples!$D$15)/Examples!$D$16))))))+Examples!$D$17*$A535^2)</f>
        <v>1615509.0296552724</v>
      </c>
      <c r="E535" s="33">
        <f>(Examples!$D$6*Examples!$D$7*Examples!$D$8*EXP(-Examples!$D$9*$A535)*(1-(Examples!$D$12*(1-EXP(-Examples!$D$13*$A535))/(1+EXP(MIN(700,MAX(-700,(Examples!$D$14*$A535-Examples!$D$15)/Examples!$D$16))))))+Examples!$D$17*$A535^2)</f>
        <v>644640.97034472763</v>
      </c>
      <c r="F535" s="33">
        <f>Examples!$E$18-(Examples!$E$10+Examples!$E$11)*$A535-(Examples!$E$6*Examples!$E$7*Examples!$E$8*EXP(-Examples!$E$9*$A535)*(1-(Examples!$E$12*(1-EXP(-Examples!$E$13*$A535))/(1+EXP(MIN(700,MAX(-700,(Examples!$E$14*$A535-Examples!$E$15)/Examples!$E$16))))))+Examples!$E$17*$A535^2)</f>
        <v>2341525.8435567999</v>
      </c>
      <c r="G535" s="33">
        <f>(Examples!$E$6*Examples!$E$7*Examples!$E$8*EXP(-Examples!$E$9*$A535)*(1-(Examples!$E$12*(1-EXP(-Examples!$E$13*$A535))/(1+EXP(MIN(700,MAX(-700,(Examples!$E$14*$A535-Examples!$E$15)/Examples!$E$16))))))+Examples!$E$17*$A535^2)</f>
        <v>205424.15644320007</v>
      </c>
      <c r="H535" s="33">
        <f>Examples!$F$18-(Examples!$F$10+Examples!$F$11)*$A535-(Examples!$F$6*Examples!$F$7*Examples!$F$8*EXP(-Examples!$F$9*$A535)*(1-(Examples!$F$12*(1-EXP(-Examples!$F$13*$A535))/(1+EXP(MIN(700,MAX(-700,(Examples!$F$14*$A535-Examples!$F$15)/Examples!$F$16))))))+Examples!$F$17*$A535^2)</f>
        <v>-528314.72389242216</v>
      </c>
      <c r="I535" s="33">
        <f>(Examples!$F$6*Examples!$F$7*Examples!$F$8*EXP(-Examples!$F$9*$A535)*(1-(Examples!$F$12*(1-EXP(-Examples!$F$13*$A535))/(1+EXP(MIN(700,MAX(-700,(Examples!$F$14*$A535-Examples!$F$15)/Examples!$F$16))))))+Examples!$F$17*$A535^2)</f>
        <v>571714.72389242216</v>
      </c>
      <c r="J535" s="33">
        <f>Examples!$G$18-(Examples!$G$10+Examples!$G$11)*$A535-(Examples!$G$6*Examples!$G$7*Examples!$G$8*EXP(-Examples!$G$9*$A535)*(1-(Examples!$G$12*(1-EXP(-Examples!$G$13*$A535))/(1+EXP(MIN(700,MAX(-700,(Examples!$G$14*$A535-Examples!$G$15)/Examples!$G$16))))))+Examples!$G$17*$A535^2)</f>
        <v>701767.43256570399</v>
      </c>
      <c r="K535" s="33">
        <f>(Examples!$G$6*Examples!$G$7*Examples!$G$8*EXP(-Examples!$G$9*$A535)*(1-(Examples!$G$12*(1-EXP(-Examples!$G$13*$A535))/(1+EXP(MIN(700,MAX(-700,(Examples!$G$14*$A535-Examples!$G$15)/Examples!$G$16))))))+Examples!$G$17*$A535^2)</f>
        <v>531732.56743429601</v>
      </c>
      <c r="L535" s="33">
        <f>Examples!$H$18-(Examples!$H$10+Examples!$H$11)*$A535-(Examples!$H$6*Examples!$H$7*Examples!$H$8*EXP(-Examples!$H$9*$A535)*(1-(Examples!$H$12*(1-EXP(-Examples!$H$13*$A535))/(1+EXP(MIN(700,MAX(-700,(Examples!$H$14*$A535-Examples!$H$15)/Examples!$H$16))))))+Examples!$H$17*$A535^2)</f>
        <v>696618.12780453963</v>
      </c>
      <c r="M535" s="33">
        <f>(Examples!$H$6*Examples!$H$7*Examples!$H$8*EXP(-Examples!$H$9*$A535)*(1-(Examples!$H$12*(1-EXP(-Examples!$H$13*$A535))/(1+EXP(MIN(700,MAX(-700,(Examples!$H$14*$A535-Examples!$H$15)/Examples!$H$16))))))+Examples!$H$17*$A535^2)</f>
        <v>536881.87219546037</v>
      </c>
    </row>
    <row r="536" spans="1:13" x14ac:dyDescent="0.25">
      <c r="A536">
        <f>(536-2)/100</f>
        <v>5.34</v>
      </c>
      <c r="B536" s="33">
        <f>Examples!$C$18-(Examples!$C$10+Examples!$C$11)*$A536-(Examples!$C$6*Examples!$C$7*Examples!$C$8*EXP(-Examples!$C$9*$A536)*(1-(Examples!$C$12*(1-EXP(-Examples!$C$13*$A536))/(1+EXP(MIN(700,MAX(-700,(Examples!$C$14*$A536-Examples!$C$15)/Examples!$C$16))))))+Examples!$C$17*$A536^2)</f>
        <v>-135529.56928694923</v>
      </c>
      <c r="C536" s="33">
        <f>(Examples!$C$6*Examples!$C$7*Examples!$C$8*EXP(-Examples!$C$9*$A536)*(1-(Examples!$C$12*(1-EXP(-Examples!$C$13*$A536))/(1+EXP(MIN(700,MAX(-700,(Examples!$C$14*$A536-Examples!$C$15)/Examples!$C$16))))))+Examples!$C$17*$A536^2)</f>
        <v>548629.56928694923</v>
      </c>
      <c r="D536" s="33">
        <f>Examples!$D$18-(Examples!$D$10+Examples!$D$11)*$A536-(Examples!$D$6*Examples!$D$7*Examples!$D$8*EXP(-Examples!$D$9*$A536)*(1-(Examples!$D$12*(1-EXP(-Examples!$D$13*$A536))/(1+EXP(MIN(700,MAX(-700,(Examples!$D$14*$A536-Examples!$D$15)/Examples!$D$16))))))+Examples!$D$17*$A536^2)</f>
        <v>1616292.1327988945</v>
      </c>
      <c r="E536" s="33">
        <f>(Examples!$D$6*Examples!$D$7*Examples!$D$8*EXP(-Examples!$D$9*$A536)*(1-(Examples!$D$12*(1-EXP(-Examples!$D$13*$A536))/(1+EXP(MIN(700,MAX(-700,(Examples!$D$14*$A536-Examples!$D$15)/Examples!$D$16))))))+Examples!$D$17*$A536^2)</f>
        <v>643407.86720110546</v>
      </c>
      <c r="F536" s="33">
        <f>Examples!$E$18-(Examples!$E$10+Examples!$E$11)*$A536-(Examples!$E$6*Examples!$E$7*Examples!$E$8*EXP(-Examples!$E$9*$A536)*(1-(Examples!$E$12*(1-EXP(-Examples!$E$13*$A536))/(1+EXP(MIN(700,MAX(-700,(Examples!$E$14*$A536-Examples!$E$15)/Examples!$E$16))))))+Examples!$E$17*$A536^2)</f>
        <v>2340661.9779286217</v>
      </c>
      <c r="G536" s="33">
        <f>(Examples!$E$6*Examples!$E$7*Examples!$E$8*EXP(-Examples!$E$9*$A536)*(1-(Examples!$E$12*(1-EXP(-Examples!$E$13*$A536))/(1+EXP(MIN(700,MAX(-700,(Examples!$E$14*$A536-Examples!$E$15)/Examples!$E$16))))))+Examples!$E$17*$A536^2)</f>
        <v>205438.02207137825</v>
      </c>
      <c r="H536" s="33">
        <f>Examples!$F$18-(Examples!$F$10+Examples!$F$11)*$A536-(Examples!$F$6*Examples!$F$7*Examples!$F$8*EXP(-Examples!$F$9*$A536)*(1-(Examples!$F$12*(1-EXP(-Examples!$F$13*$A536))/(1+EXP(MIN(700,MAX(-700,(Examples!$F$14*$A536-Examples!$F$15)/Examples!$F$16))))))+Examples!$F$17*$A536^2)</f>
        <v>-530638.12962503801</v>
      </c>
      <c r="I536" s="33">
        <f>(Examples!$F$6*Examples!$F$7*Examples!$F$8*EXP(-Examples!$F$9*$A536)*(1-(Examples!$F$12*(1-EXP(-Examples!$F$13*$A536))/(1+EXP(MIN(700,MAX(-700,(Examples!$F$14*$A536-Examples!$F$15)/Examples!$F$16))))))+Examples!$F$17*$A536^2)</f>
        <v>573838.12962503801</v>
      </c>
      <c r="J536" s="33">
        <f>Examples!$G$18-(Examples!$G$10+Examples!$G$11)*$A536-(Examples!$G$6*Examples!$G$7*Examples!$G$8*EXP(-Examples!$G$9*$A536)*(1-(Examples!$G$12*(1-EXP(-Examples!$G$13*$A536))/(1+EXP(MIN(700,MAX(-700,(Examples!$G$14*$A536-Examples!$G$15)/Examples!$G$16))))))+Examples!$G$17*$A536^2)</f>
        <v>701412.68042492843</v>
      </c>
      <c r="K536" s="33">
        <f>(Examples!$G$6*Examples!$G$7*Examples!$G$8*EXP(-Examples!$G$9*$A536)*(1-(Examples!$G$12*(1-EXP(-Examples!$G$13*$A536))/(1+EXP(MIN(700,MAX(-700,(Examples!$G$14*$A536-Examples!$G$15)/Examples!$G$16))))))+Examples!$G$17*$A536^2)</f>
        <v>531587.31957507157</v>
      </c>
      <c r="L536" s="33">
        <f>Examples!$H$18-(Examples!$H$10+Examples!$H$11)*$A536-(Examples!$H$6*Examples!$H$7*Examples!$H$8*EXP(-Examples!$H$9*$A536)*(1-(Examples!$H$12*(1-EXP(-Examples!$H$13*$A536))/(1+EXP(MIN(700,MAX(-700,(Examples!$H$14*$A536-Examples!$H$15)/Examples!$H$16))))))+Examples!$H$17*$A536^2)</f>
        <v>696345.4368786423</v>
      </c>
      <c r="M536" s="33">
        <f>(Examples!$H$6*Examples!$H$7*Examples!$H$8*EXP(-Examples!$H$9*$A536)*(1-(Examples!$H$12*(1-EXP(-Examples!$H$13*$A536))/(1+EXP(MIN(700,MAX(-700,(Examples!$H$14*$A536-Examples!$H$15)/Examples!$H$16))))))+Examples!$H$17*$A536^2)</f>
        <v>536654.5631213577</v>
      </c>
    </row>
    <row r="537" spans="1:13" x14ac:dyDescent="0.25">
      <c r="A537">
        <f>(537-2)/100</f>
        <v>5.35</v>
      </c>
      <c r="B537" s="33">
        <f>Examples!$C$18-(Examples!$C$10+Examples!$C$11)*$A537-(Examples!$C$6*Examples!$C$7*Examples!$C$8*EXP(-Examples!$C$9*$A537)*(1-(Examples!$C$12*(1-EXP(-Examples!$C$13*$A537))/(1+EXP(MIN(700,MAX(-700,(Examples!$C$14*$A537-Examples!$C$15)/Examples!$C$16))))))+Examples!$C$17*$A537^2)</f>
        <v>-137120.93596750649</v>
      </c>
      <c r="C537" s="33">
        <f>(Examples!$C$6*Examples!$C$7*Examples!$C$8*EXP(-Examples!$C$9*$A537)*(1-(Examples!$C$12*(1-EXP(-Examples!$C$13*$A537))/(1+EXP(MIN(700,MAX(-700,(Examples!$C$14*$A537-Examples!$C$15)/Examples!$C$16))))))+Examples!$C$17*$A537^2)</f>
        <v>549870.93596750649</v>
      </c>
      <c r="D537" s="33">
        <f>Examples!$D$18-(Examples!$D$10+Examples!$D$11)*$A537-(Examples!$D$6*Examples!$D$7*Examples!$D$8*EXP(-Examples!$D$9*$A537)*(1-(Examples!$D$12*(1-EXP(-Examples!$D$13*$A537))/(1+EXP(MIN(700,MAX(-700,(Examples!$D$14*$A537-Examples!$D$15)/Examples!$D$16))))))+Examples!$D$17*$A537^2)</f>
        <v>1617073.3839558191</v>
      </c>
      <c r="E537" s="33">
        <f>(Examples!$D$6*Examples!$D$7*Examples!$D$8*EXP(-Examples!$D$9*$A537)*(1-(Examples!$D$12*(1-EXP(-Examples!$D$13*$A537))/(1+EXP(MIN(700,MAX(-700,(Examples!$D$14*$A537-Examples!$D$15)/Examples!$D$16))))))+Examples!$D$17*$A537^2)</f>
        <v>642176.61604418082</v>
      </c>
      <c r="F537" s="33">
        <f>Examples!$E$18-(Examples!$E$10+Examples!$E$11)*$A537-(Examples!$E$6*Examples!$E$7*Examples!$E$8*EXP(-Examples!$E$9*$A537)*(1-(Examples!$E$12*(1-EXP(-Examples!$E$13*$A537))/(1+EXP(MIN(700,MAX(-700,(Examples!$E$14*$A537-Examples!$E$15)/Examples!$E$16))))))+Examples!$E$17*$A537^2)</f>
        <v>2339797.592099322</v>
      </c>
      <c r="G537" s="33">
        <f>(Examples!$E$6*Examples!$E$7*Examples!$E$8*EXP(-Examples!$E$9*$A537)*(1-(Examples!$E$12*(1-EXP(-Examples!$E$13*$A537))/(1+EXP(MIN(700,MAX(-700,(Examples!$E$14*$A537-Examples!$E$15)/Examples!$E$16))))))+Examples!$E$17*$A537^2)</f>
        <v>205452.40790067796</v>
      </c>
      <c r="H537" s="33">
        <f>Examples!$F$18-(Examples!$F$10+Examples!$F$11)*$A537-(Examples!$F$6*Examples!$F$7*Examples!$F$8*EXP(-Examples!$F$9*$A537)*(1-(Examples!$F$12*(1-EXP(-Examples!$F$13*$A537))/(1+EXP(MIN(700,MAX(-700,(Examples!$F$14*$A537-Examples!$F$15)/Examples!$F$16))))))+Examples!$F$17*$A537^2)</f>
        <v>-532965.56709262542</v>
      </c>
      <c r="I537" s="33">
        <f>(Examples!$F$6*Examples!$F$7*Examples!$F$8*EXP(-Examples!$F$9*$A537)*(1-(Examples!$F$12*(1-EXP(-Examples!$F$13*$A537))/(1+EXP(MIN(700,MAX(-700,(Examples!$F$14*$A537-Examples!$F$15)/Examples!$F$16))))))+Examples!$F$17*$A537^2)</f>
        <v>575965.56709262542</v>
      </c>
      <c r="J537" s="33">
        <f>Examples!$G$18-(Examples!$G$10+Examples!$G$11)*$A537-(Examples!$G$6*Examples!$G$7*Examples!$G$8*EXP(-Examples!$G$9*$A537)*(1-(Examples!$G$12*(1-EXP(-Examples!$G$13*$A537))/(1+EXP(MIN(700,MAX(-700,(Examples!$G$14*$A537-Examples!$G$15)/Examples!$G$16))))))+Examples!$G$17*$A537^2)</f>
        <v>701053.84970077383</v>
      </c>
      <c r="K537" s="33">
        <f>(Examples!$G$6*Examples!$G$7*Examples!$G$8*EXP(-Examples!$G$9*$A537)*(1-(Examples!$G$12*(1-EXP(-Examples!$G$13*$A537))/(1+EXP(MIN(700,MAX(-700,(Examples!$G$14*$A537-Examples!$G$15)/Examples!$G$16))))))+Examples!$G$17*$A537^2)</f>
        <v>531446.15029922617</v>
      </c>
      <c r="L537" s="33">
        <f>Examples!$H$18-(Examples!$H$10+Examples!$H$11)*$A537-(Examples!$H$6*Examples!$H$7*Examples!$H$8*EXP(-Examples!$H$9*$A537)*(1-(Examples!$H$12*(1-EXP(-Examples!$H$13*$A537))/(1+EXP(MIN(700,MAX(-700,(Examples!$H$14*$A537-Examples!$H$15)/Examples!$H$16))))))+Examples!$H$17*$A537^2)</f>
        <v>696067.39811948233</v>
      </c>
      <c r="M537" s="33">
        <f>(Examples!$H$6*Examples!$H$7*Examples!$H$8*EXP(-Examples!$H$9*$A537)*(1-(Examples!$H$12*(1-EXP(-Examples!$H$13*$A537))/(1+EXP(MIN(700,MAX(-700,(Examples!$H$14*$A537-Examples!$H$15)/Examples!$H$16))))))+Examples!$H$17*$A537^2)</f>
        <v>536432.60188051767</v>
      </c>
    </row>
    <row r="538" spans="1:13" x14ac:dyDescent="0.25">
      <c r="A538">
        <f>(538-2)/100</f>
        <v>5.36</v>
      </c>
      <c r="B538" s="33">
        <f>Examples!$C$18-(Examples!$C$10+Examples!$C$11)*$A538-(Examples!$C$6*Examples!$C$7*Examples!$C$8*EXP(-Examples!$C$9*$A538)*(1-(Examples!$C$12*(1-EXP(-Examples!$C$13*$A538))/(1+EXP(MIN(700,MAX(-700,(Examples!$C$14*$A538-Examples!$C$15)/Examples!$C$16))))))+Examples!$C$17*$A538^2)</f>
        <v>-138716.38707253791</v>
      </c>
      <c r="C538" s="33">
        <f>(Examples!$C$6*Examples!$C$7*Examples!$C$8*EXP(-Examples!$C$9*$A538)*(1-(Examples!$C$12*(1-EXP(-Examples!$C$13*$A538))/(1+EXP(MIN(700,MAX(-700,(Examples!$C$14*$A538-Examples!$C$15)/Examples!$C$16))))))+Examples!$C$17*$A538^2)</f>
        <v>551116.38707253791</v>
      </c>
      <c r="D538" s="33">
        <f>Examples!$D$18-(Examples!$D$10+Examples!$D$11)*$A538-(Examples!$D$6*Examples!$D$7*Examples!$D$8*EXP(-Examples!$D$9*$A538)*(1-(Examples!$D$12*(1-EXP(-Examples!$D$13*$A538))/(1+EXP(MIN(700,MAX(-700,(Examples!$D$14*$A538-Examples!$D$15)/Examples!$D$16))))))+Examples!$D$17*$A538^2)</f>
        <v>1617852.7023296105</v>
      </c>
      <c r="E538" s="33">
        <f>(Examples!$D$6*Examples!$D$7*Examples!$D$8*EXP(-Examples!$D$9*$A538)*(1-(Examples!$D$12*(1-EXP(-Examples!$D$13*$A538))/(1+EXP(MIN(700,MAX(-700,(Examples!$D$14*$A538-Examples!$D$15)/Examples!$D$16))))))+Examples!$D$17*$A538^2)</f>
        <v>640947.29767038941</v>
      </c>
      <c r="F538" s="33">
        <f>Examples!$E$18-(Examples!$E$10+Examples!$E$11)*$A538-(Examples!$E$6*Examples!$E$7*Examples!$E$8*EXP(-Examples!$E$9*$A538)*(1-(Examples!$E$12*(1-EXP(-Examples!$E$13*$A538))/(1+EXP(MIN(700,MAX(-700,(Examples!$E$14*$A538-Examples!$E$15)/Examples!$E$16))))))+Examples!$E$17*$A538^2)</f>
        <v>2338932.6878344025</v>
      </c>
      <c r="G538" s="33">
        <f>(Examples!$E$6*Examples!$E$7*Examples!$E$8*EXP(-Examples!$E$9*$A538)*(1-(Examples!$E$12*(1-EXP(-Examples!$E$13*$A538))/(1+EXP(MIN(700,MAX(-700,(Examples!$E$14*$A538-Examples!$E$15)/Examples!$E$16))))))+Examples!$E$17*$A538^2)</f>
        <v>205467.31216559722</v>
      </c>
      <c r="H538" s="33">
        <f>Examples!$F$18-(Examples!$F$10+Examples!$F$11)*$A538-(Examples!$F$6*Examples!$F$7*Examples!$F$8*EXP(-Examples!$F$9*$A538)*(1-(Examples!$F$12*(1-EXP(-Examples!$F$13*$A538))/(1+EXP(MIN(700,MAX(-700,(Examples!$F$14*$A538-Examples!$F$15)/Examples!$F$16))))))+Examples!$F$17*$A538^2)</f>
        <v>-535297.03620013106</v>
      </c>
      <c r="I538" s="33">
        <f>(Examples!$F$6*Examples!$F$7*Examples!$F$8*EXP(-Examples!$F$9*$A538)*(1-(Examples!$F$12*(1-EXP(-Examples!$F$13*$A538))/(1+EXP(MIN(700,MAX(-700,(Examples!$F$14*$A538-Examples!$F$15)/Examples!$F$16))))))+Examples!$F$17*$A538^2)</f>
        <v>578097.03620013106</v>
      </c>
      <c r="J538" s="33">
        <f>Examples!$G$18-(Examples!$G$10+Examples!$G$11)*$A538-(Examples!$G$6*Examples!$G$7*Examples!$G$8*EXP(-Examples!$G$9*$A538)*(1-(Examples!$G$12*(1-EXP(-Examples!$G$13*$A538))/(1+EXP(MIN(700,MAX(-700,(Examples!$G$14*$A538-Examples!$G$15)/Examples!$G$16))))))+Examples!$G$17*$A538^2)</f>
        <v>700690.93397508981</v>
      </c>
      <c r="K538" s="33">
        <f>(Examples!$G$6*Examples!$G$7*Examples!$G$8*EXP(-Examples!$G$9*$A538)*(1-(Examples!$G$12*(1-EXP(-Examples!$G$13*$A538))/(1+EXP(MIN(700,MAX(-700,(Examples!$G$14*$A538-Examples!$G$15)/Examples!$G$16))))))+Examples!$G$17*$A538^2)</f>
        <v>531309.06602491019</v>
      </c>
      <c r="L538" s="33">
        <f>Examples!$H$18-(Examples!$H$10+Examples!$H$11)*$A538-(Examples!$H$6*Examples!$H$7*Examples!$H$8*EXP(-Examples!$H$9*$A538)*(1-(Examples!$H$12*(1-EXP(-Examples!$H$13*$A538))/(1+EXP(MIN(700,MAX(-700,(Examples!$H$14*$A538-Examples!$H$15)/Examples!$H$16))))))+Examples!$H$17*$A538^2)</f>
        <v>695784.02363361418</v>
      </c>
      <c r="M538" s="33">
        <f>(Examples!$H$6*Examples!$H$7*Examples!$H$8*EXP(-Examples!$H$9*$A538)*(1-(Examples!$H$12*(1-EXP(-Examples!$H$13*$A538))/(1+EXP(MIN(700,MAX(-700,(Examples!$H$14*$A538-Examples!$H$15)/Examples!$H$16))))))+Examples!$H$17*$A538^2)</f>
        <v>536215.97636638582</v>
      </c>
    </row>
    <row r="539" spans="1:13" x14ac:dyDescent="0.25">
      <c r="A539">
        <f>(539-2)/100</f>
        <v>5.37</v>
      </c>
      <c r="B539" s="33">
        <f>Examples!$C$18-(Examples!$C$10+Examples!$C$11)*$A539-(Examples!$C$6*Examples!$C$7*Examples!$C$8*EXP(-Examples!$C$9*$A539)*(1-(Examples!$C$12*(1-EXP(-Examples!$C$13*$A539))/(1+EXP(MIN(700,MAX(-700,(Examples!$C$14*$A539-Examples!$C$15)/Examples!$C$16))))))+Examples!$C$17*$A539^2)</f>
        <v>-140315.919365815</v>
      </c>
      <c r="C539" s="33">
        <f>(Examples!$C$6*Examples!$C$7*Examples!$C$8*EXP(-Examples!$C$9*$A539)*(1-(Examples!$C$12*(1-EXP(-Examples!$C$13*$A539))/(1+EXP(MIN(700,MAX(-700,(Examples!$C$14*$A539-Examples!$C$15)/Examples!$C$16))))))+Examples!$C$17*$A539^2)</f>
        <v>552365.919365815</v>
      </c>
      <c r="D539" s="33">
        <f>Examples!$D$18-(Examples!$D$10+Examples!$D$11)*$A539-(Examples!$D$6*Examples!$D$7*Examples!$D$8*EXP(-Examples!$D$9*$A539)*(1-(Examples!$D$12*(1-EXP(-Examples!$D$13*$A539))/(1+EXP(MIN(700,MAX(-700,(Examples!$D$14*$A539-Examples!$D$15)/Examples!$D$16))))))+Examples!$D$17*$A539^2)</f>
        <v>1618630.0080147227</v>
      </c>
      <c r="E539" s="33">
        <f>(Examples!$D$6*Examples!$D$7*Examples!$D$8*EXP(-Examples!$D$9*$A539)*(1-(Examples!$D$12*(1-EXP(-Examples!$D$13*$A539))/(1+EXP(MIN(700,MAX(-700,(Examples!$D$14*$A539-Examples!$D$15)/Examples!$D$16))))))+Examples!$D$17*$A539^2)</f>
        <v>639719.99198527716</v>
      </c>
      <c r="F539" s="33">
        <f>Examples!$E$18-(Examples!$E$10+Examples!$E$11)*$A539-(Examples!$E$6*Examples!$E$7*Examples!$E$8*EXP(-Examples!$E$9*$A539)*(1-(Examples!$E$12*(1-EXP(-Examples!$E$13*$A539))/(1+EXP(MIN(700,MAX(-700,(Examples!$E$14*$A539-Examples!$E$15)/Examples!$E$16))))))+Examples!$E$17*$A539^2)</f>
        <v>2338067.2667231429</v>
      </c>
      <c r="G539" s="33">
        <f>(Examples!$E$6*Examples!$E$7*Examples!$E$8*EXP(-Examples!$E$9*$A539)*(1-(Examples!$E$12*(1-EXP(-Examples!$E$13*$A539))/(1+EXP(MIN(700,MAX(-700,(Examples!$E$14*$A539-Examples!$E$15)/Examples!$E$16))))))+Examples!$E$17*$A539^2)</f>
        <v>205482.73327685689</v>
      </c>
      <c r="H539" s="33">
        <f>Examples!$F$18-(Examples!$F$10+Examples!$F$11)*$A539-(Examples!$F$6*Examples!$F$7*Examples!$F$8*EXP(-Examples!$F$9*$A539)*(1-(Examples!$F$12*(1-EXP(-Examples!$F$13*$A539))/(1+EXP(MIN(700,MAX(-700,(Examples!$F$14*$A539-Examples!$F$15)/Examples!$F$16))))))+Examples!$F$17*$A539^2)</f>
        <v>-537632.53685278469</v>
      </c>
      <c r="I539" s="33">
        <f>(Examples!$F$6*Examples!$F$7*Examples!$F$8*EXP(-Examples!$F$9*$A539)*(1-(Examples!$F$12*(1-EXP(-Examples!$F$13*$A539))/(1+EXP(MIN(700,MAX(-700,(Examples!$F$14*$A539-Examples!$F$15)/Examples!$F$16))))))+Examples!$F$17*$A539^2)</f>
        <v>580232.53685278469</v>
      </c>
      <c r="J539" s="33">
        <f>Examples!$G$18-(Examples!$G$10+Examples!$G$11)*$A539-(Examples!$G$6*Examples!$G$7*Examples!$G$8*EXP(-Examples!$G$9*$A539)*(1-(Examples!$G$12*(1-EXP(-Examples!$G$13*$A539))/(1+EXP(MIN(700,MAX(-700,(Examples!$G$14*$A539-Examples!$G$15)/Examples!$G$16))))))+Examples!$G$17*$A539^2)</f>
        <v>700323.92705854913</v>
      </c>
      <c r="K539" s="33">
        <f>(Examples!$G$6*Examples!$G$7*Examples!$G$8*EXP(-Examples!$G$9*$A539)*(1-(Examples!$G$12*(1-EXP(-Examples!$G$13*$A539))/(1+EXP(MIN(700,MAX(-700,(Examples!$G$14*$A539-Examples!$G$15)/Examples!$G$16))))))+Examples!$G$17*$A539^2)</f>
        <v>531176.07294145087</v>
      </c>
      <c r="L539" s="33">
        <f>Examples!$H$18-(Examples!$H$10+Examples!$H$11)*$A539-(Examples!$H$6*Examples!$H$7*Examples!$H$8*EXP(-Examples!$H$9*$A539)*(1-(Examples!$H$12*(1-EXP(-Examples!$H$13*$A539))/(1+EXP(MIN(700,MAX(-700,(Examples!$H$14*$A539-Examples!$H$15)/Examples!$H$16))))))+Examples!$H$17*$A539^2)</f>
        <v>695495.32551917352</v>
      </c>
      <c r="M539" s="33">
        <f>(Examples!$H$6*Examples!$H$7*Examples!$H$8*EXP(-Examples!$H$9*$A539)*(1-(Examples!$H$12*(1-EXP(-Examples!$H$13*$A539))/(1+EXP(MIN(700,MAX(-700,(Examples!$H$14*$A539-Examples!$H$15)/Examples!$H$16))))))+Examples!$H$17*$A539^2)</f>
        <v>536004.67448082648</v>
      </c>
    </row>
    <row r="540" spans="1:13" x14ac:dyDescent="0.25">
      <c r="A540">
        <f>(540-2)/100</f>
        <v>5.38</v>
      </c>
      <c r="B540" s="33">
        <f>Examples!$C$18-(Examples!$C$10+Examples!$C$11)*$A540-(Examples!$C$6*Examples!$C$7*Examples!$C$8*EXP(-Examples!$C$9*$A540)*(1-(Examples!$C$12*(1-EXP(-Examples!$C$13*$A540))/(1+EXP(MIN(700,MAX(-700,(Examples!$C$14*$A540-Examples!$C$15)/Examples!$C$16))))))+Examples!$C$17*$A540^2)</f>
        <v>-141919.52962037898</v>
      </c>
      <c r="C540" s="33">
        <f>(Examples!$C$6*Examples!$C$7*Examples!$C$8*EXP(-Examples!$C$9*$A540)*(1-(Examples!$C$12*(1-EXP(-Examples!$C$13*$A540))/(1+EXP(MIN(700,MAX(-700,(Examples!$C$14*$A540-Examples!$C$15)/Examples!$C$16))))))+Examples!$C$17*$A540^2)</f>
        <v>553619.52962037898</v>
      </c>
      <c r="D540" s="33">
        <f>Examples!$D$18-(Examples!$D$10+Examples!$D$11)*$A540-(Examples!$D$6*Examples!$D$7*Examples!$D$8*EXP(-Examples!$D$9*$A540)*(1-(Examples!$D$12*(1-EXP(-Examples!$D$13*$A540))/(1+EXP(MIN(700,MAX(-700,(Examples!$D$14*$A540-Examples!$D$15)/Examples!$D$16))))))+Examples!$D$17*$A540^2)</f>
        <v>1619405.2220034949</v>
      </c>
      <c r="E540" s="33">
        <f>(Examples!$D$6*Examples!$D$7*Examples!$D$8*EXP(-Examples!$D$9*$A540)*(1-(Examples!$D$12*(1-EXP(-Examples!$D$13*$A540))/(1+EXP(MIN(700,MAX(-700,(Examples!$D$14*$A540-Examples!$D$15)/Examples!$D$16))))))+Examples!$D$17*$A540^2)</f>
        <v>638494.77799650514</v>
      </c>
      <c r="F540" s="33">
        <f>Examples!$E$18-(Examples!$E$10+Examples!$E$11)*$A540-(Examples!$E$6*Examples!$E$7*Examples!$E$8*EXP(-Examples!$E$9*$A540)*(1-(Examples!$E$12*(1-EXP(-Examples!$E$13*$A540))/(1+EXP(MIN(700,MAX(-700,(Examples!$E$14*$A540-Examples!$E$15)/Examples!$E$16))))))+Examples!$E$17*$A540^2)</f>
        <v>2337201.3301808354</v>
      </c>
      <c r="G540" s="33">
        <f>(Examples!$E$6*Examples!$E$7*Examples!$E$8*EXP(-Examples!$E$9*$A540)*(1-(Examples!$E$12*(1-EXP(-Examples!$E$13*$A540))/(1+EXP(MIN(700,MAX(-700,(Examples!$E$14*$A540-Examples!$E$15)/Examples!$E$16))))))+Examples!$E$17*$A540^2)</f>
        <v>205498.66981916453</v>
      </c>
      <c r="H540" s="33">
        <f>Examples!$F$18-(Examples!$F$10+Examples!$F$11)*$A540-(Examples!$F$6*Examples!$F$7*Examples!$F$8*EXP(-Examples!$F$9*$A540)*(1-(Examples!$F$12*(1-EXP(-Examples!$F$13*$A540))/(1+EXP(MIN(700,MAX(-700,(Examples!$F$14*$A540-Examples!$F$15)/Examples!$F$16))))))+Examples!$F$17*$A540^2)</f>
        <v>-539972.06895610073</v>
      </c>
      <c r="I540" s="33">
        <f>(Examples!$F$6*Examples!$F$7*Examples!$F$8*EXP(-Examples!$F$9*$A540)*(1-(Examples!$F$12*(1-EXP(-Examples!$F$13*$A540))/(1+EXP(MIN(700,MAX(-700,(Examples!$F$14*$A540-Examples!$F$15)/Examples!$F$16))))))+Examples!$F$17*$A540^2)</f>
        <v>582372.06895610073</v>
      </c>
      <c r="J540" s="33">
        <f>Examples!$G$18-(Examples!$G$10+Examples!$G$11)*$A540-(Examples!$G$6*Examples!$G$7*Examples!$G$8*EXP(-Examples!$G$9*$A540)*(1-(Examples!$G$12*(1-EXP(-Examples!$G$13*$A540))/(1+EXP(MIN(700,MAX(-700,(Examples!$G$14*$A540-Examples!$G$15)/Examples!$G$16))))))+Examples!$G$17*$A540^2)</f>
        <v>699952.82298753667</v>
      </c>
      <c r="K540" s="33">
        <f>(Examples!$G$6*Examples!$G$7*Examples!$G$8*EXP(-Examples!$G$9*$A540)*(1-(Examples!$G$12*(1-EXP(-Examples!$G$13*$A540))/(1+EXP(MIN(700,MAX(-700,(Examples!$G$14*$A540-Examples!$G$15)/Examples!$G$16))))))+Examples!$G$17*$A540^2)</f>
        <v>531047.17701246333</v>
      </c>
      <c r="L540" s="33">
        <f>Examples!$H$18-(Examples!$H$10+Examples!$H$11)*$A540-(Examples!$H$6*Examples!$H$7*Examples!$H$8*EXP(-Examples!$H$9*$A540)*(1-(Examples!$H$12*(1-EXP(-Examples!$H$13*$A540))/(1+EXP(MIN(700,MAX(-700,(Examples!$H$14*$A540-Examples!$H$15)/Examples!$H$16))))))+Examples!$H$17*$A540^2)</f>
        <v>695201.31586474797</v>
      </c>
      <c r="M540" s="33">
        <f>(Examples!$H$6*Examples!$H$7*Examples!$H$8*EXP(-Examples!$H$9*$A540)*(1-(Examples!$H$12*(1-EXP(-Examples!$H$13*$A540))/(1+EXP(MIN(700,MAX(-700,(Examples!$H$14*$A540-Examples!$H$15)/Examples!$H$16))))))+Examples!$H$17*$A540^2)</f>
        <v>535798.68413525203</v>
      </c>
    </row>
    <row r="541" spans="1:13" x14ac:dyDescent="0.25">
      <c r="A541">
        <f>(541-2)/100</f>
        <v>5.39</v>
      </c>
      <c r="B541" s="33">
        <f>Examples!$C$18-(Examples!$C$10+Examples!$C$11)*$A541-(Examples!$C$6*Examples!$C$7*Examples!$C$8*EXP(-Examples!$C$9*$A541)*(1-(Examples!$C$12*(1-EXP(-Examples!$C$13*$A541))/(1+EXP(MIN(700,MAX(-700,(Examples!$C$14*$A541-Examples!$C$15)/Examples!$C$16))))))+Examples!$C$17*$A541^2)</f>
        <v>-143527.2146185264</v>
      </c>
      <c r="C541" s="33">
        <f>(Examples!$C$6*Examples!$C$7*Examples!$C$8*EXP(-Examples!$C$9*$A541)*(1-(Examples!$C$12*(1-EXP(-Examples!$C$13*$A541))/(1+EXP(MIN(700,MAX(-700,(Examples!$C$14*$A541-Examples!$C$15)/Examples!$C$16))))))+Examples!$C$17*$A541^2)</f>
        <v>554877.2146185264</v>
      </c>
      <c r="D541" s="33">
        <f>Examples!$D$18-(Examples!$D$10+Examples!$D$11)*$A541-(Examples!$D$6*Examples!$D$7*Examples!$D$8*EXP(-Examples!$D$9*$A541)*(1-(Examples!$D$12*(1-EXP(-Examples!$D$13*$A541))/(1+EXP(MIN(700,MAX(-700,(Examples!$D$14*$A541-Examples!$D$15)/Examples!$D$16))))))+Examples!$D$17*$A541^2)</f>
        <v>1620178.2661925978</v>
      </c>
      <c r="E541" s="33">
        <f>(Examples!$D$6*Examples!$D$7*Examples!$D$8*EXP(-Examples!$D$9*$A541)*(1-(Examples!$D$12*(1-EXP(-Examples!$D$13*$A541))/(1+EXP(MIN(700,MAX(-700,(Examples!$D$14*$A541-Examples!$D$15)/Examples!$D$16))))))+Examples!$D$17*$A541^2)</f>
        <v>637271.73380740231</v>
      </c>
      <c r="F541" s="33">
        <f>Examples!$E$18-(Examples!$E$10+Examples!$E$11)*$A541-(Examples!$E$6*Examples!$E$7*Examples!$E$8*EXP(-Examples!$E$9*$A541)*(1-(Examples!$E$12*(1-EXP(-Examples!$E$13*$A541))/(1+EXP(MIN(700,MAX(-700,(Examples!$E$14*$A541-Examples!$E$15)/Examples!$E$16))))))+Examples!$E$17*$A541^2)</f>
        <v>2336334.8794510234</v>
      </c>
      <c r="G541" s="33">
        <f>(Examples!$E$6*Examples!$E$7*Examples!$E$8*EXP(-Examples!$E$9*$A541)*(1-(Examples!$E$12*(1-EXP(-Examples!$E$13*$A541))/(1+EXP(MIN(700,MAX(-700,(Examples!$E$14*$A541-Examples!$E$15)/Examples!$E$16))))))+Examples!$E$17*$A541^2)</f>
        <v>205515.12054897667</v>
      </c>
      <c r="H541" s="33">
        <f>Examples!$F$18-(Examples!$F$10+Examples!$F$11)*$A541-(Examples!$F$6*Examples!$F$7*Examples!$F$8*EXP(-Examples!$F$9*$A541)*(1-(Examples!$F$12*(1-EXP(-Examples!$F$13*$A541))/(1+EXP(MIN(700,MAX(-700,(Examples!$F$14*$A541-Examples!$F$15)/Examples!$F$16))))))+Examples!$F$17*$A541^2)</f>
        <v>-542315.63241587603</v>
      </c>
      <c r="I541" s="33">
        <f>(Examples!$F$6*Examples!$F$7*Examples!$F$8*EXP(-Examples!$F$9*$A541)*(1-(Examples!$F$12*(1-EXP(-Examples!$F$13*$A541))/(1+EXP(MIN(700,MAX(-700,(Examples!$F$14*$A541-Examples!$F$15)/Examples!$F$16))))))+Examples!$F$17*$A541^2)</f>
        <v>584515.63241587603</v>
      </c>
      <c r="J541" s="33">
        <f>Examples!$G$18-(Examples!$G$10+Examples!$G$11)*$A541-(Examples!$G$6*Examples!$G$7*Examples!$G$8*EXP(-Examples!$G$9*$A541)*(1-(Examples!$G$12*(1-EXP(-Examples!$G$13*$A541))/(1+EXP(MIN(700,MAX(-700,(Examples!$G$14*$A541-Examples!$G$15)/Examples!$G$16))))))+Examples!$G$17*$A541^2)</f>
        <v>699577.61602105771</v>
      </c>
      <c r="K541" s="33">
        <f>(Examples!$G$6*Examples!$G$7*Examples!$G$8*EXP(-Examples!$G$9*$A541)*(1-(Examples!$G$12*(1-EXP(-Examples!$G$13*$A541))/(1+EXP(MIN(700,MAX(-700,(Examples!$G$14*$A541-Examples!$G$15)/Examples!$G$16))))))+Examples!$G$17*$A541^2)</f>
        <v>530922.38397894229</v>
      </c>
      <c r="L541" s="33">
        <f>Examples!$H$18-(Examples!$H$10+Examples!$H$11)*$A541-(Examples!$H$6*Examples!$H$7*Examples!$H$8*EXP(-Examples!$H$9*$A541)*(1-(Examples!$H$12*(1-EXP(-Examples!$H$13*$A541))/(1+EXP(MIN(700,MAX(-700,(Examples!$H$14*$A541-Examples!$H$15)/Examples!$H$16))))))+Examples!$H$17*$A541^2)</f>
        <v>694902.00674829248</v>
      </c>
      <c r="M541" s="33">
        <f>(Examples!$H$6*Examples!$H$7*Examples!$H$8*EXP(-Examples!$H$9*$A541)*(1-(Examples!$H$12*(1-EXP(-Examples!$H$13*$A541))/(1+EXP(MIN(700,MAX(-700,(Examples!$H$14*$A541-Examples!$H$15)/Examples!$H$16))))))+Examples!$H$17*$A541^2)</f>
        <v>535597.99325170752</v>
      </c>
    </row>
    <row r="542" spans="1:13" x14ac:dyDescent="0.25">
      <c r="A542">
        <f>(542-2)/100</f>
        <v>5.4</v>
      </c>
      <c r="B542" s="33">
        <f>Examples!$C$18-(Examples!$C$10+Examples!$C$11)*$A542-(Examples!$C$6*Examples!$C$7*Examples!$C$8*EXP(-Examples!$C$9*$A542)*(1-(Examples!$C$12*(1-EXP(-Examples!$C$13*$A542))/(1+EXP(MIN(700,MAX(-700,(Examples!$C$14*$A542-Examples!$C$15)/Examples!$C$16))))))+Examples!$C$17*$A542^2)</f>
        <v>-145138.97115179698</v>
      </c>
      <c r="C542" s="33">
        <f>(Examples!$C$6*Examples!$C$7*Examples!$C$8*EXP(-Examples!$C$9*$A542)*(1-(Examples!$C$12*(1-EXP(-Examples!$C$13*$A542))/(1+EXP(MIN(700,MAX(-700,(Examples!$C$14*$A542-Examples!$C$15)/Examples!$C$16))))))+Examples!$C$17*$A542^2)</f>
        <v>556138.97115179698</v>
      </c>
      <c r="D542" s="33">
        <f>Examples!$D$18-(Examples!$D$10+Examples!$D$11)*$A542-(Examples!$D$6*Examples!$D$7*Examples!$D$8*EXP(-Examples!$D$9*$A542)*(1-(Examples!$D$12*(1-EXP(-Examples!$D$13*$A542))/(1+EXP(MIN(700,MAX(-700,(Examples!$D$14*$A542-Examples!$D$15)/Examples!$D$16))))))+Examples!$D$17*$A542^2)</f>
        <v>1620949.0633889469</v>
      </c>
      <c r="E542" s="33">
        <f>(Examples!$D$6*Examples!$D$7*Examples!$D$8*EXP(-Examples!$D$9*$A542)*(1-(Examples!$D$12*(1-EXP(-Examples!$D$13*$A542))/(1+EXP(MIN(700,MAX(-700,(Examples!$D$14*$A542-Examples!$D$15)/Examples!$D$16))))))+Examples!$D$17*$A542^2)</f>
        <v>636050.93661105295</v>
      </c>
      <c r="F542" s="33">
        <f>Examples!$E$18-(Examples!$E$10+Examples!$E$11)*$A542-(Examples!$E$6*Examples!$E$7*Examples!$E$8*EXP(-Examples!$E$9*$A542)*(1-(Examples!$E$12*(1-EXP(-Examples!$E$13*$A542))/(1+EXP(MIN(700,MAX(-700,(Examples!$E$14*$A542-Examples!$E$15)/Examples!$E$16))))))+Examples!$E$17*$A542^2)</f>
        <v>2335467.9156077392</v>
      </c>
      <c r="G542" s="33">
        <f>(Examples!$E$6*Examples!$E$7*Examples!$E$8*EXP(-Examples!$E$9*$A542)*(1-(Examples!$E$12*(1-EXP(-Examples!$E$13*$A542))/(1+EXP(MIN(700,MAX(-700,(Examples!$E$14*$A542-Examples!$E$15)/Examples!$E$16))))))+Examples!$E$17*$A542^2)</f>
        <v>205532.08439226099</v>
      </c>
      <c r="H542" s="33">
        <f>Examples!$F$18-(Examples!$F$10+Examples!$F$11)*$A542-(Examples!$F$6*Examples!$F$7*Examples!$F$8*EXP(-Examples!$F$9*$A542)*(1-(Examples!$F$12*(1-EXP(-Examples!$F$13*$A542))/(1+EXP(MIN(700,MAX(-700,(Examples!$F$14*$A542-Examples!$F$15)/Examples!$F$16))))))+Examples!$F$17*$A542^2)</f>
        <v>-544663.2271381896</v>
      </c>
      <c r="I542" s="33">
        <f>(Examples!$F$6*Examples!$F$7*Examples!$F$8*EXP(-Examples!$F$9*$A542)*(1-(Examples!$F$12*(1-EXP(-Examples!$F$13*$A542))/(1+EXP(MIN(700,MAX(-700,(Examples!$F$14*$A542-Examples!$F$15)/Examples!$F$16))))))+Examples!$F$17*$A542^2)</f>
        <v>586663.2271381896</v>
      </c>
      <c r="J542" s="33">
        <f>Examples!$G$18-(Examples!$G$10+Examples!$G$11)*$A542-(Examples!$G$6*Examples!$G$7*Examples!$G$8*EXP(-Examples!$G$9*$A542)*(1-(Examples!$G$12*(1-EXP(-Examples!$G$13*$A542))/(1+EXP(MIN(700,MAX(-700,(Examples!$G$14*$A542-Examples!$G$15)/Examples!$G$16))))))+Examples!$G$17*$A542^2)</f>
        <v>699198.30063767056</v>
      </c>
      <c r="K542" s="33">
        <f>(Examples!$G$6*Examples!$G$7*Examples!$G$8*EXP(-Examples!$G$9*$A542)*(1-(Examples!$G$12*(1-EXP(-Examples!$G$13*$A542))/(1+EXP(MIN(700,MAX(-700,(Examples!$G$14*$A542-Examples!$G$15)/Examples!$G$16))))))+Examples!$G$17*$A542^2)</f>
        <v>530801.69936232944</v>
      </c>
      <c r="L542" s="33">
        <f>Examples!$H$18-(Examples!$H$10+Examples!$H$11)*$A542-(Examples!$H$6*Examples!$H$7*Examples!$H$8*EXP(-Examples!$H$9*$A542)*(1-(Examples!$H$12*(1-EXP(-Examples!$H$13*$A542))/(1+EXP(MIN(700,MAX(-700,(Examples!$H$14*$A542-Examples!$H$15)/Examples!$H$16))))))+Examples!$H$17*$A542^2)</f>
        <v>694597.41023608507</v>
      </c>
      <c r="M542" s="33">
        <f>(Examples!$H$6*Examples!$H$7*Examples!$H$8*EXP(-Examples!$H$9*$A542)*(1-(Examples!$H$12*(1-EXP(-Examples!$H$13*$A542))/(1+EXP(MIN(700,MAX(-700,(Examples!$H$14*$A542-Examples!$H$15)/Examples!$H$16))))))+Examples!$H$17*$A542^2)</f>
        <v>535402.58976391493</v>
      </c>
    </row>
    <row r="543" spans="1:13" x14ac:dyDescent="0.25">
      <c r="A543">
        <f>(543-2)/100</f>
        <v>5.41</v>
      </c>
      <c r="B543" s="33">
        <f>Examples!$C$18-(Examples!$C$10+Examples!$C$11)*$A543-(Examples!$C$6*Examples!$C$7*Examples!$C$8*EXP(-Examples!$C$9*$A543)*(1-(Examples!$C$12*(1-EXP(-Examples!$C$13*$A543))/(1+EXP(MIN(700,MAX(-700,(Examples!$C$14*$A543-Examples!$C$15)/Examples!$C$16))))))+Examples!$C$17*$A543^2)</f>
        <v>-146754.79602095834</v>
      </c>
      <c r="C543" s="33">
        <f>(Examples!$C$6*Examples!$C$7*Examples!$C$8*EXP(-Examples!$C$9*$A543)*(1-(Examples!$C$12*(1-EXP(-Examples!$C$13*$A543))/(1+EXP(MIN(700,MAX(-700,(Examples!$C$14*$A543-Examples!$C$15)/Examples!$C$16))))))+Examples!$C$17*$A543^2)</f>
        <v>557404.79602095834</v>
      </c>
      <c r="D543" s="33">
        <f>Examples!$D$18-(Examples!$D$10+Examples!$D$11)*$A543-(Examples!$D$6*Examples!$D$7*Examples!$D$8*EXP(-Examples!$D$9*$A543)*(1-(Examples!$D$12*(1-EXP(-Examples!$D$13*$A543))/(1+EXP(MIN(700,MAX(-700,(Examples!$D$14*$A543-Examples!$D$15)/Examples!$D$16))))))+Examples!$D$17*$A543^2)</f>
        <v>1621717.5373150986</v>
      </c>
      <c r="E543" s="33">
        <f>(Examples!$D$6*Examples!$D$7*Examples!$D$8*EXP(-Examples!$D$9*$A543)*(1-(Examples!$D$12*(1-EXP(-Examples!$D$13*$A543))/(1+EXP(MIN(700,MAX(-700,(Examples!$D$14*$A543-Examples!$D$15)/Examples!$D$16))))))+Examples!$D$17*$A543^2)</f>
        <v>634832.46268490143</v>
      </c>
      <c r="F543" s="33">
        <f>Examples!$E$18-(Examples!$E$10+Examples!$E$11)*$A543-(Examples!$E$6*Examples!$E$7*Examples!$E$8*EXP(-Examples!$E$9*$A543)*(1-(Examples!$E$12*(1-EXP(-Examples!$E$13*$A543))/(1+EXP(MIN(700,MAX(-700,(Examples!$E$14*$A543-Examples!$E$15)/Examples!$E$16))))))+Examples!$E$17*$A543^2)</f>
        <v>2334600.4395577419</v>
      </c>
      <c r="G543" s="33">
        <f>(Examples!$E$6*Examples!$E$7*Examples!$E$8*EXP(-Examples!$E$9*$A543)*(1-(Examples!$E$12*(1-EXP(-Examples!$E$13*$A543))/(1+EXP(MIN(700,MAX(-700,(Examples!$E$14*$A543-Examples!$E$15)/Examples!$E$16))))))+Examples!$E$17*$A543^2)</f>
        <v>205549.56044225808</v>
      </c>
      <c r="H543" s="33">
        <f>Examples!$F$18-(Examples!$F$10+Examples!$F$11)*$A543-(Examples!$F$6*Examples!$F$7*Examples!$F$8*EXP(-Examples!$F$9*$A543)*(1-(Examples!$F$12*(1-EXP(-Examples!$F$13*$A543))/(1+EXP(MIN(700,MAX(-700,(Examples!$F$14*$A543-Examples!$F$15)/Examples!$F$16))))))+Examples!$F$17*$A543^2)</f>
        <v>-547014.85302940046</v>
      </c>
      <c r="I543" s="33">
        <f>(Examples!$F$6*Examples!$F$7*Examples!$F$8*EXP(-Examples!$F$9*$A543)*(1-(Examples!$F$12*(1-EXP(-Examples!$F$13*$A543))/(1+EXP(MIN(700,MAX(-700,(Examples!$F$14*$A543-Examples!$F$15)/Examples!$F$16))))))+Examples!$F$17*$A543^2)</f>
        <v>588814.85302940046</v>
      </c>
      <c r="J543" s="33">
        <f>Examples!$G$18-(Examples!$G$10+Examples!$G$11)*$A543-(Examples!$G$6*Examples!$G$7*Examples!$G$8*EXP(-Examples!$G$9*$A543)*(1-(Examples!$G$12*(1-EXP(-Examples!$G$13*$A543))/(1+EXP(MIN(700,MAX(-700,(Examples!$G$14*$A543-Examples!$G$15)/Examples!$G$16))))))+Examples!$G$17*$A543^2)</f>
        <v>698814.87153243984</v>
      </c>
      <c r="K543" s="33">
        <f>(Examples!$G$6*Examples!$G$7*Examples!$G$8*EXP(-Examples!$G$9*$A543)*(1-(Examples!$G$12*(1-EXP(-Examples!$G$13*$A543))/(1+EXP(MIN(700,MAX(-700,(Examples!$G$14*$A543-Examples!$G$15)/Examples!$G$16))))))+Examples!$G$17*$A543^2)</f>
        <v>530685.12846756016</v>
      </c>
      <c r="L543" s="33">
        <f>Examples!$H$18-(Examples!$H$10+Examples!$H$11)*$A543-(Examples!$H$6*Examples!$H$7*Examples!$H$8*EXP(-Examples!$H$9*$A543)*(1-(Examples!$H$12*(1-EXP(-Examples!$H$13*$A543))/(1+EXP(MIN(700,MAX(-700,(Examples!$H$14*$A543-Examples!$H$15)/Examples!$H$16))))))+Examples!$H$17*$A543^2)</f>
        <v>694287.5383817245</v>
      </c>
      <c r="M543" s="33">
        <f>(Examples!$H$6*Examples!$H$7*Examples!$H$8*EXP(-Examples!$H$9*$A543)*(1-(Examples!$H$12*(1-EXP(-Examples!$H$13*$A543))/(1+EXP(MIN(700,MAX(-700,(Examples!$H$14*$A543-Examples!$H$15)/Examples!$H$16))))))+Examples!$H$17*$A543^2)</f>
        <v>535212.4616182755</v>
      </c>
    </row>
    <row r="544" spans="1:13" x14ac:dyDescent="0.25">
      <c r="A544">
        <f>(544-2)/100</f>
        <v>5.42</v>
      </c>
      <c r="B544" s="33">
        <f>Examples!$C$18-(Examples!$C$10+Examples!$C$11)*$A544-(Examples!$C$6*Examples!$C$7*Examples!$C$8*EXP(-Examples!$C$9*$A544)*(1-(Examples!$C$12*(1-EXP(-Examples!$C$13*$A544))/(1+EXP(MIN(700,MAX(-700,(Examples!$C$14*$A544-Examples!$C$15)/Examples!$C$16))))))+Examples!$C$17*$A544^2)</f>
        <v>-148374.68603599339</v>
      </c>
      <c r="C544" s="33">
        <f>(Examples!$C$6*Examples!$C$7*Examples!$C$8*EXP(-Examples!$C$9*$A544)*(1-(Examples!$C$12*(1-EXP(-Examples!$C$13*$A544))/(1+EXP(MIN(700,MAX(-700,(Examples!$C$14*$A544-Examples!$C$15)/Examples!$C$16))))))+Examples!$C$17*$A544^2)</f>
        <v>558674.68603599339</v>
      </c>
      <c r="D544" s="33">
        <f>Examples!$D$18-(Examples!$D$10+Examples!$D$11)*$A544-(Examples!$D$6*Examples!$D$7*Examples!$D$8*EXP(-Examples!$D$9*$A544)*(1-(Examples!$D$12*(1-EXP(-Examples!$D$13*$A544))/(1+EXP(MIN(700,MAX(-700,(Examples!$D$14*$A544-Examples!$D$15)/Examples!$D$16))))))+Examples!$D$17*$A544^2)</f>
        <v>1622483.6126141292</v>
      </c>
      <c r="E544" s="33">
        <f>(Examples!$D$6*Examples!$D$7*Examples!$D$8*EXP(-Examples!$D$9*$A544)*(1-(Examples!$D$12*(1-EXP(-Examples!$D$13*$A544))/(1+EXP(MIN(700,MAX(-700,(Examples!$D$14*$A544-Examples!$D$15)/Examples!$D$16))))))+Examples!$D$17*$A544^2)</f>
        <v>633616.38738587068</v>
      </c>
      <c r="F544" s="33">
        <f>Examples!$E$18-(Examples!$E$10+Examples!$E$11)*$A544-(Examples!$E$6*Examples!$E$7*Examples!$E$8*EXP(-Examples!$E$9*$A544)*(1-(Examples!$E$12*(1-EXP(-Examples!$E$13*$A544))/(1+EXP(MIN(700,MAX(-700,(Examples!$E$14*$A544-Examples!$E$15)/Examples!$E$16))))))+Examples!$E$17*$A544^2)</f>
        <v>2333732.4520427571</v>
      </c>
      <c r="G544" s="33">
        <f>(Examples!$E$6*Examples!$E$7*Examples!$E$8*EXP(-Examples!$E$9*$A544)*(1-(Examples!$E$12*(1-EXP(-Examples!$E$13*$A544))/(1+EXP(MIN(700,MAX(-700,(Examples!$E$14*$A544-Examples!$E$15)/Examples!$E$16))))))+Examples!$E$17*$A544^2)</f>
        <v>205567.54795724279</v>
      </c>
      <c r="H544" s="33">
        <f>Examples!$F$18-(Examples!$F$10+Examples!$F$11)*$A544-(Examples!$F$6*Examples!$F$7*Examples!$F$8*EXP(-Examples!$F$9*$A544)*(1-(Examples!$F$12*(1-EXP(-Examples!$F$13*$A544))/(1+EXP(MIN(700,MAX(-700,(Examples!$F$14*$A544-Examples!$F$15)/Examples!$F$16))))))+Examples!$F$17*$A544^2)</f>
        <v>-549370.50999614911</v>
      </c>
      <c r="I544" s="33">
        <f>(Examples!$F$6*Examples!$F$7*Examples!$F$8*EXP(-Examples!$F$9*$A544)*(1-(Examples!$F$12*(1-EXP(-Examples!$F$13*$A544))/(1+EXP(MIN(700,MAX(-700,(Examples!$F$14*$A544-Examples!$F$15)/Examples!$F$16))))))+Examples!$F$17*$A544^2)</f>
        <v>590970.50999614911</v>
      </c>
      <c r="J544" s="33">
        <f>Examples!$G$18-(Examples!$G$10+Examples!$G$11)*$A544-(Examples!$G$6*Examples!$G$7*Examples!$G$8*EXP(-Examples!$G$9*$A544)*(1-(Examples!$G$12*(1-EXP(-Examples!$G$13*$A544))/(1+EXP(MIN(700,MAX(-700,(Examples!$G$14*$A544-Examples!$G$15)/Examples!$G$16))))))+Examples!$G$17*$A544^2)</f>
        <v>698427.3236139142</v>
      </c>
      <c r="K544" s="33">
        <f>(Examples!$G$6*Examples!$G$7*Examples!$G$8*EXP(-Examples!$G$9*$A544)*(1-(Examples!$G$12*(1-EXP(-Examples!$G$13*$A544))/(1+EXP(MIN(700,MAX(-700,(Examples!$G$14*$A544-Examples!$G$15)/Examples!$G$16))))))+Examples!$G$17*$A544^2)</f>
        <v>530572.6763860858</v>
      </c>
      <c r="L544" s="33">
        <f>Examples!$H$18-(Examples!$H$10+Examples!$H$11)*$A544-(Examples!$H$6*Examples!$H$7*Examples!$H$8*EXP(-Examples!$H$9*$A544)*(1-(Examples!$H$12*(1-EXP(-Examples!$H$13*$A544))/(1+EXP(MIN(700,MAX(-700,(Examples!$H$14*$A544-Examples!$H$15)/Examples!$H$16))))))+Examples!$H$17*$A544^2)</f>
        <v>693972.40322516579</v>
      </c>
      <c r="M544" s="33">
        <f>(Examples!$H$6*Examples!$H$7*Examples!$H$8*EXP(-Examples!$H$9*$A544)*(1-(Examples!$H$12*(1-EXP(-Examples!$H$13*$A544))/(1+EXP(MIN(700,MAX(-700,(Examples!$H$14*$A544-Examples!$H$15)/Examples!$H$16))))))+Examples!$H$17*$A544^2)</f>
        <v>535027.59677483421</v>
      </c>
    </row>
    <row r="545" spans="1:13" x14ac:dyDescent="0.25">
      <c r="A545">
        <f>(545-2)/100</f>
        <v>5.43</v>
      </c>
      <c r="B545" s="33">
        <f>Examples!$C$18-(Examples!$C$10+Examples!$C$11)*$A545-(Examples!$C$6*Examples!$C$7*Examples!$C$8*EXP(-Examples!$C$9*$A545)*(1-(Examples!$C$12*(1-EXP(-Examples!$C$13*$A545))/(1+EXP(MIN(700,MAX(-700,(Examples!$C$14*$A545-Examples!$C$15)/Examples!$C$16))))))+Examples!$C$17*$A545^2)</f>
        <v>-149998.63801608398</v>
      </c>
      <c r="C545" s="33">
        <f>(Examples!$C$6*Examples!$C$7*Examples!$C$8*EXP(-Examples!$C$9*$A545)*(1-(Examples!$C$12*(1-EXP(-Examples!$C$13*$A545))/(1+EXP(MIN(700,MAX(-700,(Examples!$C$14*$A545-Examples!$C$15)/Examples!$C$16))))))+Examples!$C$17*$A545^2)</f>
        <v>559948.63801608398</v>
      </c>
      <c r="D545" s="33">
        <f>Examples!$D$18-(Examples!$D$10+Examples!$D$11)*$A545-(Examples!$D$6*Examples!$D$7*Examples!$D$8*EXP(-Examples!$D$9*$A545)*(1-(Examples!$D$12*(1-EXP(-Examples!$D$13*$A545))/(1+EXP(MIN(700,MAX(-700,(Examples!$D$14*$A545-Examples!$D$15)/Examples!$D$16))))))+Examples!$D$17*$A545^2)</f>
        <v>1623247.2148540267</v>
      </c>
      <c r="E545" s="33">
        <f>(Examples!$D$6*Examples!$D$7*Examples!$D$8*EXP(-Examples!$D$9*$A545)*(1-(Examples!$D$12*(1-EXP(-Examples!$D$13*$A545))/(1+EXP(MIN(700,MAX(-700,(Examples!$D$14*$A545-Examples!$D$15)/Examples!$D$16))))))+Examples!$D$17*$A545^2)</f>
        <v>632402.7851459732</v>
      </c>
      <c r="F545" s="33">
        <f>Examples!$E$18-(Examples!$E$10+Examples!$E$11)*$A545-(Examples!$E$6*Examples!$E$7*Examples!$E$8*EXP(-Examples!$E$9*$A545)*(1-(Examples!$E$12*(1-EXP(-Examples!$E$13*$A545))/(1+EXP(MIN(700,MAX(-700,(Examples!$E$14*$A545-Examples!$E$15)/Examples!$E$16))))))+Examples!$E$17*$A545^2)</f>
        <v>2332863.9536417136</v>
      </c>
      <c r="G545" s="33">
        <f>(Examples!$E$6*Examples!$E$7*Examples!$E$8*EXP(-Examples!$E$9*$A545)*(1-(Examples!$E$12*(1-EXP(-Examples!$E$13*$A545))/(1+EXP(MIN(700,MAX(-700,(Examples!$E$14*$A545-Examples!$E$15)/Examples!$E$16))))))+Examples!$E$17*$A545^2)</f>
        <v>205586.04635828617</v>
      </c>
      <c r="H545" s="33">
        <f>Examples!$F$18-(Examples!$F$10+Examples!$F$11)*$A545-(Examples!$F$6*Examples!$F$7*Examples!$F$8*EXP(-Examples!$F$9*$A545)*(1-(Examples!$F$12*(1-EXP(-Examples!$F$13*$A545))/(1+EXP(MIN(700,MAX(-700,(Examples!$F$14*$A545-Examples!$F$15)/Examples!$F$16))))))+Examples!$F$17*$A545^2)</f>
        <v>-551730.19794535462</v>
      </c>
      <c r="I545" s="33">
        <f>(Examples!$F$6*Examples!$F$7*Examples!$F$8*EXP(-Examples!$F$9*$A545)*(1-(Examples!$F$12*(1-EXP(-Examples!$F$13*$A545))/(1+EXP(MIN(700,MAX(-700,(Examples!$F$14*$A545-Examples!$F$15)/Examples!$F$16))))))+Examples!$F$17*$A545^2)</f>
        <v>593130.19794535462</v>
      </c>
      <c r="J545" s="33">
        <f>Examples!$G$18-(Examples!$G$10+Examples!$G$11)*$A545-(Examples!$G$6*Examples!$G$7*Examples!$G$8*EXP(-Examples!$G$9*$A545)*(1-(Examples!$G$12*(1-EXP(-Examples!$G$13*$A545))/(1+EXP(MIN(700,MAX(-700,(Examples!$G$14*$A545-Examples!$G$15)/Examples!$G$16))))))+Examples!$G$17*$A545^2)</f>
        <v>698035.65200112551</v>
      </c>
      <c r="K545" s="33">
        <f>(Examples!$G$6*Examples!$G$7*Examples!$G$8*EXP(-Examples!$G$9*$A545)*(1-(Examples!$G$12*(1-EXP(-Examples!$G$13*$A545))/(1+EXP(MIN(700,MAX(-700,(Examples!$G$14*$A545-Examples!$G$15)/Examples!$G$16))))))+Examples!$G$17*$A545^2)</f>
        <v>530464.34799887449</v>
      </c>
      <c r="L545" s="33">
        <f>Examples!$H$18-(Examples!$H$10+Examples!$H$11)*$A545-(Examples!$H$6*Examples!$H$7*Examples!$H$8*EXP(-Examples!$H$9*$A545)*(1-(Examples!$H$12*(1-EXP(-Examples!$H$13*$A545))/(1+EXP(MIN(700,MAX(-700,(Examples!$H$14*$A545-Examples!$H$15)/Examples!$H$16))))))+Examples!$H$17*$A545^2)</f>
        <v>693652.01679179422</v>
      </c>
      <c r="M545" s="33">
        <f>(Examples!$H$6*Examples!$H$7*Examples!$H$8*EXP(-Examples!$H$9*$A545)*(1-(Examples!$H$12*(1-EXP(-Examples!$H$13*$A545))/(1+EXP(MIN(700,MAX(-700,(Examples!$H$14*$A545-Examples!$H$15)/Examples!$H$16))))))+Examples!$H$17*$A545^2)</f>
        <v>534847.98320820578</v>
      </c>
    </row>
    <row r="546" spans="1:13" x14ac:dyDescent="0.25">
      <c r="A546">
        <f>(546-2)/100</f>
        <v>5.44</v>
      </c>
      <c r="B546" s="33">
        <f>Examples!$C$18-(Examples!$C$10+Examples!$C$11)*$A546-(Examples!$C$6*Examples!$C$7*Examples!$C$8*EXP(-Examples!$C$9*$A546)*(1-(Examples!$C$12*(1-EXP(-Examples!$C$13*$A546))/(1+EXP(MIN(700,MAX(-700,(Examples!$C$14*$A546-Examples!$C$15)/Examples!$C$16))))))+Examples!$C$17*$A546^2)</f>
        <v>-151626.64878959686</v>
      </c>
      <c r="C546" s="33">
        <f>(Examples!$C$6*Examples!$C$7*Examples!$C$8*EXP(-Examples!$C$9*$A546)*(1-(Examples!$C$12*(1-EXP(-Examples!$C$13*$A546))/(1+EXP(MIN(700,MAX(-700,(Examples!$C$14*$A546-Examples!$C$15)/Examples!$C$16))))))+Examples!$C$17*$A546^2)</f>
        <v>561226.64878959686</v>
      </c>
      <c r="D546" s="33">
        <f>Examples!$D$18-(Examples!$D$10+Examples!$D$11)*$A546-(Examples!$D$6*Examples!$D$7*Examples!$D$8*EXP(-Examples!$D$9*$A546)*(1-(Examples!$D$12*(1-EXP(-Examples!$D$13*$A546))/(1+EXP(MIN(700,MAX(-700,(Examples!$D$14*$A546-Examples!$D$15)/Examples!$D$16))))))+Examples!$D$17*$A546^2)</f>
        <v>1624008.2705315915</v>
      </c>
      <c r="E546" s="33">
        <f>(Examples!$D$6*Examples!$D$7*Examples!$D$8*EXP(-Examples!$D$9*$A546)*(1-(Examples!$D$12*(1-EXP(-Examples!$D$13*$A546))/(1+EXP(MIN(700,MAX(-700,(Examples!$D$14*$A546-Examples!$D$15)/Examples!$D$16))))))+Examples!$D$17*$A546^2)</f>
        <v>631191.72946840839</v>
      </c>
      <c r="F546" s="33">
        <f>Examples!$E$18-(Examples!$E$10+Examples!$E$11)*$A546-(Examples!$E$6*Examples!$E$7*Examples!$E$8*EXP(-Examples!$E$9*$A546)*(1-(Examples!$E$12*(1-EXP(-Examples!$E$13*$A546))/(1+EXP(MIN(700,MAX(-700,(Examples!$E$14*$A546-Examples!$E$15)/Examples!$E$16))))))+Examples!$E$17*$A546^2)</f>
        <v>2331994.9447729825</v>
      </c>
      <c r="G546" s="33">
        <f>(Examples!$E$6*Examples!$E$7*Examples!$E$8*EXP(-Examples!$E$9*$A546)*(1-(Examples!$E$12*(1-EXP(-Examples!$E$13*$A546))/(1+EXP(MIN(700,MAX(-700,(Examples!$E$14*$A546-Examples!$E$15)/Examples!$E$16))))))+Examples!$E$17*$A546^2)</f>
        <v>205605.05522701755</v>
      </c>
      <c r="H546" s="33">
        <f>Examples!$F$18-(Examples!$F$10+Examples!$F$11)*$A546-(Examples!$F$6*Examples!$F$7*Examples!$F$8*EXP(-Examples!$F$9*$A546)*(1-(Examples!$F$12*(1-EXP(-Examples!$F$13*$A546))/(1+EXP(MIN(700,MAX(-700,(Examples!$F$14*$A546-Examples!$F$15)/Examples!$F$16))))))+Examples!$F$17*$A546^2)</f>
        <v>-554093.91678421549</v>
      </c>
      <c r="I546" s="33">
        <f>(Examples!$F$6*Examples!$F$7*Examples!$F$8*EXP(-Examples!$F$9*$A546)*(1-(Examples!$F$12*(1-EXP(-Examples!$F$13*$A546))/(1+EXP(MIN(700,MAX(-700,(Examples!$F$14*$A546-Examples!$F$15)/Examples!$F$16))))))+Examples!$F$17*$A546^2)</f>
        <v>595293.91678421549</v>
      </c>
      <c r="J546" s="33">
        <f>Examples!$G$18-(Examples!$G$10+Examples!$G$11)*$A546-(Examples!$G$6*Examples!$G$7*Examples!$G$8*EXP(-Examples!$G$9*$A546)*(1-(Examples!$G$12*(1-EXP(-Examples!$G$13*$A546))/(1+EXP(MIN(700,MAX(-700,(Examples!$G$14*$A546-Examples!$G$15)/Examples!$G$16))))))+Examples!$G$17*$A546^2)</f>
        <v>697639.85202061292</v>
      </c>
      <c r="K546" s="33">
        <f>(Examples!$G$6*Examples!$G$7*Examples!$G$8*EXP(-Examples!$G$9*$A546)*(1-(Examples!$G$12*(1-EXP(-Examples!$G$13*$A546))/(1+EXP(MIN(700,MAX(-700,(Examples!$G$14*$A546-Examples!$G$15)/Examples!$G$16))))))+Examples!$G$17*$A546^2)</f>
        <v>530360.14797938708</v>
      </c>
      <c r="L546" s="33">
        <f>Examples!$H$18-(Examples!$H$10+Examples!$H$11)*$A546-(Examples!$H$6*Examples!$H$7*Examples!$H$8*EXP(-Examples!$H$9*$A546)*(1-(Examples!$H$12*(1-EXP(-Examples!$H$13*$A546))/(1+EXP(MIN(700,MAX(-700,(Examples!$H$14*$A546-Examples!$H$15)/Examples!$H$16))))))+Examples!$H$17*$A546^2)</f>
        <v>693326.3910915351</v>
      </c>
      <c r="M546" s="33">
        <f>(Examples!$H$6*Examples!$H$7*Examples!$H$8*EXP(-Examples!$H$9*$A546)*(1-(Examples!$H$12*(1-EXP(-Examples!$H$13*$A546))/(1+EXP(MIN(700,MAX(-700,(Examples!$H$14*$A546-Examples!$H$15)/Examples!$H$16))))))+Examples!$H$17*$A546^2)</f>
        <v>534673.6089084649</v>
      </c>
    </row>
    <row r="547" spans="1:13" x14ac:dyDescent="0.25">
      <c r="A547">
        <f>(547-2)/100</f>
        <v>5.45</v>
      </c>
      <c r="B547" s="33">
        <f>Examples!$C$18-(Examples!$C$10+Examples!$C$11)*$A547-(Examples!$C$6*Examples!$C$7*Examples!$C$8*EXP(-Examples!$C$9*$A547)*(1-(Examples!$C$12*(1-EXP(-Examples!$C$13*$A547))/(1+EXP(MIN(700,MAX(-700,(Examples!$C$14*$A547-Examples!$C$15)/Examples!$C$16))))))+Examples!$C$17*$A547^2)</f>
        <v>-153258.71519406734</v>
      </c>
      <c r="C547" s="33">
        <f>(Examples!$C$6*Examples!$C$7*Examples!$C$8*EXP(-Examples!$C$9*$A547)*(1-(Examples!$C$12*(1-EXP(-Examples!$C$13*$A547))/(1+EXP(MIN(700,MAX(-700,(Examples!$C$14*$A547-Examples!$C$15)/Examples!$C$16))))))+Examples!$C$17*$A547^2)</f>
        <v>562508.71519406734</v>
      </c>
      <c r="D547" s="33">
        <f>Examples!$D$18-(Examples!$D$10+Examples!$D$11)*$A547-(Examples!$D$6*Examples!$D$7*Examples!$D$8*EXP(-Examples!$D$9*$A547)*(1-(Examples!$D$12*(1-EXP(-Examples!$D$13*$A547))/(1+EXP(MIN(700,MAX(-700,(Examples!$D$14*$A547-Examples!$D$15)/Examples!$D$16))))))+Examples!$D$17*$A547^2)</f>
        <v>1624766.7070758664</v>
      </c>
      <c r="E547" s="33">
        <f>(Examples!$D$6*Examples!$D$7*Examples!$D$8*EXP(-Examples!$D$9*$A547)*(1-(Examples!$D$12*(1-EXP(-Examples!$D$13*$A547))/(1+EXP(MIN(700,MAX(-700,(Examples!$D$14*$A547-Examples!$D$15)/Examples!$D$16))))))+Examples!$D$17*$A547^2)</f>
        <v>629983.2929241336</v>
      </c>
      <c r="F547" s="33">
        <f>Examples!$E$18-(Examples!$E$10+Examples!$E$11)*$A547-(Examples!$E$6*Examples!$E$7*Examples!$E$8*EXP(-Examples!$E$9*$A547)*(1-(Examples!$E$12*(1-EXP(-Examples!$E$13*$A547))/(1+EXP(MIN(700,MAX(-700,(Examples!$E$14*$A547-Examples!$E$15)/Examples!$E$16))))))+Examples!$E$17*$A547^2)</f>
        <v>2331125.4256966123</v>
      </c>
      <c r="G547" s="33">
        <f>(Examples!$E$6*Examples!$E$7*Examples!$E$8*EXP(-Examples!$E$9*$A547)*(1-(Examples!$E$12*(1-EXP(-Examples!$E$13*$A547))/(1+EXP(MIN(700,MAX(-700,(Examples!$E$14*$A547-Examples!$E$15)/Examples!$E$16))))))+Examples!$E$17*$A547^2)</f>
        <v>205624.57430338761</v>
      </c>
      <c r="H547" s="33">
        <f>Examples!$F$18-(Examples!$F$10+Examples!$F$11)*$A547-(Examples!$F$6*Examples!$F$7*Examples!$F$8*EXP(-Examples!$F$9*$A547)*(1-(Examples!$F$12*(1-EXP(-Examples!$F$13*$A547))/(1+EXP(MIN(700,MAX(-700,(Examples!$F$14*$A547-Examples!$F$15)/Examples!$F$16))))))+Examples!$F$17*$A547^2)</f>
        <v>-556461.66642020643</v>
      </c>
      <c r="I547" s="33">
        <f>(Examples!$F$6*Examples!$F$7*Examples!$F$8*EXP(-Examples!$F$9*$A547)*(1-(Examples!$F$12*(1-EXP(-Examples!$F$13*$A547))/(1+EXP(MIN(700,MAX(-700,(Examples!$F$14*$A547-Examples!$F$15)/Examples!$F$16))))))+Examples!$F$17*$A547^2)</f>
        <v>597461.66642020643</v>
      </c>
      <c r="J547" s="33">
        <f>Examples!$G$18-(Examples!$G$10+Examples!$G$11)*$A547-(Examples!$G$6*Examples!$G$7*Examples!$G$8*EXP(-Examples!$G$9*$A547)*(1-(Examples!$G$12*(1-EXP(-Examples!$G$13*$A547))/(1+EXP(MIN(700,MAX(-700,(Examples!$G$14*$A547-Examples!$G$15)/Examples!$G$16))))))+Examples!$G$17*$A547^2)</f>
        <v>697239.91920347069</v>
      </c>
      <c r="K547" s="33">
        <f>(Examples!$G$6*Examples!$G$7*Examples!$G$8*EXP(-Examples!$G$9*$A547)*(1-(Examples!$G$12*(1-EXP(-Examples!$G$13*$A547))/(1+EXP(MIN(700,MAX(-700,(Examples!$G$14*$A547-Examples!$G$15)/Examples!$G$16))))))+Examples!$G$17*$A547^2)</f>
        <v>530260.08079652931</v>
      </c>
      <c r="L547" s="33">
        <f>Examples!$H$18-(Examples!$H$10+Examples!$H$11)*$A547-(Examples!$H$6*Examples!$H$7*Examples!$H$8*EXP(-Examples!$H$9*$A547)*(1-(Examples!$H$12*(1-EXP(-Examples!$H$13*$A547))/(1+EXP(MIN(700,MAX(-700,(Examples!$H$14*$A547-Examples!$H$15)/Examples!$H$16))))))+Examples!$H$17*$A547^2)</f>
        <v>692995.53811799991</v>
      </c>
      <c r="M547" s="33">
        <f>(Examples!$H$6*Examples!$H$7*Examples!$H$8*EXP(-Examples!$H$9*$A547)*(1-(Examples!$H$12*(1-EXP(-Examples!$H$13*$A547))/(1+EXP(MIN(700,MAX(-700,(Examples!$H$14*$A547-Examples!$H$15)/Examples!$H$16))))))+Examples!$H$17*$A547^2)</f>
        <v>534504.46188200009</v>
      </c>
    </row>
    <row r="548" spans="1:13" x14ac:dyDescent="0.25">
      <c r="A548">
        <f>(548-2)/100</f>
        <v>5.46</v>
      </c>
      <c r="B548" s="33">
        <f>Examples!$C$18-(Examples!$C$10+Examples!$C$11)*$A548-(Examples!$C$6*Examples!$C$7*Examples!$C$8*EXP(-Examples!$C$9*$A548)*(1-(Examples!$C$12*(1-EXP(-Examples!$C$13*$A548))/(1+EXP(MIN(700,MAX(-700,(Examples!$C$14*$A548-Examples!$C$15)/Examples!$C$16))))))+Examples!$C$17*$A548^2)</f>
        <v>-154894.8340761842</v>
      </c>
      <c r="C548" s="33">
        <f>(Examples!$C$6*Examples!$C$7*Examples!$C$8*EXP(-Examples!$C$9*$A548)*(1-(Examples!$C$12*(1-EXP(-Examples!$C$13*$A548))/(1+EXP(MIN(700,MAX(-700,(Examples!$C$14*$A548-Examples!$C$15)/Examples!$C$16))))))+Examples!$C$17*$A548^2)</f>
        <v>563794.8340761842</v>
      </c>
      <c r="D548" s="33">
        <f>Examples!$D$18-(Examples!$D$10+Examples!$D$11)*$A548-(Examples!$D$6*Examples!$D$7*Examples!$D$8*EXP(-Examples!$D$9*$A548)*(1-(Examples!$D$12*(1-EXP(-Examples!$D$13*$A548))/(1+EXP(MIN(700,MAX(-700,(Examples!$D$14*$A548-Examples!$D$15)/Examples!$D$16))))))+Examples!$D$17*$A548^2)</f>
        <v>1625522.4528511083</v>
      </c>
      <c r="E548" s="33">
        <f>(Examples!$D$6*Examples!$D$7*Examples!$D$8*EXP(-Examples!$D$9*$A548)*(1-(Examples!$D$12*(1-EXP(-Examples!$D$13*$A548))/(1+EXP(MIN(700,MAX(-700,(Examples!$D$14*$A548-Examples!$D$15)/Examples!$D$16))))))+Examples!$D$17*$A548^2)</f>
        <v>628777.54714889184</v>
      </c>
      <c r="F548" s="33">
        <f>Examples!$E$18-(Examples!$E$10+Examples!$E$11)*$A548-(Examples!$E$6*Examples!$E$7*Examples!$E$8*EXP(-Examples!$E$9*$A548)*(1-(Examples!$E$12*(1-EXP(-Examples!$E$13*$A548))/(1+EXP(MIN(700,MAX(-700,(Examples!$E$14*$A548-Examples!$E$15)/Examples!$E$16))))))+Examples!$E$17*$A548^2)</f>
        <v>2330255.396516568</v>
      </c>
      <c r="G548" s="33">
        <f>(Examples!$E$6*Examples!$E$7*Examples!$E$8*EXP(-Examples!$E$9*$A548)*(1-(Examples!$E$12*(1-EXP(-Examples!$E$13*$A548))/(1+EXP(MIN(700,MAX(-700,(Examples!$E$14*$A548-Examples!$E$15)/Examples!$E$16))))))+Examples!$E$17*$A548^2)</f>
        <v>205644.6034834318</v>
      </c>
      <c r="H548" s="33">
        <f>Examples!$F$18-(Examples!$F$10+Examples!$F$11)*$A548-(Examples!$F$6*Examples!$F$7*Examples!$F$8*EXP(-Examples!$F$9*$A548)*(1-(Examples!$F$12*(1-EXP(-Examples!$F$13*$A548))/(1+EXP(MIN(700,MAX(-700,(Examples!$F$14*$A548-Examples!$F$15)/Examples!$F$16))))))+Examples!$F$17*$A548^2)</f>
        <v>-558833.44676108065</v>
      </c>
      <c r="I548" s="33">
        <f>(Examples!$F$6*Examples!$F$7*Examples!$F$8*EXP(-Examples!$F$9*$A548)*(1-(Examples!$F$12*(1-EXP(-Examples!$F$13*$A548))/(1+EXP(MIN(700,MAX(-700,(Examples!$F$14*$A548-Examples!$F$15)/Examples!$F$16))))))+Examples!$F$17*$A548^2)</f>
        <v>599633.44676108065</v>
      </c>
      <c r="J548" s="33">
        <f>Examples!$G$18-(Examples!$G$10+Examples!$G$11)*$A548-(Examples!$G$6*Examples!$G$7*Examples!$G$8*EXP(-Examples!$G$9*$A548)*(1-(Examples!$G$12*(1-EXP(-Examples!$G$13*$A548))/(1+EXP(MIN(700,MAX(-700,(Examples!$G$14*$A548-Examples!$G$15)/Examples!$G$16))))))+Examples!$G$17*$A548^2)</f>
        <v>696835.84928241803</v>
      </c>
      <c r="K548" s="33">
        <f>(Examples!$G$6*Examples!$G$7*Examples!$G$8*EXP(-Examples!$G$9*$A548)*(1-(Examples!$G$12*(1-EXP(-Examples!$G$13*$A548))/(1+EXP(MIN(700,MAX(-700,(Examples!$G$14*$A548-Examples!$G$15)/Examples!$G$16))))))+Examples!$G$17*$A548^2)</f>
        <v>530164.15071758197</v>
      </c>
      <c r="L548" s="33">
        <f>Examples!$H$18-(Examples!$H$10+Examples!$H$11)*$A548-(Examples!$H$6*Examples!$H$7*Examples!$H$8*EXP(-Examples!$H$9*$A548)*(1-(Examples!$H$12*(1-EXP(-Examples!$H$13*$A548))/(1+EXP(MIN(700,MAX(-700,(Examples!$H$14*$A548-Examples!$H$15)/Examples!$H$16))))))+Examples!$H$17*$A548^2)</f>
        <v>692659.469847664</v>
      </c>
      <c r="M548" s="33">
        <f>(Examples!$H$6*Examples!$H$7*Examples!$H$8*EXP(-Examples!$H$9*$A548)*(1-(Examples!$H$12*(1-EXP(-Examples!$H$13*$A548))/(1+EXP(MIN(700,MAX(-700,(Examples!$H$14*$A548-Examples!$H$15)/Examples!$H$16))))))+Examples!$H$17*$A548^2)</f>
        <v>534340.530152336</v>
      </c>
    </row>
    <row r="549" spans="1:13" x14ac:dyDescent="0.25">
      <c r="A549">
        <f>(549-2)/100</f>
        <v>5.47</v>
      </c>
      <c r="B549" s="33">
        <f>Examples!$C$18-(Examples!$C$10+Examples!$C$11)*$A549-(Examples!$C$6*Examples!$C$7*Examples!$C$8*EXP(-Examples!$C$9*$A549)*(1-(Examples!$C$12*(1-EXP(-Examples!$C$13*$A549))/(1+EXP(MIN(700,MAX(-700,(Examples!$C$14*$A549-Examples!$C$15)/Examples!$C$16))))))+Examples!$C$17*$A549^2)</f>
        <v>-156535.00229177263</v>
      </c>
      <c r="C549" s="33">
        <f>(Examples!$C$6*Examples!$C$7*Examples!$C$8*EXP(-Examples!$C$9*$A549)*(1-(Examples!$C$12*(1-EXP(-Examples!$C$13*$A549))/(1+EXP(MIN(700,MAX(-700,(Examples!$C$14*$A549-Examples!$C$15)/Examples!$C$16))))))+Examples!$C$17*$A549^2)</f>
        <v>565085.00229177263</v>
      </c>
      <c r="D549" s="33">
        <f>Examples!$D$18-(Examples!$D$10+Examples!$D$11)*$A549-(Examples!$D$6*Examples!$D$7*Examples!$D$8*EXP(-Examples!$D$9*$A549)*(1-(Examples!$D$12*(1-EXP(-Examples!$D$13*$A549))/(1+EXP(MIN(700,MAX(-700,(Examples!$D$14*$A549-Examples!$D$15)/Examples!$D$16))))))+Examples!$D$17*$A549^2)</f>
        <v>1626275.4371593096</v>
      </c>
      <c r="E549" s="33">
        <f>(Examples!$D$6*Examples!$D$7*Examples!$D$8*EXP(-Examples!$D$9*$A549)*(1-(Examples!$D$12*(1-EXP(-Examples!$D$13*$A549))/(1+EXP(MIN(700,MAX(-700,(Examples!$D$14*$A549-Examples!$D$15)/Examples!$D$16))))))+Examples!$D$17*$A549^2)</f>
        <v>627574.56284069049</v>
      </c>
      <c r="F549" s="33">
        <f>Examples!$E$18-(Examples!$E$10+Examples!$E$11)*$A549-(Examples!$E$6*Examples!$E$7*Examples!$E$8*EXP(-Examples!$E$9*$A549)*(1-(Examples!$E$12*(1-EXP(-Examples!$E$13*$A549))/(1+EXP(MIN(700,MAX(-700,(Examples!$E$14*$A549-Examples!$E$15)/Examples!$E$16))))))+Examples!$E$17*$A549^2)</f>
        <v>2329384.8571829642</v>
      </c>
      <c r="G549" s="33">
        <f>(Examples!$E$6*Examples!$E$7*Examples!$E$8*EXP(-Examples!$E$9*$A549)*(1-(Examples!$E$12*(1-EXP(-Examples!$E$13*$A549))/(1+EXP(MIN(700,MAX(-700,(Examples!$E$14*$A549-Examples!$E$15)/Examples!$E$16))))))+Examples!$E$17*$A549^2)</f>
        <v>205665.14281703578</v>
      </c>
      <c r="H549" s="33">
        <f>Examples!$F$18-(Examples!$F$10+Examples!$F$11)*$A549-(Examples!$F$6*Examples!$F$7*Examples!$F$8*EXP(-Examples!$F$9*$A549)*(1-(Examples!$F$12*(1-EXP(-Examples!$F$13*$A549))/(1+EXP(MIN(700,MAX(-700,(Examples!$F$14*$A549-Examples!$F$15)/Examples!$F$16))))))+Examples!$F$17*$A549^2)</f>
        <v>-561209.25771486666</v>
      </c>
      <c r="I549" s="33">
        <f>(Examples!$F$6*Examples!$F$7*Examples!$F$8*EXP(-Examples!$F$9*$A549)*(1-(Examples!$F$12*(1-EXP(-Examples!$F$13*$A549))/(1+EXP(MIN(700,MAX(-700,(Examples!$F$14*$A549-Examples!$F$15)/Examples!$F$16))))))+Examples!$F$17*$A549^2)</f>
        <v>601809.25771486666</v>
      </c>
      <c r="J549" s="33">
        <f>Examples!$G$18-(Examples!$G$10+Examples!$G$11)*$A549-(Examples!$G$6*Examples!$G$7*Examples!$G$8*EXP(-Examples!$G$9*$A549)*(1-(Examples!$G$12*(1-EXP(-Examples!$G$13*$A549))/(1+EXP(MIN(700,MAX(-700,(Examples!$G$14*$A549-Examples!$G$15)/Examples!$G$16))))))+Examples!$G$17*$A549^2)</f>
        <v>696427.63818889635</v>
      </c>
      <c r="K549" s="33">
        <f>(Examples!$G$6*Examples!$G$7*Examples!$G$8*EXP(-Examples!$G$9*$A549)*(1-(Examples!$G$12*(1-EXP(-Examples!$G$13*$A549))/(1+EXP(MIN(700,MAX(-700,(Examples!$G$14*$A549-Examples!$G$15)/Examples!$G$16))))))+Examples!$G$17*$A549^2)</f>
        <v>530072.36181110365</v>
      </c>
      <c r="L549" s="33">
        <f>Examples!$H$18-(Examples!$H$10+Examples!$H$11)*$A549-(Examples!$H$6*Examples!$H$7*Examples!$H$8*EXP(-Examples!$H$9*$A549)*(1-(Examples!$H$12*(1-EXP(-Examples!$H$13*$A549))/(1+EXP(MIN(700,MAX(-700,(Examples!$H$14*$A549-Examples!$H$15)/Examples!$H$16))))))+Examples!$H$17*$A549^2)</f>
        <v>692318.19823908096</v>
      </c>
      <c r="M549" s="33">
        <f>(Examples!$H$6*Examples!$H$7*Examples!$H$8*EXP(-Examples!$H$9*$A549)*(1-(Examples!$H$12*(1-EXP(-Examples!$H$13*$A549))/(1+EXP(MIN(700,MAX(-700,(Examples!$H$14*$A549-Examples!$H$15)/Examples!$H$16))))))+Examples!$H$17*$A549^2)</f>
        <v>534181.80176091904</v>
      </c>
    </row>
    <row r="550" spans="1:13" x14ac:dyDescent="0.25">
      <c r="A550">
        <f>(550-2)/100</f>
        <v>5.48</v>
      </c>
      <c r="B550" s="33">
        <f>Examples!$C$18-(Examples!$C$10+Examples!$C$11)*$A550-(Examples!$C$6*Examples!$C$7*Examples!$C$8*EXP(-Examples!$C$9*$A550)*(1-(Examples!$C$12*(1-EXP(-Examples!$C$13*$A550))/(1+EXP(MIN(700,MAX(-700,(Examples!$C$14*$A550-Examples!$C$15)/Examples!$C$16))))))+Examples!$C$17*$A550^2)</f>
        <v>-158179.2167057785</v>
      </c>
      <c r="C550" s="33">
        <f>(Examples!$C$6*Examples!$C$7*Examples!$C$8*EXP(-Examples!$C$9*$A550)*(1-(Examples!$C$12*(1-EXP(-Examples!$C$13*$A550))/(1+EXP(MIN(700,MAX(-700,(Examples!$C$14*$A550-Examples!$C$15)/Examples!$C$16))))))+Examples!$C$17*$A550^2)</f>
        <v>566379.2167057785</v>
      </c>
      <c r="D550" s="33">
        <f>Examples!$D$18-(Examples!$D$10+Examples!$D$11)*$A550-(Examples!$D$6*Examples!$D$7*Examples!$D$8*EXP(-Examples!$D$9*$A550)*(1-(Examples!$D$12*(1-EXP(-Examples!$D$13*$A550))/(1+EXP(MIN(700,MAX(-700,(Examples!$D$14*$A550-Examples!$D$15)/Examples!$D$16))))))+Examples!$D$17*$A550^2)</f>
        <v>1627025.5902422834</v>
      </c>
      <c r="E550" s="33">
        <f>(Examples!$D$6*Examples!$D$7*Examples!$D$8*EXP(-Examples!$D$9*$A550)*(1-(Examples!$D$12*(1-EXP(-Examples!$D$13*$A550))/(1+EXP(MIN(700,MAX(-700,(Examples!$D$14*$A550-Examples!$D$15)/Examples!$D$16))))))+Examples!$D$17*$A550^2)</f>
        <v>626374.4097577167</v>
      </c>
      <c r="F550" s="33">
        <f>Examples!$E$18-(Examples!$E$10+Examples!$E$11)*$A550-(Examples!$E$6*Examples!$E$7*Examples!$E$8*EXP(-Examples!$E$9*$A550)*(1-(Examples!$E$12*(1-EXP(-Examples!$E$13*$A550))/(1+EXP(MIN(700,MAX(-700,(Examples!$E$14*$A550-Examples!$E$15)/Examples!$E$16))))))+Examples!$E$17*$A550^2)</f>
        <v>2328513.8074942986</v>
      </c>
      <c r="G550" s="33">
        <f>(Examples!$E$6*Examples!$E$7*Examples!$E$8*EXP(-Examples!$E$9*$A550)*(1-(Examples!$E$12*(1-EXP(-Examples!$E$13*$A550))/(1+EXP(MIN(700,MAX(-700,(Examples!$E$14*$A550-Examples!$E$15)/Examples!$E$16))))))+Examples!$E$17*$A550^2)</f>
        <v>205686.19250570162</v>
      </c>
      <c r="H550" s="33">
        <f>Examples!$F$18-(Examples!$F$10+Examples!$F$11)*$A550-(Examples!$F$6*Examples!$F$7*Examples!$F$8*EXP(-Examples!$F$9*$A550)*(1-(Examples!$F$12*(1-EXP(-Examples!$F$13*$A550))/(1+EXP(MIN(700,MAX(-700,(Examples!$F$14*$A550-Examples!$F$15)/Examples!$F$16))))))+Examples!$F$17*$A550^2)</f>
        <v>-563589.09918986878</v>
      </c>
      <c r="I550" s="33">
        <f>(Examples!$F$6*Examples!$F$7*Examples!$F$8*EXP(-Examples!$F$9*$A550)*(1-(Examples!$F$12*(1-EXP(-Examples!$F$13*$A550))/(1+EXP(MIN(700,MAX(-700,(Examples!$F$14*$A550-Examples!$F$15)/Examples!$F$16))))))+Examples!$F$17*$A550^2)</f>
        <v>603989.09918986878</v>
      </c>
      <c r="J550" s="33">
        <f>Examples!$G$18-(Examples!$G$10+Examples!$G$11)*$A550-(Examples!$G$6*Examples!$G$7*Examples!$G$8*EXP(-Examples!$G$9*$A550)*(1-(Examples!$G$12*(1-EXP(-Examples!$G$13*$A550))/(1+EXP(MIN(700,MAX(-700,(Examples!$G$14*$A550-Examples!$G$15)/Examples!$G$16))))))+Examples!$G$17*$A550^2)</f>
        <v>696015.28205018793</v>
      </c>
      <c r="K550" s="33">
        <f>(Examples!$G$6*Examples!$G$7*Examples!$G$8*EXP(-Examples!$G$9*$A550)*(1-(Examples!$G$12*(1-EXP(-Examples!$G$13*$A550))/(1+EXP(MIN(700,MAX(-700,(Examples!$G$14*$A550-Examples!$G$15)/Examples!$G$16))))))+Examples!$G$17*$A550^2)</f>
        <v>529984.71794981207</v>
      </c>
      <c r="L550" s="33">
        <f>Examples!$H$18-(Examples!$H$10+Examples!$H$11)*$A550-(Examples!$H$6*Examples!$H$7*Examples!$H$8*EXP(-Examples!$H$9*$A550)*(1-(Examples!$H$12*(1-EXP(-Examples!$H$13*$A550))/(1+EXP(MIN(700,MAX(-700,(Examples!$H$14*$A550-Examples!$H$15)/Examples!$H$16))))))+Examples!$H$17*$A550^2)</f>
        <v>691971.73523212411</v>
      </c>
      <c r="M550" s="33">
        <f>(Examples!$H$6*Examples!$H$7*Examples!$H$8*EXP(-Examples!$H$9*$A550)*(1-(Examples!$H$12*(1-EXP(-Examples!$H$13*$A550))/(1+EXP(MIN(700,MAX(-700,(Examples!$H$14*$A550-Examples!$H$15)/Examples!$H$16))))))+Examples!$H$17*$A550^2)</f>
        <v>534028.26476787589</v>
      </c>
    </row>
    <row r="551" spans="1:13" x14ac:dyDescent="0.25">
      <c r="A551">
        <f>(551-2)/100</f>
        <v>5.49</v>
      </c>
      <c r="B551" s="33">
        <f>Examples!$C$18-(Examples!$C$10+Examples!$C$11)*$A551-(Examples!$C$6*Examples!$C$7*Examples!$C$8*EXP(-Examples!$C$9*$A551)*(1-(Examples!$C$12*(1-EXP(-Examples!$C$13*$A551))/(1+EXP(MIN(700,MAX(-700,(Examples!$C$14*$A551-Examples!$C$15)/Examples!$C$16))))))+Examples!$C$17*$A551^2)</f>
        <v>-159827.4741922504</v>
      </c>
      <c r="C551" s="33">
        <f>(Examples!$C$6*Examples!$C$7*Examples!$C$8*EXP(-Examples!$C$9*$A551)*(1-(Examples!$C$12*(1-EXP(-Examples!$C$13*$A551))/(1+EXP(MIN(700,MAX(-700,(Examples!$C$14*$A551-Examples!$C$15)/Examples!$C$16))))))+Examples!$C$17*$A551^2)</f>
        <v>567677.4741922504</v>
      </c>
      <c r="D551" s="33">
        <f>Examples!$D$18-(Examples!$D$10+Examples!$D$11)*$A551-(Examples!$D$6*Examples!$D$7*Examples!$D$8*EXP(-Examples!$D$9*$A551)*(1-(Examples!$D$12*(1-EXP(-Examples!$D$13*$A551))/(1+EXP(MIN(700,MAX(-700,(Examples!$D$14*$A551-Examples!$D$15)/Examples!$D$16))))))+Examples!$D$17*$A551^2)</f>
        <v>1627772.8432833245</v>
      </c>
      <c r="E551" s="33">
        <f>(Examples!$D$6*Examples!$D$7*Examples!$D$8*EXP(-Examples!$D$9*$A551)*(1-(Examples!$D$12*(1-EXP(-Examples!$D$13*$A551))/(1+EXP(MIN(700,MAX(-700,(Examples!$D$14*$A551-Examples!$D$15)/Examples!$D$16))))))+Examples!$D$17*$A551^2)</f>
        <v>625177.1567166755</v>
      </c>
      <c r="F551" s="33">
        <f>Examples!$E$18-(Examples!$E$10+Examples!$E$11)*$A551-(Examples!$E$6*Examples!$E$7*Examples!$E$8*EXP(-Examples!$E$9*$A551)*(1-(Examples!$E$12*(1-EXP(-Examples!$E$13*$A551))/(1+EXP(MIN(700,MAX(-700,(Examples!$E$14*$A551-Examples!$E$15)/Examples!$E$16))))))+Examples!$E$17*$A551^2)</f>
        <v>2327642.2470996836</v>
      </c>
      <c r="G551" s="33">
        <f>(Examples!$E$6*Examples!$E$7*Examples!$E$8*EXP(-Examples!$E$9*$A551)*(1-(Examples!$E$12*(1-EXP(-Examples!$E$13*$A551))/(1+EXP(MIN(700,MAX(-700,(Examples!$E$14*$A551-Examples!$E$15)/Examples!$E$16))))))+Examples!$E$17*$A551^2)</f>
        <v>205707.75290031638</v>
      </c>
      <c r="H551" s="33">
        <f>Examples!$F$18-(Examples!$F$10+Examples!$F$11)*$A551-(Examples!$F$6*Examples!$F$7*Examples!$F$8*EXP(-Examples!$F$9*$A551)*(1-(Examples!$F$12*(1-EXP(-Examples!$F$13*$A551))/(1+EXP(MIN(700,MAX(-700,(Examples!$F$14*$A551-Examples!$F$15)/Examples!$F$16))))))+Examples!$F$17*$A551^2)</f>
        <v>-565972.97109466488</v>
      </c>
      <c r="I551" s="33">
        <f>(Examples!$F$6*Examples!$F$7*Examples!$F$8*EXP(-Examples!$F$9*$A551)*(1-(Examples!$F$12*(1-EXP(-Examples!$F$13*$A551))/(1+EXP(MIN(700,MAX(-700,(Examples!$F$14*$A551-Examples!$F$15)/Examples!$F$16))))))+Examples!$F$17*$A551^2)</f>
        <v>606172.97109466488</v>
      </c>
      <c r="J551" s="33">
        <f>Examples!$G$18-(Examples!$G$10+Examples!$G$11)*$A551-(Examples!$G$6*Examples!$G$7*Examples!$G$8*EXP(-Examples!$G$9*$A551)*(1-(Examples!$G$12*(1-EXP(-Examples!$G$13*$A551))/(1+EXP(MIN(700,MAX(-700,(Examples!$G$14*$A551-Examples!$G$15)/Examples!$G$16))))))+Examples!$G$17*$A551^2)</f>
        <v>695598.77718656207</v>
      </c>
      <c r="K551" s="33">
        <f>(Examples!$G$6*Examples!$G$7*Examples!$G$8*EXP(-Examples!$G$9*$A551)*(1-(Examples!$G$12*(1-EXP(-Examples!$G$13*$A551))/(1+EXP(MIN(700,MAX(-700,(Examples!$G$14*$A551-Examples!$G$15)/Examples!$G$16))))))+Examples!$G$17*$A551^2)</f>
        <v>529901.22281343793</v>
      </c>
      <c r="L551" s="33">
        <f>Examples!$H$18-(Examples!$H$10+Examples!$H$11)*$A551-(Examples!$H$6*Examples!$H$7*Examples!$H$8*EXP(-Examples!$H$9*$A551)*(1-(Examples!$H$12*(1-EXP(-Examples!$H$13*$A551))/(1+EXP(MIN(700,MAX(-700,(Examples!$H$14*$A551-Examples!$H$15)/Examples!$H$16))))))+Examples!$H$17*$A551^2)</f>
        <v>691620.09274726221</v>
      </c>
      <c r="M551" s="33">
        <f>(Examples!$H$6*Examples!$H$7*Examples!$H$8*EXP(-Examples!$H$9*$A551)*(1-(Examples!$H$12*(1-EXP(-Examples!$H$13*$A551))/(1+EXP(MIN(700,MAX(-700,(Examples!$H$14*$A551-Examples!$H$15)/Examples!$H$16))))))+Examples!$H$17*$A551^2)</f>
        <v>533879.90725273779</v>
      </c>
    </row>
    <row r="552" spans="1:13" x14ac:dyDescent="0.25">
      <c r="A552">
        <f>(552-2)/100</f>
        <v>5.5</v>
      </c>
      <c r="B552" s="33">
        <f>Examples!$C$18-(Examples!$C$10+Examples!$C$11)*$A552-(Examples!$C$6*Examples!$C$7*Examples!$C$8*EXP(-Examples!$C$9*$A552)*(1-(Examples!$C$12*(1-EXP(-Examples!$C$13*$A552))/(1+EXP(MIN(700,MAX(-700,(Examples!$C$14*$A552-Examples!$C$15)/Examples!$C$16))))))+Examples!$C$17*$A552^2)</f>
        <v>-161479.77163432329</v>
      </c>
      <c r="C552" s="33">
        <f>(Examples!$C$6*Examples!$C$7*Examples!$C$8*EXP(-Examples!$C$9*$A552)*(1-(Examples!$C$12*(1-EXP(-Examples!$C$13*$A552))/(1+EXP(MIN(700,MAX(-700,(Examples!$C$14*$A552-Examples!$C$15)/Examples!$C$16))))))+Examples!$C$17*$A552^2)</f>
        <v>568979.77163432329</v>
      </c>
      <c r="D552" s="33">
        <f>Examples!$D$18-(Examples!$D$10+Examples!$D$11)*$A552-(Examples!$D$6*Examples!$D$7*Examples!$D$8*EXP(-Examples!$D$9*$A552)*(1-(Examples!$D$12*(1-EXP(-Examples!$D$13*$A552))/(1+EXP(MIN(700,MAX(-700,(Examples!$D$14*$A552-Examples!$D$15)/Examples!$D$16))))))+Examples!$D$17*$A552^2)</f>
        <v>1628517.1284084576</v>
      </c>
      <c r="E552" s="33">
        <f>(Examples!$D$6*Examples!$D$7*Examples!$D$8*EXP(-Examples!$D$9*$A552)*(1-(Examples!$D$12*(1-EXP(-Examples!$D$13*$A552))/(1+EXP(MIN(700,MAX(-700,(Examples!$D$14*$A552-Examples!$D$15)/Examples!$D$16))))))+Examples!$D$17*$A552^2)</f>
        <v>623982.87159154227</v>
      </c>
      <c r="F552" s="33">
        <f>Examples!$E$18-(Examples!$E$10+Examples!$E$11)*$A552-(Examples!$E$6*Examples!$E$7*Examples!$E$8*EXP(-Examples!$E$9*$A552)*(1-(Examples!$E$12*(1-EXP(-Examples!$E$13*$A552))/(1+EXP(MIN(700,MAX(-700,(Examples!$E$14*$A552-Examples!$E$15)/Examples!$E$16))))))+Examples!$E$17*$A552^2)</f>
        <v>2326770.1755010779</v>
      </c>
      <c r="G552" s="33">
        <f>(Examples!$E$6*Examples!$E$7*Examples!$E$8*EXP(-Examples!$E$9*$A552)*(1-(Examples!$E$12*(1-EXP(-Examples!$E$13*$A552))/(1+EXP(MIN(700,MAX(-700,(Examples!$E$14*$A552-Examples!$E$15)/Examples!$E$16))))))+Examples!$E$17*$A552^2)</f>
        <v>205729.82449892216</v>
      </c>
      <c r="H552" s="33">
        <f>Examples!$F$18-(Examples!$F$10+Examples!$F$11)*$A552-(Examples!$F$6*Examples!$F$7*Examples!$F$8*EXP(-Examples!$F$9*$A552)*(1-(Examples!$F$12*(1-EXP(-Examples!$F$13*$A552))/(1+EXP(MIN(700,MAX(-700,(Examples!$F$14*$A552-Examples!$F$15)/Examples!$F$16))))))+Examples!$F$17*$A552^2)</f>
        <v>-568360.87333810714</v>
      </c>
      <c r="I552" s="33">
        <f>(Examples!$F$6*Examples!$F$7*Examples!$F$8*EXP(-Examples!$F$9*$A552)*(1-(Examples!$F$12*(1-EXP(-Examples!$F$13*$A552))/(1+EXP(MIN(700,MAX(-700,(Examples!$F$14*$A552-Examples!$F$15)/Examples!$F$16))))))+Examples!$F$17*$A552^2)</f>
        <v>608360.87333810714</v>
      </c>
      <c r="J552" s="33">
        <f>Examples!$G$18-(Examples!$G$10+Examples!$G$11)*$A552-(Examples!$G$6*Examples!$G$7*Examples!$G$8*EXP(-Examples!$G$9*$A552)*(1-(Examples!$G$12*(1-EXP(-Examples!$G$13*$A552))/(1+EXP(MIN(700,MAX(-700,(Examples!$G$14*$A552-Examples!$G$15)/Examples!$G$16))))))+Examples!$G$17*$A552^2)</f>
        <v>695178.12010844308</v>
      </c>
      <c r="K552" s="33">
        <f>(Examples!$G$6*Examples!$G$7*Examples!$G$8*EXP(-Examples!$G$9*$A552)*(1-(Examples!$G$12*(1-EXP(-Examples!$G$13*$A552))/(1+EXP(MIN(700,MAX(-700,(Examples!$G$14*$A552-Examples!$G$15)/Examples!$G$16))))))+Examples!$G$17*$A552^2)</f>
        <v>529821.87989155692</v>
      </c>
      <c r="L552" s="33">
        <f>Examples!$H$18-(Examples!$H$10+Examples!$H$11)*$A552-(Examples!$H$6*Examples!$H$7*Examples!$H$8*EXP(-Examples!$H$9*$A552)*(1-(Examples!$H$12*(1-EXP(-Examples!$H$13*$A552))/(1+EXP(MIN(700,MAX(-700,(Examples!$H$14*$A552-Examples!$H$15)/Examples!$H$16))))))+Examples!$H$17*$A552^2)</f>
        <v>691263.28268486285</v>
      </c>
      <c r="M552" s="33">
        <f>(Examples!$H$6*Examples!$H$7*Examples!$H$8*EXP(-Examples!$H$9*$A552)*(1-(Examples!$H$12*(1-EXP(-Examples!$H$13*$A552))/(1+EXP(MIN(700,MAX(-700,(Examples!$H$14*$A552-Examples!$H$15)/Examples!$H$16))))))+Examples!$H$17*$A552^2)</f>
        <v>533736.71731513715</v>
      </c>
    </row>
    <row r="553" spans="1:13" x14ac:dyDescent="0.25">
      <c r="A553">
        <f>(553-2)/100</f>
        <v>5.51</v>
      </c>
      <c r="B553" s="33">
        <f>Examples!$C$18-(Examples!$C$10+Examples!$C$11)*$A553-(Examples!$C$6*Examples!$C$7*Examples!$C$8*EXP(-Examples!$C$9*$A553)*(1-(Examples!$C$12*(1-EXP(-Examples!$C$13*$A553))/(1+EXP(MIN(700,MAX(-700,(Examples!$C$14*$A553-Examples!$C$15)/Examples!$C$16))))))+Examples!$C$17*$A553^2)</f>
        <v>-163136.10592420062</v>
      </c>
      <c r="C553" s="33">
        <f>(Examples!$C$6*Examples!$C$7*Examples!$C$8*EXP(-Examples!$C$9*$A553)*(1-(Examples!$C$12*(1-EXP(-Examples!$C$13*$A553))/(1+EXP(MIN(700,MAX(-700,(Examples!$C$14*$A553-Examples!$C$15)/Examples!$C$16))))))+Examples!$C$17*$A553^2)</f>
        <v>570286.10592420062</v>
      </c>
      <c r="D553" s="33">
        <f>Examples!$D$18-(Examples!$D$10+Examples!$D$11)*$A553-(Examples!$D$6*Examples!$D$7*Examples!$D$8*EXP(-Examples!$D$9*$A553)*(1-(Examples!$D$12*(1-EXP(-Examples!$D$13*$A553))/(1+EXP(MIN(700,MAX(-700,(Examples!$D$14*$A553-Examples!$D$15)/Examples!$D$16))))))+Examples!$D$17*$A553^2)</f>
        <v>1629258.3786872835</v>
      </c>
      <c r="E553" s="33">
        <f>(Examples!$D$6*Examples!$D$7*Examples!$D$8*EXP(-Examples!$D$9*$A553)*(1-(Examples!$D$12*(1-EXP(-Examples!$D$13*$A553))/(1+EXP(MIN(700,MAX(-700,(Examples!$D$14*$A553-Examples!$D$15)/Examples!$D$16))))))+Examples!$D$17*$A553^2)</f>
        <v>622791.62131271639</v>
      </c>
      <c r="F553" s="33">
        <f>Examples!$E$18-(Examples!$E$10+Examples!$E$11)*$A553-(Examples!$E$6*Examples!$E$7*Examples!$E$8*EXP(-Examples!$E$9*$A553)*(1-(Examples!$E$12*(1-EXP(-Examples!$E$13*$A553))/(1+EXP(MIN(700,MAX(-700,(Examples!$E$14*$A553-Examples!$E$15)/Examples!$E$16))))))+Examples!$E$17*$A553^2)</f>
        <v>2325897.5920555112</v>
      </c>
      <c r="G553" s="33">
        <f>(Examples!$E$6*Examples!$E$7*Examples!$E$8*EXP(-Examples!$E$9*$A553)*(1-(Examples!$E$12*(1-EXP(-Examples!$E$13*$A553))/(1+EXP(MIN(700,MAX(-700,(Examples!$E$14*$A553-Examples!$E$15)/Examples!$E$16))))))+Examples!$E$17*$A553^2)</f>
        <v>205752.40794448889</v>
      </c>
      <c r="H553" s="33">
        <f>Examples!$F$18-(Examples!$F$10+Examples!$F$11)*$A553-(Examples!$F$6*Examples!$F$7*Examples!$F$8*EXP(-Examples!$F$9*$A553)*(1-(Examples!$F$12*(1-EXP(-Examples!$F$13*$A553))/(1+EXP(MIN(700,MAX(-700,(Examples!$F$14*$A553-Examples!$F$15)/Examples!$F$16))))))+Examples!$F$17*$A553^2)</f>
        <v>-570752.8058293208</v>
      </c>
      <c r="I553" s="33">
        <f>(Examples!$F$6*Examples!$F$7*Examples!$F$8*EXP(-Examples!$F$9*$A553)*(1-(Examples!$F$12*(1-EXP(-Examples!$F$13*$A553))/(1+EXP(MIN(700,MAX(-700,(Examples!$F$14*$A553-Examples!$F$15)/Examples!$F$16))))))+Examples!$F$17*$A553^2)</f>
        <v>610552.8058293208</v>
      </c>
      <c r="J553" s="33">
        <f>Examples!$G$18-(Examples!$G$10+Examples!$G$11)*$A553-(Examples!$G$6*Examples!$G$7*Examples!$G$8*EXP(-Examples!$G$9*$A553)*(1-(Examples!$G$12*(1-EXP(-Examples!$G$13*$A553))/(1+EXP(MIN(700,MAX(-700,(Examples!$G$14*$A553-Examples!$G$15)/Examples!$G$16))))))+Examples!$G$17*$A553^2)</f>
        <v>694753.3075136065</v>
      </c>
      <c r="K553" s="33">
        <f>(Examples!$G$6*Examples!$G$7*Examples!$G$8*EXP(-Examples!$G$9*$A553)*(1-(Examples!$G$12*(1-EXP(-Examples!$G$13*$A553))/(1+EXP(MIN(700,MAX(-700,(Examples!$G$14*$A553-Examples!$G$15)/Examples!$G$16))))))+Examples!$G$17*$A553^2)</f>
        <v>529746.6924863935</v>
      </c>
      <c r="L553" s="33">
        <f>Examples!$H$18-(Examples!$H$10+Examples!$H$11)*$A553-(Examples!$H$6*Examples!$H$7*Examples!$H$8*EXP(-Examples!$H$9*$A553)*(1-(Examples!$H$12*(1-EXP(-Examples!$H$13*$A553))/(1+EXP(MIN(700,MAX(-700,(Examples!$H$14*$A553-Examples!$H$15)/Examples!$H$16))))))+Examples!$H$17*$A553^2)</f>
        <v>690901.31692452449</v>
      </c>
      <c r="M553" s="33">
        <f>(Examples!$H$6*Examples!$H$7*Examples!$H$8*EXP(-Examples!$H$9*$A553)*(1-(Examples!$H$12*(1-EXP(-Examples!$H$13*$A553))/(1+EXP(MIN(700,MAX(-700,(Examples!$H$14*$A553-Examples!$H$15)/Examples!$H$16))))))+Examples!$H$17*$A553^2)</f>
        <v>533598.68307547551</v>
      </c>
    </row>
    <row r="554" spans="1:13" x14ac:dyDescent="0.25">
      <c r="A554">
        <f>(554-2)/100</f>
        <v>5.52</v>
      </c>
      <c r="B554" s="33">
        <f>Examples!$C$18-(Examples!$C$10+Examples!$C$11)*$A554-(Examples!$C$6*Examples!$C$7*Examples!$C$8*EXP(-Examples!$C$9*$A554)*(1-(Examples!$C$12*(1-EXP(-Examples!$C$13*$A554))/(1+EXP(MIN(700,MAX(-700,(Examples!$C$14*$A554-Examples!$C$15)/Examples!$C$16))))))+Examples!$C$17*$A554^2)</f>
        <v>-164796.47396313655</v>
      </c>
      <c r="C554" s="33">
        <f>(Examples!$C$6*Examples!$C$7*Examples!$C$8*EXP(-Examples!$C$9*$A554)*(1-(Examples!$C$12*(1-EXP(-Examples!$C$13*$A554))/(1+EXP(MIN(700,MAX(-700,(Examples!$C$14*$A554-Examples!$C$15)/Examples!$C$16))))))+Examples!$C$17*$A554^2)</f>
        <v>571596.47396313655</v>
      </c>
      <c r="D554" s="33">
        <f>Examples!$D$18-(Examples!$D$10+Examples!$D$11)*$A554-(Examples!$D$6*Examples!$D$7*Examples!$D$8*EXP(-Examples!$D$9*$A554)*(1-(Examples!$D$12*(1-EXP(-Examples!$D$13*$A554))/(1+EXP(MIN(700,MAX(-700,(Examples!$D$14*$A554-Examples!$D$15)/Examples!$D$16))))))+Examples!$D$17*$A554^2)</f>
        <v>1629996.5281334352</v>
      </c>
      <c r="E554" s="33">
        <f>(Examples!$D$6*Examples!$D$7*Examples!$D$8*EXP(-Examples!$D$9*$A554)*(1-(Examples!$D$12*(1-EXP(-Examples!$D$13*$A554))/(1+EXP(MIN(700,MAX(-700,(Examples!$D$14*$A554-Examples!$D$15)/Examples!$D$16))))))+Examples!$D$17*$A554^2)</f>
        <v>621603.47186656471</v>
      </c>
      <c r="F554" s="33">
        <f>Examples!$E$18-(Examples!$E$10+Examples!$E$11)*$A554-(Examples!$E$6*Examples!$E$7*Examples!$E$8*EXP(-Examples!$E$9*$A554)*(1-(Examples!$E$12*(1-EXP(-Examples!$E$13*$A554))/(1+EXP(MIN(700,MAX(-700,(Examples!$E$14*$A554-Examples!$E$15)/Examples!$E$16))))))+Examples!$E$17*$A554^2)</f>
        <v>2325024.4959773105</v>
      </c>
      <c r="G554" s="33">
        <f>(Examples!$E$6*Examples!$E$7*Examples!$E$8*EXP(-Examples!$E$9*$A554)*(1-(Examples!$E$12*(1-EXP(-Examples!$E$13*$A554))/(1+EXP(MIN(700,MAX(-700,(Examples!$E$14*$A554-Examples!$E$15)/Examples!$E$16))))))+Examples!$E$17*$A554^2)</f>
        <v>205775.50402268965</v>
      </c>
      <c r="H554" s="33">
        <f>Examples!$F$18-(Examples!$F$10+Examples!$F$11)*$A554-(Examples!$F$6*Examples!$F$7*Examples!$F$8*EXP(-Examples!$F$9*$A554)*(1-(Examples!$F$12*(1-EXP(-Examples!$F$13*$A554))/(1+EXP(MIN(700,MAX(-700,(Examples!$F$14*$A554-Examples!$F$15)/Examples!$F$16))))))+Examples!$F$17*$A554^2)</f>
        <v>-573148.76847770251</v>
      </c>
      <c r="I554" s="33">
        <f>(Examples!$F$6*Examples!$F$7*Examples!$F$8*EXP(-Examples!$F$9*$A554)*(1-(Examples!$F$12*(1-EXP(-Examples!$F$13*$A554))/(1+EXP(MIN(700,MAX(-700,(Examples!$F$14*$A554-Examples!$F$15)/Examples!$F$16))))))+Examples!$F$17*$A554^2)</f>
        <v>612748.76847770251</v>
      </c>
      <c r="J554" s="33">
        <f>Examples!$G$18-(Examples!$G$10+Examples!$G$11)*$A554-(Examples!$G$6*Examples!$G$7*Examples!$G$8*EXP(-Examples!$G$9*$A554)*(1-(Examples!$G$12*(1-EXP(-Examples!$G$13*$A554))/(1+EXP(MIN(700,MAX(-700,(Examples!$G$14*$A554-Examples!$G$15)/Examples!$G$16))))))+Examples!$G$17*$A554^2)</f>
        <v>694324.33628439822</v>
      </c>
      <c r="K554" s="33">
        <f>(Examples!$G$6*Examples!$G$7*Examples!$G$8*EXP(-Examples!$G$9*$A554)*(1-(Examples!$G$12*(1-EXP(-Examples!$G$13*$A554))/(1+EXP(MIN(700,MAX(-700,(Examples!$G$14*$A554-Examples!$G$15)/Examples!$G$16))))))+Examples!$G$17*$A554^2)</f>
        <v>529675.66371560178</v>
      </c>
      <c r="L554" s="33">
        <f>Examples!$H$18-(Examples!$H$10+Examples!$H$11)*$A554-(Examples!$H$6*Examples!$H$7*Examples!$H$8*EXP(-Examples!$H$9*$A554)*(1-(Examples!$H$12*(1-EXP(-Examples!$H$13*$A554))/(1+EXP(MIN(700,MAX(-700,(Examples!$H$14*$A554-Examples!$H$15)/Examples!$H$16))))))+Examples!$H$17*$A554^2)</f>
        <v>690534.20732443687</v>
      </c>
      <c r="M554" s="33">
        <f>(Examples!$H$6*Examples!$H$7*Examples!$H$8*EXP(-Examples!$H$9*$A554)*(1-(Examples!$H$12*(1-EXP(-Examples!$H$13*$A554))/(1+EXP(MIN(700,MAX(-700,(Examples!$H$14*$A554-Examples!$H$15)/Examples!$H$16))))))+Examples!$H$17*$A554^2)</f>
        <v>533465.79267556313</v>
      </c>
    </row>
    <row r="555" spans="1:13" x14ac:dyDescent="0.25">
      <c r="A555">
        <f>(555-2)/100</f>
        <v>5.53</v>
      </c>
      <c r="B555" s="33">
        <f>Examples!$C$18-(Examples!$C$10+Examples!$C$11)*$A555-(Examples!$C$6*Examples!$C$7*Examples!$C$8*EXP(-Examples!$C$9*$A555)*(1-(Examples!$C$12*(1-EXP(-Examples!$C$13*$A555))/(1+EXP(MIN(700,MAX(-700,(Examples!$C$14*$A555-Examples!$C$15)/Examples!$C$16))))))+Examples!$C$17*$A555^2)</f>
        <v>-166460.87266141782</v>
      </c>
      <c r="C555" s="33">
        <f>(Examples!$C$6*Examples!$C$7*Examples!$C$8*EXP(-Examples!$C$9*$A555)*(1-(Examples!$C$12*(1-EXP(-Examples!$C$13*$A555))/(1+EXP(MIN(700,MAX(-700,(Examples!$C$14*$A555-Examples!$C$15)/Examples!$C$16))))))+Examples!$C$17*$A555^2)</f>
        <v>572910.87266141782</v>
      </c>
      <c r="D555" s="33">
        <f>Examples!$D$18-(Examples!$D$10+Examples!$D$11)*$A555-(Examples!$D$6*Examples!$D$7*Examples!$D$8*EXP(-Examples!$D$9*$A555)*(1-(Examples!$D$12*(1-EXP(-Examples!$D$13*$A555))/(1+EXP(MIN(700,MAX(-700,(Examples!$D$14*$A555-Examples!$D$15)/Examples!$D$16))))))+Examples!$D$17*$A555^2)</f>
        <v>1630731.5117046554</v>
      </c>
      <c r="E555" s="33">
        <f>(Examples!$D$6*Examples!$D$7*Examples!$D$8*EXP(-Examples!$D$9*$A555)*(1-(Examples!$D$12*(1-EXP(-Examples!$D$13*$A555))/(1+EXP(MIN(700,MAX(-700,(Examples!$D$14*$A555-Examples!$D$15)/Examples!$D$16))))))+Examples!$D$17*$A555^2)</f>
        <v>620418.48829534475</v>
      </c>
      <c r="F555" s="33">
        <f>Examples!$E$18-(Examples!$E$10+Examples!$E$11)*$A555-(Examples!$E$6*Examples!$E$7*Examples!$E$8*EXP(-Examples!$E$9*$A555)*(1-(Examples!$E$12*(1-EXP(-Examples!$E$13*$A555))/(1+EXP(MIN(700,MAX(-700,(Examples!$E$14*$A555-Examples!$E$15)/Examples!$E$16))))))+Examples!$E$17*$A555^2)</f>
        <v>2324150.886340321</v>
      </c>
      <c r="G555" s="33">
        <f>(Examples!$E$6*Examples!$E$7*Examples!$E$8*EXP(-Examples!$E$9*$A555)*(1-(Examples!$E$12*(1-EXP(-Examples!$E$13*$A555))/(1+EXP(MIN(700,MAX(-700,(Examples!$E$14*$A555-Examples!$E$15)/Examples!$E$16))))))+Examples!$E$17*$A555^2)</f>
        <v>205799.11365967873</v>
      </c>
      <c r="H555" s="33">
        <f>Examples!$F$18-(Examples!$F$10+Examples!$F$11)*$A555-(Examples!$F$6*Examples!$F$7*Examples!$F$8*EXP(-Examples!$F$9*$A555)*(1-(Examples!$F$12*(1-EXP(-Examples!$F$13*$A555))/(1+EXP(MIN(700,MAX(-700,(Examples!$F$14*$A555-Examples!$F$15)/Examples!$F$16))))))+Examples!$F$17*$A555^2)</f>
        <v>-575548.76119292097</v>
      </c>
      <c r="I555" s="33">
        <f>(Examples!$F$6*Examples!$F$7*Examples!$F$8*EXP(-Examples!$F$9*$A555)*(1-(Examples!$F$12*(1-EXP(-Examples!$F$13*$A555))/(1+EXP(MIN(700,MAX(-700,(Examples!$F$14*$A555-Examples!$F$15)/Examples!$F$16))))))+Examples!$F$17*$A555^2)</f>
        <v>614948.76119292097</v>
      </c>
      <c r="J555" s="33">
        <f>Examples!$G$18-(Examples!$G$10+Examples!$G$11)*$A555-(Examples!$G$6*Examples!$G$7*Examples!$G$8*EXP(-Examples!$G$9*$A555)*(1-(Examples!$G$12*(1-EXP(-Examples!$G$13*$A555))/(1+EXP(MIN(700,MAX(-700,(Examples!$G$14*$A555-Examples!$G$15)/Examples!$G$16))))))+Examples!$G$17*$A555^2)</f>
        <v>693891.20348497981</v>
      </c>
      <c r="K555" s="33">
        <f>(Examples!$G$6*Examples!$G$7*Examples!$G$8*EXP(-Examples!$G$9*$A555)*(1-(Examples!$G$12*(1-EXP(-Examples!$G$13*$A555))/(1+EXP(MIN(700,MAX(-700,(Examples!$G$14*$A555-Examples!$G$15)/Examples!$G$16))))))+Examples!$G$17*$A555^2)</f>
        <v>529608.79651502019</v>
      </c>
      <c r="L555" s="33">
        <f>Examples!$H$18-(Examples!$H$10+Examples!$H$11)*$A555-(Examples!$H$6*Examples!$H$7*Examples!$H$8*EXP(-Examples!$H$9*$A555)*(1-(Examples!$H$12*(1-EXP(-Examples!$H$13*$A555))/(1+EXP(MIN(700,MAX(-700,(Examples!$H$14*$A555-Examples!$H$15)/Examples!$H$16))))))+Examples!$H$17*$A555^2)</f>
        <v>690161.96572076704</v>
      </c>
      <c r="M555" s="33">
        <f>(Examples!$H$6*Examples!$H$7*Examples!$H$8*EXP(-Examples!$H$9*$A555)*(1-(Examples!$H$12*(1-EXP(-Examples!$H$13*$A555))/(1+EXP(MIN(700,MAX(-700,(Examples!$H$14*$A555-Examples!$H$15)/Examples!$H$16))))))+Examples!$H$17*$A555^2)</f>
        <v>533338.03427923296</v>
      </c>
    </row>
    <row r="556" spans="1:13" x14ac:dyDescent="0.25">
      <c r="A556">
        <f>(556-2)/100</f>
        <v>5.54</v>
      </c>
      <c r="B556" s="33">
        <f>Examples!$C$18-(Examples!$C$10+Examples!$C$11)*$A556-(Examples!$C$6*Examples!$C$7*Examples!$C$8*EXP(-Examples!$C$9*$A556)*(1-(Examples!$C$12*(1-EXP(-Examples!$C$13*$A556))/(1+EXP(MIN(700,MAX(-700,(Examples!$C$14*$A556-Examples!$C$15)/Examples!$C$16))))))+Examples!$C$17*$A556^2)</f>
        <v>-168129.29893834551</v>
      </c>
      <c r="C556" s="33">
        <f>(Examples!$C$6*Examples!$C$7*Examples!$C$8*EXP(-Examples!$C$9*$A556)*(1-(Examples!$C$12*(1-EXP(-Examples!$C$13*$A556))/(1+EXP(MIN(700,MAX(-700,(Examples!$C$14*$A556-Examples!$C$15)/Examples!$C$16))))))+Examples!$C$17*$A556^2)</f>
        <v>574229.29893834551</v>
      </c>
      <c r="D556" s="33">
        <f>Examples!$D$18-(Examples!$D$10+Examples!$D$11)*$A556-(Examples!$D$6*Examples!$D$7*Examples!$D$8*EXP(-Examples!$D$9*$A556)*(1-(Examples!$D$12*(1-EXP(-Examples!$D$13*$A556))/(1+EXP(MIN(700,MAX(-700,(Examples!$D$14*$A556-Examples!$D$15)/Examples!$D$16))))))+Examples!$D$17*$A556^2)</f>
        <v>1631463.2653025056</v>
      </c>
      <c r="E556" s="33">
        <f>(Examples!$D$6*Examples!$D$7*Examples!$D$8*EXP(-Examples!$D$9*$A556)*(1-(Examples!$D$12*(1-EXP(-Examples!$D$13*$A556))/(1+EXP(MIN(700,MAX(-700,(Examples!$D$14*$A556-Examples!$D$15)/Examples!$D$16))))))+Examples!$D$17*$A556^2)</f>
        <v>619236.73469749442</v>
      </c>
      <c r="F556" s="33">
        <f>Examples!$E$18-(Examples!$E$10+Examples!$E$11)*$A556-(Examples!$E$6*Examples!$E$7*Examples!$E$8*EXP(-Examples!$E$9*$A556)*(1-(Examples!$E$12*(1-EXP(-Examples!$E$13*$A556))/(1+EXP(MIN(700,MAX(-700,(Examples!$E$14*$A556-Examples!$E$15)/Examples!$E$16))))))+Examples!$E$17*$A556^2)</f>
        <v>2323276.7620801269</v>
      </c>
      <c r="G556" s="33">
        <f>(Examples!$E$6*Examples!$E$7*Examples!$E$8*EXP(-Examples!$E$9*$A556)*(1-(Examples!$E$12*(1-EXP(-Examples!$E$13*$A556))/(1+EXP(MIN(700,MAX(-700,(Examples!$E$14*$A556-Examples!$E$15)/Examples!$E$16))))))+Examples!$E$17*$A556^2)</f>
        <v>205823.23791987292</v>
      </c>
      <c r="H556" s="33">
        <f>Examples!$F$18-(Examples!$F$10+Examples!$F$11)*$A556-(Examples!$F$6*Examples!$F$7*Examples!$F$8*EXP(-Examples!$F$9*$A556)*(1-(Examples!$F$12*(1-EXP(-Examples!$F$13*$A556))/(1+EXP(MIN(700,MAX(-700,(Examples!$F$14*$A556-Examples!$F$15)/Examples!$F$16))))))+Examples!$F$17*$A556^2)</f>
        <v>-577952.78388491389</v>
      </c>
      <c r="I556" s="33">
        <f>(Examples!$F$6*Examples!$F$7*Examples!$F$8*EXP(-Examples!$F$9*$A556)*(1-(Examples!$F$12*(1-EXP(-Examples!$F$13*$A556))/(1+EXP(MIN(700,MAX(-700,(Examples!$F$14*$A556-Examples!$F$15)/Examples!$F$16))))))+Examples!$F$17*$A556^2)</f>
        <v>617152.78388491389</v>
      </c>
      <c r="J556" s="33">
        <f>Examples!$G$18-(Examples!$G$10+Examples!$G$11)*$A556-(Examples!$G$6*Examples!$G$7*Examples!$G$8*EXP(-Examples!$G$9*$A556)*(1-(Examples!$G$12*(1-EXP(-Examples!$G$13*$A556))/(1+EXP(MIN(700,MAX(-700,(Examples!$G$14*$A556-Examples!$G$15)/Examples!$G$16))))))+Examples!$G$17*$A556^2)</f>
        <v>693453.90635859955</v>
      </c>
      <c r="K556" s="33">
        <f>(Examples!$G$6*Examples!$G$7*Examples!$G$8*EXP(-Examples!$G$9*$A556)*(1-(Examples!$G$12*(1-EXP(-Examples!$G$13*$A556))/(1+EXP(MIN(700,MAX(-700,(Examples!$G$14*$A556-Examples!$G$15)/Examples!$G$16))))))+Examples!$G$17*$A556^2)</f>
        <v>529546.09364140045</v>
      </c>
      <c r="L556" s="33">
        <f>Examples!$H$18-(Examples!$H$10+Examples!$H$11)*$A556-(Examples!$H$6*Examples!$H$7*Examples!$H$8*EXP(-Examples!$H$9*$A556)*(1-(Examples!$H$12*(1-EXP(-Examples!$H$13*$A556))/(1+EXP(MIN(700,MAX(-700,(Examples!$H$14*$A556-Examples!$H$15)/Examples!$H$16))))))+Examples!$H$17*$A556^2)</f>
        <v>689784.60392707121</v>
      </c>
      <c r="M556" s="33">
        <f>(Examples!$H$6*Examples!$H$7*Examples!$H$8*EXP(-Examples!$H$9*$A556)*(1-(Examples!$H$12*(1-EXP(-Examples!$H$13*$A556))/(1+EXP(MIN(700,MAX(-700,(Examples!$H$14*$A556-Examples!$H$15)/Examples!$H$16))))))+Examples!$H$17*$A556^2)</f>
        <v>533215.39607292879</v>
      </c>
    </row>
    <row r="557" spans="1:13" x14ac:dyDescent="0.25">
      <c r="A557">
        <f>(557-2)/100</f>
        <v>5.55</v>
      </c>
      <c r="B557" s="33">
        <f>Examples!$C$18-(Examples!$C$10+Examples!$C$11)*$A557-(Examples!$C$6*Examples!$C$7*Examples!$C$8*EXP(-Examples!$C$9*$A557)*(1-(Examples!$C$12*(1-EXP(-Examples!$C$13*$A557))/(1+EXP(MIN(700,MAX(-700,(Examples!$C$14*$A557-Examples!$C$15)/Examples!$C$16))))))+Examples!$C$17*$A557^2)</f>
        <v>-169801.74972221628</v>
      </c>
      <c r="C557" s="33">
        <f>(Examples!$C$6*Examples!$C$7*Examples!$C$8*EXP(-Examples!$C$9*$A557)*(1-(Examples!$C$12*(1-EXP(-Examples!$C$13*$A557))/(1+EXP(MIN(700,MAX(-700,(Examples!$C$14*$A557-Examples!$C$15)/Examples!$C$16))))))+Examples!$C$17*$A557^2)</f>
        <v>575551.74972221628</v>
      </c>
      <c r="D557" s="33">
        <f>Examples!$D$18-(Examples!$D$10+Examples!$D$11)*$A557-(Examples!$D$6*Examples!$D$7*Examples!$D$8*EXP(-Examples!$D$9*$A557)*(1-(Examples!$D$12*(1-EXP(-Examples!$D$13*$A557))/(1+EXP(MIN(700,MAX(-700,(Examples!$D$14*$A557-Examples!$D$15)/Examples!$D$16))))))+Examples!$D$17*$A557^2)</f>
        <v>1632191.7257717228</v>
      </c>
      <c r="E557" s="33">
        <f>(Examples!$D$6*Examples!$D$7*Examples!$D$8*EXP(-Examples!$D$9*$A557)*(1-(Examples!$D$12*(1-EXP(-Examples!$D$13*$A557))/(1+EXP(MIN(700,MAX(-700,(Examples!$D$14*$A557-Examples!$D$15)/Examples!$D$16))))))+Examples!$D$17*$A557^2)</f>
        <v>618058.27422827715</v>
      </c>
      <c r="F557" s="33">
        <f>Examples!$E$18-(Examples!$E$10+Examples!$E$11)*$A557-(Examples!$E$6*Examples!$E$7*Examples!$E$8*EXP(-Examples!$E$9*$A557)*(1-(Examples!$E$12*(1-EXP(-Examples!$E$13*$A557))/(1+EXP(MIN(700,MAX(-700,(Examples!$E$14*$A557-Examples!$E$15)/Examples!$E$16))))))+Examples!$E$17*$A557^2)</f>
        <v>2322402.121996264</v>
      </c>
      <c r="G557" s="33">
        <f>(Examples!$E$6*Examples!$E$7*Examples!$E$8*EXP(-Examples!$E$9*$A557)*(1-(Examples!$E$12*(1-EXP(-Examples!$E$13*$A557))/(1+EXP(MIN(700,MAX(-700,(Examples!$E$14*$A557-Examples!$E$15)/Examples!$E$16))))))+Examples!$E$17*$A557^2)</f>
        <v>205847.87800373623</v>
      </c>
      <c r="H557" s="33">
        <f>Examples!$F$18-(Examples!$F$10+Examples!$F$11)*$A557-(Examples!$F$6*Examples!$F$7*Examples!$F$8*EXP(-Examples!$F$9*$A557)*(1-(Examples!$F$12*(1-EXP(-Examples!$F$13*$A557))/(1+EXP(MIN(700,MAX(-700,(Examples!$F$14*$A557-Examples!$F$15)/Examples!$F$16))))))+Examples!$F$17*$A557^2)</f>
        <v>-580360.83646389027</v>
      </c>
      <c r="I557" s="33">
        <f>(Examples!$F$6*Examples!$F$7*Examples!$F$8*EXP(-Examples!$F$9*$A557)*(1-(Examples!$F$12*(1-EXP(-Examples!$F$13*$A557))/(1+EXP(MIN(700,MAX(-700,(Examples!$F$14*$A557-Examples!$F$15)/Examples!$F$16))))))+Examples!$F$17*$A557^2)</f>
        <v>619360.83646389027</v>
      </c>
      <c r="J557" s="33">
        <f>Examples!$G$18-(Examples!$G$10+Examples!$G$11)*$A557-(Examples!$G$6*Examples!$G$7*Examples!$G$8*EXP(-Examples!$G$9*$A557)*(1-(Examples!$G$12*(1-EXP(-Examples!$G$13*$A557))/(1+EXP(MIN(700,MAX(-700,(Examples!$G$14*$A557-Examples!$G$15)/Examples!$G$16))))))+Examples!$G$17*$A557^2)</f>
        <v>693012.44232488854</v>
      </c>
      <c r="K557" s="33">
        <f>(Examples!$G$6*Examples!$G$7*Examples!$G$8*EXP(-Examples!$G$9*$A557)*(1-(Examples!$G$12*(1-EXP(-Examples!$G$13*$A557))/(1+EXP(MIN(700,MAX(-700,(Examples!$G$14*$A557-Examples!$G$15)/Examples!$G$16))))))+Examples!$G$17*$A557^2)</f>
        <v>529487.55767511146</v>
      </c>
      <c r="L557" s="33">
        <f>Examples!$H$18-(Examples!$H$10+Examples!$H$11)*$A557-(Examples!$H$6*Examples!$H$7*Examples!$H$8*EXP(-Examples!$H$9*$A557)*(1-(Examples!$H$12*(1-EXP(-Examples!$H$13*$A557))/(1+EXP(MIN(700,MAX(-700,(Examples!$H$14*$A557-Examples!$H$15)/Examples!$H$16))))))+Examples!$H$17*$A557^2)</f>
        <v>689402.13373373193</v>
      </c>
      <c r="M557" s="33">
        <f>(Examples!$H$6*Examples!$H$7*Examples!$H$8*EXP(-Examples!$H$9*$A557)*(1-(Examples!$H$12*(1-EXP(-Examples!$H$13*$A557))/(1+EXP(MIN(700,MAX(-700,(Examples!$H$14*$A557-Examples!$H$15)/Examples!$H$16))))))+Examples!$H$17*$A557^2)</f>
        <v>533097.86626626807</v>
      </c>
    </row>
    <row r="558" spans="1:13" x14ac:dyDescent="0.25">
      <c r="A558">
        <f>(558-2)/100</f>
        <v>5.56</v>
      </c>
      <c r="B558" s="33">
        <f>Examples!$C$18-(Examples!$C$10+Examples!$C$11)*$A558-(Examples!$C$6*Examples!$C$7*Examples!$C$8*EXP(-Examples!$C$9*$A558)*(1-(Examples!$C$12*(1-EXP(-Examples!$C$13*$A558))/(1+EXP(MIN(700,MAX(-700,(Examples!$C$14*$A558-Examples!$C$15)/Examples!$C$16))))))+Examples!$C$17*$A558^2)</f>
        <v>-171478.22195030365</v>
      </c>
      <c r="C558" s="33">
        <f>(Examples!$C$6*Examples!$C$7*Examples!$C$8*EXP(-Examples!$C$9*$A558)*(1-(Examples!$C$12*(1-EXP(-Examples!$C$13*$A558))/(1+EXP(MIN(700,MAX(-700,(Examples!$C$14*$A558-Examples!$C$15)/Examples!$C$16))))))+Examples!$C$17*$A558^2)</f>
        <v>576878.22195030365</v>
      </c>
      <c r="D558" s="33">
        <f>Examples!$D$18-(Examples!$D$10+Examples!$D$11)*$A558-(Examples!$D$6*Examples!$D$7*Examples!$D$8*EXP(-Examples!$D$9*$A558)*(1-(Examples!$D$12*(1-EXP(-Examples!$D$13*$A558))/(1+EXP(MIN(700,MAX(-700,(Examples!$D$14*$A558-Examples!$D$15)/Examples!$D$16))))))+Examples!$D$17*$A558^2)</f>
        <v>1632916.8308992232</v>
      </c>
      <c r="E558" s="33">
        <f>(Examples!$D$6*Examples!$D$7*Examples!$D$8*EXP(-Examples!$D$9*$A558)*(1-(Examples!$D$12*(1-EXP(-Examples!$D$13*$A558))/(1+EXP(MIN(700,MAX(-700,(Examples!$D$14*$A558-Examples!$D$15)/Examples!$D$16))))))+Examples!$D$17*$A558^2)</f>
        <v>616883.16910077678</v>
      </c>
      <c r="F558" s="33">
        <f>Examples!$E$18-(Examples!$E$10+Examples!$E$11)*$A558-(Examples!$E$6*Examples!$E$7*Examples!$E$8*EXP(-Examples!$E$9*$A558)*(1-(Examples!$E$12*(1-EXP(-Examples!$E$13*$A558))/(1+EXP(MIN(700,MAX(-700,(Examples!$E$14*$A558-Examples!$E$15)/Examples!$E$16))))))+Examples!$E$17*$A558^2)</f>
        <v>2321526.9647544315</v>
      </c>
      <c r="G558" s="33">
        <f>(Examples!$E$6*Examples!$E$7*Examples!$E$8*EXP(-Examples!$E$9*$A558)*(1-(Examples!$E$12*(1-EXP(-Examples!$E$13*$A558))/(1+EXP(MIN(700,MAX(-700,(Examples!$E$14*$A558-Examples!$E$15)/Examples!$E$16))))))+Examples!$E$17*$A558^2)</f>
        <v>205873.03524556867</v>
      </c>
      <c r="H558" s="33">
        <f>Examples!$F$18-(Examples!$F$10+Examples!$F$11)*$A558-(Examples!$F$6*Examples!$F$7*Examples!$F$8*EXP(-Examples!$F$9*$A558)*(1-(Examples!$F$12*(1-EXP(-Examples!$F$13*$A558))/(1+EXP(MIN(700,MAX(-700,(Examples!$F$14*$A558-Examples!$F$15)/Examples!$F$16))))))+Examples!$F$17*$A558^2)</f>
        <v>-582772.9188403266</v>
      </c>
      <c r="I558" s="33">
        <f>(Examples!$F$6*Examples!$F$7*Examples!$F$8*EXP(-Examples!$F$9*$A558)*(1-(Examples!$F$12*(1-EXP(-Examples!$F$13*$A558))/(1+EXP(MIN(700,MAX(-700,(Examples!$F$14*$A558-Examples!$F$15)/Examples!$F$16))))))+Examples!$F$17*$A558^2)</f>
        <v>621572.9188403266</v>
      </c>
      <c r="J558" s="33">
        <f>Examples!$G$18-(Examples!$G$10+Examples!$G$11)*$A558-(Examples!$G$6*Examples!$G$7*Examples!$G$8*EXP(-Examples!$G$9*$A558)*(1-(Examples!$G$12*(1-EXP(-Examples!$G$13*$A558))/(1+EXP(MIN(700,MAX(-700,(Examples!$G$14*$A558-Examples!$G$15)/Examples!$G$16))))))+Examples!$G$17*$A558^2)</f>
        <v>692566.80897718295</v>
      </c>
      <c r="K558" s="33">
        <f>(Examples!$G$6*Examples!$G$7*Examples!$G$8*EXP(-Examples!$G$9*$A558)*(1-(Examples!$G$12*(1-EXP(-Examples!$G$13*$A558))/(1+EXP(MIN(700,MAX(-700,(Examples!$G$14*$A558-Examples!$G$15)/Examples!$G$16))))))+Examples!$G$17*$A558^2)</f>
        <v>529433.19102281705</v>
      </c>
      <c r="L558" s="33">
        <f>Examples!$H$18-(Examples!$H$10+Examples!$H$11)*$A558-(Examples!$H$6*Examples!$H$7*Examples!$H$8*EXP(-Examples!$H$9*$A558)*(1-(Examples!$H$12*(1-EXP(-Examples!$H$13*$A558))/(1+EXP(MIN(700,MAX(-700,(Examples!$H$14*$A558-Examples!$H$15)/Examples!$H$16))))))+Examples!$H$17*$A558^2)</f>
        <v>689014.56690741878</v>
      </c>
      <c r="M558" s="33">
        <f>(Examples!$H$6*Examples!$H$7*Examples!$H$8*EXP(-Examples!$H$9*$A558)*(1-(Examples!$H$12*(1-EXP(-Examples!$H$13*$A558))/(1+EXP(MIN(700,MAX(-700,(Examples!$H$14*$A558-Examples!$H$15)/Examples!$H$16))))))+Examples!$H$17*$A558^2)</f>
        <v>532985.43309258122</v>
      </c>
    </row>
    <row r="559" spans="1:13" x14ac:dyDescent="0.25">
      <c r="A559">
        <f>(559-2)/100</f>
        <v>5.57</v>
      </c>
      <c r="B559" s="33">
        <f>Examples!$C$18-(Examples!$C$10+Examples!$C$11)*$A559-(Examples!$C$6*Examples!$C$7*Examples!$C$8*EXP(-Examples!$C$9*$A559)*(1-(Examples!$C$12*(1-EXP(-Examples!$C$13*$A559))/(1+EXP(MIN(700,MAX(-700,(Examples!$C$14*$A559-Examples!$C$15)/Examples!$C$16))))))+Examples!$C$17*$A559^2)</f>
        <v>-173158.71256883931</v>
      </c>
      <c r="C559" s="33">
        <f>(Examples!$C$6*Examples!$C$7*Examples!$C$8*EXP(-Examples!$C$9*$A559)*(1-(Examples!$C$12*(1-EXP(-Examples!$C$13*$A559))/(1+EXP(MIN(700,MAX(-700,(Examples!$C$14*$A559-Examples!$C$15)/Examples!$C$16))))))+Examples!$C$17*$A559^2)</f>
        <v>578208.71256883931</v>
      </c>
      <c r="D559" s="33">
        <f>Examples!$D$18-(Examples!$D$10+Examples!$D$11)*$A559-(Examples!$D$6*Examples!$D$7*Examples!$D$8*EXP(-Examples!$D$9*$A559)*(1-(Examples!$D$12*(1-EXP(-Examples!$D$13*$A559))/(1+EXP(MIN(700,MAX(-700,(Examples!$D$14*$A559-Examples!$D$15)/Examples!$D$16))))))+Examples!$D$17*$A559^2)</f>
        <v>1633638.5194127783</v>
      </c>
      <c r="E559" s="33">
        <f>(Examples!$D$6*Examples!$D$7*Examples!$D$8*EXP(-Examples!$D$9*$A559)*(1-(Examples!$D$12*(1-EXP(-Examples!$D$13*$A559))/(1+EXP(MIN(700,MAX(-700,(Examples!$D$14*$A559-Examples!$D$15)/Examples!$D$16))))))+Examples!$D$17*$A559^2)</f>
        <v>615711.48058722168</v>
      </c>
      <c r="F559" s="33">
        <f>Examples!$E$18-(Examples!$E$10+Examples!$E$11)*$A559-(Examples!$E$6*Examples!$E$7*Examples!$E$8*EXP(-Examples!$E$9*$A559)*(1-(Examples!$E$12*(1-EXP(-Examples!$E$13*$A559))/(1+EXP(MIN(700,MAX(-700,(Examples!$E$14*$A559-Examples!$E$15)/Examples!$E$16))))))+Examples!$E$17*$A559^2)</f>
        <v>2320651.2888887017</v>
      </c>
      <c r="G559" s="33">
        <f>(Examples!$E$6*Examples!$E$7*Examples!$E$8*EXP(-Examples!$E$9*$A559)*(1-(Examples!$E$12*(1-EXP(-Examples!$E$13*$A559))/(1+EXP(MIN(700,MAX(-700,(Examples!$E$14*$A559-Examples!$E$15)/Examples!$E$16))))))+Examples!$E$17*$A559^2)</f>
        <v>205898.71111129844</v>
      </c>
      <c r="H559" s="33">
        <f>Examples!$F$18-(Examples!$F$10+Examples!$F$11)*$A559-(Examples!$F$6*Examples!$F$7*Examples!$F$8*EXP(-Examples!$F$9*$A559)*(1-(Examples!$F$12*(1-EXP(-Examples!$F$13*$A559))/(1+EXP(MIN(700,MAX(-700,(Examples!$F$14*$A559-Examples!$F$15)/Examples!$F$16))))))+Examples!$F$17*$A559^2)</f>
        <v>-585189.03092496854</v>
      </c>
      <c r="I559" s="33">
        <f>(Examples!$F$6*Examples!$F$7*Examples!$F$8*EXP(-Examples!$F$9*$A559)*(1-(Examples!$F$12*(1-EXP(-Examples!$F$13*$A559))/(1+EXP(MIN(700,MAX(-700,(Examples!$F$14*$A559-Examples!$F$15)/Examples!$F$16))))))+Examples!$F$17*$A559^2)</f>
        <v>623789.03092496854</v>
      </c>
      <c r="J559" s="33">
        <f>Examples!$G$18-(Examples!$G$10+Examples!$G$11)*$A559-(Examples!$G$6*Examples!$G$7*Examples!$G$8*EXP(-Examples!$G$9*$A559)*(1-(Examples!$G$12*(1-EXP(-Examples!$G$13*$A559))/(1+EXP(MIN(700,MAX(-700,(Examples!$G$14*$A559-Examples!$G$15)/Examples!$G$16))))))+Examples!$G$17*$A559^2)</f>
        <v>692117.00407987181</v>
      </c>
      <c r="K559" s="33">
        <f>(Examples!$G$6*Examples!$G$7*Examples!$G$8*EXP(-Examples!$G$9*$A559)*(1-(Examples!$G$12*(1-EXP(-Examples!$G$13*$A559))/(1+EXP(MIN(700,MAX(-700,(Examples!$G$14*$A559-Examples!$G$15)/Examples!$G$16))))))+Examples!$G$17*$A559^2)</f>
        <v>529382.99592012819</v>
      </c>
      <c r="L559" s="33">
        <f>Examples!$H$18-(Examples!$H$10+Examples!$H$11)*$A559-(Examples!$H$6*Examples!$H$7*Examples!$H$8*EXP(-Examples!$H$9*$A559)*(1-(Examples!$H$12*(1-EXP(-Examples!$H$13*$A559))/(1+EXP(MIN(700,MAX(-700,(Examples!$H$14*$A559-Examples!$H$15)/Examples!$H$16))))))+Examples!$H$17*$A559^2)</f>
        <v>688621.91519057169</v>
      </c>
      <c r="M559" s="33">
        <f>(Examples!$H$6*Examples!$H$7*Examples!$H$8*EXP(-Examples!$H$9*$A559)*(1-(Examples!$H$12*(1-EXP(-Examples!$H$13*$A559))/(1+EXP(MIN(700,MAX(-700,(Examples!$H$14*$A559-Examples!$H$15)/Examples!$H$16))))))+Examples!$H$17*$A559^2)</f>
        <v>532878.08480942831</v>
      </c>
    </row>
    <row r="560" spans="1:13" x14ac:dyDescent="0.25">
      <c r="A560">
        <f>(560-2)/100</f>
        <v>5.58</v>
      </c>
      <c r="B560" s="33">
        <f>Examples!$C$18-(Examples!$C$10+Examples!$C$11)*$A560-(Examples!$C$6*Examples!$C$7*Examples!$C$8*EXP(-Examples!$C$9*$A560)*(1-(Examples!$C$12*(1-EXP(-Examples!$C$13*$A560))/(1+EXP(MIN(700,MAX(-700,(Examples!$C$14*$A560-Examples!$C$15)/Examples!$C$16))))))+Examples!$C$17*$A560^2)</f>
        <v>-174843.21853299288</v>
      </c>
      <c r="C560" s="33">
        <f>(Examples!$C$6*Examples!$C$7*Examples!$C$8*EXP(-Examples!$C$9*$A560)*(1-(Examples!$C$12*(1-EXP(-Examples!$C$13*$A560))/(1+EXP(MIN(700,MAX(-700,(Examples!$C$14*$A560-Examples!$C$15)/Examples!$C$16))))))+Examples!$C$17*$A560^2)</f>
        <v>579543.21853299288</v>
      </c>
      <c r="D560" s="33">
        <f>Examples!$D$18-(Examples!$D$10+Examples!$D$11)*$A560-(Examples!$D$6*Examples!$D$7*Examples!$D$8*EXP(-Examples!$D$9*$A560)*(1-(Examples!$D$12*(1-EXP(-Examples!$D$13*$A560))/(1+EXP(MIN(700,MAX(-700,(Examples!$D$14*$A560-Examples!$D$15)/Examples!$D$16))))))+Examples!$D$17*$A560^2)</f>
        <v>1634356.7309793616</v>
      </c>
      <c r="E560" s="33">
        <f>(Examples!$D$6*Examples!$D$7*Examples!$D$8*EXP(-Examples!$D$9*$A560)*(1-(Examples!$D$12*(1-EXP(-Examples!$D$13*$A560))/(1+EXP(MIN(700,MAX(-700,(Examples!$D$14*$A560-Examples!$D$15)/Examples!$D$16))))))+Examples!$D$17*$A560^2)</f>
        <v>614543.26902063843</v>
      </c>
      <c r="F560" s="33">
        <f>Examples!$E$18-(Examples!$E$10+Examples!$E$11)*$A560-(Examples!$E$6*Examples!$E$7*Examples!$E$8*EXP(-Examples!$E$9*$A560)*(1-(Examples!$E$12*(1-EXP(-Examples!$E$13*$A560))/(1+EXP(MIN(700,MAX(-700,(Examples!$E$14*$A560-Examples!$E$15)/Examples!$E$16))))))+Examples!$E$17*$A560^2)</f>
        <v>2319775.0928037209</v>
      </c>
      <c r="G560" s="33">
        <f>(Examples!$E$6*Examples!$E$7*Examples!$E$8*EXP(-Examples!$E$9*$A560)*(1-(Examples!$E$12*(1-EXP(-Examples!$E$13*$A560))/(1+EXP(MIN(700,MAX(-700,(Examples!$E$14*$A560-Examples!$E$15)/Examples!$E$16))))))+Examples!$E$17*$A560^2)</f>
        <v>205924.90719627915</v>
      </c>
      <c r="H560" s="33">
        <f>Examples!$F$18-(Examples!$F$10+Examples!$F$11)*$A560-(Examples!$F$6*Examples!$F$7*Examples!$F$8*EXP(-Examples!$F$9*$A560)*(1-(Examples!$F$12*(1-EXP(-Examples!$F$13*$A560))/(1+EXP(MIN(700,MAX(-700,(Examples!$F$14*$A560-Examples!$F$15)/Examples!$F$16))))))+Examples!$F$17*$A560^2)</f>
        <v>-587609.17262882786</v>
      </c>
      <c r="I560" s="33">
        <f>(Examples!$F$6*Examples!$F$7*Examples!$F$8*EXP(-Examples!$F$9*$A560)*(1-(Examples!$F$12*(1-EXP(-Examples!$F$13*$A560))/(1+EXP(MIN(700,MAX(-700,(Examples!$F$14*$A560-Examples!$F$15)/Examples!$F$16))))))+Examples!$F$17*$A560^2)</f>
        <v>626009.17262882786</v>
      </c>
      <c r="J560" s="33">
        <f>Examples!$G$18-(Examples!$G$10+Examples!$G$11)*$A560-(Examples!$G$6*Examples!$G$7*Examples!$G$8*EXP(-Examples!$G$9*$A560)*(1-(Examples!$G$12*(1-EXP(-Examples!$G$13*$A560))/(1+EXP(MIN(700,MAX(-700,(Examples!$G$14*$A560-Examples!$G$15)/Examples!$G$16))))))+Examples!$G$17*$A560^2)</f>
        <v>691663.02556577045</v>
      </c>
      <c r="K560" s="33">
        <f>(Examples!$G$6*Examples!$G$7*Examples!$G$8*EXP(-Examples!$G$9*$A560)*(1-(Examples!$G$12*(1-EXP(-Examples!$G$13*$A560))/(1+EXP(MIN(700,MAX(-700,(Examples!$G$14*$A560-Examples!$G$15)/Examples!$G$16))))))+Examples!$G$17*$A560^2)</f>
        <v>529336.97443422955</v>
      </c>
      <c r="L560" s="33">
        <f>Examples!$H$18-(Examples!$H$10+Examples!$H$11)*$A560-(Examples!$H$6*Examples!$H$7*Examples!$H$8*EXP(-Examples!$H$9*$A560)*(1-(Examples!$H$12*(1-EXP(-Examples!$H$13*$A560))/(1+EXP(MIN(700,MAX(-700,(Examples!$H$14*$A560-Examples!$H$15)/Examples!$H$16))))))+Examples!$H$17*$A560^2)</f>
        <v>688224.19030090724</v>
      </c>
      <c r="M560" s="33">
        <f>(Examples!$H$6*Examples!$H$7*Examples!$H$8*EXP(-Examples!$H$9*$A560)*(1-(Examples!$H$12*(1-EXP(-Examples!$H$13*$A560))/(1+EXP(MIN(700,MAX(-700,(Examples!$H$14*$A560-Examples!$H$15)/Examples!$H$16))))))+Examples!$H$17*$A560^2)</f>
        <v>532775.80969909276</v>
      </c>
    </row>
    <row r="561" spans="1:13" x14ac:dyDescent="0.25">
      <c r="A561">
        <f>(561-2)/100</f>
        <v>5.59</v>
      </c>
      <c r="B561" s="33">
        <f>Examples!$C$18-(Examples!$C$10+Examples!$C$11)*$A561-(Examples!$C$6*Examples!$C$7*Examples!$C$8*EXP(-Examples!$C$9*$A561)*(1-(Examples!$C$12*(1-EXP(-Examples!$C$13*$A561))/(1+EXP(MIN(700,MAX(-700,(Examples!$C$14*$A561-Examples!$C$15)/Examples!$C$16))))))+Examples!$C$17*$A561^2)</f>
        <v>-176531.73680685344</v>
      </c>
      <c r="C561" s="33">
        <f>(Examples!$C$6*Examples!$C$7*Examples!$C$8*EXP(-Examples!$C$9*$A561)*(1-(Examples!$C$12*(1-EXP(-Examples!$C$13*$A561))/(1+EXP(MIN(700,MAX(-700,(Examples!$C$14*$A561-Examples!$C$15)/Examples!$C$16))))))+Examples!$C$17*$A561^2)</f>
        <v>580881.73680685344</v>
      </c>
      <c r="D561" s="33">
        <f>Examples!$D$18-(Examples!$D$10+Examples!$D$11)*$A561-(Examples!$D$6*Examples!$D$7*Examples!$D$8*EXP(-Examples!$D$9*$A561)*(1-(Examples!$D$12*(1-EXP(-Examples!$D$13*$A561))/(1+EXP(MIN(700,MAX(-700,(Examples!$D$14*$A561-Examples!$D$15)/Examples!$D$16))))))+Examples!$D$17*$A561^2)</f>
        <v>1635071.406203185</v>
      </c>
      <c r="E561" s="33">
        <f>(Examples!$D$6*Examples!$D$7*Examples!$D$8*EXP(-Examples!$D$9*$A561)*(1-(Examples!$D$12*(1-EXP(-Examples!$D$13*$A561))/(1+EXP(MIN(700,MAX(-700,(Examples!$D$14*$A561-Examples!$D$15)/Examples!$D$16))))))+Examples!$D$17*$A561^2)</f>
        <v>613378.59379681502</v>
      </c>
      <c r="F561" s="33">
        <f>Examples!$E$18-(Examples!$E$10+Examples!$E$11)*$A561-(Examples!$E$6*Examples!$E$7*Examples!$E$8*EXP(-Examples!$E$9*$A561)*(1-(Examples!$E$12*(1-EXP(-Examples!$E$13*$A561))/(1+EXP(MIN(700,MAX(-700,(Examples!$E$14*$A561-Examples!$E$15)/Examples!$E$16))))))+Examples!$E$17*$A561^2)</f>
        <v>2318898.3747769091</v>
      </c>
      <c r="G561" s="33">
        <f>(Examples!$E$6*Examples!$E$7*Examples!$E$8*EXP(-Examples!$E$9*$A561)*(1-(Examples!$E$12*(1-EXP(-Examples!$E$13*$A561))/(1+EXP(MIN(700,MAX(-700,(Examples!$E$14*$A561-Examples!$E$15)/Examples!$E$16))))))+Examples!$E$17*$A561^2)</f>
        <v>205951.62522309102</v>
      </c>
      <c r="H561" s="33">
        <f>Examples!$F$18-(Examples!$F$10+Examples!$F$11)*$A561-(Examples!$F$6*Examples!$F$7*Examples!$F$8*EXP(-Examples!$F$9*$A561)*(1-(Examples!$F$12*(1-EXP(-Examples!$F$13*$A561))/(1+EXP(MIN(700,MAX(-700,(Examples!$F$14*$A561-Examples!$F$15)/Examples!$F$16))))))+Examples!$F$17*$A561^2)</f>
        <v>-590033.3438631834</v>
      </c>
      <c r="I561" s="33">
        <f>(Examples!$F$6*Examples!$F$7*Examples!$F$8*EXP(-Examples!$F$9*$A561)*(1-(Examples!$F$12*(1-EXP(-Examples!$F$13*$A561))/(1+EXP(MIN(700,MAX(-700,(Examples!$F$14*$A561-Examples!$F$15)/Examples!$F$16))))))+Examples!$F$17*$A561^2)</f>
        <v>628233.3438631834</v>
      </c>
      <c r="J561" s="33">
        <f>Examples!$G$18-(Examples!$G$10+Examples!$G$11)*$A561-(Examples!$G$6*Examples!$G$7*Examples!$G$8*EXP(-Examples!$G$9*$A561)*(1-(Examples!$G$12*(1-EXP(-Examples!$G$13*$A561))/(1+EXP(MIN(700,MAX(-700,(Examples!$G$14*$A561-Examples!$G$15)/Examples!$G$16))))))+Examples!$G$17*$A561^2)</f>
        <v>691204.87153352075</v>
      </c>
      <c r="K561" s="33">
        <f>(Examples!$G$6*Examples!$G$7*Examples!$G$8*EXP(-Examples!$G$9*$A561)*(1-(Examples!$G$12*(1-EXP(-Examples!$G$13*$A561))/(1+EXP(MIN(700,MAX(-700,(Examples!$G$14*$A561-Examples!$G$15)/Examples!$G$16))))))+Examples!$G$17*$A561^2)</f>
        <v>529295.12846647925</v>
      </c>
      <c r="L561" s="33">
        <f>Examples!$H$18-(Examples!$H$10+Examples!$H$11)*$A561-(Examples!$H$6*Examples!$H$7*Examples!$H$8*EXP(-Examples!$H$9*$A561)*(1-(Examples!$H$12*(1-EXP(-Examples!$H$13*$A561))/(1+EXP(MIN(700,MAX(-700,(Examples!$H$14*$A561-Examples!$H$15)/Examples!$H$16))))))+Examples!$H$17*$A561^2)</f>
        <v>687821.40393094637</v>
      </c>
      <c r="M561" s="33">
        <f>(Examples!$H$6*Examples!$H$7*Examples!$H$8*EXP(-Examples!$H$9*$A561)*(1-(Examples!$H$12*(1-EXP(-Examples!$H$13*$A561))/(1+EXP(MIN(700,MAX(-700,(Examples!$H$14*$A561-Examples!$H$15)/Examples!$H$16))))))+Examples!$H$17*$A561^2)</f>
        <v>532678.59606905363</v>
      </c>
    </row>
    <row r="562" spans="1:13" x14ac:dyDescent="0.25">
      <c r="A562">
        <f>(562-2)/100</f>
        <v>5.6</v>
      </c>
      <c r="B562" s="33">
        <f>Examples!$C$18-(Examples!$C$10+Examples!$C$11)*$A562-(Examples!$C$6*Examples!$C$7*Examples!$C$8*EXP(-Examples!$C$9*$A562)*(1-(Examples!$C$12*(1-EXP(-Examples!$C$13*$A562))/(1+EXP(MIN(700,MAX(-700,(Examples!$C$14*$A562-Examples!$C$15)/Examples!$C$16))))))+Examples!$C$17*$A562^2)</f>
        <v>-178224.26436340925</v>
      </c>
      <c r="C562" s="33">
        <f>(Examples!$C$6*Examples!$C$7*Examples!$C$8*EXP(-Examples!$C$9*$A562)*(1-(Examples!$C$12*(1-EXP(-Examples!$C$13*$A562))/(1+EXP(MIN(700,MAX(-700,(Examples!$C$14*$A562-Examples!$C$15)/Examples!$C$16))))))+Examples!$C$17*$A562^2)</f>
        <v>582224.26436340925</v>
      </c>
      <c r="D562" s="33">
        <f>Examples!$D$18-(Examples!$D$10+Examples!$D$11)*$A562-(Examples!$D$6*Examples!$D$7*Examples!$D$8*EXP(-Examples!$D$9*$A562)*(1-(Examples!$D$12*(1-EXP(-Examples!$D$13*$A562))/(1+EXP(MIN(700,MAX(-700,(Examples!$D$14*$A562-Examples!$D$15)/Examples!$D$16))))))+Examples!$D$17*$A562^2)</f>
        <v>1635782.4866234304</v>
      </c>
      <c r="E562" s="33">
        <f>(Examples!$D$6*Examples!$D$7*Examples!$D$8*EXP(-Examples!$D$9*$A562)*(1-(Examples!$D$12*(1-EXP(-Examples!$D$13*$A562))/(1+EXP(MIN(700,MAX(-700,(Examples!$D$14*$A562-Examples!$D$15)/Examples!$D$16))))))+Examples!$D$17*$A562^2)</f>
        <v>612217.51337656961</v>
      </c>
      <c r="F562" s="33">
        <f>Examples!$E$18-(Examples!$E$10+Examples!$E$11)*$A562-(Examples!$E$6*Examples!$E$7*Examples!$E$8*EXP(-Examples!$E$9*$A562)*(1-(Examples!$E$12*(1-EXP(-Examples!$E$13*$A562))/(1+EXP(MIN(700,MAX(-700,(Examples!$E$14*$A562-Examples!$E$15)/Examples!$E$16))))))+Examples!$E$17*$A562^2)</f>
        <v>2318021.1329606525</v>
      </c>
      <c r="G562" s="33">
        <f>(Examples!$E$6*Examples!$E$7*Examples!$E$8*EXP(-Examples!$E$9*$A562)*(1-(Examples!$E$12*(1-EXP(-Examples!$E$13*$A562))/(1+EXP(MIN(700,MAX(-700,(Examples!$E$14*$A562-Examples!$E$15)/Examples!$E$16))))))+Examples!$E$17*$A562^2)</f>
        <v>205978.8670393475</v>
      </c>
      <c r="H562" s="33">
        <f>Examples!$F$18-(Examples!$F$10+Examples!$F$11)*$A562-(Examples!$F$6*Examples!$F$7*Examples!$F$8*EXP(-Examples!$F$9*$A562)*(1-(Examples!$F$12*(1-EXP(-Examples!$F$13*$A562))/(1+EXP(MIN(700,MAX(-700,(Examples!$F$14*$A562-Examples!$F$15)/Examples!$F$16))))))+Examples!$F$17*$A562^2)</f>
        <v>-592461.54453957942</v>
      </c>
      <c r="I562" s="33">
        <f>(Examples!$F$6*Examples!$F$7*Examples!$F$8*EXP(-Examples!$F$9*$A562)*(1-(Examples!$F$12*(1-EXP(-Examples!$F$13*$A562))/(1+EXP(MIN(700,MAX(-700,(Examples!$F$14*$A562-Examples!$F$15)/Examples!$F$16))))))+Examples!$F$17*$A562^2)</f>
        <v>630461.54453957942</v>
      </c>
      <c r="J562" s="33">
        <f>Examples!$G$18-(Examples!$G$10+Examples!$G$11)*$A562-(Examples!$G$6*Examples!$G$7*Examples!$G$8*EXP(-Examples!$G$9*$A562)*(1-(Examples!$G$12*(1-EXP(-Examples!$G$13*$A562))/(1+EXP(MIN(700,MAX(-700,(Examples!$G$14*$A562-Examples!$G$15)/Examples!$G$16))))))+Examples!$G$17*$A562^2)</f>
        <v>690742.54024501599</v>
      </c>
      <c r="K562" s="33">
        <f>(Examples!$G$6*Examples!$G$7*Examples!$G$8*EXP(-Examples!$G$9*$A562)*(1-(Examples!$G$12*(1-EXP(-Examples!$G$13*$A562))/(1+EXP(MIN(700,MAX(-700,(Examples!$G$14*$A562-Examples!$G$15)/Examples!$G$16))))))+Examples!$G$17*$A562^2)</f>
        <v>529257.45975498401</v>
      </c>
      <c r="L562" s="33">
        <f>Examples!$H$18-(Examples!$H$10+Examples!$H$11)*$A562-(Examples!$H$6*Examples!$H$7*Examples!$H$8*EXP(-Examples!$H$9*$A562)*(1-(Examples!$H$12*(1-EXP(-Examples!$H$13*$A562))/(1+EXP(MIN(700,MAX(-700,(Examples!$H$14*$A562-Examples!$H$15)/Examples!$H$16))))))+Examples!$H$17*$A562^2)</f>
        <v>687413.56774756243</v>
      </c>
      <c r="M562" s="33">
        <f>(Examples!$H$6*Examples!$H$7*Examples!$H$8*EXP(-Examples!$H$9*$A562)*(1-(Examples!$H$12*(1-EXP(-Examples!$H$13*$A562))/(1+EXP(MIN(700,MAX(-700,(Examples!$H$14*$A562-Examples!$H$15)/Examples!$H$16))))))+Examples!$H$17*$A562^2)</f>
        <v>532586.43225243757</v>
      </c>
    </row>
    <row r="563" spans="1:13" x14ac:dyDescent="0.25">
      <c r="A563">
        <f>(563-2)/100</f>
        <v>5.61</v>
      </c>
      <c r="B563" s="33">
        <f>Examples!$C$18-(Examples!$C$10+Examples!$C$11)*$A563-(Examples!$C$6*Examples!$C$7*Examples!$C$8*EXP(-Examples!$C$9*$A563)*(1-(Examples!$C$12*(1-EXP(-Examples!$C$13*$A563))/(1+EXP(MIN(700,MAX(-700,(Examples!$C$14*$A563-Examples!$C$15)/Examples!$C$16))))))+Examples!$C$17*$A563^2)</f>
        <v>-179920.7981845286</v>
      </c>
      <c r="C563" s="33">
        <f>(Examples!$C$6*Examples!$C$7*Examples!$C$8*EXP(-Examples!$C$9*$A563)*(1-(Examples!$C$12*(1-EXP(-Examples!$C$13*$A563))/(1+EXP(MIN(700,MAX(-700,(Examples!$C$14*$A563-Examples!$C$15)/Examples!$C$16))))))+Examples!$C$17*$A563^2)</f>
        <v>583570.7981845286</v>
      </c>
      <c r="D563" s="33">
        <f>Examples!$D$18-(Examples!$D$10+Examples!$D$11)*$A563-(Examples!$D$6*Examples!$D$7*Examples!$D$8*EXP(-Examples!$D$9*$A563)*(1-(Examples!$D$12*(1-EXP(-Examples!$D$13*$A563))/(1+EXP(MIN(700,MAX(-700,(Examples!$D$14*$A563-Examples!$D$15)/Examples!$D$16))))))+Examples!$D$17*$A563^2)</f>
        <v>1636489.9147116868</v>
      </c>
      <c r="E563" s="33">
        <f>(Examples!$D$6*Examples!$D$7*Examples!$D$8*EXP(-Examples!$D$9*$A563)*(1-(Examples!$D$12*(1-EXP(-Examples!$D$13*$A563))/(1+EXP(MIN(700,MAX(-700,(Examples!$D$14*$A563-Examples!$D$15)/Examples!$D$16))))))+Examples!$D$17*$A563^2)</f>
        <v>611060.08528831333</v>
      </c>
      <c r="F563" s="33">
        <f>Examples!$E$18-(Examples!$E$10+Examples!$E$11)*$A563-(Examples!$E$6*Examples!$E$7*Examples!$E$8*EXP(-Examples!$E$9*$A563)*(1-(Examples!$E$12*(1-EXP(-Examples!$E$13*$A563))/(1+EXP(MIN(700,MAX(-700,(Examples!$E$14*$A563-Examples!$E$15)/Examples!$E$16))))))+Examples!$E$17*$A563^2)</f>
        <v>2317143.365384493</v>
      </c>
      <c r="G563" s="33">
        <f>(Examples!$E$6*Examples!$E$7*Examples!$E$8*EXP(-Examples!$E$9*$A563)*(1-(Examples!$E$12*(1-EXP(-Examples!$E$13*$A563))/(1+EXP(MIN(700,MAX(-700,(Examples!$E$14*$A563-Examples!$E$15)/Examples!$E$16))))))+Examples!$E$17*$A563^2)</f>
        <v>206006.63461550683</v>
      </c>
      <c r="H563" s="33">
        <f>Examples!$F$18-(Examples!$F$10+Examples!$F$11)*$A563-(Examples!$F$6*Examples!$F$7*Examples!$F$8*EXP(-Examples!$F$9*$A563)*(1-(Examples!$F$12*(1-EXP(-Examples!$F$13*$A563))/(1+EXP(MIN(700,MAX(-700,(Examples!$F$14*$A563-Examples!$F$15)/Examples!$F$16))))))+Examples!$F$17*$A563^2)</f>
        <v>-594893.7745698255</v>
      </c>
      <c r="I563" s="33">
        <f>(Examples!$F$6*Examples!$F$7*Examples!$F$8*EXP(-Examples!$F$9*$A563)*(1-(Examples!$F$12*(1-EXP(-Examples!$F$13*$A563))/(1+EXP(MIN(700,MAX(-700,(Examples!$F$14*$A563-Examples!$F$15)/Examples!$F$16))))))+Examples!$F$17*$A563^2)</f>
        <v>632693.7745698255</v>
      </c>
      <c r="J563" s="33">
        <f>Examples!$G$18-(Examples!$G$10+Examples!$G$11)*$A563-(Examples!$G$6*Examples!$G$7*Examples!$G$8*EXP(-Examples!$G$9*$A563)*(1-(Examples!$G$12*(1-EXP(-Examples!$G$13*$A563))/(1+EXP(MIN(700,MAX(-700,(Examples!$G$14*$A563-Examples!$G$15)/Examples!$G$16))))))+Examples!$G$17*$A563^2)</f>
        <v>690276.03012285288</v>
      </c>
      <c r="K563" s="33">
        <f>(Examples!$G$6*Examples!$G$7*Examples!$G$8*EXP(-Examples!$G$9*$A563)*(1-(Examples!$G$12*(1-EXP(-Examples!$G$13*$A563))/(1+EXP(MIN(700,MAX(-700,(Examples!$G$14*$A563-Examples!$G$15)/Examples!$G$16))))))+Examples!$G$17*$A563^2)</f>
        <v>529223.96987714712</v>
      </c>
      <c r="L563" s="33">
        <f>Examples!$H$18-(Examples!$H$10+Examples!$H$11)*$A563-(Examples!$H$6*Examples!$H$7*Examples!$H$8*EXP(-Examples!$H$9*$A563)*(1-(Examples!$H$12*(1-EXP(-Examples!$H$13*$A563))/(1+EXP(MIN(700,MAX(-700,(Examples!$H$14*$A563-Examples!$H$15)/Examples!$H$16))))))+Examples!$H$17*$A563^2)</f>
        <v>687000.69339154928</v>
      </c>
      <c r="M563" s="33">
        <f>(Examples!$H$6*Examples!$H$7*Examples!$H$8*EXP(-Examples!$H$9*$A563)*(1-(Examples!$H$12*(1-EXP(-Examples!$H$13*$A563))/(1+EXP(MIN(700,MAX(-700,(Examples!$H$14*$A563-Examples!$H$15)/Examples!$H$16))))))+Examples!$H$17*$A563^2)</f>
        <v>532499.30660845072</v>
      </c>
    </row>
    <row r="564" spans="1:13" x14ac:dyDescent="0.25">
      <c r="A564">
        <f>(564-2)/100</f>
        <v>5.62</v>
      </c>
      <c r="B564" s="33">
        <f>Examples!$C$18-(Examples!$C$10+Examples!$C$11)*$A564-(Examples!$C$6*Examples!$C$7*Examples!$C$8*EXP(-Examples!$C$9*$A564)*(1-(Examples!$C$12*(1-EXP(-Examples!$C$13*$A564))/(1+EXP(MIN(700,MAX(-700,(Examples!$C$14*$A564-Examples!$C$15)/Examples!$C$16))))))+Examples!$C$17*$A564^2)</f>
        <v>-181621.3352609385</v>
      </c>
      <c r="C564" s="33">
        <f>(Examples!$C$6*Examples!$C$7*Examples!$C$8*EXP(-Examples!$C$9*$A564)*(1-(Examples!$C$12*(1-EXP(-Examples!$C$13*$A564))/(1+EXP(MIN(700,MAX(-700,(Examples!$C$14*$A564-Examples!$C$15)/Examples!$C$16))))))+Examples!$C$17*$A564^2)</f>
        <v>584921.3352609385</v>
      </c>
      <c r="D564" s="33">
        <f>Examples!$D$18-(Examples!$D$10+Examples!$D$11)*$A564-(Examples!$D$6*Examples!$D$7*Examples!$D$8*EXP(-Examples!$D$9*$A564)*(1-(Examples!$D$12*(1-EXP(-Examples!$D$13*$A564))/(1+EXP(MIN(700,MAX(-700,(Examples!$D$14*$A564-Examples!$D$15)/Examples!$D$16))))))+Examples!$D$17*$A564^2)</f>
        <v>1637193.6338691059</v>
      </c>
      <c r="E564" s="33">
        <f>(Examples!$D$6*Examples!$D$7*Examples!$D$8*EXP(-Examples!$D$9*$A564)*(1-(Examples!$D$12*(1-EXP(-Examples!$D$13*$A564))/(1+EXP(MIN(700,MAX(-700,(Examples!$D$14*$A564-Examples!$D$15)/Examples!$D$16))))))+Examples!$D$17*$A564^2)</f>
        <v>609906.36613089405</v>
      </c>
      <c r="F564" s="33">
        <f>Examples!$E$18-(Examples!$E$10+Examples!$E$11)*$A564-(Examples!$E$6*Examples!$E$7*Examples!$E$8*EXP(-Examples!$E$9*$A564)*(1-(Examples!$E$12*(1-EXP(-Examples!$E$13*$A564))/(1+EXP(MIN(700,MAX(-700,(Examples!$E$14*$A564-Examples!$E$15)/Examples!$E$16))))))+Examples!$E$17*$A564^2)</f>
        <v>2316265.0699573108</v>
      </c>
      <c r="G564" s="33">
        <f>(Examples!$E$6*Examples!$E$7*Examples!$E$8*EXP(-Examples!$E$9*$A564)*(1-(Examples!$E$12*(1-EXP(-Examples!$E$13*$A564))/(1+EXP(MIN(700,MAX(-700,(Examples!$E$14*$A564-Examples!$E$15)/Examples!$E$16))))))+Examples!$E$17*$A564^2)</f>
        <v>206034.93004268908</v>
      </c>
      <c r="H564" s="33">
        <f>Examples!$F$18-(Examples!$F$10+Examples!$F$11)*$A564-(Examples!$F$6*Examples!$F$7*Examples!$F$8*EXP(-Examples!$F$9*$A564)*(1-(Examples!$F$12*(1-EXP(-Examples!$F$13*$A564))/(1+EXP(MIN(700,MAX(-700,(Examples!$F$14*$A564-Examples!$F$15)/Examples!$F$16))))))+Examples!$F$17*$A564^2)</f>
        <v>-597330.03386599419</v>
      </c>
      <c r="I564" s="33">
        <f>(Examples!$F$6*Examples!$F$7*Examples!$F$8*EXP(-Examples!$F$9*$A564)*(1-(Examples!$F$12*(1-EXP(-Examples!$F$13*$A564))/(1+EXP(MIN(700,MAX(-700,(Examples!$F$14*$A564-Examples!$F$15)/Examples!$F$16))))))+Examples!$F$17*$A564^2)</f>
        <v>634930.03386599419</v>
      </c>
      <c r="J564" s="33">
        <f>Examples!$G$18-(Examples!$G$10+Examples!$G$11)*$A564-(Examples!$G$6*Examples!$G$7*Examples!$G$8*EXP(-Examples!$G$9*$A564)*(1-(Examples!$G$12*(1-EXP(-Examples!$G$13*$A564))/(1+EXP(MIN(700,MAX(-700,(Examples!$G$14*$A564-Examples!$G$15)/Examples!$G$16))))))+Examples!$G$17*$A564^2)</f>
        <v>689805.33974780876</v>
      </c>
      <c r="K564" s="33">
        <f>(Examples!$G$6*Examples!$G$7*Examples!$G$8*EXP(-Examples!$G$9*$A564)*(1-(Examples!$G$12*(1-EXP(-Examples!$G$13*$A564))/(1+EXP(MIN(700,MAX(-700,(Examples!$G$14*$A564-Examples!$G$15)/Examples!$G$16))))))+Examples!$G$17*$A564^2)</f>
        <v>529194.66025219124</v>
      </c>
      <c r="L564" s="33">
        <f>Examples!$H$18-(Examples!$H$10+Examples!$H$11)*$A564-(Examples!$H$6*Examples!$H$7*Examples!$H$8*EXP(-Examples!$H$9*$A564)*(1-(Examples!$H$12*(1-EXP(-Examples!$H$13*$A564))/(1+EXP(MIN(700,MAX(-700,(Examples!$H$14*$A564-Examples!$H$15)/Examples!$H$16))))))+Examples!$H$17*$A564^2)</f>
        <v>686582.79247720912</v>
      </c>
      <c r="M564" s="33">
        <f>(Examples!$H$6*Examples!$H$7*Examples!$H$8*EXP(-Examples!$H$9*$A564)*(1-(Examples!$H$12*(1-EXP(-Examples!$H$13*$A564))/(1+EXP(MIN(700,MAX(-700,(Examples!$H$14*$A564-Examples!$H$15)/Examples!$H$16))))))+Examples!$H$17*$A564^2)</f>
        <v>532417.20752279088</v>
      </c>
    </row>
    <row r="565" spans="1:13" x14ac:dyDescent="0.25">
      <c r="A565">
        <f>(565-2)/100</f>
        <v>5.63</v>
      </c>
      <c r="B565" s="33">
        <f>Examples!$C$18-(Examples!$C$10+Examples!$C$11)*$A565-(Examples!$C$6*Examples!$C$7*Examples!$C$8*EXP(-Examples!$C$9*$A565)*(1-(Examples!$C$12*(1-EXP(-Examples!$C$13*$A565))/(1+EXP(MIN(700,MAX(-700,(Examples!$C$14*$A565-Examples!$C$15)/Examples!$C$16))))))+Examples!$C$17*$A565^2)</f>
        <v>-183325.87259220565</v>
      </c>
      <c r="C565" s="33">
        <f>(Examples!$C$6*Examples!$C$7*Examples!$C$8*EXP(-Examples!$C$9*$A565)*(1-(Examples!$C$12*(1-EXP(-Examples!$C$13*$A565))/(1+EXP(MIN(700,MAX(-700,(Examples!$C$14*$A565-Examples!$C$15)/Examples!$C$16))))))+Examples!$C$17*$A565^2)</f>
        <v>586275.87259220565</v>
      </c>
      <c r="D565" s="33">
        <f>Examples!$D$18-(Examples!$D$10+Examples!$D$11)*$A565-(Examples!$D$6*Examples!$D$7*Examples!$D$8*EXP(-Examples!$D$9*$A565)*(1-(Examples!$D$12*(1-EXP(-Examples!$D$13*$A565))/(1+EXP(MIN(700,MAX(-700,(Examples!$D$14*$A565-Examples!$D$15)/Examples!$D$16))))))+Examples!$D$17*$A565^2)</f>
        <v>1637893.5884232861</v>
      </c>
      <c r="E565" s="33">
        <f>(Examples!$D$6*Examples!$D$7*Examples!$D$8*EXP(-Examples!$D$9*$A565)*(1-(Examples!$D$12*(1-EXP(-Examples!$D$13*$A565))/(1+EXP(MIN(700,MAX(-700,(Examples!$D$14*$A565-Examples!$D$15)/Examples!$D$16))))))+Examples!$D$17*$A565^2)</f>
        <v>608756.4115767139</v>
      </c>
      <c r="F565" s="33">
        <f>Examples!$E$18-(Examples!$E$10+Examples!$E$11)*$A565-(Examples!$E$6*Examples!$E$7*Examples!$E$8*EXP(-Examples!$E$9*$A565)*(1-(Examples!$E$12*(1-EXP(-Examples!$E$13*$A565))/(1+EXP(MIN(700,MAX(-700,(Examples!$E$14*$A565-Examples!$E$15)/Examples!$E$16))))))+Examples!$E$17*$A565^2)</f>
        <v>2315386.2444695011</v>
      </c>
      <c r="G565" s="33">
        <f>(Examples!$E$6*Examples!$E$7*Examples!$E$8*EXP(-Examples!$E$9*$A565)*(1-(Examples!$E$12*(1-EXP(-Examples!$E$13*$A565))/(1+EXP(MIN(700,MAX(-700,(Examples!$E$14*$A565-Examples!$E$15)/Examples!$E$16))))))+Examples!$E$17*$A565^2)</f>
        <v>206063.75553049898</v>
      </c>
      <c r="H565" s="33">
        <f>Examples!$F$18-(Examples!$F$10+Examples!$F$11)*$A565-(Examples!$F$6*Examples!$F$7*Examples!$F$8*EXP(-Examples!$F$9*$A565)*(1-(Examples!$F$12*(1-EXP(-Examples!$F$13*$A565))/(1+EXP(MIN(700,MAX(-700,(Examples!$F$14*$A565-Examples!$F$15)/Examples!$F$16))))))+Examples!$F$17*$A565^2)</f>
        <v>-599770.32234042243</v>
      </c>
      <c r="I565" s="33">
        <f>(Examples!$F$6*Examples!$F$7*Examples!$F$8*EXP(-Examples!$F$9*$A565)*(1-(Examples!$F$12*(1-EXP(-Examples!$F$13*$A565))/(1+EXP(MIN(700,MAX(-700,(Examples!$F$14*$A565-Examples!$F$15)/Examples!$F$16))))))+Examples!$F$17*$A565^2)</f>
        <v>637170.32234042243</v>
      </c>
      <c r="J565" s="33">
        <f>Examples!$G$18-(Examples!$G$10+Examples!$G$11)*$A565-(Examples!$G$6*Examples!$G$7*Examples!$G$8*EXP(-Examples!$G$9*$A565)*(1-(Examples!$G$12*(1-EXP(-Examples!$G$13*$A565))/(1+EXP(MIN(700,MAX(-700,(Examples!$G$14*$A565-Examples!$G$15)/Examples!$G$16))))))+Examples!$G$17*$A565^2)</f>
        <v>689330.46785634558</v>
      </c>
      <c r="K565" s="33">
        <f>(Examples!$G$6*Examples!$G$7*Examples!$G$8*EXP(-Examples!$G$9*$A565)*(1-(Examples!$G$12*(1-EXP(-Examples!$G$13*$A565))/(1+EXP(MIN(700,MAX(-700,(Examples!$G$14*$A565-Examples!$G$15)/Examples!$G$16))))))+Examples!$G$17*$A565^2)</f>
        <v>529169.53214365442</v>
      </c>
      <c r="L565" s="33">
        <f>Examples!$H$18-(Examples!$H$10+Examples!$H$11)*$A565-(Examples!$H$6*Examples!$H$7*Examples!$H$8*EXP(-Examples!$H$9*$A565)*(1-(Examples!$H$12*(1-EXP(-Examples!$H$13*$A565))/(1+EXP(MIN(700,MAX(-700,(Examples!$H$14*$A565-Examples!$H$15)/Examples!$H$16))))))+Examples!$H$17*$A565^2)</f>
        <v>686159.87659195892</v>
      </c>
      <c r="M565" s="33">
        <f>(Examples!$H$6*Examples!$H$7*Examples!$H$8*EXP(-Examples!$H$9*$A565)*(1-(Examples!$H$12*(1-EXP(-Examples!$H$13*$A565))/(1+EXP(MIN(700,MAX(-700,(Examples!$H$14*$A565-Examples!$H$15)/Examples!$H$16))))))+Examples!$H$17*$A565^2)</f>
        <v>532340.12340804108</v>
      </c>
    </row>
    <row r="566" spans="1:13" x14ac:dyDescent="0.25">
      <c r="A566">
        <f>(566-2)/100</f>
        <v>5.64</v>
      </c>
      <c r="B566" s="33">
        <f>Examples!$C$18-(Examples!$C$10+Examples!$C$11)*$A566-(Examples!$C$6*Examples!$C$7*Examples!$C$8*EXP(-Examples!$C$9*$A566)*(1-(Examples!$C$12*(1-EXP(-Examples!$C$13*$A566))/(1+EXP(MIN(700,MAX(-700,(Examples!$C$14*$A566-Examples!$C$15)/Examples!$C$16))))))+Examples!$C$17*$A566^2)</f>
        <v>-185034.40718671551</v>
      </c>
      <c r="C566" s="33">
        <f>(Examples!$C$6*Examples!$C$7*Examples!$C$8*EXP(-Examples!$C$9*$A566)*(1-(Examples!$C$12*(1-EXP(-Examples!$C$13*$A566))/(1+EXP(MIN(700,MAX(-700,(Examples!$C$14*$A566-Examples!$C$15)/Examples!$C$16))))))+Examples!$C$17*$A566^2)</f>
        <v>587634.40718671551</v>
      </c>
      <c r="D566" s="33">
        <f>Examples!$D$18-(Examples!$D$10+Examples!$D$11)*$A566-(Examples!$D$6*Examples!$D$7*Examples!$D$8*EXP(-Examples!$D$9*$A566)*(1-(Examples!$D$12*(1-EXP(-Examples!$D$13*$A566))/(1+EXP(MIN(700,MAX(-700,(Examples!$D$14*$A566-Examples!$D$15)/Examples!$D$16))))))+Examples!$D$17*$A566^2)</f>
        <v>1638589.7236248865</v>
      </c>
      <c r="E566" s="33">
        <f>(Examples!$D$6*Examples!$D$7*Examples!$D$8*EXP(-Examples!$D$9*$A566)*(1-(Examples!$D$12*(1-EXP(-Examples!$D$13*$A566))/(1+EXP(MIN(700,MAX(-700,(Examples!$D$14*$A566-Examples!$D$15)/Examples!$D$16))))))+Examples!$D$17*$A566^2)</f>
        <v>607610.27637511364</v>
      </c>
      <c r="F566" s="33">
        <f>Examples!$E$18-(Examples!$E$10+Examples!$E$11)*$A566-(Examples!$E$6*Examples!$E$7*Examples!$E$8*EXP(-Examples!$E$9*$A566)*(1-(Examples!$E$12*(1-EXP(-Examples!$E$13*$A566))/(1+EXP(MIN(700,MAX(-700,(Examples!$E$14*$A566-Examples!$E$15)/Examples!$E$16))))))+Examples!$E$17*$A566^2)</f>
        <v>2314506.8865951449</v>
      </c>
      <c r="G566" s="33">
        <f>(Examples!$E$6*Examples!$E$7*Examples!$E$8*EXP(-Examples!$E$9*$A566)*(1-(Examples!$E$12*(1-EXP(-Examples!$E$13*$A566))/(1+EXP(MIN(700,MAX(-700,(Examples!$E$14*$A566-Examples!$E$15)/Examples!$E$16))))))+Examples!$E$17*$A566^2)</f>
        <v>206093.1134048551</v>
      </c>
      <c r="H566" s="33">
        <f>Examples!$F$18-(Examples!$F$10+Examples!$F$11)*$A566-(Examples!$F$6*Examples!$F$7*Examples!$F$8*EXP(-Examples!$F$9*$A566)*(1-(Examples!$F$12*(1-EXP(-Examples!$F$13*$A566))/(1+EXP(MIN(700,MAX(-700,(Examples!$F$14*$A566-Examples!$F$15)/Examples!$F$16))))))+Examples!$F$17*$A566^2)</f>
        <v>-602214.63990570907</v>
      </c>
      <c r="I566" s="33">
        <f>(Examples!$F$6*Examples!$F$7*Examples!$F$8*EXP(-Examples!$F$9*$A566)*(1-(Examples!$F$12*(1-EXP(-Examples!$F$13*$A566))/(1+EXP(MIN(700,MAX(-700,(Examples!$F$14*$A566-Examples!$F$15)/Examples!$F$16))))))+Examples!$F$17*$A566^2)</f>
        <v>639414.63990570907</v>
      </c>
      <c r="J566" s="33">
        <f>Examples!$G$18-(Examples!$G$10+Examples!$G$11)*$A566-(Examples!$G$6*Examples!$G$7*Examples!$G$8*EXP(-Examples!$G$9*$A566)*(1-(Examples!$G$12*(1-EXP(-Examples!$G$13*$A566))/(1+EXP(MIN(700,MAX(-700,(Examples!$G$14*$A566-Examples!$G$15)/Examples!$G$16))))))+Examples!$G$17*$A566^2)</f>
        <v>688851.41333813919</v>
      </c>
      <c r="K566" s="33">
        <f>(Examples!$G$6*Examples!$G$7*Examples!$G$8*EXP(-Examples!$G$9*$A566)*(1-(Examples!$G$12*(1-EXP(-Examples!$G$13*$A566))/(1+EXP(MIN(700,MAX(-700,(Examples!$G$14*$A566-Examples!$G$15)/Examples!$G$16))))))+Examples!$G$17*$A566^2)</f>
        <v>529148.58666186081</v>
      </c>
      <c r="L566" s="33">
        <f>Examples!$H$18-(Examples!$H$10+Examples!$H$11)*$A566-(Examples!$H$6*Examples!$H$7*Examples!$H$8*EXP(-Examples!$H$9*$A566)*(1-(Examples!$H$12*(1-EXP(-Examples!$H$13*$A566))/(1+EXP(MIN(700,MAX(-700,(Examples!$H$14*$A566-Examples!$H$15)/Examples!$H$16))))))+Examples!$H$17*$A566^2)</f>
        <v>685731.95729595423</v>
      </c>
      <c r="M566" s="33">
        <f>(Examples!$H$6*Examples!$H$7*Examples!$H$8*EXP(-Examples!$H$9*$A566)*(1-(Examples!$H$12*(1-EXP(-Examples!$H$13*$A566))/(1+EXP(MIN(700,MAX(-700,(Examples!$H$14*$A566-Examples!$H$15)/Examples!$H$16))))))+Examples!$H$17*$A566^2)</f>
        <v>532268.04270404577</v>
      </c>
    </row>
    <row r="567" spans="1:13" x14ac:dyDescent="0.25">
      <c r="A567">
        <f>(567-2)/100</f>
        <v>5.65</v>
      </c>
      <c r="B567" s="33">
        <f>Examples!$C$18-(Examples!$C$10+Examples!$C$11)*$A567-(Examples!$C$6*Examples!$C$7*Examples!$C$8*EXP(-Examples!$C$9*$A567)*(1-(Examples!$C$12*(1-EXP(-Examples!$C$13*$A567))/(1+EXP(MIN(700,MAX(-700,(Examples!$C$14*$A567-Examples!$C$15)/Examples!$C$16))))))+Examples!$C$17*$A567^2)</f>
        <v>-186746.93606165249</v>
      </c>
      <c r="C567" s="33">
        <f>(Examples!$C$6*Examples!$C$7*Examples!$C$8*EXP(-Examples!$C$9*$A567)*(1-(Examples!$C$12*(1-EXP(-Examples!$C$13*$A567))/(1+EXP(MIN(700,MAX(-700,(Examples!$C$14*$A567-Examples!$C$15)/Examples!$C$16))))))+Examples!$C$17*$A567^2)</f>
        <v>588996.93606165249</v>
      </c>
      <c r="D567" s="33">
        <f>Examples!$D$18-(Examples!$D$10+Examples!$D$11)*$A567-(Examples!$D$6*Examples!$D$7*Examples!$D$8*EXP(-Examples!$D$9*$A567)*(1-(Examples!$D$12*(1-EXP(-Examples!$D$13*$A567))/(1+EXP(MIN(700,MAX(-700,(Examples!$D$14*$A567-Examples!$D$15)/Examples!$D$16))))))+Examples!$D$17*$A567^2)</f>
        <v>1639281.9856439941</v>
      </c>
      <c r="E567" s="33">
        <f>(Examples!$D$6*Examples!$D$7*Examples!$D$8*EXP(-Examples!$D$9*$A567)*(1-(Examples!$D$12*(1-EXP(-Examples!$D$13*$A567))/(1+EXP(MIN(700,MAX(-700,(Examples!$D$14*$A567-Examples!$D$15)/Examples!$D$16))))))+Examples!$D$17*$A567^2)</f>
        <v>606468.01435600582</v>
      </c>
      <c r="F567" s="33">
        <f>Examples!$E$18-(Examples!$E$10+Examples!$E$11)*$A567-(Examples!$E$6*Examples!$E$7*Examples!$E$8*EXP(-Examples!$E$9*$A567)*(1-(Examples!$E$12*(1-EXP(-Examples!$E$13*$A567))/(1+EXP(MIN(700,MAX(-700,(Examples!$E$14*$A567-Examples!$E$15)/Examples!$E$16))))))+Examples!$E$17*$A567^2)</f>
        <v>2313626.9938941752</v>
      </c>
      <c r="G567" s="33">
        <f>(Examples!$E$6*Examples!$E$7*Examples!$E$8*EXP(-Examples!$E$9*$A567)*(1-(Examples!$E$12*(1-EXP(-Examples!$E$13*$A567))/(1+EXP(MIN(700,MAX(-700,(Examples!$E$14*$A567-Examples!$E$15)/Examples!$E$16))))))+Examples!$E$17*$A567^2)</f>
        <v>206123.00610582496</v>
      </c>
      <c r="H567" s="33">
        <f>Examples!$F$18-(Examples!$F$10+Examples!$F$11)*$A567-(Examples!$F$6*Examples!$F$7*Examples!$F$8*EXP(-Examples!$F$9*$A567)*(1-(Examples!$F$12*(1-EXP(-Examples!$F$13*$A567))/(1+EXP(MIN(700,MAX(-700,(Examples!$F$14*$A567-Examples!$F$15)/Examples!$F$16))))))+Examples!$F$17*$A567^2)</f>
        <v>-604662.98647471506</v>
      </c>
      <c r="I567" s="33">
        <f>(Examples!$F$6*Examples!$F$7*Examples!$F$8*EXP(-Examples!$F$9*$A567)*(1-(Examples!$F$12*(1-EXP(-Examples!$F$13*$A567))/(1+EXP(MIN(700,MAX(-700,(Examples!$F$14*$A567-Examples!$F$15)/Examples!$F$16))))))+Examples!$F$17*$A567^2)</f>
        <v>641662.98647471506</v>
      </c>
      <c r="J567" s="33">
        <f>Examples!$G$18-(Examples!$G$10+Examples!$G$11)*$A567-(Examples!$G$6*Examples!$G$7*Examples!$G$8*EXP(-Examples!$G$9*$A567)*(1-(Examples!$G$12*(1-EXP(-Examples!$G$13*$A567))/(1+EXP(MIN(700,MAX(-700,(Examples!$G$14*$A567-Examples!$G$15)/Examples!$G$16))))))+Examples!$G$17*$A567^2)</f>
        <v>688368.17523363535</v>
      </c>
      <c r="K567" s="33">
        <f>(Examples!$G$6*Examples!$G$7*Examples!$G$8*EXP(-Examples!$G$9*$A567)*(1-(Examples!$G$12*(1-EXP(-Examples!$G$13*$A567))/(1+EXP(MIN(700,MAX(-700,(Examples!$G$14*$A567-Examples!$G$15)/Examples!$G$16))))))+Examples!$G$17*$A567^2)</f>
        <v>529131.82476636465</v>
      </c>
      <c r="L567" s="33">
        <f>Examples!$H$18-(Examples!$H$10+Examples!$H$11)*$A567-(Examples!$H$6*Examples!$H$7*Examples!$H$8*EXP(-Examples!$H$9*$A567)*(1-(Examples!$H$12*(1-EXP(-Examples!$H$13*$A567))/(1+EXP(MIN(700,MAX(-700,(Examples!$H$14*$A567-Examples!$H$15)/Examples!$H$16))))))+Examples!$H$17*$A567^2)</f>
        <v>685299.04612173128</v>
      </c>
      <c r="M567" s="33">
        <f>(Examples!$H$6*Examples!$H$7*Examples!$H$8*EXP(-Examples!$H$9*$A567)*(1-(Examples!$H$12*(1-EXP(-Examples!$H$13*$A567))/(1+EXP(MIN(700,MAX(-700,(Examples!$H$14*$A567-Examples!$H$15)/Examples!$H$16))))))+Examples!$H$17*$A567^2)</f>
        <v>532200.95387826872</v>
      </c>
    </row>
    <row r="568" spans="1:13" x14ac:dyDescent="0.25">
      <c r="A568">
        <f>(568-2)/100</f>
        <v>5.66</v>
      </c>
      <c r="B568" s="33">
        <f>Examples!$C$18-(Examples!$C$10+Examples!$C$11)*$A568-(Examples!$C$6*Examples!$C$7*Examples!$C$8*EXP(-Examples!$C$9*$A568)*(1-(Examples!$C$12*(1-EXP(-Examples!$C$13*$A568))/(1+EXP(MIN(700,MAX(-700,(Examples!$C$14*$A568-Examples!$C$15)/Examples!$C$16))))))+Examples!$C$17*$A568^2)</f>
        <v>-188463.45624297811</v>
      </c>
      <c r="C568" s="33">
        <f>(Examples!$C$6*Examples!$C$7*Examples!$C$8*EXP(-Examples!$C$9*$A568)*(1-(Examples!$C$12*(1-EXP(-Examples!$C$13*$A568))/(1+EXP(MIN(700,MAX(-700,(Examples!$C$14*$A568-Examples!$C$15)/Examples!$C$16))))))+Examples!$C$17*$A568^2)</f>
        <v>590363.45624297811</v>
      </c>
      <c r="D568" s="33">
        <f>Examples!$D$18-(Examples!$D$10+Examples!$D$11)*$A568-(Examples!$D$6*Examples!$D$7*Examples!$D$8*EXP(-Examples!$D$9*$A568)*(1-(Examples!$D$12*(1-EXP(-Examples!$D$13*$A568))/(1+EXP(MIN(700,MAX(-700,(Examples!$D$14*$A568-Examples!$D$15)/Examples!$D$16))))))+Examples!$D$17*$A568^2)</f>
        <v>1639970.3215662418</v>
      </c>
      <c r="E568" s="33">
        <f>(Examples!$D$6*Examples!$D$7*Examples!$D$8*EXP(-Examples!$D$9*$A568)*(1-(Examples!$D$12*(1-EXP(-Examples!$D$13*$A568))/(1+EXP(MIN(700,MAX(-700,(Examples!$D$14*$A568-Examples!$D$15)/Examples!$D$16))))))+Examples!$D$17*$A568^2)</f>
        <v>605329.67843375821</v>
      </c>
      <c r="F568" s="33">
        <f>Examples!$E$18-(Examples!$E$10+Examples!$E$11)*$A568-(Examples!$E$6*Examples!$E$7*Examples!$E$8*EXP(-Examples!$E$9*$A568)*(1-(Examples!$E$12*(1-EXP(-Examples!$E$13*$A568))/(1+EXP(MIN(700,MAX(-700,(Examples!$E$14*$A568-Examples!$E$15)/Examples!$E$16))))))+Examples!$E$17*$A568^2)</f>
        <v>2312746.5638145329</v>
      </c>
      <c r="G568" s="33">
        <f>(Examples!$E$6*Examples!$E$7*Examples!$E$8*EXP(-Examples!$E$9*$A568)*(1-(Examples!$E$12*(1-EXP(-Examples!$E$13*$A568))/(1+EXP(MIN(700,MAX(-700,(Examples!$E$14*$A568-Examples!$E$15)/Examples!$E$16))))))+Examples!$E$17*$A568^2)</f>
        <v>206153.43618546723</v>
      </c>
      <c r="H568" s="33">
        <f>Examples!$F$18-(Examples!$F$10+Examples!$F$11)*$A568-(Examples!$F$6*Examples!$F$7*Examples!$F$8*EXP(-Examples!$F$9*$A568)*(1-(Examples!$F$12*(1-EXP(-Examples!$F$13*$A568))/(1+EXP(MIN(700,MAX(-700,(Examples!$F$14*$A568-Examples!$F$15)/Examples!$F$16))))))+Examples!$F$17*$A568^2)</f>
        <v>-607115.36196056148</v>
      </c>
      <c r="I568" s="33">
        <f>(Examples!$F$6*Examples!$F$7*Examples!$F$8*EXP(-Examples!$F$9*$A568)*(1-(Examples!$F$12*(1-EXP(-Examples!$F$13*$A568))/(1+EXP(MIN(700,MAX(-700,(Examples!$F$14*$A568-Examples!$F$15)/Examples!$F$16))))))+Examples!$F$17*$A568^2)</f>
        <v>643915.36196056148</v>
      </c>
      <c r="J568" s="33">
        <f>Examples!$G$18-(Examples!$G$10+Examples!$G$11)*$A568-(Examples!$G$6*Examples!$G$7*Examples!$G$8*EXP(-Examples!$G$9*$A568)*(1-(Examples!$G$12*(1-EXP(-Examples!$G$13*$A568))/(1+EXP(MIN(700,MAX(-700,(Examples!$G$14*$A568-Examples!$G$15)/Examples!$G$16))))))+Examples!$G$17*$A568^2)</f>
        <v>687880.7527316307</v>
      </c>
      <c r="K568" s="33">
        <f>(Examples!$G$6*Examples!$G$7*Examples!$G$8*EXP(-Examples!$G$9*$A568)*(1-(Examples!$G$12*(1-EXP(-Examples!$G$13*$A568))/(1+EXP(MIN(700,MAX(-700,(Examples!$G$14*$A568-Examples!$G$15)/Examples!$G$16))))))+Examples!$G$17*$A568^2)</f>
        <v>529119.2472683693</v>
      </c>
      <c r="L568" s="33">
        <f>Examples!$H$18-(Examples!$H$10+Examples!$H$11)*$A568-(Examples!$H$6*Examples!$H$7*Examples!$H$8*EXP(-Examples!$H$9*$A568)*(1-(Examples!$H$12*(1-EXP(-Examples!$H$13*$A568))/(1+EXP(MIN(700,MAX(-700,(Examples!$H$14*$A568-Examples!$H$15)/Examples!$H$16))))))+Examples!$H$17*$A568^2)</f>
        <v>684861.15457386489</v>
      </c>
      <c r="M568" s="33">
        <f>(Examples!$H$6*Examples!$H$7*Examples!$H$8*EXP(-Examples!$H$9*$A568)*(1-(Examples!$H$12*(1-EXP(-Examples!$H$13*$A568))/(1+EXP(MIN(700,MAX(-700,(Examples!$H$14*$A568-Examples!$H$15)/Examples!$H$16))))))+Examples!$H$17*$A568^2)</f>
        <v>532138.84542613511</v>
      </c>
    </row>
    <row r="569" spans="1:13" x14ac:dyDescent="0.25">
      <c r="A569">
        <f>(569-2)/100</f>
        <v>5.67</v>
      </c>
      <c r="B569" s="33">
        <f>Examples!$C$18-(Examples!$C$10+Examples!$C$11)*$A569-(Examples!$C$6*Examples!$C$7*Examples!$C$8*EXP(-Examples!$C$9*$A569)*(1-(Examples!$C$12*(1-EXP(-Examples!$C$13*$A569))/(1+EXP(MIN(700,MAX(-700,(Examples!$C$14*$A569-Examples!$C$15)/Examples!$C$16))))))+Examples!$C$17*$A569^2)</f>
        <v>-190183.96476541075</v>
      </c>
      <c r="C569" s="33">
        <f>(Examples!$C$6*Examples!$C$7*Examples!$C$8*EXP(-Examples!$C$9*$A569)*(1-(Examples!$C$12*(1-EXP(-Examples!$C$13*$A569))/(1+EXP(MIN(700,MAX(-700,(Examples!$C$14*$A569-Examples!$C$15)/Examples!$C$16))))))+Examples!$C$17*$A569^2)</f>
        <v>591733.96476541075</v>
      </c>
      <c r="D569" s="33">
        <f>Examples!$D$18-(Examples!$D$10+Examples!$D$11)*$A569-(Examples!$D$6*Examples!$D$7*Examples!$D$8*EXP(-Examples!$D$9*$A569)*(1-(Examples!$D$12*(1-EXP(-Examples!$D$13*$A569))/(1+EXP(MIN(700,MAX(-700,(Examples!$D$14*$A569-Examples!$D$15)/Examples!$D$16))))))+Examples!$D$17*$A569^2)</f>
        <v>1640654.6793886921</v>
      </c>
      <c r="E569" s="33">
        <f>(Examples!$D$6*Examples!$D$7*Examples!$D$8*EXP(-Examples!$D$9*$A569)*(1-(Examples!$D$12*(1-EXP(-Examples!$D$13*$A569))/(1+EXP(MIN(700,MAX(-700,(Examples!$D$14*$A569-Examples!$D$15)/Examples!$D$16))))))+Examples!$D$17*$A569^2)</f>
        <v>604195.32061130798</v>
      </c>
      <c r="F569" s="33">
        <f>Examples!$E$18-(Examples!$E$10+Examples!$E$11)*$A569-(Examples!$E$6*Examples!$E$7*Examples!$E$8*EXP(-Examples!$E$9*$A569)*(1-(Examples!$E$12*(1-EXP(-Examples!$E$13*$A569))/(1+EXP(MIN(700,MAX(-700,(Examples!$E$14*$A569-Examples!$E$15)/Examples!$E$16))))))+Examples!$E$17*$A569^2)</f>
        <v>2311865.5936943195</v>
      </c>
      <c r="G569" s="33">
        <f>(Examples!$E$6*Examples!$E$7*Examples!$E$8*EXP(-Examples!$E$9*$A569)*(1-(Examples!$E$12*(1-EXP(-Examples!$E$13*$A569))/(1+EXP(MIN(700,MAX(-700,(Examples!$E$14*$A569-Examples!$E$15)/Examples!$E$16))))))+Examples!$E$17*$A569^2)</f>
        <v>206184.40630568034</v>
      </c>
      <c r="H569" s="33">
        <f>Examples!$F$18-(Examples!$F$10+Examples!$F$11)*$A569-(Examples!$F$6*Examples!$F$7*Examples!$F$8*EXP(-Examples!$F$9*$A569)*(1-(Examples!$F$12*(1-EXP(-Examples!$F$13*$A569))/(1+EXP(MIN(700,MAX(-700,(Examples!$F$14*$A569-Examples!$F$15)/Examples!$F$16))))))+Examples!$F$17*$A569^2)</f>
        <v>-609571.76627663057</v>
      </c>
      <c r="I569" s="33">
        <f>(Examples!$F$6*Examples!$F$7*Examples!$F$8*EXP(-Examples!$F$9*$A569)*(1-(Examples!$F$12*(1-EXP(-Examples!$F$13*$A569))/(1+EXP(MIN(700,MAX(-700,(Examples!$F$14*$A569-Examples!$F$15)/Examples!$F$16))))))+Examples!$F$17*$A569^2)</f>
        <v>646171.76627663057</v>
      </c>
      <c r="J569" s="33">
        <f>Examples!$G$18-(Examples!$G$10+Examples!$G$11)*$A569-(Examples!$G$6*Examples!$G$7*Examples!$G$8*EXP(-Examples!$G$9*$A569)*(1-(Examples!$G$12*(1-EXP(-Examples!$G$13*$A569))/(1+EXP(MIN(700,MAX(-700,(Examples!$G$14*$A569-Examples!$G$15)/Examples!$G$16))))))+Examples!$G$17*$A569^2)</f>
        <v>687389.14516688138</v>
      </c>
      <c r="K569" s="33">
        <f>(Examples!$G$6*Examples!$G$7*Examples!$G$8*EXP(-Examples!$G$9*$A569)*(1-(Examples!$G$12*(1-EXP(-Examples!$G$13*$A569))/(1+EXP(MIN(700,MAX(-700,(Examples!$G$14*$A569-Examples!$G$15)/Examples!$G$16))))))+Examples!$G$17*$A569^2)</f>
        <v>529110.85483311862</v>
      </c>
      <c r="L569" s="33">
        <f>Examples!$H$18-(Examples!$H$10+Examples!$H$11)*$A569-(Examples!$H$6*Examples!$H$7*Examples!$H$8*EXP(-Examples!$H$9*$A569)*(1-(Examples!$H$12*(1-EXP(-Examples!$H$13*$A569))/(1+EXP(MIN(700,MAX(-700,(Examples!$H$14*$A569-Examples!$H$15)/Examples!$H$16))))))+Examples!$H$17*$A569^2)</f>
        <v>684418.2941286437</v>
      </c>
      <c r="M569" s="33">
        <f>(Examples!$H$6*Examples!$H$7*Examples!$H$8*EXP(-Examples!$H$9*$A569)*(1-(Examples!$H$12*(1-EXP(-Examples!$H$13*$A569))/(1+EXP(MIN(700,MAX(-700,(Examples!$H$14*$A569-Examples!$H$15)/Examples!$H$16))))))+Examples!$H$17*$A569^2)</f>
        <v>532081.7058713563</v>
      </c>
    </row>
    <row r="570" spans="1:13" x14ac:dyDescent="0.25">
      <c r="A570">
        <f>(570-2)/100</f>
        <v>5.68</v>
      </c>
      <c r="B570" s="33">
        <f>Examples!$C$18-(Examples!$C$10+Examples!$C$11)*$A570-(Examples!$C$6*Examples!$C$7*Examples!$C$8*EXP(-Examples!$C$9*$A570)*(1-(Examples!$C$12*(1-EXP(-Examples!$C$13*$A570))/(1+EXP(MIN(700,MAX(-700,(Examples!$C$14*$A570-Examples!$C$15)/Examples!$C$16))))))+Examples!$C$17*$A570^2)</f>
        <v>-191908.45867240545</v>
      </c>
      <c r="C570" s="33">
        <f>(Examples!$C$6*Examples!$C$7*Examples!$C$8*EXP(-Examples!$C$9*$A570)*(1-(Examples!$C$12*(1-EXP(-Examples!$C$13*$A570))/(1+EXP(MIN(700,MAX(-700,(Examples!$C$14*$A570-Examples!$C$15)/Examples!$C$16))))))+Examples!$C$17*$A570^2)</f>
        <v>593108.45867240545</v>
      </c>
      <c r="D570" s="33">
        <f>Examples!$D$18-(Examples!$D$10+Examples!$D$11)*$A570-(Examples!$D$6*Examples!$D$7*Examples!$D$8*EXP(-Examples!$D$9*$A570)*(1-(Examples!$D$12*(1-EXP(-Examples!$D$13*$A570))/(1+EXP(MIN(700,MAX(-700,(Examples!$D$14*$A570-Examples!$D$15)/Examples!$D$16))))))+Examples!$D$17*$A570^2)</f>
        <v>1641335.0080154948</v>
      </c>
      <c r="E570" s="33">
        <f>(Examples!$D$6*Examples!$D$7*Examples!$D$8*EXP(-Examples!$D$9*$A570)*(1-(Examples!$D$12*(1-EXP(-Examples!$D$13*$A570))/(1+EXP(MIN(700,MAX(-700,(Examples!$D$14*$A570-Examples!$D$15)/Examples!$D$16))))))+Examples!$D$17*$A570^2)</f>
        <v>603064.99198450521</v>
      </c>
      <c r="F570" s="33">
        <f>Examples!$E$18-(Examples!$E$10+Examples!$E$11)*$A570-(Examples!$E$6*Examples!$E$7*Examples!$E$8*EXP(-Examples!$E$9*$A570)*(1-(Examples!$E$12*(1-EXP(-Examples!$E$13*$A570))/(1+EXP(MIN(700,MAX(-700,(Examples!$E$14*$A570-Examples!$E$15)/Examples!$E$16))))))+Examples!$E$17*$A570^2)</f>
        <v>2310984.0807639407</v>
      </c>
      <c r="G570" s="33">
        <f>(Examples!$E$6*Examples!$E$7*Examples!$E$8*EXP(-Examples!$E$9*$A570)*(1-(Examples!$E$12*(1-EXP(-Examples!$E$13*$A570))/(1+EXP(MIN(700,MAX(-700,(Examples!$E$14*$A570-Examples!$E$15)/Examples!$E$16))))))+Examples!$E$17*$A570^2)</f>
        <v>206215.91923605907</v>
      </c>
      <c r="H570" s="33">
        <f>Examples!$F$18-(Examples!$F$10+Examples!$F$11)*$A570-(Examples!$F$6*Examples!$F$7*Examples!$F$8*EXP(-Examples!$F$9*$A570)*(1-(Examples!$F$12*(1-EXP(-Examples!$F$13*$A570))/(1+EXP(MIN(700,MAX(-700,(Examples!$F$14*$A570-Examples!$F$15)/Examples!$F$16))))))+Examples!$F$17*$A570^2)</f>
        <v>-612032.19933656324</v>
      </c>
      <c r="I570" s="33">
        <f>(Examples!$F$6*Examples!$F$7*Examples!$F$8*EXP(-Examples!$F$9*$A570)*(1-(Examples!$F$12*(1-EXP(-Examples!$F$13*$A570))/(1+EXP(MIN(700,MAX(-700,(Examples!$F$14*$A570-Examples!$F$15)/Examples!$F$16))))))+Examples!$F$17*$A570^2)</f>
        <v>648432.19933656324</v>
      </c>
      <c r="J570" s="33">
        <f>Examples!$G$18-(Examples!$G$10+Examples!$G$11)*$A570-(Examples!$G$6*Examples!$G$7*Examples!$G$8*EXP(-Examples!$G$9*$A570)*(1-(Examples!$G$12*(1-EXP(-Examples!$G$13*$A570))/(1+EXP(MIN(700,MAX(-700,(Examples!$G$14*$A570-Examples!$G$15)/Examples!$G$16))))))+Examples!$G$17*$A570^2)</f>
        <v>686893.35201773513</v>
      </c>
      <c r="K570" s="33">
        <f>(Examples!$G$6*Examples!$G$7*Examples!$G$8*EXP(-Examples!$G$9*$A570)*(1-(Examples!$G$12*(1-EXP(-Examples!$G$13*$A570))/(1+EXP(MIN(700,MAX(-700,(Examples!$G$14*$A570-Examples!$G$15)/Examples!$G$16))))))+Examples!$G$17*$A570^2)</f>
        <v>529106.64798226487</v>
      </c>
      <c r="L570" s="33">
        <f>Examples!$H$18-(Examples!$H$10+Examples!$H$11)*$A570-(Examples!$H$6*Examples!$H$7*Examples!$H$8*EXP(-Examples!$H$9*$A570)*(1-(Examples!$H$12*(1-EXP(-Examples!$H$13*$A570))/(1+EXP(MIN(700,MAX(-700,(Examples!$H$14*$A570-Examples!$H$15)/Examples!$H$16))))))+Examples!$H$17*$A570^2)</f>
        <v>683970.47623375955</v>
      </c>
      <c r="M570" s="33">
        <f>(Examples!$H$6*Examples!$H$7*Examples!$H$8*EXP(-Examples!$H$9*$A570)*(1-(Examples!$H$12*(1-EXP(-Examples!$H$13*$A570))/(1+EXP(MIN(700,MAX(-700,(Examples!$H$14*$A570-Examples!$H$15)/Examples!$H$16))))))+Examples!$H$17*$A570^2)</f>
        <v>532029.52376624045</v>
      </c>
    </row>
    <row r="571" spans="1:13" x14ac:dyDescent="0.25">
      <c r="A571">
        <f>(571-2)/100</f>
        <v>5.69</v>
      </c>
      <c r="B571" s="33">
        <f>Examples!$C$18-(Examples!$C$10+Examples!$C$11)*$A571-(Examples!$C$6*Examples!$C$7*Examples!$C$8*EXP(-Examples!$C$9*$A571)*(1-(Examples!$C$12*(1-EXP(-Examples!$C$13*$A571))/(1+EXP(MIN(700,MAX(-700,(Examples!$C$14*$A571-Examples!$C$15)/Examples!$C$16))))))+Examples!$C$17*$A571^2)</f>
        <v>-193636.93501613184</v>
      </c>
      <c r="C571" s="33">
        <f>(Examples!$C$6*Examples!$C$7*Examples!$C$8*EXP(-Examples!$C$9*$A571)*(1-(Examples!$C$12*(1-EXP(-Examples!$C$13*$A571))/(1+EXP(MIN(700,MAX(-700,(Examples!$C$14*$A571-Examples!$C$15)/Examples!$C$16))))))+Examples!$C$17*$A571^2)</f>
        <v>594486.93501613184</v>
      </c>
      <c r="D571" s="33">
        <f>Examples!$D$18-(Examples!$D$10+Examples!$D$11)*$A571-(Examples!$D$6*Examples!$D$7*Examples!$D$8*EXP(-Examples!$D$9*$A571)*(1-(Examples!$D$12*(1-EXP(-Examples!$D$13*$A571))/(1+EXP(MIN(700,MAX(-700,(Examples!$D$14*$A571-Examples!$D$15)/Examples!$D$16))))))+Examples!$D$17*$A571^2)</f>
        <v>1642011.2572533255</v>
      </c>
      <c r="E571" s="33">
        <f>(Examples!$D$6*Examples!$D$7*Examples!$D$8*EXP(-Examples!$D$9*$A571)*(1-(Examples!$D$12*(1-EXP(-Examples!$D$13*$A571))/(1+EXP(MIN(700,MAX(-700,(Examples!$D$14*$A571-Examples!$D$15)/Examples!$D$16))))))+Examples!$D$17*$A571^2)</f>
        <v>601938.74274667457</v>
      </c>
      <c r="F571" s="33">
        <f>Examples!$E$18-(Examples!$E$10+Examples!$E$11)*$A571-(Examples!$E$6*Examples!$E$7*Examples!$E$8*EXP(-Examples!$E$9*$A571)*(1-(Examples!$E$12*(1-EXP(-Examples!$E$13*$A571))/(1+EXP(MIN(700,MAX(-700,(Examples!$E$14*$A571-Examples!$E$15)/Examples!$E$16))))))+Examples!$E$17*$A571^2)</f>
        <v>2310102.0221482422</v>
      </c>
      <c r="G571" s="33">
        <f>(Examples!$E$6*Examples!$E$7*Examples!$E$8*EXP(-Examples!$E$9*$A571)*(1-(Examples!$E$12*(1-EXP(-Examples!$E$13*$A571))/(1+EXP(MIN(700,MAX(-700,(Examples!$E$14*$A571-Examples!$E$15)/Examples!$E$16))))))+Examples!$E$17*$A571^2)</f>
        <v>206247.97785175793</v>
      </c>
      <c r="H571" s="33">
        <f>Examples!$F$18-(Examples!$F$10+Examples!$F$11)*$A571-(Examples!$F$6*Examples!$F$7*Examples!$F$8*EXP(-Examples!$F$9*$A571)*(1-(Examples!$F$12*(1-EXP(-Examples!$F$13*$A571))/(1+EXP(MIN(700,MAX(-700,(Examples!$F$14*$A571-Examples!$F$15)/Examples!$F$16))))))+Examples!$F$17*$A571^2)</f>
        <v>-614496.66105425917</v>
      </c>
      <c r="I571" s="33">
        <f>(Examples!$F$6*Examples!$F$7*Examples!$F$8*EXP(-Examples!$F$9*$A571)*(1-(Examples!$F$12*(1-EXP(-Examples!$F$13*$A571))/(1+EXP(MIN(700,MAX(-700,(Examples!$F$14*$A571-Examples!$F$15)/Examples!$F$16))))))+Examples!$F$17*$A571^2)</f>
        <v>650696.66105425917</v>
      </c>
      <c r="J571" s="33">
        <f>Examples!$G$18-(Examples!$G$10+Examples!$G$11)*$A571-(Examples!$G$6*Examples!$G$7*Examples!$G$8*EXP(-Examples!$G$9*$A571)*(1-(Examples!$G$12*(1-EXP(-Examples!$G$13*$A571))/(1+EXP(MIN(700,MAX(-700,(Examples!$G$14*$A571-Examples!$G$15)/Examples!$G$16))))))+Examples!$G$17*$A571^2)</f>
        <v>686393.3729037923</v>
      </c>
      <c r="K571" s="33">
        <f>(Examples!$G$6*Examples!$G$7*Examples!$G$8*EXP(-Examples!$G$9*$A571)*(1-(Examples!$G$12*(1-EXP(-Examples!$G$13*$A571))/(1+EXP(MIN(700,MAX(-700,(Examples!$G$14*$A571-Examples!$G$15)/Examples!$G$16))))))+Examples!$G$17*$A571^2)</f>
        <v>529106.6270962077</v>
      </c>
      <c r="L571" s="33">
        <f>Examples!$H$18-(Examples!$H$10+Examples!$H$11)*$A571-(Examples!$H$6*Examples!$H$7*Examples!$H$8*EXP(-Examples!$H$9*$A571)*(1-(Examples!$H$12*(1-EXP(-Examples!$H$13*$A571))/(1+EXP(MIN(700,MAX(-700,(Examples!$H$14*$A571-Examples!$H$15)/Examples!$H$16))))))+Examples!$H$17*$A571^2)</f>
        <v>683517.7123080137</v>
      </c>
      <c r="M571" s="33">
        <f>(Examples!$H$6*Examples!$H$7*Examples!$H$8*EXP(-Examples!$H$9*$A571)*(1-(Examples!$H$12*(1-EXP(-Examples!$H$13*$A571))/(1+EXP(MIN(700,MAX(-700,(Examples!$H$14*$A571-Examples!$H$15)/Examples!$H$16))))))+Examples!$H$17*$A571^2)</f>
        <v>531982.2876919863</v>
      </c>
    </row>
    <row r="572" spans="1:13" x14ac:dyDescent="0.25">
      <c r="A572">
        <f>(572-2)/100</f>
        <v>5.7</v>
      </c>
      <c r="B572" s="33">
        <f>Examples!$C$18-(Examples!$C$10+Examples!$C$11)*$A572-(Examples!$C$6*Examples!$C$7*Examples!$C$8*EXP(-Examples!$C$9*$A572)*(1-(Examples!$C$12*(1-EXP(-Examples!$C$13*$A572))/(1+EXP(MIN(700,MAX(-700,(Examples!$C$14*$A572-Examples!$C$15)/Examples!$C$16))))))+Examples!$C$17*$A572^2)</f>
        <v>-195369.39085745346</v>
      </c>
      <c r="C572" s="33">
        <f>(Examples!$C$6*Examples!$C$7*Examples!$C$8*EXP(-Examples!$C$9*$A572)*(1-(Examples!$C$12*(1-EXP(-Examples!$C$13*$A572))/(1+EXP(MIN(700,MAX(-700,(Examples!$C$14*$A572-Examples!$C$15)/Examples!$C$16))))))+Examples!$C$17*$A572^2)</f>
        <v>595869.39085745346</v>
      </c>
      <c r="D572" s="33">
        <f>Examples!$D$18-(Examples!$D$10+Examples!$D$11)*$A572-(Examples!$D$6*Examples!$D$7*Examples!$D$8*EXP(-Examples!$D$9*$A572)*(1-(Examples!$D$12*(1-EXP(-Examples!$D$13*$A572))/(1+EXP(MIN(700,MAX(-700,(Examples!$D$14*$A572-Examples!$D$15)/Examples!$D$16))))))+Examples!$D$17*$A572^2)</f>
        <v>1642683.3778066172</v>
      </c>
      <c r="E572" s="33">
        <f>(Examples!$D$6*Examples!$D$7*Examples!$D$8*EXP(-Examples!$D$9*$A572)*(1-(Examples!$D$12*(1-EXP(-Examples!$D$13*$A572))/(1+EXP(MIN(700,MAX(-700,(Examples!$D$14*$A572-Examples!$D$15)/Examples!$D$16))))))+Examples!$D$17*$A572^2)</f>
        <v>600816.62219338282</v>
      </c>
      <c r="F572" s="33">
        <f>Examples!$E$18-(Examples!$E$10+Examples!$E$11)*$A572-(Examples!$E$6*Examples!$E$7*Examples!$E$8*EXP(-Examples!$E$9*$A572)*(1-(Examples!$E$12*(1-EXP(-Examples!$E$13*$A572))/(1+EXP(MIN(700,MAX(-700,(Examples!$E$14*$A572-Examples!$E$15)/Examples!$E$16))))))+Examples!$E$17*$A572^2)</f>
        <v>2309219.414868637</v>
      </c>
      <c r="G572" s="33">
        <f>(Examples!$E$6*Examples!$E$7*Examples!$E$8*EXP(-Examples!$E$9*$A572)*(1-(Examples!$E$12*(1-EXP(-Examples!$E$13*$A572))/(1+EXP(MIN(700,MAX(-700,(Examples!$E$14*$A572-Examples!$E$15)/Examples!$E$16))))))+Examples!$E$17*$A572^2)</f>
        <v>206280.58513136287</v>
      </c>
      <c r="H572" s="33">
        <f>Examples!$F$18-(Examples!$F$10+Examples!$F$11)*$A572-(Examples!$F$6*Examples!$F$7*Examples!$F$8*EXP(-Examples!$F$9*$A572)*(1-(Examples!$F$12*(1-EXP(-Examples!$F$13*$A572))/(1+EXP(MIN(700,MAX(-700,(Examples!$F$14*$A572-Examples!$F$15)/Examples!$F$16))))))+Examples!$F$17*$A572^2)</f>
        <v>-616965.15134387603</v>
      </c>
      <c r="I572" s="33">
        <f>(Examples!$F$6*Examples!$F$7*Examples!$F$8*EXP(-Examples!$F$9*$A572)*(1-(Examples!$F$12*(1-EXP(-Examples!$F$13*$A572))/(1+EXP(MIN(700,MAX(-700,(Examples!$F$14*$A572-Examples!$F$15)/Examples!$F$16))))))+Examples!$F$17*$A572^2)</f>
        <v>652965.15134387603</v>
      </c>
      <c r="J572" s="33">
        <f>Examples!$G$18-(Examples!$G$10+Examples!$G$11)*$A572-(Examples!$G$6*Examples!$G$7*Examples!$G$8*EXP(-Examples!$G$9*$A572)*(1-(Examples!$G$12*(1-EXP(-Examples!$G$13*$A572))/(1+EXP(MIN(700,MAX(-700,(Examples!$G$14*$A572-Examples!$G$15)/Examples!$G$16))))))+Examples!$G$17*$A572^2)</f>
        <v>685889.20758358971</v>
      </c>
      <c r="K572" s="33">
        <f>(Examples!$G$6*Examples!$G$7*Examples!$G$8*EXP(-Examples!$G$9*$A572)*(1-(Examples!$G$12*(1-EXP(-Examples!$G$13*$A572))/(1+EXP(MIN(700,MAX(-700,(Examples!$G$14*$A572-Examples!$G$15)/Examples!$G$16))))))+Examples!$G$17*$A572^2)</f>
        <v>529110.79241641029</v>
      </c>
      <c r="L572" s="33">
        <f>Examples!$H$18-(Examples!$H$10+Examples!$H$11)*$A572-(Examples!$H$6*Examples!$H$7*Examples!$H$8*EXP(-Examples!$H$9*$A572)*(1-(Examples!$H$12*(1-EXP(-Examples!$H$13*$A572))/(1+EXP(MIN(700,MAX(-700,(Examples!$H$14*$A572-Examples!$H$15)/Examples!$H$16))))))+Examples!$H$17*$A572^2)</f>
        <v>683060.01374103548</v>
      </c>
      <c r="M572" s="33">
        <f>(Examples!$H$6*Examples!$H$7*Examples!$H$8*EXP(-Examples!$H$9*$A572)*(1-(Examples!$H$12*(1-EXP(-Examples!$H$13*$A572))/(1+EXP(MIN(700,MAX(-700,(Examples!$H$14*$A572-Examples!$H$15)/Examples!$H$16))))))+Examples!$H$17*$A572^2)</f>
        <v>531939.98625896452</v>
      </c>
    </row>
    <row r="573" spans="1:13" x14ac:dyDescent="0.25">
      <c r="A573">
        <f>(573-2)/100</f>
        <v>5.71</v>
      </c>
      <c r="B573" s="33">
        <f>Examples!$C$18-(Examples!$C$10+Examples!$C$11)*$A573-(Examples!$C$6*Examples!$C$7*Examples!$C$8*EXP(-Examples!$C$9*$A573)*(1-(Examples!$C$12*(1-EXP(-Examples!$C$13*$A573))/(1+EXP(MIN(700,MAX(-700,(Examples!$C$14*$A573-Examples!$C$15)/Examples!$C$16))))))+Examples!$C$17*$A573^2)</f>
        <v>-197105.82326590607</v>
      </c>
      <c r="C573" s="33">
        <f>(Examples!$C$6*Examples!$C$7*Examples!$C$8*EXP(-Examples!$C$9*$A573)*(1-(Examples!$C$12*(1-EXP(-Examples!$C$13*$A573))/(1+EXP(MIN(700,MAX(-700,(Examples!$C$14*$A573-Examples!$C$15)/Examples!$C$16))))))+Examples!$C$17*$A573^2)</f>
        <v>597255.82326590607</v>
      </c>
      <c r="D573" s="33">
        <f>Examples!$D$18-(Examples!$D$10+Examples!$D$11)*$A573-(Examples!$D$6*Examples!$D$7*Examples!$D$8*EXP(-Examples!$D$9*$A573)*(1-(Examples!$D$12*(1-EXP(-Examples!$D$13*$A573))/(1+EXP(MIN(700,MAX(-700,(Examples!$D$14*$A573-Examples!$D$15)/Examples!$D$16))))))+Examples!$D$17*$A573^2)</f>
        <v>1643351.3212725916</v>
      </c>
      <c r="E573" s="33">
        <f>(Examples!$D$6*Examples!$D$7*Examples!$D$8*EXP(-Examples!$D$9*$A573)*(1-(Examples!$D$12*(1-EXP(-Examples!$D$13*$A573))/(1+EXP(MIN(700,MAX(-700,(Examples!$D$14*$A573-Examples!$D$15)/Examples!$D$16))))))+Examples!$D$17*$A573^2)</f>
        <v>599698.67872740852</v>
      </c>
      <c r="F573" s="33">
        <f>Examples!$E$18-(Examples!$E$10+Examples!$E$11)*$A573-(Examples!$E$6*Examples!$E$7*Examples!$E$8*EXP(-Examples!$E$9*$A573)*(1-(Examples!$E$12*(1-EXP(-Examples!$E$13*$A573))/(1+EXP(MIN(700,MAX(-700,(Examples!$E$14*$A573-Examples!$E$15)/Examples!$E$16))))))+Examples!$E$17*$A573^2)</f>
        <v>2308336.2558452291</v>
      </c>
      <c r="G573" s="33">
        <f>(Examples!$E$6*Examples!$E$7*Examples!$E$8*EXP(-Examples!$E$9*$A573)*(1-(Examples!$E$12*(1-EXP(-Examples!$E$13*$A573))/(1+EXP(MIN(700,MAX(-700,(Examples!$E$14*$A573-Examples!$E$15)/Examples!$E$16))))))+Examples!$E$17*$A573^2)</f>
        <v>206313.7441547708</v>
      </c>
      <c r="H573" s="33">
        <f>Examples!$F$18-(Examples!$F$10+Examples!$F$11)*$A573-(Examples!$F$6*Examples!$F$7*Examples!$F$8*EXP(-Examples!$F$9*$A573)*(1-(Examples!$F$12*(1-EXP(-Examples!$F$13*$A573))/(1+EXP(MIN(700,MAX(-700,(Examples!$F$14*$A573-Examples!$F$15)/Examples!$F$16))))))+Examples!$F$17*$A573^2)</f>
        <v>-619437.67011982843</v>
      </c>
      <c r="I573" s="33">
        <f>(Examples!$F$6*Examples!$F$7*Examples!$F$8*EXP(-Examples!$F$9*$A573)*(1-(Examples!$F$12*(1-EXP(-Examples!$F$13*$A573))/(1+EXP(MIN(700,MAX(-700,(Examples!$F$14*$A573-Examples!$F$15)/Examples!$F$16))))))+Examples!$F$17*$A573^2)</f>
        <v>655237.67011982843</v>
      </c>
      <c r="J573" s="33">
        <f>Examples!$G$18-(Examples!$G$10+Examples!$G$11)*$A573-(Examples!$G$6*Examples!$G$7*Examples!$G$8*EXP(-Examples!$G$9*$A573)*(1-(Examples!$G$12*(1-EXP(-Examples!$G$13*$A573))/(1+EXP(MIN(700,MAX(-700,(Examples!$G$14*$A573-Examples!$G$15)/Examples!$G$16))))))+Examples!$G$17*$A573^2)</f>
        <v>685380.85595231259</v>
      </c>
      <c r="K573" s="33">
        <f>(Examples!$G$6*Examples!$G$7*Examples!$G$8*EXP(-Examples!$G$9*$A573)*(1-(Examples!$G$12*(1-EXP(-Examples!$G$13*$A573))/(1+EXP(MIN(700,MAX(-700,(Examples!$G$14*$A573-Examples!$G$15)/Examples!$G$16))))))+Examples!$G$17*$A573^2)</f>
        <v>529119.14404768741</v>
      </c>
      <c r="L573" s="33">
        <f>Examples!$H$18-(Examples!$H$10+Examples!$H$11)*$A573-(Examples!$H$6*Examples!$H$7*Examples!$H$8*EXP(-Examples!$H$9*$A573)*(1-(Examples!$H$12*(1-EXP(-Examples!$H$13*$A573))/(1+EXP(MIN(700,MAX(-700,(Examples!$H$14*$A573-Examples!$H$15)/Examples!$H$16))))))+Examples!$H$17*$A573^2)</f>
        <v>682597.39189301722</v>
      </c>
      <c r="M573" s="33">
        <f>(Examples!$H$6*Examples!$H$7*Examples!$H$8*EXP(-Examples!$H$9*$A573)*(1-(Examples!$H$12*(1-EXP(-Examples!$H$13*$A573))/(1+EXP(MIN(700,MAX(-700,(Examples!$H$14*$A573-Examples!$H$15)/Examples!$H$16))))))+Examples!$H$17*$A573^2)</f>
        <v>531902.60810698278</v>
      </c>
    </row>
    <row r="574" spans="1:13" x14ac:dyDescent="0.25">
      <c r="A574">
        <f>(574-2)/100</f>
        <v>5.72</v>
      </c>
      <c r="B574" s="33">
        <f>Examples!$C$18-(Examples!$C$10+Examples!$C$11)*$A574-(Examples!$C$6*Examples!$C$7*Examples!$C$8*EXP(-Examples!$C$9*$A574)*(1-(Examples!$C$12*(1-EXP(-Examples!$C$13*$A574))/(1+EXP(MIN(700,MAX(-700,(Examples!$C$14*$A574-Examples!$C$15)/Examples!$C$16))))))+Examples!$C$17*$A574^2)</f>
        <v>-198846.22931967676</v>
      </c>
      <c r="C574" s="33">
        <f>(Examples!$C$6*Examples!$C$7*Examples!$C$8*EXP(-Examples!$C$9*$A574)*(1-(Examples!$C$12*(1-EXP(-Examples!$C$13*$A574))/(1+EXP(MIN(700,MAX(-700,(Examples!$C$14*$A574-Examples!$C$15)/Examples!$C$16))))))+Examples!$C$17*$A574^2)</f>
        <v>598646.22931967676</v>
      </c>
      <c r="D574" s="33">
        <f>Examples!$D$18-(Examples!$D$10+Examples!$D$11)*$A574-(Examples!$D$6*Examples!$D$7*Examples!$D$8*EXP(-Examples!$D$9*$A574)*(1-(Examples!$D$12*(1-EXP(-Examples!$D$13*$A574))/(1+EXP(MIN(700,MAX(-700,(Examples!$D$14*$A574-Examples!$D$15)/Examples!$D$16))))))+Examples!$D$17*$A574^2)</f>
        <v>1644015.0401360947</v>
      </c>
      <c r="E574" s="33">
        <f>(Examples!$D$6*Examples!$D$7*Examples!$D$8*EXP(-Examples!$D$9*$A574)*(1-(Examples!$D$12*(1-EXP(-Examples!$D$13*$A574))/(1+EXP(MIN(700,MAX(-700,(Examples!$D$14*$A574-Examples!$D$15)/Examples!$D$16))))))+Examples!$D$17*$A574^2)</f>
        <v>598584.95986390545</v>
      </c>
      <c r="F574" s="33">
        <f>Examples!$E$18-(Examples!$E$10+Examples!$E$11)*$A574-(Examples!$E$6*Examples!$E$7*Examples!$E$8*EXP(-Examples!$E$9*$A574)*(1-(Examples!$E$12*(1-EXP(-Examples!$E$13*$A574))/(1+EXP(MIN(700,MAX(-700,(Examples!$E$14*$A574-Examples!$E$15)/Examples!$E$16))))))+Examples!$E$17*$A574^2)</f>
        <v>2307452.5418989225</v>
      </c>
      <c r="G574" s="33">
        <f>(Examples!$E$6*Examples!$E$7*Examples!$E$8*EXP(-Examples!$E$9*$A574)*(1-(Examples!$E$12*(1-EXP(-Examples!$E$13*$A574))/(1+EXP(MIN(700,MAX(-700,(Examples!$E$14*$A574-Examples!$E$15)/Examples!$E$16))))))+Examples!$E$17*$A574^2)</f>
        <v>206347.45810107765</v>
      </c>
      <c r="H574" s="33">
        <f>Examples!$F$18-(Examples!$F$10+Examples!$F$11)*$A574-(Examples!$F$6*Examples!$F$7*Examples!$F$8*EXP(-Examples!$F$9*$A574)*(1-(Examples!$F$12*(1-EXP(-Examples!$F$13*$A574))/(1+EXP(MIN(700,MAX(-700,(Examples!$F$14*$A574-Examples!$F$15)/Examples!$F$16))))))+Examples!$F$17*$A574^2)</f>
        <v>-621914.21729678707</v>
      </c>
      <c r="I574" s="33">
        <f>(Examples!$F$6*Examples!$F$7*Examples!$F$8*EXP(-Examples!$F$9*$A574)*(1-(Examples!$F$12*(1-EXP(-Examples!$F$13*$A574))/(1+EXP(MIN(700,MAX(-700,(Examples!$F$14*$A574-Examples!$F$15)/Examples!$F$16))))))+Examples!$F$17*$A574^2)</f>
        <v>657514.21729678707</v>
      </c>
      <c r="J574" s="33">
        <f>Examples!$G$18-(Examples!$G$10+Examples!$G$11)*$A574-(Examples!$G$6*Examples!$G$7*Examples!$G$8*EXP(-Examples!$G$9*$A574)*(1-(Examples!$G$12*(1-EXP(-Examples!$G$13*$A574))/(1+EXP(MIN(700,MAX(-700,(Examples!$G$14*$A574-Examples!$G$15)/Examples!$G$16))))))+Examples!$G$17*$A574^2)</f>
        <v>684868.31803953066</v>
      </c>
      <c r="K574" s="33">
        <f>(Examples!$G$6*Examples!$G$7*Examples!$G$8*EXP(-Examples!$G$9*$A574)*(1-(Examples!$G$12*(1-EXP(-Examples!$G$13*$A574))/(1+EXP(MIN(700,MAX(-700,(Examples!$G$14*$A574-Examples!$G$15)/Examples!$G$16))))))+Examples!$G$17*$A574^2)</f>
        <v>529131.68196046934</v>
      </c>
      <c r="L574" s="33">
        <f>Examples!$H$18-(Examples!$H$10+Examples!$H$11)*$A574-(Examples!$H$6*Examples!$H$7*Examples!$H$8*EXP(-Examples!$H$9*$A574)*(1-(Examples!$H$12*(1-EXP(-Examples!$H$13*$A574))/(1+EXP(MIN(700,MAX(-700,(Examples!$H$14*$A574-Examples!$H$15)/Examples!$H$16))))))+Examples!$H$17*$A574^2)</f>
        <v>682129.85809446056</v>
      </c>
      <c r="M574" s="33">
        <f>(Examples!$H$6*Examples!$H$7*Examples!$H$8*EXP(-Examples!$H$9*$A574)*(1-(Examples!$H$12*(1-EXP(-Examples!$H$13*$A574))/(1+EXP(MIN(700,MAX(-700,(Examples!$H$14*$A574-Examples!$H$15)/Examples!$H$16))))))+Examples!$H$17*$A574^2)</f>
        <v>531870.14190553944</v>
      </c>
    </row>
    <row r="575" spans="1:13" x14ac:dyDescent="0.25">
      <c r="A575">
        <f>(575-2)/100</f>
        <v>5.73</v>
      </c>
      <c r="B575" s="33">
        <f>Examples!$C$18-(Examples!$C$10+Examples!$C$11)*$A575-(Examples!$C$6*Examples!$C$7*Examples!$C$8*EXP(-Examples!$C$9*$A575)*(1-(Examples!$C$12*(1-EXP(-Examples!$C$13*$A575))/(1+EXP(MIN(700,MAX(-700,(Examples!$C$14*$A575-Examples!$C$15)/Examples!$C$16))))))+Examples!$C$17*$A575^2)</f>
        <v>-200590.60610558291</v>
      </c>
      <c r="C575" s="33">
        <f>(Examples!$C$6*Examples!$C$7*Examples!$C$8*EXP(-Examples!$C$9*$A575)*(1-(Examples!$C$12*(1-EXP(-Examples!$C$13*$A575))/(1+EXP(MIN(700,MAX(-700,(Examples!$C$14*$A575-Examples!$C$15)/Examples!$C$16))))))+Examples!$C$17*$A575^2)</f>
        <v>600040.60610558291</v>
      </c>
      <c r="D575" s="33">
        <f>Examples!$D$18-(Examples!$D$10+Examples!$D$11)*$A575-(Examples!$D$6*Examples!$D$7*Examples!$D$8*EXP(-Examples!$D$9*$A575)*(1-(Examples!$D$12*(1-EXP(-Examples!$D$13*$A575))/(1+EXP(MIN(700,MAX(-700,(Examples!$D$14*$A575-Examples!$D$15)/Examples!$D$16))))))+Examples!$D$17*$A575^2)</f>
        <v>1644674.4877642542</v>
      </c>
      <c r="E575" s="33">
        <f>(Examples!$D$6*Examples!$D$7*Examples!$D$8*EXP(-Examples!$D$9*$A575)*(1-(Examples!$D$12*(1-EXP(-Examples!$D$13*$A575))/(1+EXP(MIN(700,MAX(-700,(Examples!$D$14*$A575-Examples!$D$15)/Examples!$D$16))))))+Examples!$D$17*$A575^2)</f>
        <v>597475.51223574579</v>
      </c>
      <c r="F575" s="33">
        <f>Examples!$E$18-(Examples!$E$10+Examples!$E$11)*$A575-(Examples!$E$6*Examples!$E$7*Examples!$E$8*EXP(-Examples!$E$9*$A575)*(1-(Examples!$E$12*(1-EXP(-Examples!$E$13*$A575))/(1+EXP(MIN(700,MAX(-700,(Examples!$E$14*$A575-Examples!$E$15)/Examples!$E$16))))))+Examples!$E$17*$A575^2)</f>
        <v>2306568.269753525</v>
      </c>
      <c r="G575" s="33">
        <f>(Examples!$E$6*Examples!$E$7*Examples!$E$8*EXP(-Examples!$E$9*$A575)*(1-(Examples!$E$12*(1-EXP(-Examples!$E$13*$A575))/(1+EXP(MIN(700,MAX(-700,(Examples!$E$14*$A575-Examples!$E$15)/Examples!$E$16))))))+Examples!$E$17*$A575^2)</f>
        <v>206381.73024647508</v>
      </c>
      <c r="H575" s="33">
        <f>Examples!$F$18-(Examples!$F$10+Examples!$F$11)*$A575-(Examples!$F$6*Examples!$F$7*Examples!$F$8*EXP(-Examples!$F$9*$A575)*(1-(Examples!$F$12*(1-EXP(-Examples!$F$13*$A575))/(1+EXP(MIN(700,MAX(-700,(Examples!$F$14*$A575-Examples!$F$15)/Examples!$F$16))))))+Examples!$F$17*$A575^2)</f>
        <v>-624394.7927896789</v>
      </c>
      <c r="I575" s="33">
        <f>(Examples!$F$6*Examples!$F$7*Examples!$F$8*EXP(-Examples!$F$9*$A575)*(1-(Examples!$F$12*(1-EXP(-Examples!$F$13*$A575))/(1+EXP(MIN(700,MAX(-700,(Examples!$F$14*$A575-Examples!$F$15)/Examples!$F$16))))))+Examples!$F$17*$A575^2)</f>
        <v>659794.7927896789</v>
      </c>
      <c r="J575" s="33">
        <f>Examples!$G$18-(Examples!$G$10+Examples!$G$11)*$A575-(Examples!$G$6*Examples!$G$7*Examples!$G$8*EXP(-Examples!$G$9*$A575)*(1-(Examples!$G$12*(1-EXP(-Examples!$G$13*$A575))/(1+EXP(MIN(700,MAX(-700,(Examples!$G$14*$A575-Examples!$G$15)/Examples!$G$16))))))+Examples!$G$17*$A575^2)</f>
        <v>684351.59400696086</v>
      </c>
      <c r="K575" s="33">
        <f>(Examples!$G$6*Examples!$G$7*Examples!$G$8*EXP(-Examples!$G$9*$A575)*(1-(Examples!$G$12*(1-EXP(-Examples!$G$13*$A575))/(1+EXP(MIN(700,MAX(-700,(Examples!$G$14*$A575-Examples!$G$15)/Examples!$G$16))))))+Examples!$G$17*$A575^2)</f>
        <v>529148.40599303914</v>
      </c>
      <c r="L575" s="33">
        <f>Examples!$H$18-(Examples!$H$10+Examples!$H$11)*$A575-(Examples!$H$6*Examples!$H$7*Examples!$H$8*EXP(-Examples!$H$9*$A575)*(1-(Examples!$H$12*(1-EXP(-Examples!$H$13*$A575))/(1+EXP(MIN(700,MAX(-700,(Examples!$H$14*$A575-Examples!$H$15)/Examples!$H$16))))))+Examples!$H$17*$A575^2)</f>
        <v>681657.42364593805</v>
      </c>
      <c r="M575" s="33">
        <f>(Examples!$H$6*Examples!$H$7*Examples!$H$8*EXP(-Examples!$H$9*$A575)*(1-(Examples!$H$12*(1-EXP(-Examples!$H$13*$A575))/(1+EXP(MIN(700,MAX(-700,(Examples!$H$14*$A575-Examples!$H$15)/Examples!$H$16))))))+Examples!$H$17*$A575^2)</f>
        <v>531842.57635406195</v>
      </c>
    </row>
    <row r="576" spans="1:13" x14ac:dyDescent="0.25">
      <c r="A576">
        <f>(576-2)/100</f>
        <v>5.74</v>
      </c>
      <c r="B576" s="33">
        <f>Examples!$C$18-(Examples!$C$10+Examples!$C$11)*$A576-(Examples!$C$6*Examples!$C$7*Examples!$C$8*EXP(-Examples!$C$9*$A576)*(1-(Examples!$C$12*(1-EXP(-Examples!$C$13*$A576))/(1+EXP(MIN(700,MAX(-700,(Examples!$C$14*$A576-Examples!$C$15)/Examples!$C$16))))))+Examples!$C$17*$A576^2)</f>
        <v>-202338.95071904908</v>
      </c>
      <c r="C576" s="33">
        <f>(Examples!$C$6*Examples!$C$7*Examples!$C$8*EXP(-Examples!$C$9*$A576)*(1-(Examples!$C$12*(1-EXP(-Examples!$C$13*$A576))/(1+EXP(MIN(700,MAX(-700,(Examples!$C$14*$A576-Examples!$C$15)/Examples!$C$16))))))+Examples!$C$17*$A576^2)</f>
        <v>601438.95071904908</v>
      </c>
      <c r="D576" s="33">
        <f>Examples!$D$18-(Examples!$D$10+Examples!$D$11)*$A576-(Examples!$D$6*Examples!$D$7*Examples!$D$8*EXP(-Examples!$D$9*$A576)*(1-(Examples!$D$12*(1-EXP(-Examples!$D$13*$A576))/(1+EXP(MIN(700,MAX(-700,(Examples!$D$14*$A576-Examples!$D$15)/Examples!$D$16))))))+Examples!$D$17*$A576^2)</f>
        <v>1645329.6184009572</v>
      </c>
      <c r="E576" s="33">
        <f>(Examples!$D$6*Examples!$D$7*Examples!$D$8*EXP(-Examples!$D$9*$A576)*(1-(Examples!$D$12*(1-EXP(-Examples!$D$13*$A576))/(1+EXP(MIN(700,MAX(-700,(Examples!$D$14*$A576-Examples!$D$15)/Examples!$D$16))))))+Examples!$D$17*$A576^2)</f>
        <v>596370.3815990428</v>
      </c>
      <c r="F576" s="33">
        <f>Examples!$E$18-(Examples!$E$10+Examples!$E$11)*$A576-(Examples!$E$6*Examples!$E$7*Examples!$E$8*EXP(-Examples!$E$9*$A576)*(1-(Examples!$E$12*(1-EXP(-Examples!$E$13*$A576))/(1+EXP(MIN(700,MAX(-700,(Examples!$E$14*$A576-Examples!$E$15)/Examples!$E$16))))))+Examples!$E$17*$A576^2)</f>
        <v>2305683.436037844</v>
      </c>
      <c r="G576" s="33">
        <f>(Examples!$E$6*Examples!$E$7*Examples!$E$8*EXP(-Examples!$E$9*$A576)*(1-(Examples!$E$12*(1-EXP(-Examples!$E$13*$A576))/(1+EXP(MIN(700,MAX(-700,(Examples!$E$14*$A576-Examples!$E$15)/Examples!$E$16))))))+Examples!$E$17*$A576^2)</f>
        <v>206416.56396215598</v>
      </c>
      <c r="H576" s="33">
        <f>Examples!$F$18-(Examples!$F$10+Examples!$F$11)*$A576-(Examples!$F$6*Examples!$F$7*Examples!$F$8*EXP(-Examples!$F$9*$A576)*(1-(Examples!$F$12*(1-EXP(-Examples!$F$13*$A576))/(1+EXP(MIN(700,MAX(-700,(Examples!$F$14*$A576-Examples!$F$15)/Examples!$F$16))))))+Examples!$F$17*$A576^2)</f>
        <v>-626879.39651368454</v>
      </c>
      <c r="I576" s="33">
        <f>(Examples!$F$6*Examples!$F$7*Examples!$F$8*EXP(-Examples!$F$9*$A576)*(1-(Examples!$F$12*(1-EXP(-Examples!$F$13*$A576))/(1+EXP(MIN(700,MAX(-700,(Examples!$F$14*$A576-Examples!$F$15)/Examples!$F$16))))))+Examples!$F$17*$A576^2)</f>
        <v>662079.39651368454</v>
      </c>
      <c r="J576" s="33">
        <f>Examples!$G$18-(Examples!$G$10+Examples!$G$11)*$A576-(Examples!$G$6*Examples!$G$7*Examples!$G$8*EXP(-Examples!$G$9*$A576)*(1-(Examples!$G$12*(1-EXP(-Examples!$G$13*$A576))/(1+EXP(MIN(700,MAX(-700,(Examples!$G$14*$A576-Examples!$G$15)/Examples!$G$16))))))+Examples!$G$17*$A576^2)</f>
        <v>683830.68414625444</v>
      </c>
      <c r="K576" s="33">
        <f>(Examples!$G$6*Examples!$G$7*Examples!$G$8*EXP(-Examples!$G$9*$A576)*(1-(Examples!$G$12*(1-EXP(-Examples!$G$13*$A576))/(1+EXP(MIN(700,MAX(-700,(Examples!$G$14*$A576-Examples!$G$15)/Examples!$G$16))))))+Examples!$G$17*$A576^2)</f>
        <v>529169.31585374556</v>
      </c>
      <c r="L576" s="33">
        <f>Examples!$H$18-(Examples!$H$10+Examples!$H$11)*$A576-(Examples!$H$6*Examples!$H$7*Examples!$H$8*EXP(-Examples!$H$9*$A576)*(1-(Examples!$H$12*(1-EXP(-Examples!$H$13*$A576))/(1+EXP(MIN(700,MAX(-700,(Examples!$H$14*$A576-Examples!$H$15)/Examples!$H$16))))))+Examples!$H$17*$A576^2)</f>
        <v>681180.09981786448</v>
      </c>
      <c r="M576" s="33">
        <f>(Examples!$H$6*Examples!$H$7*Examples!$H$8*EXP(-Examples!$H$9*$A576)*(1-(Examples!$H$12*(1-EXP(-Examples!$H$13*$A576))/(1+EXP(MIN(700,MAX(-700,(Examples!$H$14*$A576-Examples!$H$15)/Examples!$H$16))))))+Examples!$H$17*$A576^2)</f>
        <v>531819.90018213552</v>
      </c>
    </row>
    <row r="577" spans="1:13" x14ac:dyDescent="0.25">
      <c r="A577">
        <f>(577-2)/100</f>
        <v>5.75</v>
      </c>
      <c r="B577" s="33">
        <f>Examples!$C$18-(Examples!$C$10+Examples!$C$11)*$A577-(Examples!$C$6*Examples!$C$7*Examples!$C$8*EXP(-Examples!$C$9*$A577)*(1-(Examples!$C$12*(1-EXP(-Examples!$C$13*$A577))/(1+EXP(MIN(700,MAX(-700,(Examples!$C$14*$A577-Examples!$C$15)/Examples!$C$16))))))+Examples!$C$17*$A577^2)</f>
        <v>-204091.26026408677</v>
      </c>
      <c r="C577" s="33">
        <f>(Examples!$C$6*Examples!$C$7*Examples!$C$8*EXP(-Examples!$C$9*$A577)*(1-(Examples!$C$12*(1-EXP(-Examples!$C$13*$A577))/(1+EXP(MIN(700,MAX(-700,(Examples!$C$14*$A577-Examples!$C$15)/Examples!$C$16))))))+Examples!$C$17*$A577^2)</f>
        <v>602841.26026408677</v>
      </c>
      <c r="D577" s="33">
        <f>Examples!$D$18-(Examples!$D$10+Examples!$D$11)*$A577-(Examples!$D$6*Examples!$D$7*Examples!$D$8*EXP(-Examples!$D$9*$A577)*(1-(Examples!$D$12*(1-EXP(-Examples!$D$13*$A577))/(1+EXP(MIN(700,MAX(-700,(Examples!$D$14*$A577-Examples!$D$15)/Examples!$D$16))))))+Examples!$D$17*$A577^2)</f>
        <v>1645980.3871611618</v>
      </c>
      <c r="E577" s="33">
        <f>(Examples!$D$6*Examples!$D$7*Examples!$D$8*EXP(-Examples!$D$9*$A577)*(1-(Examples!$D$12*(1-EXP(-Examples!$D$13*$A577))/(1+EXP(MIN(700,MAX(-700,(Examples!$D$14*$A577-Examples!$D$15)/Examples!$D$16))))))+Examples!$D$17*$A577^2)</f>
        <v>595269.61283883825</v>
      </c>
      <c r="F577" s="33">
        <f>Examples!$E$18-(Examples!$E$10+Examples!$E$11)*$A577-(Examples!$E$6*Examples!$E$7*Examples!$E$8*EXP(-Examples!$E$9*$A577)*(1-(Examples!$E$12*(1-EXP(-Examples!$E$13*$A577))/(1+EXP(MIN(700,MAX(-700,(Examples!$E$14*$A577-Examples!$E$15)/Examples!$E$16))))))+Examples!$E$17*$A577^2)</f>
        <v>2304798.0372877708</v>
      </c>
      <c r="G577" s="33">
        <f>(Examples!$E$6*Examples!$E$7*Examples!$E$8*EXP(-Examples!$E$9*$A577)*(1-(Examples!$E$12*(1-EXP(-Examples!$E$13*$A577))/(1+EXP(MIN(700,MAX(-700,(Examples!$E$14*$A577-Examples!$E$15)/Examples!$E$16))))))+Examples!$E$17*$A577^2)</f>
        <v>206451.96271222946</v>
      </c>
      <c r="H577" s="33">
        <f>Examples!$F$18-(Examples!$F$10+Examples!$F$11)*$A577-(Examples!$F$6*Examples!$F$7*Examples!$F$8*EXP(-Examples!$F$9*$A577)*(1-(Examples!$F$12*(1-EXP(-Examples!$F$13*$A577))/(1+EXP(MIN(700,MAX(-700,(Examples!$F$14*$A577-Examples!$F$15)/Examples!$F$16))))))+Examples!$F$17*$A577^2)</f>
        <v>-629368.02838423941</v>
      </c>
      <c r="I577" s="33">
        <f>(Examples!$F$6*Examples!$F$7*Examples!$F$8*EXP(-Examples!$F$9*$A577)*(1-(Examples!$F$12*(1-EXP(-Examples!$F$13*$A577))/(1+EXP(MIN(700,MAX(-700,(Examples!$F$14*$A577-Examples!$F$15)/Examples!$F$16))))))+Examples!$F$17*$A577^2)</f>
        <v>664368.02838423941</v>
      </c>
      <c r="J577" s="33">
        <f>Examples!$G$18-(Examples!$G$10+Examples!$G$11)*$A577-(Examples!$G$6*Examples!$G$7*Examples!$G$8*EXP(-Examples!$G$9*$A577)*(1-(Examples!$G$12*(1-EXP(-Examples!$G$13*$A577))/(1+EXP(MIN(700,MAX(-700,(Examples!$G$14*$A577-Examples!$G$15)/Examples!$G$16))))))+Examples!$G$17*$A577^2)</f>
        <v>683305.58887681132</v>
      </c>
      <c r="K577" s="33">
        <f>(Examples!$G$6*Examples!$G$7*Examples!$G$8*EXP(-Examples!$G$9*$A577)*(1-(Examples!$G$12*(1-EXP(-Examples!$G$13*$A577))/(1+EXP(MIN(700,MAX(-700,(Examples!$G$14*$A577-Examples!$G$15)/Examples!$G$16))))))+Examples!$G$17*$A577^2)</f>
        <v>529194.41112318868</v>
      </c>
      <c r="L577" s="33">
        <f>Examples!$H$18-(Examples!$H$10+Examples!$H$11)*$A577-(Examples!$H$6*Examples!$H$7*Examples!$H$8*EXP(-Examples!$H$9*$A577)*(1-(Examples!$H$12*(1-EXP(-Examples!$H$13*$A577))/(1+EXP(MIN(700,MAX(-700,(Examples!$H$14*$A577-Examples!$H$15)/Examples!$H$16))))))+Examples!$H$17*$A577^2)</f>
        <v>680697.89785028377</v>
      </c>
      <c r="M577" s="33">
        <f>(Examples!$H$6*Examples!$H$7*Examples!$H$8*EXP(-Examples!$H$9*$A577)*(1-(Examples!$H$12*(1-EXP(-Examples!$H$13*$A577))/(1+EXP(MIN(700,MAX(-700,(Examples!$H$14*$A577-Examples!$H$15)/Examples!$H$16))))))+Examples!$H$17*$A577^2)</f>
        <v>531802.10214971623</v>
      </c>
    </row>
    <row r="578" spans="1:13" x14ac:dyDescent="0.25">
      <c r="A578">
        <f>(578-2)/100</f>
        <v>5.76</v>
      </c>
      <c r="B578" s="33">
        <f>Examples!$C$18-(Examples!$C$10+Examples!$C$11)*$A578-(Examples!$C$6*Examples!$C$7*Examples!$C$8*EXP(-Examples!$C$9*$A578)*(1-(Examples!$C$12*(1-EXP(-Examples!$C$13*$A578))/(1+EXP(MIN(700,MAX(-700,(Examples!$C$14*$A578-Examples!$C$15)/Examples!$C$16))))))+Examples!$C$17*$A578^2)</f>
        <v>-205847.53185327211</v>
      </c>
      <c r="C578" s="33">
        <f>(Examples!$C$6*Examples!$C$7*Examples!$C$8*EXP(-Examples!$C$9*$A578)*(1-(Examples!$C$12*(1-EXP(-Examples!$C$13*$A578))/(1+EXP(MIN(700,MAX(-700,(Examples!$C$14*$A578-Examples!$C$15)/Examples!$C$16))))))+Examples!$C$17*$A578^2)</f>
        <v>604247.53185327211</v>
      </c>
      <c r="D578" s="33">
        <f>Examples!$D$18-(Examples!$D$10+Examples!$D$11)*$A578-(Examples!$D$6*Examples!$D$7*Examples!$D$8*EXP(-Examples!$D$9*$A578)*(1-(Examples!$D$12*(1-EXP(-Examples!$D$13*$A578))/(1+EXP(MIN(700,MAX(-700,(Examples!$D$14*$A578-Examples!$D$15)/Examples!$D$16))))))+Examples!$D$17*$A578^2)</f>
        <v>1646626.7500250482</v>
      </c>
      <c r="E578" s="33">
        <f>(Examples!$D$6*Examples!$D$7*Examples!$D$8*EXP(-Examples!$D$9*$A578)*(1-(Examples!$D$12*(1-EXP(-Examples!$D$13*$A578))/(1+EXP(MIN(700,MAX(-700,(Examples!$D$14*$A578-Examples!$D$15)/Examples!$D$16))))))+Examples!$D$17*$A578^2)</f>
        <v>594173.24997495185</v>
      </c>
      <c r="F578" s="33">
        <f>Examples!$E$18-(Examples!$E$10+Examples!$E$11)*$A578-(Examples!$E$6*Examples!$E$7*Examples!$E$8*EXP(-Examples!$E$9*$A578)*(1-(Examples!$E$12*(1-EXP(-Examples!$E$13*$A578))/(1+EXP(MIN(700,MAX(-700,(Examples!$E$14*$A578-Examples!$E$15)/Examples!$E$16))))))+Examples!$E$17*$A578^2)</f>
        <v>2303912.0699483547</v>
      </c>
      <c r="G578" s="33">
        <f>(Examples!$E$6*Examples!$E$7*Examples!$E$8*EXP(-Examples!$E$9*$A578)*(1-(Examples!$E$12*(1-EXP(-Examples!$E$13*$A578))/(1+EXP(MIN(700,MAX(-700,(Examples!$E$14*$A578-Examples!$E$15)/Examples!$E$16))))))+Examples!$E$17*$A578^2)</f>
        <v>206487.93005164503</v>
      </c>
      <c r="H578" s="33">
        <f>Examples!$F$18-(Examples!$F$10+Examples!$F$11)*$A578-(Examples!$F$6*Examples!$F$7*Examples!$F$8*EXP(-Examples!$F$9*$A578)*(1-(Examples!$F$12*(1-EXP(-Examples!$F$13*$A578))/(1+EXP(MIN(700,MAX(-700,(Examples!$F$14*$A578-Examples!$F$15)/Examples!$F$16))))))+Examples!$F$17*$A578^2)</f>
        <v>-631860.68831703195</v>
      </c>
      <c r="I578" s="33">
        <f>(Examples!$F$6*Examples!$F$7*Examples!$F$8*EXP(-Examples!$F$9*$A578)*(1-(Examples!$F$12*(1-EXP(-Examples!$F$13*$A578))/(1+EXP(MIN(700,MAX(-700,(Examples!$F$14*$A578-Examples!$F$15)/Examples!$F$16))))))+Examples!$F$17*$A578^2)</f>
        <v>666660.68831703195</v>
      </c>
      <c r="J578" s="33">
        <f>Examples!$G$18-(Examples!$G$10+Examples!$G$11)*$A578-(Examples!$G$6*Examples!$G$7*Examples!$G$8*EXP(-Examples!$G$9*$A578)*(1-(Examples!$G$12*(1-EXP(-Examples!$G$13*$A578))/(1+EXP(MIN(700,MAX(-700,(Examples!$G$14*$A578-Examples!$G$15)/Examples!$G$16))))))+Examples!$G$17*$A578^2)</f>
        <v>682776.30874361785</v>
      </c>
      <c r="K578" s="33">
        <f>(Examples!$G$6*Examples!$G$7*Examples!$G$8*EXP(-Examples!$G$9*$A578)*(1-(Examples!$G$12*(1-EXP(-Examples!$G$13*$A578))/(1+EXP(MIN(700,MAX(-700,(Examples!$G$14*$A578-Examples!$G$15)/Examples!$G$16))))))+Examples!$G$17*$A578^2)</f>
        <v>529223.69125638215</v>
      </c>
      <c r="L578" s="33">
        <f>Examples!$H$18-(Examples!$H$10+Examples!$H$11)*$A578-(Examples!$H$6*Examples!$H$7*Examples!$H$8*EXP(-Examples!$H$9*$A578)*(1-(Examples!$H$12*(1-EXP(-Examples!$H$13*$A578))/(1+EXP(MIN(700,MAX(-700,(Examples!$H$14*$A578-Examples!$H$15)/Examples!$H$16))))))+Examples!$H$17*$A578^2)</f>
        <v>680210.82895266474</v>
      </c>
      <c r="M578" s="33">
        <f>(Examples!$H$6*Examples!$H$7*Examples!$H$8*EXP(-Examples!$H$9*$A578)*(1-(Examples!$H$12*(1-EXP(-Examples!$H$13*$A578))/(1+EXP(MIN(700,MAX(-700,(Examples!$H$14*$A578-Examples!$H$15)/Examples!$H$16))))))+Examples!$H$17*$A578^2)</f>
        <v>531789.17104733526</v>
      </c>
    </row>
    <row r="579" spans="1:13" x14ac:dyDescent="0.25">
      <c r="A579">
        <f>(579-2)/100</f>
        <v>5.77</v>
      </c>
      <c r="B579" s="33">
        <f>Examples!$C$18-(Examples!$C$10+Examples!$C$11)*$A579-(Examples!$C$6*Examples!$C$7*Examples!$C$8*EXP(-Examples!$C$9*$A579)*(1-(Examples!$C$12*(1-EXP(-Examples!$C$13*$A579))/(1+EXP(MIN(700,MAX(-700,(Examples!$C$14*$A579-Examples!$C$15)/Examples!$C$16))))))+Examples!$C$17*$A579^2)</f>
        <v>-207607.76260772441</v>
      </c>
      <c r="C579" s="33">
        <f>(Examples!$C$6*Examples!$C$7*Examples!$C$8*EXP(-Examples!$C$9*$A579)*(1-(Examples!$C$12*(1-EXP(-Examples!$C$13*$A579))/(1+EXP(MIN(700,MAX(-700,(Examples!$C$14*$A579-Examples!$C$15)/Examples!$C$16))))))+Examples!$C$17*$A579^2)</f>
        <v>605657.76260772441</v>
      </c>
      <c r="D579" s="33">
        <f>Examples!$D$18-(Examples!$D$10+Examples!$D$11)*$A579-(Examples!$D$6*Examples!$D$7*Examples!$D$8*EXP(-Examples!$D$9*$A579)*(1-(Examples!$D$12*(1-EXP(-Examples!$D$13*$A579))/(1+EXP(MIN(700,MAX(-700,(Examples!$D$14*$A579-Examples!$D$15)/Examples!$D$16))))))+Examples!$D$17*$A579^2)</f>
        <v>1647268.6638320168</v>
      </c>
      <c r="E579" s="33">
        <f>(Examples!$D$6*Examples!$D$7*Examples!$D$8*EXP(-Examples!$D$9*$A579)*(1-(Examples!$D$12*(1-EXP(-Examples!$D$13*$A579))/(1+EXP(MIN(700,MAX(-700,(Examples!$D$14*$A579-Examples!$D$15)/Examples!$D$16))))))+Examples!$D$17*$A579^2)</f>
        <v>593081.33616798336</v>
      </c>
      <c r="F579" s="33">
        <f>Examples!$E$18-(Examples!$E$10+Examples!$E$11)*$A579-(Examples!$E$6*Examples!$E$7*Examples!$E$8*EXP(-Examples!$E$9*$A579)*(1-(Examples!$E$12*(1-EXP(-Examples!$E$13*$A579))/(1+EXP(MIN(700,MAX(-700,(Examples!$E$14*$A579-Examples!$E$15)/Examples!$E$16))))))+Examples!$E$17*$A579^2)</f>
        <v>2303025.5303758727</v>
      </c>
      <c r="G579" s="33">
        <f>(Examples!$E$6*Examples!$E$7*Examples!$E$8*EXP(-Examples!$E$9*$A579)*(1-(Examples!$E$12*(1-EXP(-Examples!$E$13*$A579))/(1+EXP(MIN(700,MAX(-700,(Examples!$E$14*$A579-Examples!$E$15)/Examples!$E$16))))))+Examples!$E$17*$A579^2)</f>
        <v>206524.46962412709</v>
      </c>
      <c r="H579" s="33">
        <f>Examples!$F$18-(Examples!$F$10+Examples!$F$11)*$A579-(Examples!$F$6*Examples!$F$7*Examples!$F$8*EXP(-Examples!$F$9*$A579)*(1-(Examples!$F$12*(1-EXP(-Examples!$F$13*$A579))/(1+EXP(MIN(700,MAX(-700,(Examples!$F$14*$A579-Examples!$F$15)/Examples!$F$16))))))+Examples!$F$17*$A579^2)</f>
        <v>-634357.37622800295</v>
      </c>
      <c r="I579" s="33">
        <f>(Examples!$F$6*Examples!$F$7*Examples!$F$8*EXP(-Examples!$F$9*$A579)*(1-(Examples!$F$12*(1-EXP(-Examples!$F$13*$A579))/(1+EXP(MIN(700,MAX(-700,(Examples!$F$14*$A579-Examples!$F$15)/Examples!$F$16))))))+Examples!$F$17*$A579^2)</f>
        <v>668957.37622800295</v>
      </c>
      <c r="J579" s="33">
        <f>Examples!$G$18-(Examples!$G$10+Examples!$G$11)*$A579-(Examples!$G$6*Examples!$G$7*Examples!$G$8*EXP(-Examples!$G$9*$A579)*(1-(Examples!$G$12*(1-EXP(-Examples!$G$13*$A579))/(1+EXP(MIN(700,MAX(-700,(Examples!$G$14*$A579-Examples!$G$15)/Examples!$G$16))))))+Examples!$G$17*$A579^2)</f>
        <v>682242.84441511065</v>
      </c>
      <c r="K579" s="33">
        <f>(Examples!$G$6*Examples!$G$7*Examples!$G$8*EXP(-Examples!$G$9*$A579)*(1-(Examples!$G$12*(1-EXP(-Examples!$G$13*$A579))/(1+EXP(MIN(700,MAX(-700,(Examples!$G$14*$A579-Examples!$G$15)/Examples!$G$16))))))+Examples!$G$17*$A579^2)</f>
        <v>529257.15558488935</v>
      </c>
      <c r="L579" s="33">
        <f>Examples!$H$18-(Examples!$H$10+Examples!$H$11)*$A579-(Examples!$H$6*Examples!$H$7*Examples!$H$8*EXP(-Examples!$H$9*$A579)*(1-(Examples!$H$12*(1-EXP(-Examples!$H$13*$A579))/(1+EXP(MIN(700,MAX(-700,(Examples!$H$14*$A579-Examples!$H$15)/Examples!$H$16))))))+Examples!$H$17*$A579^2)</f>
        <v>679718.90430370916</v>
      </c>
      <c r="M579" s="33">
        <f>(Examples!$H$6*Examples!$H$7*Examples!$H$8*EXP(-Examples!$H$9*$A579)*(1-(Examples!$H$12*(1-EXP(-Examples!$H$13*$A579))/(1+EXP(MIN(700,MAX(-700,(Examples!$H$14*$A579-Examples!$H$15)/Examples!$H$16))))))+Examples!$H$17*$A579^2)</f>
        <v>531781.09569629084</v>
      </c>
    </row>
    <row r="580" spans="1:13" x14ac:dyDescent="0.25">
      <c r="A580">
        <f>(580-2)/100</f>
        <v>5.78</v>
      </c>
      <c r="B580" s="33">
        <f>Examples!$C$18-(Examples!$C$10+Examples!$C$11)*$A580-(Examples!$C$6*Examples!$C$7*Examples!$C$8*EXP(-Examples!$C$9*$A580)*(1-(Examples!$C$12*(1-EXP(-Examples!$C$13*$A580))/(1+EXP(MIN(700,MAX(-700,(Examples!$C$14*$A580-Examples!$C$15)/Examples!$C$16))))))+Examples!$C$17*$A580^2)</f>
        <v>-209371.94965708395</v>
      </c>
      <c r="C580" s="33">
        <f>(Examples!$C$6*Examples!$C$7*Examples!$C$8*EXP(-Examples!$C$9*$A580)*(1-(Examples!$C$12*(1-EXP(-Examples!$C$13*$A580))/(1+EXP(MIN(700,MAX(-700,(Examples!$C$14*$A580-Examples!$C$15)/Examples!$C$16))))))+Examples!$C$17*$A580^2)</f>
        <v>607071.94965708395</v>
      </c>
      <c r="D580" s="33">
        <f>Examples!$D$18-(Examples!$D$10+Examples!$D$11)*$A580-(Examples!$D$6*Examples!$D$7*Examples!$D$8*EXP(-Examples!$D$9*$A580)*(1-(Examples!$D$12*(1-EXP(-Examples!$D$13*$A580))/(1+EXP(MIN(700,MAX(-700,(Examples!$D$14*$A580-Examples!$D$15)/Examples!$D$16))))))+Examples!$D$17*$A580^2)</f>
        <v>1647906.0862745421</v>
      </c>
      <c r="E580" s="33">
        <f>(Examples!$D$6*Examples!$D$7*Examples!$D$8*EXP(-Examples!$D$9*$A580)*(1-(Examples!$D$12*(1-EXP(-Examples!$D$13*$A580))/(1+EXP(MIN(700,MAX(-700,(Examples!$D$14*$A580-Examples!$D$15)/Examples!$D$16))))))+Examples!$D$17*$A580^2)</f>
        <v>591993.91372545785</v>
      </c>
      <c r="F580" s="33">
        <f>Examples!$E$18-(Examples!$E$10+Examples!$E$11)*$A580-(Examples!$E$6*Examples!$E$7*Examples!$E$8*EXP(-Examples!$E$9*$A580)*(1-(Examples!$E$12*(1-EXP(-Examples!$E$13*$A580))/(1+EXP(MIN(700,MAX(-700,(Examples!$E$14*$A580-Examples!$E$15)/Examples!$E$16))))))+Examples!$E$17*$A580^2)</f>
        <v>2302138.4148398815</v>
      </c>
      <c r="G580" s="33">
        <f>(Examples!$E$6*Examples!$E$7*Examples!$E$8*EXP(-Examples!$E$9*$A580)*(1-(Examples!$E$12*(1-EXP(-Examples!$E$13*$A580))/(1+EXP(MIN(700,MAX(-700,(Examples!$E$14*$A580-Examples!$E$15)/Examples!$E$16))))))+Examples!$E$17*$A580^2)</f>
        <v>206561.58516011853</v>
      </c>
      <c r="H580" s="33">
        <f>Examples!$F$18-(Examples!$F$10+Examples!$F$11)*$A580-(Examples!$F$6*Examples!$F$7*Examples!$F$8*EXP(-Examples!$F$9*$A580)*(1-(Examples!$F$12*(1-EXP(-Examples!$F$13*$A580))/(1+EXP(MIN(700,MAX(-700,(Examples!$F$14*$A580-Examples!$F$15)/Examples!$F$16))))))+Examples!$F$17*$A580^2)</f>
        <v>-636858.09203334549</v>
      </c>
      <c r="I580" s="33">
        <f>(Examples!$F$6*Examples!$F$7*Examples!$F$8*EXP(-Examples!$F$9*$A580)*(1-(Examples!$F$12*(1-EXP(-Examples!$F$13*$A580))/(1+EXP(MIN(700,MAX(-700,(Examples!$F$14*$A580-Examples!$F$15)/Examples!$F$16))))))+Examples!$F$17*$A580^2)</f>
        <v>671258.09203334549</v>
      </c>
      <c r="J580" s="33">
        <f>Examples!$G$18-(Examples!$G$10+Examples!$G$11)*$A580-(Examples!$G$6*Examples!$G$7*Examples!$G$8*EXP(-Examples!$G$9*$A580)*(1-(Examples!$G$12*(1-EXP(-Examples!$G$13*$A580))/(1+EXP(MIN(700,MAX(-700,(Examples!$G$14*$A580-Examples!$G$15)/Examples!$G$16))))))+Examples!$G$17*$A580^2)</f>
        <v>681705.19668106618</v>
      </c>
      <c r="K580" s="33">
        <f>(Examples!$G$6*Examples!$G$7*Examples!$G$8*EXP(-Examples!$G$9*$A580)*(1-(Examples!$G$12*(1-EXP(-Examples!$G$13*$A580))/(1+EXP(MIN(700,MAX(-700,(Examples!$G$14*$A580-Examples!$G$15)/Examples!$G$16))))))+Examples!$G$17*$A580^2)</f>
        <v>529294.80331893382</v>
      </c>
      <c r="L580" s="33">
        <f>Examples!$H$18-(Examples!$H$10+Examples!$H$11)*$A580-(Examples!$H$6*Examples!$H$7*Examples!$H$8*EXP(-Examples!$H$9*$A580)*(1-(Examples!$H$12*(1-EXP(-Examples!$H$13*$A580))/(1+EXP(MIN(700,MAX(-700,(Examples!$H$14*$A580-Examples!$H$15)/Examples!$H$16))))))+Examples!$H$17*$A580^2)</f>
        <v>679222.13505117164</v>
      </c>
      <c r="M580" s="33">
        <f>(Examples!$H$6*Examples!$H$7*Examples!$H$8*EXP(-Examples!$H$9*$A580)*(1-(Examples!$H$12*(1-EXP(-Examples!$H$13*$A580))/(1+EXP(MIN(700,MAX(-700,(Examples!$H$14*$A580-Examples!$H$15)/Examples!$H$16))))))+Examples!$H$17*$A580^2)</f>
        <v>531777.86494882836</v>
      </c>
    </row>
    <row r="581" spans="1:13" x14ac:dyDescent="0.25">
      <c r="A581">
        <f>(581-2)/100</f>
        <v>5.79</v>
      </c>
      <c r="B581" s="33">
        <f>Examples!$C$18-(Examples!$C$10+Examples!$C$11)*$A581-(Examples!$C$6*Examples!$C$7*Examples!$C$8*EXP(-Examples!$C$9*$A581)*(1-(Examples!$C$12*(1-EXP(-Examples!$C$13*$A581))/(1+EXP(MIN(700,MAX(-700,(Examples!$C$14*$A581-Examples!$C$15)/Examples!$C$16))))))+Examples!$C$17*$A581^2)</f>
        <v>-211140.09013948985</v>
      </c>
      <c r="C581" s="33">
        <f>(Examples!$C$6*Examples!$C$7*Examples!$C$8*EXP(-Examples!$C$9*$A581)*(1-(Examples!$C$12*(1-EXP(-Examples!$C$13*$A581))/(1+EXP(MIN(700,MAX(-700,(Examples!$C$14*$A581-Examples!$C$15)/Examples!$C$16))))))+Examples!$C$17*$A581^2)</f>
        <v>608490.09013948985</v>
      </c>
      <c r="D581" s="33">
        <f>Examples!$D$18-(Examples!$D$10+Examples!$D$11)*$A581-(Examples!$D$6*Examples!$D$7*Examples!$D$8*EXP(-Examples!$D$9*$A581)*(1-(Examples!$D$12*(1-EXP(-Examples!$D$13*$A581))/(1+EXP(MIN(700,MAX(-700,(Examples!$D$14*$A581-Examples!$D$15)/Examples!$D$16))))))+Examples!$D$17*$A581^2)</f>
        <v>1648538.9758918884</v>
      </c>
      <c r="E581" s="33">
        <f>(Examples!$D$6*Examples!$D$7*Examples!$D$8*EXP(-Examples!$D$9*$A581)*(1-(Examples!$D$12*(1-EXP(-Examples!$D$13*$A581))/(1+EXP(MIN(700,MAX(-700,(Examples!$D$14*$A581-Examples!$D$15)/Examples!$D$16))))))+Examples!$D$17*$A581^2)</f>
        <v>590911.02410811163</v>
      </c>
      <c r="F581" s="33">
        <f>Examples!$E$18-(Examples!$E$10+Examples!$E$11)*$A581-(Examples!$E$6*Examples!$E$7*Examples!$E$8*EXP(-Examples!$E$9*$A581)*(1-(Examples!$E$12*(1-EXP(-Examples!$E$13*$A581))/(1+EXP(MIN(700,MAX(-700,(Examples!$E$14*$A581-Examples!$E$15)/Examples!$E$16))))))+Examples!$E$17*$A581^2)</f>
        <v>2301250.7195252641</v>
      </c>
      <c r="G581" s="33">
        <f>(Examples!$E$6*Examples!$E$7*Examples!$E$8*EXP(-Examples!$E$9*$A581)*(1-(Examples!$E$12*(1-EXP(-Examples!$E$13*$A581))/(1+EXP(MIN(700,MAX(-700,(Examples!$E$14*$A581-Examples!$E$15)/Examples!$E$16))))))+Examples!$E$17*$A581^2)</f>
        <v>206599.2804747358</v>
      </c>
      <c r="H581" s="33">
        <f>Examples!$F$18-(Examples!$F$10+Examples!$F$11)*$A581-(Examples!$F$6*Examples!$F$7*Examples!$F$8*EXP(-Examples!$F$9*$A581)*(1-(Examples!$F$12*(1-EXP(-Examples!$F$13*$A581))/(1+EXP(MIN(700,MAX(-700,(Examples!$F$14*$A581-Examples!$F$15)/Examples!$F$16))))))+Examples!$F$17*$A581^2)</f>
        <v>-639362.83564950293</v>
      </c>
      <c r="I581" s="33">
        <f>(Examples!$F$6*Examples!$F$7*Examples!$F$8*EXP(-Examples!$F$9*$A581)*(1-(Examples!$F$12*(1-EXP(-Examples!$F$13*$A581))/(1+EXP(MIN(700,MAX(-700,(Examples!$F$14*$A581-Examples!$F$15)/Examples!$F$16))))))+Examples!$F$17*$A581^2)</f>
        <v>673562.83564950293</v>
      </c>
      <c r="J581" s="33">
        <f>Examples!$G$18-(Examples!$G$10+Examples!$G$11)*$A581-(Examples!$G$6*Examples!$G$7*Examples!$G$8*EXP(-Examples!$G$9*$A581)*(1-(Examples!$G$12*(1-EXP(-Examples!$G$13*$A581))/(1+EXP(MIN(700,MAX(-700,(Examples!$G$14*$A581-Examples!$G$15)/Examples!$G$16))))))+Examples!$G$17*$A581^2)</f>
        <v>681163.36645051383</v>
      </c>
      <c r="K581" s="33">
        <f>(Examples!$G$6*Examples!$G$7*Examples!$G$8*EXP(-Examples!$G$9*$A581)*(1-(Examples!$G$12*(1-EXP(-Examples!$G$13*$A581))/(1+EXP(MIN(700,MAX(-700,(Examples!$G$14*$A581-Examples!$G$15)/Examples!$G$16))))))+Examples!$G$17*$A581^2)</f>
        <v>529336.63354948617</v>
      </c>
      <c r="L581" s="33">
        <f>Examples!$H$18-(Examples!$H$10+Examples!$H$11)*$A581-(Examples!$H$6*Examples!$H$7*Examples!$H$8*EXP(-Examples!$H$9*$A581)*(1-(Examples!$H$12*(1-EXP(-Examples!$H$13*$A581))/(1+EXP(MIN(700,MAX(-700,(Examples!$H$14*$A581-Examples!$H$15)/Examples!$H$16))))))+Examples!$H$17*$A581^2)</f>
        <v>678720.53231168841</v>
      </c>
      <c r="M581" s="33">
        <f>(Examples!$H$6*Examples!$H$7*Examples!$H$8*EXP(-Examples!$H$9*$A581)*(1-(Examples!$H$12*(1-EXP(-Examples!$H$13*$A581))/(1+EXP(MIN(700,MAX(-700,(Examples!$H$14*$A581-Examples!$H$15)/Examples!$H$16))))))+Examples!$H$17*$A581^2)</f>
        <v>531779.46768831159</v>
      </c>
    </row>
    <row r="582" spans="1:13" x14ac:dyDescent="0.25">
      <c r="A582">
        <f>(582-2)/100</f>
        <v>5.8</v>
      </c>
      <c r="B582" s="33">
        <f>Examples!$C$18-(Examples!$C$10+Examples!$C$11)*$A582-(Examples!$C$6*Examples!$C$7*Examples!$C$8*EXP(-Examples!$C$9*$A582)*(1-(Examples!$C$12*(1-EXP(-Examples!$C$13*$A582))/(1+EXP(MIN(700,MAX(-700,(Examples!$C$14*$A582-Examples!$C$15)/Examples!$C$16))))))+Examples!$C$17*$A582^2)</f>
        <v>-212912.18120155891</v>
      </c>
      <c r="C582" s="33">
        <f>(Examples!$C$6*Examples!$C$7*Examples!$C$8*EXP(-Examples!$C$9*$A582)*(1-(Examples!$C$12*(1-EXP(-Examples!$C$13*$A582))/(1+EXP(MIN(700,MAX(-700,(Examples!$C$14*$A582-Examples!$C$15)/Examples!$C$16))))))+Examples!$C$17*$A582^2)</f>
        <v>609912.18120155891</v>
      </c>
      <c r="D582" s="33">
        <f>Examples!$D$18-(Examples!$D$10+Examples!$D$11)*$A582-(Examples!$D$6*Examples!$D$7*Examples!$D$8*EXP(-Examples!$D$9*$A582)*(1-(Examples!$D$12*(1-EXP(-Examples!$D$13*$A582))/(1+EXP(MIN(700,MAX(-700,(Examples!$D$14*$A582-Examples!$D$15)/Examples!$D$16))))))+Examples!$D$17*$A582^2)</f>
        <v>1649167.2920636931</v>
      </c>
      <c r="E582" s="33">
        <f>(Examples!$D$6*Examples!$D$7*Examples!$D$8*EXP(-Examples!$D$9*$A582)*(1-(Examples!$D$12*(1-EXP(-Examples!$D$13*$A582))/(1+EXP(MIN(700,MAX(-700,(Examples!$D$14*$A582-Examples!$D$15)/Examples!$D$16))))))+Examples!$D$17*$A582^2)</f>
        <v>589832.70793630695</v>
      </c>
      <c r="F582" s="33">
        <f>Examples!$E$18-(Examples!$E$10+Examples!$E$11)*$A582-(Examples!$E$6*Examples!$E$7*Examples!$E$8*EXP(-Examples!$E$9*$A582)*(1-(Examples!$E$12*(1-EXP(-Examples!$E$13*$A582))/(1+EXP(MIN(700,MAX(-700,(Examples!$E$14*$A582-Examples!$E$15)/Examples!$E$16))))))+Examples!$E$17*$A582^2)</f>
        <v>2300362.4405342662</v>
      </c>
      <c r="G582" s="33">
        <f>(Examples!$E$6*Examples!$E$7*Examples!$E$8*EXP(-Examples!$E$9*$A582)*(1-(Examples!$E$12*(1-EXP(-Examples!$E$13*$A582))/(1+EXP(MIN(700,MAX(-700,(Examples!$E$14*$A582-Examples!$E$15)/Examples!$E$16))))))+Examples!$E$17*$A582^2)</f>
        <v>206637.55946573371</v>
      </c>
      <c r="H582" s="33">
        <f>Examples!$F$18-(Examples!$F$10+Examples!$F$11)*$A582-(Examples!$F$6*Examples!$F$7*Examples!$F$8*EXP(-Examples!$F$9*$A582)*(1-(Examples!$F$12*(1-EXP(-Examples!$F$13*$A582))/(1+EXP(MIN(700,MAX(-700,(Examples!$F$14*$A582-Examples!$F$15)/Examples!$F$16))))))+Examples!$F$17*$A582^2)</f>
        <v>-641871.60699316917</v>
      </c>
      <c r="I582" s="33">
        <f>(Examples!$F$6*Examples!$F$7*Examples!$F$8*EXP(-Examples!$F$9*$A582)*(1-(Examples!$F$12*(1-EXP(-Examples!$F$13*$A582))/(1+EXP(MIN(700,MAX(-700,(Examples!$F$14*$A582-Examples!$F$15)/Examples!$F$16))))))+Examples!$F$17*$A582^2)</f>
        <v>675871.60699316917</v>
      </c>
      <c r="J582" s="33">
        <f>Examples!$G$18-(Examples!$G$10+Examples!$G$11)*$A582-(Examples!$G$6*Examples!$G$7*Examples!$G$8*EXP(-Examples!$G$9*$A582)*(1-(Examples!$G$12*(1-EXP(-Examples!$G$13*$A582))/(1+EXP(MIN(700,MAX(-700,(Examples!$G$14*$A582-Examples!$G$15)/Examples!$G$16))))))+Examples!$G$17*$A582^2)</f>
        <v>680617.35474967537</v>
      </c>
      <c r="K582" s="33">
        <f>(Examples!$G$6*Examples!$G$7*Examples!$G$8*EXP(-Examples!$G$9*$A582)*(1-(Examples!$G$12*(1-EXP(-Examples!$G$13*$A582))/(1+EXP(MIN(700,MAX(-700,(Examples!$G$14*$A582-Examples!$G$15)/Examples!$G$16))))))+Examples!$G$17*$A582^2)</f>
        <v>529382.64525032463</v>
      </c>
      <c r="L582" s="33">
        <f>Examples!$H$18-(Examples!$H$10+Examples!$H$11)*$A582-(Examples!$H$6*Examples!$H$7*Examples!$H$8*EXP(-Examples!$H$9*$A582)*(1-(Examples!$H$12*(1-EXP(-Examples!$H$13*$A582))/(1+EXP(MIN(700,MAX(-700,(Examples!$H$14*$A582-Examples!$H$15)/Examples!$H$16))))))+Examples!$H$17*$A582^2)</f>
        <v>678214.10717061744</v>
      </c>
      <c r="M582" s="33">
        <f>(Examples!$H$6*Examples!$H$7*Examples!$H$8*EXP(-Examples!$H$9*$A582)*(1-(Examples!$H$12*(1-EXP(-Examples!$H$13*$A582))/(1+EXP(MIN(700,MAX(-700,(Examples!$H$14*$A582-Examples!$H$15)/Examples!$H$16))))))+Examples!$H$17*$A582^2)</f>
        <v>531785.89282938256</v>
      </c>
    </row>
    <row r="583" spans="1:13" x14ac:dyDescent="0.25">
      <c r="A583">
        <f>(583-2)/100</f>
        <v>5.81</v>
      </c>
      <c r="B583" s="33">
        <f>Examples!$C$18-(Examples!$C$10+Examples!$C$11)*$A583-(Examples!$C$6*Examples!$C$7*Examples!$C$8*EXP(-Examples!$C$9*$A583)*(1-(Examples!$C$12*(1-EXP(-Examples!$C$13*$A583))/(1+EXP(MIN(700,MAX(-700,(Examples!$C$14*$A583-Examples!$C$15)/Examples!$C$16))))))+Examples!$C$17*$A583^2)</f>
        <v>-214688.21999836247</v>
      </c>
      <c r="C583" s="33">
        <f>(Examples!$C$6*Examples!$C$7*Examples!$C$8*EXP(-Examples!$C$9*$A583)*(1-(Examples!$C$12*(1-EXP(-Examples!$C$13*$A583))/(1+EXP(MIN(700,MAX(-700,(Examples!$C$14*$A583-Examples!$C$15)/Examples!$C$16))))))+Examples!$C$17*$A583^2)</f>
        <v>611338.21999836247</v>
      </c>
      <c r="D583" s="33">
        <f>Examples!$D$18-(Examples!$D$10+Examples!$D$11)*$A583-(Examples!$D$6*Examples!$D$7*Examples!$D$8*EXP(-Examples!$D$9*$A583)*(1-(Examples!$D$12*(1-EXP(-Examples!$D$13*$A583))/(1+EXP(MIN(700,MAX(-700,(Examples!$D$14*$A583-Examples!$D$15)/Examples!$D$16))))))+Examples!$D$17*$A583^2)</f>
        <v>1649790.9950034292</v>
      </c>
      <c r="E583" s="33">
        <f>(Examples!$D$6*Examples!$D$7*Examples!$D$8*EXP(-Examples!$D$9*$A583)*(1-(Examples!$D$12*(1-EXP(-Examples!$D$13*$A583))/(1+EXP(MIN(700,MAX(-700,(Examples!$D$14*$A583-Examples!$D$15)/Examples!$D$16))))))+Examples!$D$17*$A583^2)</f>
        <v>588759.00499657087</v>
      </c>
      <c r="F583" s="33">
        <f>Examples!$E$18-(Examples!$E$10+Examples!$E$11)*$A583-(Examples!$E$6*Examples!$E$7*Examples!$E$8*EXP(-Examples!$E$9*$A583)*(1-(Examples!$E$12*(1-EXP(-Examples!$E$13*$A583))/(1+EXP(MIN(700,MAX(-700,(Examples!$E$14*$A583-Examples!$E$15)/Examples!$E$16))))))+Examples!$E$17*$A583^2)</f>
        <v>2299473.5738885188</v>
      </c>
      <c r="G583" s="33">
        <f>(Examples!$E$6*Examples!$E$7*Examples!$E$8*EXP(-Examples!$E$9*$A583)*(1-(Examples!$E$12*(1-EXP(-Examples!$E$13*$A583))/(1+EXP(MIN(700,MAX(-700,(Examples!$E$14*$A583-Examples!$E$15)/Examples!$E$16))))))+Examples!$E$17*$A583^2)</f>
        <v>206676.42611148115</v>
      </c>
      <c r="H583" s="33">
        <f>Examples!$F$18-(Examples!$F$10+Examples!$F$11)*$A583-(Examples!$F$6*Examples!$F$7*Examples!$F$8*EXP(-Examples!$F$9*$A583)*(1-(Examples!$F$12*(1-EXP(-Examples!$F$13*$A583))/(1+EXP(MIN(700,MAX(-700,(Examples!$F$14*$A583-Examples!$F$15)/Examples!$F$16))))))+Examples!$F$17*$A583^2)</f>
        <v>-644384.40598128748</v>
      </c>
      <c r="I583" s="33">
        <f>(Examples!$F$6*Examples!$F$7*Examples!$F$8*EXP(-Examples!$F$9*$A583)*(1-(Examples!$F$12*(1-EXP(-Examples!$F$13*$A583))/(1+EXP(MIN(700,MAX(-700,(Examples!$F$14*$A583-Examples!$F$15)/Examples!$F$16))))))+Examples!$F$17*$A583^2)</f>
        <v>678184.40598128748</v>
      </c>
      <c r="J583" s="33">
        <f>Examples!$G$18-(Examples!$G$10+Examples!$G$11)*$A583-(Examples!$G$6*Examples!$G$7*Examples!$G$8*EXP(-Examples!$G$9*$A583)*(1-(Examples!$G$12*(1-EXP(-Examples!$G$13*$A583))/(1+EXP(MIN(700,MAX(-700,(Examples!$G$14*$A583-Examples!$G$15)/Examples!$G$16))))))+Examples!$G$17*$A583^2)</f>
        <v>680067.16271992808</v>
      </c>
      <c r="K583" s="33">
        <f>(Examples!$G$6*Examples!$G$7*Examples!$G$8*EXP(-Examples!$G$9*$A583)*(1-(Examples!$G$12*(1-EXP(-Examples!$G$13*$A583))/(1+EXP(MIN(700,MAX(-700,(Examples!$G$14*$A583-Examples!$G$15)/Examples!$G$16))))))+Examples!$G$17*$A583^2)</f>
        <v>529432.83728007192</v>
      </c>
      <c r="L583" s="33">
        <f>Examples!$H$18-(Examples!$H$10+Examples!$H$11)*$A583-(Examples!$H$6*Examples!$H$7*Examples!$H$8*EXP(-Examples!$H$9*$A583)*(1-(Examples!$H$12*(1-EXP(-Examples!$H$13*$A583))/(1+EXP(MIN(700,MAX(-700,(Examples!$H$14*$A583-Examples!$H$15)/Examples!$H$16))))))+Examples!$H$17*$A583^2)</f>
        <v>677702.87068188784</v>
      </c>
      <c r="M583" s="33">
        <f>(Examples!$H$6*Examples!$H$7*Examples!$H$8*EXP(-Examples!$H$9*$A583)*(1-(Examples!$H$12*(1-EXP(-Examples!$H$13*$A583))/(1+EXP(MIN(700,MAX(-700,(Examples!$H$14*$A583-Examples!$H$15)/Examples!$H$16))))))+Examples!$H$17*$A583^2)</f>
        <v>531797.12931811216</v>
      </c>
    </row>
    <row r="584" spans="1:13" x14ac:dyDescent="0.25">
      <c r="A584">
        <f>(584-2)/100</f>
        <v>5.82</v>
      </c>
      <c r="B584" s="33">
        <f>Examples!$C$18-(Examples!$C$10+Examples!$C$11)*$A584-(Examples!$C$6*Examples!$C$7*Examples!$C$8*EXP(-Examples!$C$9*$A584)*(1-(Examples!$C$12*(1-EXP(-Examples!$C$13*$A584))/(1+EXP(MIN(700,MAX(-700,(Examples!$C$14*$A584-Examples!$C$15)/Examples!$C$16))))))+Examples!$C$17*$A584^2)</f>
        <v>-216468.20369340549</v>
      </c>
      <c r="C584" s="33">
        <f>(Examples!$C$6*Examples!$C$7*Examples!$C$8*EXP(-Examples!$C$9*$A584)*(1-(Examples!$C$12*(1-EXP(-Examples!$C$13*$A584))/(1+EXP(MIN(700,MAX(-700,(Examples!$C$14*$A584-Examples!$C$15)/Examples!$C$16))))))+Examples!$C$17*$A584^2)</f>
        <v>612768.20369340549</v>
      </c>
      <c r="D584" s="33">
        <f>Examples!$D$18-(Examples!$D$10+Examples!$D$11)*$A584-(Examples!$D$6*Examples!$D$7*Examples!$D$8*EXP(-Examples!$D$9*$A584)*(1-(Examples!$D$12*(1-EXP(-Examples!$D$13*$A584))/(1+EXP(MIN(700,MAX(-700,(Examples!$D$14*$A584-Examples!$D$15)/Examples!$D$16))))))+Examples!$D$17*$A584^2)</f>
        <v>1650410.0457517463</v>
      </c>
      <c r="E584" s="33">
        <f>(Examples!$D$6*Examples!$D$7*Examples!$D$8*EXP(-Examples!$D$9*$A584)*(1-(Examples!$D$12*(1-EXP(-Examples!$D$13*$A584))/(1+EXP(MIN(700,MAX(-700,(Examples!$D$14*$A584-Examples!$D$15)/Examples!$D$16))))))+Examples!$D$17*$A584^2)</f>
        <v>587689.95424825361</v>
      </c>
      <c r="F584" s="33">
        <f>Examples!$E$18-(Examples!$E$10+Examples!$E$11)*$A584-(Examples!$E$6*Examples!$E$7*Examples!$E$8*EXP(-Examples!$E$9*$A584)*(1-(Examples!$E$12*(1-EXP(-Examples!$E$13*$A584))/(1+EXP(MIN(700,MAX(-700,(Examples!$E$14*$A584-Examples!$E$15)/Examples!$E$16))))))+Examples!$E$17*$A584^2)</f>
        <v>2298584.1155310515</v>
      </c>
      <c r="G584" s="33">
        <f>(Examples!$E$6*Examples!$E$7*Examples!$E$8*EXP(-Examples!$E$9*$A584)*(1-(Examples!$E$12*(1-EXP(-Examples!$E$13*$A584))/(1+EXP(MIN(700,MAX(-700,(Examples!$E$14*$A584-Examples!$E$15)/Examples!$E$16))))))+Examples!$E$17*$A584^2)</f>
        <v>206715.88446894864</v>
      </c>
      <c r="H584" s="33">
        <f>Examples!$F$18-(Examples!$F$10+Examples!$F$11)*$A584-(Examples!$F$6*Examples!$F$7*Examples!$F$8*EXP(-Examples!$F$9*$A584)*(1-(Examples!$F$12*(1-EXP(-Examples!$F$13*$A584))/(1+EXP(MIN(700,MAX(-700,(Examples!$F$14*$A584-Examples!$F$15)/Examples!$F$16))))))+Examples!$F$17*$A584^2)</f>
        <v>-646901.23253105057</v>
      </c>
      <c r="I584" s="33">
        <f>(Examples!$F$6*Examples!$F$7*Examples!$F$8*EXP(-Examples!$F$9*$A584)*(1-(Examples!$F$12*(1-EXP(-Examples!$F$13*$A584))/(1+EXP(MIN(700,MAX(-700,(Examples!$F$14*$A584-Examples!$F$15)/Examples!$F$16))))))+Examples!$F$17*$A584^2)</f>
        <v>680501.23253105057</v>
      </c>
      <c r="J584" s="33">
        <f>Examples!$G$18-(Examples!$G$10+Examples!$G$11)*$A584-(Examples!$G$6*Examples!$G$7*Examples!$G$8*EXP(-Examples!$G$9*$A584)*(1-(Examples!$G$12*(1-EXP(-Examples!$G$13*$A584))/(1+EXP(MIN(700,MAX(-700,(Examples!$G$14*$A584-Examples!$G$15)/Examples!$G$16))))))+Examples!$G$17*$A584^2)</f>
        <v>679512.79161579348</v>
      </c>
      <c r="K584" s="33">
        <f>(Examples!$G$6*Examples!$G$7*Examples!$G$8*EXP(-Examples!$G$9*$A584)*(1-(Examples!$G$12*(1-EXP(-Examples!$G$13*$A584))/(1+EXP(MIN(700,MAX(-700,(Examples!$G$14*$A584-Examples!$G$15)/Examples!$G$16))))))+Examples!$G$17*$A584^2)</f>
        <v>529487.20838420652</v>
      </c>
      <c r="L584" s="33">
        <f>Examples!$H$18-(Examples!$H$10+Examples!$H$11)*$A584-(Examples!$H$6*Examples!$H$7*Examples!$H$8*EXP(-Examples!$H$9*$A584)*(1-(Examples!$H$12*(1-EXP(-Examples!$H$13*$A584))/(1+EXP(MIN(700,MAX(-700,(Examples!$H$14*$A584-Examples!$H$15)/Examples!$H$16))))))+Examples!$H$17*$A584^2)</f>
        <v>677186.8338678584</v>
      </c>
      <c r="M584" s="33">
        <f>(Examples!$H$6*Examples!$H$7*Examples!$H$8*EXP(-Examples!$H$9*$A584)*(1-(Examples!$H$12*(1-EXP(-Examples!$H$13*$A584))/(1+EXP(MIN(700,MAX(-700,(Examples!$H$14*$A584-Examples!$H$15)/Examples!$H$16))))))+Examples!$H$17*$A584^2)</f>
        <v>531813.1661321416</v>
      </c>
    </row>
    <row r="585" spans="1:13" x14ac:dyDescent="0.25">
      <c r="A585">
        <f>(585-2)/100</f>
        <v>5.83</v>
      </c>
      <c r="B585" s="33">
        <f>Examples!$C$18-(Examples!$C$10+Examples!$C$11)*$A585-(Examples!$C$6*Examples!$C$7*Examples!$C$8*EXP(-Examples!$C$9*$A585)*(1-(Examples!$C$12*(1-EXP(-Examples!$C$13*$A585))/(1+EXP(MIN(700,MAX(-700,(Examples!$C$14*$A585-Examples!$C$15)/Examples!$C$16))))))+Examples!$C$17*$A585^2)</f>
        <v>-218252.1294586031</v>
      </c>
      <c r="C585" s="33">
        <f>(Examples!$C$6*Examples!$C$7*Examples!$C$8*EXP(-Examples!$C$9*$A585)*(1-(Examples!$C$12*(1-EXP(-Examples!$C$13*$A585))/(1+EXP(MIN(700,MAX(-700,(Examples!$C$14*$A585-Examples!$C$15)/Examples!$C$16))))))+Examples!$C$17*$A585^2)</f>
        <v>614202.1294586031</v>
      </c>
      <c r="D585" s="33">
        <f>Examples!$D$18-(Examples!$D$10+Examples!$D$11)*$A585-(Examples!$D$6*Examples!$D$7*Examples!$D$8*EXP(-Examples!$D$9*$A585)*(1-(Examples!$D$12*(1-EXP(-Examples!$D$13*$A585))/(1+EXP(MIN(700,MAX(-700,(Examples!$D$14*$A585-Examples!$D$15)/Examples!$D$16))))))+Examples!$D$17*$A585^2)</f>
        <v>1651024.4061697058</v>
      </c>
      <c r="E585" s="33">
        <f>(Examples!$D$6*Examples!$D$7*Examples!$D$8*EXP(-Examples!$D$9*$A585)*(1-(Examples!$D$12*(1-EXP(-Examples!$D$13*$A585))/(1+EXP(MIN(700,MAX(-700,(Examples!$D$14*$A585-Examples!$D$15)/Examples!$D$16))))))+Examples!$D$17*$A585^2)</f>
        <v>586625.59383029421</v>
      </c>
      <c r="F585" s="33">
        <f>Examples!$E$18-(Examples!$E$10+Examples!$E$11)*$A585-(Examples!$E$6*Examples!$E$7*Examples!$E$8*EXP(-Examples!$E$9*$A585)*(1-(Examples!$E$12*(1-EXP(-Examples!$E$13*$A585))/(1+EXP(MIN(700,MAX(-700,(Examples!$E$14*$A585-Examples!$E$15)/Examples!$E$16))))))+Examples!$E$17*$A585^2)</f>
        <v>2297694.0613282938</v>
      </c>
      <c r="G585" s="33">
        <f>(Examples!$E$6*Examples!$E$7*Examples!$E$8*EXP(-Examples!$E$9*$A585)*(1-(Examples!$E$12*(1-EXP(-Examples!$E$13*$A585))/(1+EXP(MIN(700,MAX(-700,(Examples!$E$14*$A585-Examples!$E$15)/Examples!$E$16))))))+Examples!$E$17*$A585^2)</f>
        <v>206755.93867170633</v>
      </c>
      <c r="H585" s="33">
        <f>Examples!$F$18-(Examples!$F$10+Examples!$F$11)*$A585-(Examples!$F$6*Examples!$F$7*Examples!$F$8*EXP(-Examples!$F$9*$A585)*(1-(Examples!$F$12*(1-EXP(-Examples!$F$13*$A585))/(1+EXP(MIN(700,MAX(-700,(Examples!$F$14*$A585-Examples!$F$15)/Examples!$F$16))))))+Examples!$F$17*$A585^2)</f>
        <v>-649422.08655989775</v>
      </c>
      <c r="I585" s="33">
        <f>(Examples!$F$6*Examples!$F$7*Examples!$F$8*EXP(-Examples!$F$9*$A585)*(1-(Examples!$F$12*(1-EXP(-Examples!$F$13*$A585))/(1+EXP(MIN(700,MAX(-700,(Examples!$F$14*$A585-Examples!$F$15)/Examples!$F$16))))))+Examples!$F$17*$A585^2)</f>
        <v>682822.08655989775</v>
      </c>
      <c r="J585" s="33">
        <f>Examples!$G$18-(Examples!$G$10+Examples!$G$11)*$A585-(Examples!$G$6*Examples!$G$7*Examples!$G$8*EXP(-Examples!$G$9*$A585)*(1-(Examples!$G$12*(1-EXP(-Examples!$G$13*$A585))/(1+EXP(MIN(700,MAX(-700,(Examples!$G$14*$A585-Examples!$G$15)/Examples!$G$16))))))+Examples!$G$17*$A585^2)</f>
        <v>678954.24280294916</v>
      </c>
      <c r="K585" s="33">
        <f>(Examples!$G$6*Examples!$G$7*Examples!$G$8*EXP(-Examples!$G$9*$A585)*(1-(Examples!$G$12*(1-EXP(-Examples!$G$13*$A585))/(1+EXP(MIN(700,MAX(-700,(Examples!$G$14*$A585-Examples!$G$15)/Examples!$G$16))))))+Examples!$G$17*$A585^2)</f>
        <v>529545.75719705084</v>
      </c>
      <c r="L585" s="33">
        <f>Examples!$H$18-(Examples!$H$10+Examples!$H$11)*$A585-(Examples!$H$6*Examples!$H$7*Examples!$H$8*EXP(-Examples!$H$9*$A585)*(1-(Examples!$H$12*(1-EXP(-Examples!$H$13*$A585))/(1+EXP(MIN(700,MAX(-700,(Examples!$H$14*$A585-Examples!$H$15)/Examples!$H$16))))))+Examples!$H$17*$A585^2)</f>
        <v>676666.00771918625</v>
      </c>
      <c r="M585" s="33">
        <f>(Examples!$H$6*Examples!$H$7*Examples!$H$8*EXP(-Examples!$H$9*$A585)*(1-(Examples!$H$12*(1-EXP(-Examples!$H$13*$A585))/(1+EXP(MIN(700,MAX(-700,(Examples!$H$14*$A585-Examples!$H$15)/Examples!$H$16))))))+Examples!$H$17*$A585^2)</f>
        <v>531833.99228081375</v>
      </c>
    </row>
    <row r="586" spans="1:13" x14ac:dyDescent="0.25">
      <c r="A586">
        <f>(586-2)/100</f>
        <v>5.84</v>
      </c>
      <c r="B586" s="33">
        <f>Examples!$C$18-(Examples!$C$10+Examples!$C$11)*$A586-(Examples!$C$6*Examples!$C$7*Examples!$C$8*EXP(-Examples!$C$9*$A586)*(1-(Examples!$C$12*(1-EXP(-Examples!$C$13*$A586))/(1+EXP(MIN(700,MAX(-700,(Examples!$C$14*$A586-Examples!$C$15)/Examples!$C$16))))))+Examples!$C$17*$A586^2)</f>
        <v>-220039.99447425944</v>
      </c>
      <c r="C586" s="33">
        <f>(Examples!$C$6*Examples!$C$7*Examples!$C$8*EXP(-Examples!$C$9*$A586)*(1-(Examples!$C$12*(1-EXP(-Examples!$C$13*$A586))/(1+EXP(MIN(700,MAX(-700,(Examples!$C$14*$A586-Examples!$C$15)/Examples!$C$16))))))+Examples!$C$17*$A586^2)</f>
        <v>615639.99447425944</v>
      </c>
      <c r="D586" s="33">
        <f>Examples!$D$18-(Examples!$D$10+Examples!$D$11)*$A586-(Examples!$D$6*Examples!$D$7*Examples!$D$8*EXP(-Examples!$D$9*$A586)*(1-(Examples!$D$12*(1-EXP(-Examples!$D$13*$A586))/(1+EXP(MIN(700,MAX(-700,(Examples!$D$14*$A586-Examples!$D$15)/Examples!$D$16))))))+Examples!$D$17*$A586^2)</f>
        <v>1651634.0389319072</v>
      </c>
      <c r="E586" s="33">
        <f>(Examples!$D$6*Examples!$D$7*Examples!$D$8*EXP(-Examples!$D$9*$A586)*(1-(Examples!$D$12*(1-EXP(-Examples!$D$13*$A586))/(1+EXP(MIN(700,MAX(-700,(Examples!$D$14*$A586-Examples!$D$15)/Examples!$D$16))))))+Examples!$D$17*$A586^2)</f>
        <v>585565.96106809285</v>
      </c>
      <c r="F586" s="33">
        <f>Examples!$E$18-(Examples!$E$10+Examples!$E$11)*$A586-(Examples!$E$6*Examples!$E$7*Examples!$E$8*EXP(-Examples!$E$9*$A586)*(1-(Examples!$E$12*(1-EXP(-Examples!$E$13*$A586))/(1+EXP(MIN(700,MAX(-700,(Examples!$E$14*$A586-Examples!$E$15)/Examples!$E$16))))))+Examples!$E$17*$A586^2)</f>
        <v>2296803.4070720659</v>
      </c>
      <c r="G586" s="33">
        <f>(Examples!$E$6*Examples!$E$7*Examples!$E$8*EXP(-Examples!$E$9*$A586)*(1-(Examples!$E$12*(1-EXP(-Examples!$E$13*$A586))/(1+EXP(MIN(700,MAX(-700,(Examples!$E$14*$A586-Examples!$E$15)/Examples!$E$16))))))+Examples!$E$17*$A586^2)</f>
        <v>206796.59292793399</v>
      </c>
      <c r="H586" s="33">
        <f>Examples!$F$18-(Examples!$F$10+Examples!$F$11)*$A586-(Examples!$F$6*Examples!$F$7*Examples!$F$8*EXP(-Examples!$F$9*$A586)*(1-(Examples!$F$12*(1-EXP(-Examples!$F$13*$A586))/(1+EXP(MIN(700,MAX(-700,(Examples!$F$14*$A586-Examples!$F$15)/Examples!$F$16))))))+Examples!$F$17*$A586^2)</f>
        <v>-651946.96798551688</v>
      </c>
      <c r="I586" s="33">
        <f>(Examples!$F$6*Examples!$F$7*Examples!$F$8*EXP(-Examples!$F$9*$A586)*(1-(Examples!$F$12*(1-EXP(-Examples!$F$13*$A586))/(1+EXP(MIN(700,MAX(-700,(Examples!$F$14*$A586-Examples!$F$15)/Examples!$F$16))))))+Examples!$F$17*$A586^2)</f>
        <v>685146.96798551688</v>
      </c>
      <c r="J586" s="33">
        <f>Examples!$G$18-(Examples!$G$10+Examples!$G$11)*$A586-(Examples!$G$6*Examples!$G$7*Examples!$G$8*EXP(-Examples!$G$9*$A586)*(1-(Examples!$G$12*(1-EXP(-Examples!$G$13*$A586))/(1+EXP(MIN(700,MAX(-700,(Examples!$G$14*$A586-Examples!$G$15)/Examples!$G$16))))))+Examples!$G$17*$A586^2)</f>
        <v>678391.51775626675</v>
      </c>
      <c r="K586" s="33">
        <f>(Examples!$G$6*Examples!$G$7*Examples!$G$8*EXP(-Examples!$G$9*$A586)*(1-(Examples!$G$12*(1-EXP(-Examples!$G$13*$A586))/(1+EXP(MIN(700,MAX(-700,(Examples!$G$14*$A586-Examples!$G$15)/Examples!$G$16))))))+Examples!$G$17*$A586^2)</f>
        <v>529608.48224373325</v>
      </c>
      <c r="L586" s="33">
        <f>Examples!$H$18-(Examples!$H$10+Examples!$H$11)*$A586-(Examples!$H$6*Examples!$H$7*Examples!$H$8*EXP(-Examples!$H$9*$A586)*(1-(Examples!$H$12*(1-EXP(-Examples!$H$13*$A586))/(1+EXP(MIN(700,MAX(-700,(Examples!$H$14*$A586-Examples!$H$15)/Examples!$H$16))))))+Examples!$H$17*$A586^2)</f>
        <v>676140.40319470305</v>
      </c>
      <c r="M586" s="33">
        <f>(Examples!$H$6*Examples!$H$7*Examples!$H$8*EXP(-Examples!$H$9*$A586)*(1-(Examples!$H$12*(1-EXP(-Examples!$H$13*$A586))/(1+EXP(MIN(700,MAX(-700,(Examples!$H$14*$A586-Examples!$H$15)/Examples!$H$16))))))+Examples!$H$17*$A586^2)</f>
        <v>531859.59680529695</v>
      </c>
    </row>
    <row r="587" spans="1:13" x14ac:dyDescent="0.25">
      <c r="A587">
        <f>(587-2)/100</f>
        <v>5.85</v>
      </c>
      <c r="B587" s="33">
        <f>Examples!$C$18-(Examples!$C$10+Examples!$C$11)*$A587-(Examples!$C$6*Examples!$C$7*Examples!$C$8*EXP(-Examples!$C$9*$A587)*(1-(Examples!$C$12*(1-EXP(-Examples!$C$13*$A587))/(1+EXP(MIN(700,MAX(-700,(Examples!$C$14*$A587-Examples!$C$15)/Examples!$C$16))))))+Examples!$C$17*$A587^2)</f>
        <v>-221831.79592904542</v>
      </c>
      <c r="C587" s="33">
        <f>(Examples!$C$6*Examples!$C$7*Examples!$C$8*EXP(-Examples!$C$9*$A587)*(1-(Examples!$C$12*(1-EXP(-Examples!$C$13*$A587))/(1+EXP(MIN(700,MAX(-700,(Examples!$C$14*$A587-Examples!$C$15)/Examples!$C$16))))))+Examples!$C$17*$A587^2)</f>
        <v>617081.79592904542</v>
      </c>
      <c r="D587" s="33">
        <f>Examples!$D$18-(Examples!$D$10+Examples!$D$11)*$A587-(Examples!$D$6*Examples!$D$7*Examples!$D$8*EXP(-Examples!$D$9*$A587)*(1-(Examples!$D$12*(1-EXP(-Examples!$D$13*$A587))/(1+EXP(MIN(700,MAX(-700,(Examples!$D$14*$A587-Examples!$D$15)/Examples!$D$16))))))+Examples!$D$17*$A587^2)</f>
        <v>1652238.9075195179</v>
      </c>
      <c r="E587" s="33">
        <f>(Examples!$D$6*Examples!$D$7*Examples!$D$8*EXP(-Examples!$D$9*$A587)*(1-(Examples!$D$12*(1-EXP(-Examples!$D$13*$A587))/(1+EXP(MIN(700,MAX(-700,(Examples!$D$14*$A587-Examples!$D$15)/Examples!$D$16))))))+Examples!$D$17*$A587^2)</f>
        <v>584511.09248048207</v>
      </c>
      <c r="F587" s="33">
        <f>Examples!$E$18-(Examples!$E$10+Examples!$E$11)*$A587-(Examples!$E$6*Examples!$E$7*Examples!$E$8*EXP(-Examples!$E$9*$A587)*(1-(Examples!$E$12*(1-EXP(-Examples!$E$13*$A587))/(1+EXP(MIN(700,MAX(-700,(Examples!$E$14*$A587-Examples!$E$15)/Examples!$E$16))))))+Examples!$E$17*$A587^2)</f>
        <v>2295912.1484815567</v>
      </c>
      <c r="G587" s="33">
        <f>(Examples!$E$6*Examples!$E$7*Examples!$E$8*EXP(-Examples!$E$9*$A587)*(1-(Examples!$E$12*(1-EXP(-Examples!$E$13*$A587))/(1+EXP(MIN(700,MAX(-700,(Examples!$E$14*$A587-Examples!$E$15)/Examples!$E$16))))))+Examples!$E$17*$A587^2)</f>
        <v>206837.8515184432</v>
      </c>
      <c r="H587" s="33">
        <f>Examples!$F$18-(Examples!$F$10+Examples!$F$11)*$A587-(Examples!$F$6*Examples!$F$7*Examples!$F$8*EXP(-Examples!$F$9*$A587)*(1-(Examples!$F$12*(1-EXP(-Examples!$F$13*$A587))/(1+EXP(MIN(700,MAX(-700,(Examples!$F$14*$A587-Examples!$F$15)/Examples!$F$16))))))+Examples!$F$17*$A587^2)</f>
        <v>-654475.8767258419</v>
      </c>
      <c r="I587" s="33">
        <f>(Examples!$F$6*Examples!$F$7*Examples!$F$8*EXP(-Examples!$F$9*$A587)*(1-(Examples!$F$12*(1-EXP(-Examples!$F$13*$A587))/(1+EXP(MIN(700,MAX(-700,(Examples!$F$14*$A587-Examples!$F$15)/Examples!$F$16))))))+Examples!$F$17*$A587^2)</f>
        <v>687475.8767258419</v>
      </c>
      <c r="J587" s="33">
        <f>Examples!$G$18-(Examples!$G$10+Examples!$G$11)*$A587-(Examples!$G$6*Examples!$G$7*Examples!$G$8*EXP(-Examples!$G$9*$A587)*(1-(Examples!$G$12*(1-EXP(-Examples!$G$13*$A587))/(1+EXP(MIN(700,MAX(-700,(Examples!$G$14*$A587-Examples!$G$15)/Examples!$G$16))))))+Examples!$G$17*$A587^2)</f>
        <v>677824.61805787182</v>
      </c>
      <c r="K587" s="33">
        <f>(Examples!$G$6*Examples!$G$7*Examples!$G$8*EXP(-Examples!$G$9*$A587)*(1-(Examples!$G$12*(1-EXP(-Examples!$G$13*$A587))/(1+EXP(MIN(700,MAX(-700,(Examples!$G$14*$A587-Examples!$G$15)/Examples!$G$16))))))+Examples!$G$17*$A587^2)</f>
        <v>529675.38194212818</v>
      </c>
      <c r="L587" s="33">
        <f>Examples!$H$18-(Examples!$H$10+Examples!$H$11)*$A587-(Examples!$H$6*Examples!$H$7*Examples!$H$8*EXP(-Examples!$H$9*$A587)*(1-(Examples!$H$12*(1-EXP(-Examples!$H$13*$A587))/(1+EXP(MIN(700,MAX(-700,(Examples!$H$14*$A587-Examples!$H$15)/Examples!$H$16))))))+Examples!$H$17*$A587^2)</f>
        <v>675610.03122130036</v>
      </c>
      <c r="M587" s="33">
        <f>(Examples!$H$6*Examples!$H$7*Examples!$H$8*EXP(-Examples!$H$9*$A587)*(1-(Examples!$H$12*(1-EXP(-Examples!$H$13*$A587))/(1+EXP(MIN(700,MAX(-700,(Examples!$H$14*$A587-Examples!$H$15)/Examples!$H$16))))))+Examples!$H$17*$A587^2)</f>
        <v>531889.96877869964</v>
      </c>
    </row>
    <row r="588" spans="1:13" x14ac:dyDescent="0.25">
      <c r="A588">
        <f>(588-2)/100</f>
        <v>5.86</v>
      </c>
      <c r="B588" s="33">
        <f>Examples!$C$18-(Examples!$C$10+Examples!$C$11)*$A588-(Examples!$C$6*Examples!$C$7*Examples!$C$8*EXP(-Examples!$C$9*$A588)*(1-(Examples!$C$12*(1-EXP(-Examples!$C$13*$A588))/(1+EXP(MIN(700,MAX(-700,(Examples!$C$14*$A588-Examples!$C$15)/Examples!$C$16))))))+Examples!$C$17*$A588^2)</f>
        <v>-223627.53101997555</v>
      </c>
      <c r="C588" s="33">
        <f>(Examples!$C$6*Examples!$C$7*Examples!$C$8*EXP(-Examples!$C$9*$A588)*(1-(Examples!$C$12*(1-EXP(-Examples!$C$13*$A588))/(1+EXP(MIN(700,MAX(-700,(Examples!$C$14*$A588-Examples!$C$15)/Examples!$C$16))))))+Examples!$C$17*$A588^2)</f>
        <v>618527.53101997555</v>
      </c>
      <c r="D588" s="33">
        <f>Examples!$D$18-(Examples!$D$10+Examples!$D$11)*$A588-(Examples!$D$6*Examples!$D$7*Examples!$D$8*EXP(-Examples!$D$9*$A588)*(1-(Examples!$D$12*(1-EXP(-Examples!$D$13*$A588))/(1+EXP(MIN(700,MAX(-700,(Examples!$D$14*$A588-Examples!$D$15)/Examples!$D$16))))))+Examples!$D$17*$A588^2)</f>
        <v>1652838.9762132145</v>
      </c>
      <c r="E588" s="33">
        <f>(Examples!$D$6*Examples!$D$7*Examples!$D$8*EXP(-Examples!$D$9*$A588)*(1-(Examples!$D$12*(1-EXP(-Examples!$D$13*$A588))/(1+EXP(MIN(700,MAX(-700,(Examples!$D$14*$A588-Examples!$D$15)/Examples!$D$16))))))+Examples!$D$17*$A588^2)</f>
        <v>583461.02378678543</v>
      </c>
      <c r="F588" s="33">
        <f>Examples!$E$18-(Examples!$E$10+Examples!$E$11)*$A588-(Examples!$E$6*Examples!$E$7*Examples!$E$8*EXP(-Examples!$E$9*$A588)*(1-(Examples!$E$12*(1-EXP(-Examples!$E$13*$A588))/(1+EXP(MIN(700,MAX(-700,(Examples!$E$14*$A588-Examples!$E$15)/Examples!$E$16))))))+Examples!$E$17*$A588^2)</f>
        <v>2295020.2812052891</v>
      </c>
      <c r="G588" s="33">
        <f>(Examples!$E$6*Examples!$E$7*Examples!$E$8*EXP(-Examples!$E$9*$A588)*(1-(Examples!$E$12*(1-EXP(-Examples!$E$13*$A588))/(1+EXP(MIN(700,MAX(-700,(Examples!$E$14*$A588-Examples!$E$15)/Examples!$E$16))))))+Examples!$E$17*$A588^2)</f>
        <v>206879.71879471099</v>
      </c>
      <c r="H588" s="33">
        <f>Examples!$F$18-(Examples!$F$10+Examples!$F$11)*$A588-(Examples!$F$6*Examples!$F$7*Examples!$F$8*EXP(-Examples!$F$9*$A588)*(1-(Examples!$F$12*(1-EXP(-Examples!$F$13*$A588))/(1+EXP(MIN(700,MAX(-700,(Examples!$F$14*$A588-Examples!$F$15)/Examples!$F$16))))))+Examples!$F$17*$A588^2)</f>
        <v>-657008.81269905262</v>
      </c>
      <c r="I588" s="33">
        <f>(Examples!$F$6*Examples!$F$7*Examples!$F$8*EXP(-Examples!$F$9*$A588)*(1-(Examples!$F$12*(1-EXP(-Examples!$F$13*$A588))/(1+EXP(MIN(700,MAX(-700,(Examples!$F$14*$A588-Examples!$F$15)/Examples!$F$16))))))+Examples!$F$17*$A588^2)</f>
        <v>689808.81269905262</v>
      </c>
      <c r="J588" s="33">
        <f>Examples!$G$18-(Examples!$G$10+Examples!$G$11)*$A588-(Examples!$G$6*Examples!$G$7*Examples!$G$8*EXP(-Examples!$G$9*$A588)*(1-(Examples!$G$12*(1-EXP(-Examples!$G$13*$A588))/(1+EXP(MIN(700,MAX(-700,(Examples!$G$14*$A588-Examples!$G$15)/Examples!$G$16))))))+Examples!$G$17*$A588^2)</f>
        <v>677253.54539523064</v>
      </c>
      <c r="K588" s="33">
        <f>(Examples!$G$6*Examples!$G$7*Examples!$G$8*EXP(-Examples!$G$9*$A588)*(1-(Examples!$G$12*(1-EXP(-Examples!$G$13*$A588))/(1+EXP(MIN(700,MAX(-700,(Examples!$G$14*$A588-Examples!$G$15)/Examples!$G$16))))))+Examples!$G$17*$A588^2)</f>
        <v>529746.45460476936</v>
      </c>
      <c r="L588" s="33">
        <f>Examples!$H$18-(Examples!$H$10+Examples!$H$11)*$A588-(Examples!$H$6*Examples!$H$7*Examples!$H$8*EXP(-Examples!$H$9*$A588)*(1-(Examples!$H$12*(1-EXP(-Examples!$H$13*$A588))/(1+EXP(MIN(700,MAX(-700,(Examples!$H$14*$A588-Examples!$H$15)/Examples!$H$16))))))+Examples!$H$17*$A588^2)</f>
        <v>675074.90269382345</v>
      </c>
      <c r="M588" s="33">
        <f>(Examples!$H$6*Examples!$H$7*Examples!$H$8*EXP(-Examples!$H$9*$A588)*(1-(Examples!$H$12*(1-EXP(-Examples!$H$13*$A588))/(1+EXP(MIN(700,MAX(-700,(Examples!$H$14*$A588-Examples!$H$15)/Examples!$H$16))))))+Examples!$H$17*$A588^2)</f>
        <v>531925.09730617655</v>
      </c>
    </row>
    <row r="589" spans="1:13" x14ac:dyDescent="0.25">
      <c r="A589">
        <f>(589-2)/100</f>
        <v>5.87</v>
      </c>
      <c r="B589" s="33">
        <f>Examples!$C$18-(Examples!$C$10+Examples!$C$11)*$A589-(Examples!$C$6*Examples!$C$7*Examples!$C$8*EXP(-Examples!$C$9*$A589)*(1-(Examples!$C$12*(1-EXP(-Examples!$C$13*$A589))/(1+EXP(MIN(700,MAX(-700,(Examples!$C$14*$A589-Examples!$C$15)/Examples!$C$16))))))+Examples!$C$17*$A589^2)</f>
        <v>-225427.19695238641</v>
      </c>
      <c r="C589" s="33">
        <f>(Examples!$C$6*Examples!$C$7*Examples!$C$8*EXP(-Examples!$C$9*$A589)*(1-(Examples!$C$12*(1-EXP(-Examples!$C$13*$A589))/(1+EXP(MIN(700,MAX(-700,(Examples!$C$14*$A589-Examples!$C$15)/Examples!$C$16))))))+Examples!$C$17*$A589^2)</f>
        <v>619977.19695238641</v>
      </c>
      <c r="D589" s="33">
        <f>Examples!$D$18-(Examples!$D$10+Examples!$D$11)*$A589-(Examples!$D$6*Examples!$D$7*Examples!$D$8*EXP(-Examples!$D$9*$A589)*(1-(Examples!$D$12*(1-EXP(-Examples!$D$13*$A589))/(1+EXP(MIN(700,MAX(-700,(Examples!$D$14*$A589-Examples!$D$15)/Examples!$D$16))))))+Examples!$D$17*$A589^2)</f>
        <v>1653434.210086032</v>
      </c>
      <c r="E589" s="33">
        <f>(Examples!$D$6*Examples!$D$7*Examples!$D$8*EXP(-Examples!$D$9*$A589)*(1-(Examples!$D$12*(1-EXP(-Examples!$D$13*$A589))/(1+EXP(MIN(700,MAX(-700,(Examples!$D$14*$A589-Examples!$D$15)/Examples!$D$16))))))+Examples!$D$17*$A589^2)</f>
        <v>582415.78991396795</v>
      </c>
      <c r="F589" s="33">
        <f>Examples!$E$18-(Examples!$E$10+Examples!$E$11)*$A589-(Examples!$E$6*Examples!$E$7*Examples!$E$8*EXP(-Examples!$E$9*$A589)*(1-(Examples!$E$12*(1-EXP(-Examples!$E$13*$A589))/(1+EXP(MIN(700,MAX(-700,(Examples!$E$14*$A589-Examples!$E$15)/Examples!$E$16))))))+Examples!$E$17*$A589^2)</f>
        <v>2294127.8008230738</v>
      </c>
      <c r="G589" s="33">
        <f>(Examples!$E$6*Examples!$E$7*Examples!$E$8*EXP(-Examples!$E$9*$A589)*(1-(Examples!$E$12*(1-EXP(-Examples!$E$13*$A589))/(1+EXP(MIN(700,MAX(-700,(Examples!$E$14*$A589-Examples!$E$15)/Examples!$E$16))))))+Examples!$E$17*$A589^2)</f>
        <v>206922.1991769264</v>
      </c>
      <c r="H589" s="33">
        <f>Examples!$F$18-(Examples!$F$10+Examples!$F$11)*$A589-(Examples!$F$6*Examples!$F$7*Examples!$F$8*EXP(-Examples!$F$9*$A589)*(1-(Examples!$F$12*(1-EXP(-Examples!$F$13*$A589))/(1+EXP(MIN(700,MAX(-700,(Examples!$F$14*$A589-Examples!$F$15)/Examples!$F$16))))))+Examples!$F$17*$A589^2)</f>
        <v>-659545.77582357347</v>
      </c>
      <c r="I589" s="33">
        <f>(Examples!$F$6*Examples!$F$7*Examples!$F$8*EXP(-Examples!$F$9*$A589)*(1-(Examples!$F$12*(1-EXP(-Examples!$F$13*$A589))/(1+EXP(MIN(700,MAX(-700,(Examples!$F$14*$A589-Examples!$F$15)/Examples!$F$16))))))+Examples!$F$17*$A589^2)</f>
        <v>692145.77582357347</v>
      </c>
      <c r="J589" s="33">
        <f>Examples!$G$18-(Examples!$G$10+Examples!$G$11)*$A589-(Examples!$G$6*Examples!$G$7*Examples!$G$8*EXP(-Examples!$G$9*$A589)*(1-(Examples!$G$12*(1-EXP(-Examples!$G$13*$A589))/(1+EXP(MIN(700,MAX(-700,(Examples!$G$14*$A589-Examples!$G$15)/Examples!$G$16))))))+Examples!$G$17*$A589^2)</f>
        <v>676678.30155925802</v>
      </c>
      <c r="K589" s="33">
        <f>(Examples!$G$6*Examples!$G$7*Examples!$G$8*EXP(-Examples!$G$9*$A589)*(1-(Examples!$G$12*(1-EXP(-Examples!$G$13*$A589))/(1+EXP(MIN(700,MAX(-700,(Examples!$G$14*$A589-Examples!$G$15)/Examples!$G$16))))))+Examples!$G$17*$A589^2)</f>
        <v>529821.69844074198</v>
      </c>
      <c r="L589" s="33">
        <f>Examples!$H$18-(Examples!$H$10+Examples!$H$11)*$A589-(Examples!$H$6*Examples!$H$7*Examples!$H$8*EXP(-Examples!$H$9*$A589)*(1-(Examples!$H$12*(1-EXP(-Examples!$H$13*$A589))/(1+EXP(MIN(700,MAX(-700,(Examples!$H$14*$A589-Examples!$H$15)/Examples!$H$16))))))+Examples!$H$17*$A589^2)</f>
        <v>674535.02847497154</v>
      </c>
      <c r="M589" s="33">
        <f>(Examples!$H$6*Examples!$H$7*Examples!$H$8*EXP(-Examples!$H$9*$A589)*(1-(Examples!$H$12*(1-EXP(-Examples!$H$13*$A589))/(1+EXP(MIN(700,MAX(-700,(Examples!$H$14*$A589-Examples!$H$15)/Examples!$H$16))))))+Examples!$H$17*$A589^2)</f>
        <v>531964.97152502846</v>
      </c>
    </row>
    <row r="590" spans="1:13" x14ac:dyDescent="0.25">
      <c r="A590">
        <f>(590-2)/100</f>
        <v>5.88</v>
      </c>
      <c r="B590" s="33">
        <f>Examples!$C$18-(Examples!$C$10+Examples!$C$11)*$A590-(Examples!$C$6*Examples!$C$7*Examples!$C$8*EXP(-Examples!$C$9*$A590)*(1-(Examples!$C$12*(1-EXP(-Examples!$C$13*$A590))/(1+EXP(MIN(700,MAX(-700,(Examples!$C$14*$A590-Examples!$C$15)/Examples!$C$16))))))+Examples!$C$17*$A590^2)</f>
        <v>-227230.7909399143</v>
      </c>
      <c r="C590" s="33">
        <f>(Examples!$C$6*Examples!$C$7*Examples!$C$8*EXP(-Examples!$C$9*$A590)*(1-(Examples!$C$12*(1-EXP(-Examples!$C$13*$A590))/(1+EXP(MIN(700,MAX(-700,(Examples!$C$14*$A590-Examples!$C$15)/Examples!$C$16))))))+Examples!$C$17*$A590^2)</f>
        <v>621430.7909399143</v>
      </c>
      <c r="D590" s="33">
        <f>Examples!$D$18-(Examples!$D$10+Examples!$D$11)*$A590-(Examples!$D$6*Examples!$D$7*Examples!$D$8*EXP(-Examples!$D$9*$A590)*(1-(Examples!$D$12*(1-EXP(-Examples!$D$13*$A590))/(1+EXP(MIN(700,MAX(-700,(Examples!$D$14*$A590-Examples!$D$15)/Examples!$D$16))))))+Examples!$D$17*$A590^2)</f>
        <v>1654024.5749961368</v>
      </c>
      <c r="E590" s="33">
        <f>(Examples!$D$6*Examples!$D$7*Examples!$D$8*EXP(-Examples!$D$9*$A590)*(1-(Examples!$D$12*(1-EXP(-Examples!$D$13*$A590))/(1+EXP(MIN(700,MAX(-700,(Examples!$D$14*$A590-Examples!$D$15)/Examples!$D$16))))))+Examples!$D$17*$A590^2)</f>
        <v>581375.42500386317</v>
      </c>
      <c r="F590" s="33">
        <f>Examples!$E$18-(Examples!$E$10+Examples!$E$11)*$A590-(Examples!$E$6*Examples!$E$7*Examples!$E$8*EXP(-Examples!$E$9*$A590)*(1-(Examples!$E$12*(1-EXP(-Examples!$E$13*$A590))/(1+EXP(MIN(700,MAX(-700,(Examples!$E$14*$A590-Examples!$E$15)/Examples!$E$16))))))+Examples!$E$17*$A590^2)</f>
        <v>2293234.7028479506</v>
      </c>
      <c r="G590" s="33">
        <f>(Examples!$E$6*Examples!$E$7*Examples!$E$8*EXP(-Examples!$E$9*$A590)*(1-(Examples!$E$12*(1-EXP(-Examples!$E$13*$A590))/(1+EXP(MIN(700,MAX(-700,(Examples!$E$14*$A590-Examples!$E$15)/Examples!$E$16))))))+Examples!$E$17*$A590^2)</f>
        <v>206965.29715204929</v>
      </c>
      <c r="H590" s="33">
        <f>Examples!$F$18-(Examples!$F$10+Examples!$F$11)*$A590-(Examples!$F$6*Examples!$F$7*Examples!$F$8*EXP(-Examples!$F$9*$A590)*(1-(Examples!$F$12*(1-EXP(-Examples!$F$13*$A590))/(1+EXP(MIN(700,MAX(-700,(Examples!$F$14*$A590-Examples!$F$15)/Examples!$F$16))))))+Examples!$F$17*$A590^2)</f>
        <v>-662086.76601807342</v>
      </c>
      <c r="I590" s="33">
        <f>(Examples!$F$6*Examples!$F$7*Examples!$F$8*EXP(-Examples!$F$9*$A590)*(1-(Examples!$F$12*(1-EXP(-Examples!$F$13*$A590))/(1+EXP(MIN(700,MAX(-700,(Examples!$F$14*$A590-Examples!$F$15)/Examples!$F$16))))))+Examples!$F$17*$A590^2)</f>
        <v>694486.76601807342</v>
      </c>
      <c r="J590" s="33">
        <f>Examples!$G$18-(Examples!$G$10+Examples!$G$11)*$A590-(Examples!$G$6*Examples!$G$7*Examples!$G$8*EXP(-Examples!$G$9*$A590)*(1-(Examples!$G$12*(1-EXP(-Examples!$G$13*$A590))/(1+EXP(MIN(700,MAX(-700,(Examples!$G$14*$A590-Examples!$G$15)/Examples!$G$16))))))+Examples!$G$17*$A590^2)</f>
        <v>676098.88844245102</v>
      </c>
      <c r="K590" s="33">
        <f>(Examples!$G$6*Examples!$G$7*Examples!$G$8*EXP(-Examples!$G$9*$A590)*(1-(Examples!$G$12*(1-EXP(-Examples!$G$13*$A590))/(1+EXP(MIN(700,MAX(-700,(Examples!$G$14*$A590-Examples!$G$15)/Examples!$G$16))))))+Examples!$G$17*$A590^2)</f>
        <v>529901.11155754898</v>
      </c>
      <c r="L590" s="33">
        <f>Examples!$H$18-(Examples!$H$10+Examples!$H$11)*$A590-(Examples!$H$6*Examples!$H$7*Examples!$H$8*EXP(-Examples!$H$9*$A590)*(1-(Examples!$H$12*(1-EXP(-Examples!$H$13*$A590))/(1+EXP(MIN(700,MAX(-700,(Examples!$H$14*$A590-Examples!$H$15)/Examples!$H$16))))))+Examples!$H$17*$A590^2)</f>
        <v>673990.41939520789</v>
      </c>
      <c r="M590" s="33">
        <f>(Examples!$H$6*Examples!$H$7*Examples!$H$8*EXP(-Examples!$H$9*$A590)*(1-(Examples!$H$12*(1-EXP(-Examples!$H$13*$A590))/(1+EXP(MIN(700,MAX(-700,(Examples!$H$14*$A590-Examples!$H$15)/Examples!$H$16))))))+Examples!$H$17*$A590^2)</f>
        <v>532009.58060479211</v>
      </c>
    </row>
    <row r="591" spans="1:13" x14ac:dyDescent="0.25">
      <c r="A591">
        <f>(591-2)/100</f>
        <v>5.89</v>
      </c>
      <c r="B591" s="33">
        <f>Examples!$C$18-(Examples!$C$10+Examples!$C$11)*$A591-(Examples!$C$6*Examples!$C$7*Examples!$C$8*EXP(-Examples!$C$9*$A591)*(1-(Examples!$C$12*(1-EXP(-Examples!$C$13*$A591))/(1+EXP(MIN(700,MAX(-700,(Examples!$C$14*$A591-Examples!$C$15)/Examples!$C$16))))))+Examples!$C$17*$A591^2)</f>
        <v>-229038.31020447251</v>
      </c>
      <c r="C591" s="33">
        <f>(Examples!$C$6*Examples!$C$7*Examples!$C$8*EXP(-Examples!$C$9*$A591)*(1-(Examples!$C$12*(1-EXP(-Examples!$C$13*$A591))/(1+EXP(MIN(700,MAX(-700,(Examples!$C$14*$A591-Examples!$C$15)/Examples!$C$16))))))+Examples!$C$17*$A591^2)</f>
        <v>622888.31020447251</v>
      </c>
      <c r="D591" s="33">
        <f>Examples!$D$18-(Examples!$D$10+Examples!$D$11)*$A591-(Examples!$D$6*Examples!$D$7*Examples!$D$8*EXP(-Examples!$D$9*$A591)*(1-(Examples!$D$12*(1-EXP(-Examples!$D$13*$A591))/(1+EXP(MIN(700,MAX(-700,(Examples!$D$14*$A591-Examples!$D$15)/Examples!$D$16))))))+Examples!$D$17*$A591^2)</f>
        <v>1654610.037579525</v>
      </c>
      <c r="E591" s="33">
        <f>(Examples!$D$6*Examples!$D$7*Examples!$D$8*EXP(-Examples!$D$9*$A591)*(1-(Examples!$D$12*(1-EXP(-Examples!$D$13*$A591))/(1+EXP(MIN(700,MAX(-700,(Examples!$D$14*$A591-Examples!$D$15)/Examples!$D$16))))))+Examples!$D$17*$A591^2)</f>
        <v>580339.96242047497</v>
      </c>
      <c r="F591" s="33">
        <f>Examples!$E$18-(Examples!$E$10+Examples!$E$11)*$A591-(Examples!$E$6*Examples!$E$7*Examples!$E$8*EXP(-Examples!$E$9*$A591)*(1-(Examples!$E$12*(1-EXP(-Examples!$E$13*$A591))/(1+EXP(MIN(700,MAX(-700,(Examples!$E$14*$A591-Examples!$E$15)/Examples!$E$16))))))+Examples!$E$17*$A591^2)</f>
        <v>2292340.9827281176</v>
      </c>
      <c r="G591" s="33">
        <f>(Examples!$E$6*Examples!$E$7*Examples!$E$8*EXP(-Examples!$E$9*$A591)*(1-(Examples!$E$12*(1-EXP(-Examples!$E$13*$A591))/(1+EXP(MIN(700,MAX(-700,(Examples!$E$14*$A591-Examples!$E$15)/Examples!$E$16))))))+Examples!$E$17*$A591^2)</f>
        <v>207009.01727188227</v>
      </c>
      <c r="H591" s="33">
        <f>Examples!$F$18-(Examples!$F$10+Examples!$F$11)*$A591-(Examples!$F$6*Examples!$F$7*Examples!$F$8*EXP(-Examples!$F$9*$A591)*(1-(Examples!$F$12*(1-EXP(-Examples!$F$13*$A591))/(1+EXP(MIN(700,MAX(-700,(Examples!$F$14*$A591-Examples!$F$15)/Examples!$F$16))))))+Examples!$F$17*$A591^2)</f>
        <v>-664631.78320146538</v>
      </c>
      <c r="I591" s="33">
        <f>(Examples!$F$6*Examples!$F$7*Examples!$F$8*EXP(-Examples!$F$9*$A591)*(1-(Examples!$F$12*(1-EXP(-Examples!$F$13*$A591))/(1+EXP(MIN(700,MAX(-700,(Examples!$F$14*$A591-Examples!$F$15)/Examples!$F$16))))))+Examples!$F$17*$A591^2)</f>
        <v>696831.78320146538</v>
      </c>
      <c r="J591" s="33">
        <f>Examples!$G$18-(Examples!$G$10+Examples!$G$11)*$A591-(Examples!$G$6*Examples!$G$7*Examples!$G$8*EXP(-Examples!$G$9*$A591)*(1-(Examples!$G$12*(1-EXP(-Examples!$G$13*$A591))/(1+EXP(MIN(700,MAX(-700,(Examples!$G$14*$A591-Examples!$G$15)/Examples!$G$16))))))+Examples!$G$17*$A591^2)</f>
        <v>675515.30803704448</v>
      </c>
      <c r="K591" s="33">
        <f>(Examples!$G$6*Examples!$G$7*Examples!$G$8*EXP(-Examples!$G$9*$A591)*(1-(Examples!$G$12*(1-EXP(-Examples!$G$13*$A591))/(1+EXP(MIN(700,MAX(-700,(Examples!$G$14*$A591-Examples!$G$15)/Examples!$G$16))))))+Examples!$G$17*$A591^2)</f>
        <v>529984.69196295552</v>
      </c>
      <c r="L591" s="33">
        <f>Examples!$H$18-(Examples!$H$10+Examples!$H$11)*$A591-(Examples!$H$6*Examples!$H$7*Examples!$H$8*EXP(-Examples!$H$9*$A591)*(1-(Examples!$H$12*(1-EXP(-Examples!$H$13*$A591))/(1+EXP(MIN(700,MAX(-700,(Examples!$H$14*$A591-Examples!$H$15)/Examples!$H$16))))))+Examples!$H$17*$A591^2)</f>
        <v>673441.08625267458</v>
      </c>
      <c r="M591" s="33">
        <f>(Examples!$H$6*Examples!$H$7*Examples!$H$8*EXP(-Examples!$H$9*$A591)*(1-(Examples!$H$12*(1-EXP(-Examples!$H$13*$A591))/(1+EXP(MIN(700,MAX(-700,(Examples!$H$14*$A591-Examples!$H$15)/Examples!$H$16))))))+Examples!$H$17*$A591^2)</f>
        <v>532058.91374732542</v>
      </c>
    </row>
    <row r="592" spans="1:13" x14ac:dyDescent="0.25">
      <c r="A592">
        <f>(592-2)/100</f>
        <v>5.9</v>
      </c>
      <c r="B592" s="33">
        <f>Examples!$C$18-(Examples!$C$10+Examples!$C$11)*$A592-(Examples!$C$6*Examples!$C$7*Examples!$C$8*EXP(-Examples!$C$9*$A592)*(1-(Examples!$C$12*(1-EXP(-Examples!$C$13*$A592))/(1+EXP(MIN(700,MAX(-700,(Examples!$C$14*$A592-Examples!$C$15)/Examples!$C$16))))))+Examples!$C$17*$A592^2)</f>
        <v>-230849.75197622972</v>
      </c>
      <c r="C592" s="33">
        <f>(Examples!$C$6*Examples!$C$7*Examples!$C$8*EXP(-Examples!$C$9*$A592)*(1-(Examples!$C$12*(1-EXP(-Examples!$C$13*$A592))/(1+EXP(MIN(700,MAX(-700,(Examples!$C$14*$A592-Examples!$C$15)/Examples!$C$16))))))+Examples!$C$17*$A592^2)</f>
        <v>624349.75197622972</v>
      </c>
      <c r="D592" s="33">
        <f>Examples!$D$18-(Examples!$D$10+Examples!$D$11)*$A592-(Examples!$D$6*Examples!$D$7*Examples!$D$8*EXP(-Examples!$D$9*$A592)*(1-(Examples!$D$12*(1-EXP(-Examples!$D$13*$A592))/(1+EXP(MIN(700,MAX(-700,(Examples!$D$14*$A592-Examples!$D$15)/Examples!$D$16))))))+Examples!$D$17*$A592^2)</f>
        <v>1655190.5652426491</v>
      </c>
      <c r="E592" s="33">
        <f>(Examples!$D$6*Examples!$D$7*Examples!$D$8*EXP(-Examples!$D$9*$A592)*(1-(Examples!$D$12*(1-EXP(-Examples!$D$13*$A592))/(1+EXP(MIN(700,MAX(-700,(Examples!$D$14*$A592-Examples!$D$15)/Examples!$D$16))))))+Examples!$D$17*$A592^2)</f>
        <v>579309.43475735083</v>
      </c>
      <c r="F592" s="33">
        <f>Examples!$E$18-(Examples!$E$10+Examples!$E$11)*$A592-(Examples!$E$6*Examples!$E$7*Examples!$E$8*EXP(-Examples!$E$9*$A592)*(1-(Examples!$E$12*(1-EXP(-Examples!$E$13*$A592))/(1+EXP(MIN(700,MAX(-700,(Examples!$E$14*$A592-Examples!$E$15)/Examples!$E$16))))))+Examples!$E$17*$A592^2)</f>
        <v>2291446.6358488444</v>
      </c>
      <c r="G592" s="33">
        <f>(Examples!$E$6*Examples!$E$7*Examples!$E$8*EXP(-Examples!$E$9*$A592)*(1-(Examples!$E$12*(1-EXP(-Examples!$E$13*$A592))/(1+EXP(MIN(700,MAX(-700,(Examples!$E$14*$A592-Examples!$E$15)/Examples!$E$16))))))+Examples!$E$17*$A592^2)</f>
        <v>207053.36415115534</v>
      </c>
      <c r="H592" s="33">
        <f>Examples!$F$18-(Examples!$F$10+Examples!$F$11)*$A592-(Examples!$F$6*Examples!$F$7*Examples!$F$8*EXP(-Examples!$F$9*$A592)*(1-(Examples!$F$12*(1-EXP(-Examples!$F$13*$A592))/(1+EXP(MIN(700,MAX(-700,(Examples!$F$14*$A592-Examples!$F$15)/Examples!$F$16))))))+Examples!$F$17*$A592^2)</f>
        <v>-667180.82729290519</v>
      </c>
      <c r="I592" s="33">
        <f>(Examples!$F$6*Examples!$F$7*Examples!$F$8*EXP(-Examples!$F$9*$A592)*(1-(Examples!$F$12*(1-EXP(-Examples!$F$13*$A592))/(1+EXP(MIN(700,MAX(-700,(Examples!$F$14*$A592-Examples!$F$15)/Examples!$F$16))))))+Examples!$F$17*$A592^2)</f>
        <v>699180.82729290519</v>
      </c>
      <c r="J592" s="33">
        <f>Examples!$G$18-(Examples!$G$10+Examples!$G$11)*$A592-(Examples!$G$6*Examples!$G$7*Examples!$G$8*EXP(-Examples!$G$9*$A592)*(1-(Examples!$G$12*(1-EXP(-Examples!$G$13*$A592))/(1+EXP(MIN(700,MAX(-700,(Examples!$G$14*$A592-Examples!$G$15)/Examples!$G$16))))))+Examples!$G$17*$A592^2)</f>
        <v>674927.56243319204</v>
      </c>
      <c r="K592" s="33">
        <f>(Examples!$G$6*Examples!$G$7*Examples!$G$8*EXP(-Examples!$G$9*$A592)*(1-(Examples!$G$12*(1-EXP(-Examples!$G$13*$A592))/(1+EXP(MIN(700,MAX(-700,(Examples!$G$14*$A592-Examples!$G$15)/Examples!$G$16))))))+Examples!$G$17*$A592^2)</f>
        <v>530072.43756680796</v>
      </c>
      <c r="L592" s="33">
        <f>Examples!$H$18-(Examples!$H$10+Examples!$H$11)*$A592-(Examples!$H$6*Examples!$H$7*Examples!$H$8*EXP(-Examples!$H$9*$A592)*(1-(Examples!$H$12*(1-EXP(-Examples!$H$13*$A592))/(1+EXP(MIN(700,MAX(-700,(Examples!$H$14*$A592-Examples!$H$15)/Examples!$H$16))))))+Examples!$H$17*$A592^2)</f>
        <v>672887.03981311677</v>
      </c>
      <c r="M592" s="33">
        <f>(Examples!$H$6*Examples!$H$7*Examples!$H$8*EXP(-Examples!$H$9*$A592)*(1-(Examples!$H$12*(1-EXP(-Examples!$H$13*$A592))/(1+EXP(MIN(700,MAX(-700,(Examples!$H$14*$A592-Examples!$H$15)/Examples!$H$16))))))+Examples!$H$17*$A592^2)</f>
        <v>532112.96018688323</v>
      </c>
    </row>
    <row r="593" spans="1:13" x14ac:dyDescent="0.25">
      <c r="A593">
        <f>(593-2)/100</f>
        <v>5.91</v>
      </c>
      <c r="B593" s="33">
        <f>Examples!$C$18-(Examples!$C$10+Examples!$C$11)*$A593-(Examples!$C$6*Examples!$C$7*Examples!$C$8*EXP(-Examples!$C$9*$A593)*(1-(Examples!$C$12*(1-EXP(-Examples!$C$13*$A593))/(1+EXP(MIN(700,MAX(-700,(Examples!$C$14*$A593-Examples!$C$15)/Examples!$C$16))))))+Examples!$C$17*$A593^2)</f>
        <v>-232665.11349358596</v>
      </c>
      <c r="C593" s="33">
        <f>(Examples!$C$6*Examples!$C$7*Examples!$C$8*EXP(-Examples!$C$9*$A593)*(1-(Examples!$C$12*(1-EXP(-Examples!$C$13*$A593))/(1+EXP(MIN(700,MAX(-700,(Examples!$C$14*$A593-Examples!$C$15)/Examples!$C$16))))))+Examples!$C$17*$A593^2)</f>
        <v>625815.11349358596</v>
      </c>
      <c r="D593" s="33">
        <f>Examples!$D$18-(Examples!$D$10+Examples!$D$11)*$A593-(Examples!$D$6*Examples!$D$7*Examples!$D$8*EXP(-Examples!$D$9*$A593)*(1-(Examples!$D$12*(1-EXP(-Examples!$D$13*$A593))/(1+EXP(MIN(700,MAX(-700,(Examples!$D$14*$A593-Examples!$D$15)/Examples!$D$16))))))+Examples!$D$17*$A593^2)</f>
        <v>1655766.1261549841</v>
      </c>
      <c r="E593" s="33">
        <f>(Examples!$D$6*Examples!$D$7*Examples!$D$8*EXP(-Examples!$D$9*$A593)*(1-(Examples!$D$12*(1-EXP(-Examples!$D$13*$A593))/(1+EXP(MIN(700,MAX(-700,(Examples!$D$14*$A593-Examples!$D$15)/Examples!$D$16))))))+Examples!$D$17*$A593^2)</f>
        <v>578283.87384501589</v>
      </c>
      <c r="F593" s="33">
        <f>Examples!$E$18-(Examples!$E$10+Examples!$E$11)*$A593-(Examples!$E$6*Examples!$E$7*Examples!$E$8*EXP(-Examples!$E$9*$A593)*(1-(Examples!$E$12*(1-EXP(-Examples!$E$13*$A593))/(1+EXP(MIN(700,MAX(-700,(Examples!$E$14*$A593-Examples!$E$15)/Examples!$E$16))))))+Examples!$E$17*$A593^2)</f>
        <v>2290551.6575343758</v>
      </c>
      <c r="G593" s="33">
        <f>(Examples!$E$6*Examples!$E$7*Examples!$E$8*EXP(-Examples!$E$9*$A593)*(1-(Examples!$E$12*(1-EXP(-Examples!$E$13*$A593))/(1+EXP(MIN(700,MAX(-700,(Examples!$E$14*$A593-Examples!$E$15)/Examples!$E$16))))))+Examples!$E$17*$A593^2)</f>
        <v>207098.34246562416</v>
      </c>
      <c r="H593" s="33">
        <f>Examples!$F$18-(Examples!$F$10+Examples!$F$11)*$A593-(Examples!$F$6*Examples!$F$7*Examples!$F$8*EXP(-Examples!$F$9*$A593)*(1-(Examples!$F$12*(1-EXP(-Examples!$F$13*$A593))/(1+EXP(MIN(700,MAX(-700,(Examples!$F$14*$A593-Examples!$F$15)/Examples!$F$16))))))+Examples!$F$17*$A593^2)</f>
        <v>-669733.8982117899</v>
      </c>
      <c r="I593" s="33">
        <f>(Examples!$F$6*Examples!$F$7*Examples!$F$8*EXP(-Examples!$F$9*$A593)*(1-(Examples!$F$12*(1-EXP(-Examples!$F$13*$A593))/(1+EXP(MIN(700,MAX(-700,(Examples!$F$14*$A593-Examples!$F$15)/Examples!$F$16))))))+Examples!$F$17*$A593^2)</f>
        <v>701533.8982117899</v>
      </c>
      <c r="J593" s="33">
        <f>Examples!$G$18-(Examples!$G$10+Examples!$G$11)*$A593-(Examples!$G$6*Examples!$G$7*Examples!$G$8*EXP(-Examples!$G$9*$A593)*(1-(Examples!$G$12*(1-EXP(-Examples!$G$13*$A593))/(1+EXP(MIN(700,MAX(-700,(Examples!$G$14*$A593-Examples!$G$15)/Examples!$G$16))))))+Examples!$G$17*$A593^2)</f>
        <v>674335.65381716774</v>
      </c>
      <c r="K593" s="33">
        <f>(Examples!$G$6*Examples!$G$7*Examples!$G$8*EXP(-Examples!$G$9*$A593)*(1-(Examples!$G$12*(1-EXP(-Examples!$G$13*$A593))/(1+EXP(MIN(700,MAX(-700,(Examples!$G$14*$A593-Examples!$G$15)/Examples!$G$16))))))+Examples!$G$17*$A593^2)</f>
        <v>530164.34618283226</v>
      </c>
      <c r="L593" s="33">
        <f>Examples!$H$18-(Examples!$H$10+Examples!$H$11)*$A593-(Examples!$H$6*Examples!$H$7*Examples!$H$8*EXP(-Examples!$H$9*$A593)*(1-(Examples!$H$12*(1-EXP(-Examples!$H$13*$A593))/(1+EXP(MIN(700,MAX(-700,(Examples!$H$14*$A593-Examples!$H$15)/Examples!$H$16))))))+Examples!$H$17*$A593^2)</f>
        <v>672328.29080981156</v>
      </c>
      <c r="M593" s="33">
        <f>(Examples!$H$6*Examples!$H$7*Examples!$H$8*EXP(-Examples!$H$9*$A593)*(1-(Examples!$H$12*(1-EXP(-Examples!$H$13*$A593))/(1+EXP(MIN(700,MAX(-700,(Examples!$H$14*$A593-Examples!$H$15)/Examples!$H$16))))))+Examples!$H$17*$A593^2)</f>
        <v>532171.70919018844</v>
      </c>
    </row>
    <row r="594" spans="1:13" x14ac:dyDescent="0.25">
      <c r="A594">
        <f>(594-2)/100</f>
        <v>5.92</v>
      </c>
      <c r="B594" s="33">
        <f>Examples!$C$18-(Examples!$C$10+Examples!$C$11)*$A594-(Examples!$C$6*Examples!$C$7*Examples!$C$8*EXP(-Examples!$C$9*$A594)*(1-(Examples!$C$12*(1-EXP(-Examples!$C$13*$A594))/(1+EXP(MIN(700,MAX(-700,(Examples!$C$14*$A594-Examples!$C$15)/Examples!$C$16))))))+Examples!$C$17*$A594^2)</f>
        <v>-234484.39200315264</v>
      </c>
      <c r="C594" s="33">
        <f>(Examples!$C$6*Examples!$C$7*Examples!$C$8*EXP(-Examples!$C$9*$A594)*(1-(Examples!$C$12*(1-EXP(-Examples!$C$13*$A594))/(1+EXP(MIN(700,MAX(-700,(Examples!$C$14*$A594-Examples!$C$15)/Examples!$C$16))))))+Examples!$C$17*$A594^2)</f>
        <v>627284.39200315264</v>
      </c>
      <c r="D594" s="33">
        <f>Examples!$D$18-(Examples!$D$10+Examples!$D$11)*$A594-(Examples!$D$6*Examples!$D$7*Examples!$D$8*EXP(-Examples!$D$9*$A594)*(1-(Examples!$D$12*(1-EXP(-Examples!$D$13*$A594))/(1+EXP(MIN(700,MAX(-700,(Examples!$D$14*$A594-Examples!$D$15)/Examples!$D$16))))))+Examples!$D$17*$A594^2)</f>
        <v>1656336.6892415325</v>
      </c>
      <c r="E594" s="33">
        <f>(Examples!$D$6*Examples!$D$7*Examples!$D$8*EXP(-Examples!$D$9*$A594)*(1-(Examples!$D$12*(1-EXP(-Examples!$D$13*$A594))/(1+EXP(MIN(700,MAX(-700,(Examples!$D$14*$A594-Examples!$D$15)/Examples!$D$16))))))+Examples!$D$17*$A594^2)</f>
        <v>577263.31075846753</v>
      </c>
      <c r="F594" s="33">
        <f>Examples!$E$18-(Examples!$E$10+Examples!$E$11)*$A594-(Examples!$E$6*Examples!$E$7*Examples!$E$8*EXP(-Examples!$E$9*$A594)*(1-(Examples!$E$12*(1-EXP(-Examples!$E$13*$A594))/(1+EXP(MIN(700,MAX(-700,(Examples!$E$14*$A594-Examples!$E$15)/Examples!$E$16))))))+Examples!$E$17*$A594^2)</f>
        <v>2289656.0430498184</v>
      </c>
      <c r="G594" s="33">
        <f>(Examples!$E$6*Examples!$E$7*Examples!$E$8*EXP(-Examples!$E$9*$A594)*(1-(Examples!$E$12*(1-EXP(-Examples!$E$13*$A594))/(1+EXP(MIN(700,MAX(-700,(Examples!$E$14*$A594-Examples!$E$15)/Examples!$E$16))))))+Examples!$E$17*$A594^2)</f>
        <v>207143.95695018157</v>
      </c>
      <c r="H594" s="33">
        <f>Examples!$F$18-(Examples!$F$10+Examples!$F$11)*$A594-(Examples!$F$6*Examples!$F$7*Examples!$F$8*EXP(-Examples!$F$9*$A594)*(1-(Examples!$F$12*(1-EXP(-Examples!$F$13*$A594))/(1+EXP(MIN(700,MAX(-700,(Examples!$F$14*$A594-Examples!$F$15)/Examples!$F$16))))))+Examples!$F$17*$A594^2)</f>
        <v>-672290.99587775883</v>
      </c>
      <c r="I594" s="33">
        <f>(Examples!$F$6*Examples!$F$7*Examples!$F$8*EXP(-Examples!$F$9*$A594)*(1-(Examples!$F$12*(1-EXP(-Examples!$F$13*$A594))/(1+EXP(MIN(700,MAX(-700,(Examples!$F$14*$A594-Examples!$F$15)/Examples!$F$16))))))+Examples!$F$17*$A594^2)</f>
        <v>703890.99587775883</v>
      </c>
      <c r="J594" s="33">
        <f>Examples!$G$18-(Examples!$G$10+Examples!$G$11)*$A594-(Examples!$G$6*Examples!$G$7*Examples!$G$8*EXP(-Examples!$G$9*$A594)*(1-(Examples!$G$12*(1-EXP(-Examples!$G$13*$A594))/(1+EXP(MIN(700,MAX(-700,(Examples!$G$14*$A594-Examples!$G$15)/Examples!$G$16))))))+Examples!$G$17*$A594^2)</f>
        <v>673739.58446959325</v>
      </c>
      <c r="K594" s="33">
        <f>(Examples!$G$6*Examples!$G$7*Examples!$G$8*EXP(-Examples!$G$9*$A594)*(1-(Examples!$G$12*(1-EXP(-Examples!$G$13*$A594))/(1+EXP(MIN(700,MAX(-700,(Examples!$G$14*$A594-Examples!$G$15)/Examples!$G$16))))))+Examples!$G$17*$A594^2)</f>
        <v>530260.41553040675</v>
      </c>
      <c r="L594" s="33">
        <f>Examples!$H$18-(Examples!$H$10+Examples!$H$11)*$A594-(Examples!$H$6*Examples!$H$7*Examples!$H$8*EXP(-Examples!$H$9*$A594)*(1-(Examples!$H$12*(1-EXP(-Examples!$H$13*$A594))/(1+EXP(MIN(700,MAX(-700,(Examples!$H$14*$A594-Examples!$H$15)/Examples!$H$16))))))+Examples!$H$17*$A594^2)</f>
        <v>671764.8499435056</v>
      </c>
      <c r="M594" s="33">
        <f>(Examples!$H$6*Examples!$H$7*Examples!$H$8*EXP(-Examples!$H$9*$A594)*(1-(Examples!$H$12*(1-EXP(-Examples!$H$13*$A594))/(1+EXP(MIN(700,MAX(-700,(Examples!$H$14*$A594-Examples!$H$15)/Examples!$H$16))))))+Examples!$H$17*$A594^2)</f>
        <v>532235.1500564944</v>
      </c>
    </row>
    <row r="595" spans="1:13" x14ac:dyDescent="0.25">
      <c r="A595">
        <f>(595-2)/100</f>
        <v>5.93</v>
      </c>
      <c r="B595" s="33">
        <f>Examples!$C$18-(Examples!$C$10+Examples!$C$11)*$A595-(Examples!$C$6*Examples!$C$7*Examples!$C$8*EXP(-Examples!$C$9*$A595)*(1-(Examples!$C$12*(1-EXP(-Examples!$C$13*$A595))/(1+EXP(MIN(700,MAX(-700,(Examples!$C$14*$A595-Examples!$C$15)/Examples!$C$16))))))+Examples!$C$17*$A595^2)</f>
        <v>-236307.5847597277</v>
      </c>
      <c r="C595" s="33">
        <f>(Examples!$C$6*Examples!$C$7*Examples!$C$8*EXP(-Examples!$C$9*$A595)*(1-(Examples!$C$12*(1-EXP(-Examples!$C$13*$A595))/(1+EXP(MIN(700,MAX(-700,(Examples!$C$14*$A595-Examples!$C$15)/Examples!$C$16))))))+Examples!$C$17*$A595^2)</f>
        <v>628757.5847597277</v>
      </c>
      <c r="D595" s="33">
        <f>Examples!$D$18-(Examples!$D$10+Examples!$D$11)*$A595-(Examples!$D$6*Examples!$D$7*Examples!$D$8*EXP(-Examples!$D$9*$A595)*(1-(Examples!$D$12*(1-EXP(-Examples!$D$13*$A595))/(1+EXP(MIN(700,MAX(-700,(Examples!$D$14*$A595-Examples!$D$15)/Examples!$D$16))))))+Examples!$D$17*$A595^2)</f>
        <v>1656902.2241752767</v>
      </c>
      <c r="E595" s="33">
        <f>(Examples!$D$6*Examples!$D$7*Examples!$D$8*EXP(-Examples!$D$9*$A595)*(1-(Examples!$D$12*(1-EXP(-Examples!$D$13*$A595))/(1+EXP(MIN(700,MAX(-700,(Examples!$D$14*$A595-Examples!$D$15)/Examples!$D$16))))))+Examples!$D$17*$A595^2)</f>
        <v>576247.77582472342</v>
      </c>
      <c r="F595" s="33">
        <f>Examples!$E$18-(Examples!$E$10+Examples!$E$11)*$A595-(Examples!$E$6*Examples!$E$7*Examples!$E$8*EXP(-Examples!$E$9*$A595)*(1-(Examples!$E$12*(1-EXP(-Examples!$E$13*$A595))/(1+EXP(MIN(700,MAX(-700,(Examples!$E$14*$A595-Examples!$E$15)/Examples!$E$16))))))+Examples!$E$17*$A595^2)</f>
        <v>2288759.7876030169</v>
      </c>
      <c r="G595" s="33">
        <f>(Examples!$E$6*Examples!$E$7*Examples!$E$8*EXP(-Examples!$E$9*$A595)*(1-(Examples!$E$12*(1-EXP(-Examples!$E$13*$A595))/(1+EXP(MIN(700,MAX(-700,(Examples!$E$14*$A595-Examples!$E$15)/Examples!$E$16))))))+Examples!$E$17*$A595^2)</f>
        <v>207190.21239698306</v>
      </c>
      <c r="H595" s="33">
        <f>Examples!$F$18-(Examples!$F$10+Examples!$F$11)*$A595-(Examples!$F$6*Examples!$F$7*Examples!$F$8*EXP(-Examples!$F$9*$A595)*(1-(Examples!$F$12*(1-EXP(-Examples!$F$13*$A595))/(1+EXP(MIN(700,MAX(-700,(Examples!$F$14*$A595-Examples!$F$15)/Examples!$F$16))))))+Examples!$F$17*$A595^2)</f>
        <v>-674852.1202106917</v>
      </c>
      <c r="I595" s="33">
        <f>(Examples!$F$6*Examples!$F$7*Examples!$F$8*EXP(-Examples!$F$9*$A595)*(1-(Examples!$F$12*(1-EXP(-Examples!$F$13*$A595))/(1+EXP(MIN(700,MAX(-700,(Examples!$F$14*$A595-Examples!$F$15)/Examples!$F$16))))))+Examples!$F$17*$A595^2)</f>
        <v>706252.1202106917</v>
      </c>
      <c r="J595" s="33">
        <f>Examples!$G$18-(Examples!$G$10+Examples!$G$11)*$A595-(Examples!$G$6*Examples!$G$7*Examples!$G$8*EXP(-Examples!$G$9*$A595)*(1-(Examples!$G$12*(1-EXP(-Examples!$G$13*$A595))/(1+EXP(MIN(700,MAX(-700,(Examples!$G$14*$A595-Examples!$G$15)/Examples!$G$16))))))+Examples!$G$17*$A595^2)</f>
        <v>673139.3567636864</v>
      </c>
      <c r="K595" s="33">
        <f>(Examples!$G$6*Examples!$G$7*Examples!$G$8*EXP(-Examples!$G$9*$A595)*(1-(Examples!$G$12*(1-EXP(-Examples!$G$13*$A595))/(1+EXP(MIN(700,MAX(-700,(Examples!$G$14*$A595-Examples!$G$15)/Examples!$G$16))))))+Examples!$G$17*$A595^2)</f>
        <v>530360.6432363136</v>
      </c>
      <c r="L595" s="33">
        <f>Examples!$H$18-(Examples!$H$10+Examples!$H$11)*$A595-(Examples!$H$6*Examples!$H$7*Examples!$H$8*EXP(-Examples!$H$9*$A595)*(1-(Examples!$H$12*(1-EXP(-Examples!$H$13*$A595))/(1+EXP(MIN(700,MAX(-700,(Examples!$H$14*$A595-Examples!$H$15)/Examples!$H$16))))))+Examples!$H$17*$A595^2)</f>
        <v>671196.72788235638</v>
      </c>
      <c r="M595" s="33">
        <f>(Examples!$H$6*Examples!$H$7*Examples!$H$8*EXP(-Examples!$H$9*$A595)*(1-(Examples!$H$12*(1-EXP(-Examples!$H$13*$A595))/(1+EXP(MIN(700,MAX(-700,(Examples!$H$14*$A595-Examples!$H$15)/Examples!$H$16))))))+Examples!$H$17*$A595^2)</f>
        <v>532303.27211764362</v>
      </c>
    </row>
    <row r="596" spans="1:13" x14ac:dyDescent="0.25">
      <c r="A596">
        <f>(596-2)/100</f>
        <v>5.94</v>
      </c>
      <c r="B596" s="33">
        <f>Examples!$C$18-(Examples!$C$10+Examples!$C$11)*$A596-(Examples!$C$6*Examples!$C$7*Examples!$C$8*EXP(-Examples!$C$9*$A596)*(1-(Examples!$C$12*(1-EXP(-Examples!$C$13*$A596))/(1+EXP(MIN(700,MAX(-700,(Examples!$C$14*$A596-Examples!$C$15)/Examples!$C$16))))))+Examples!$C$17*$A596^2)</f>
        <v>-238134.68902627553</v>
      </c>
      <c r="C596" s="33">
        <f>(Examples!$C$6*Examples!$C$7*Examples!$C$8*EXP(-Examples!$C$9*$A596)*(1-(Examples!$C$12*(1-EXP(-Examples!$C$13*$A596))/(1+EXP(MIN(700,MAX(-700,(Examples!$C$14*$A596-Examples!$C$15)/Examples!$C$16))))))+Examples!$C$17*$A596^2)</f>
        <v>630234.68902627553</v>
      </c>
      <c r="D596" s="33">
        <f>Examples!$D$18-(Examples!$D$10+Examples!$D$11)*$A596-(Examples!$D$6*Examples!$D$7*Examples!$D$8*EXP(-Examples!$D$9*$A596)*(1-(Examples!$D$12*(1-EXP(-Examples!$D$13*$A596))/(1+EXP(MIN(700,MAX(-700,(Examples!$D$14*$A596-Examples!$D$15)/Examples!$D$16))))))+Examples!$D$17*$A596^2)</f>
        <v>1657462.7013695827</v>
      </c>
      <c r="E596" s="33">
        <f>(Examples!$D$6*Examples!$D$7*Examples!$D$8*EXP(-Examples!$D$9*$A596)*(1-(Examples!$D$12*(1-EXP(-Examples!$D$13*$A596))/(1+EXP(MIN(700,MAX(-700,(Examples!$D$14*$A596-Examples!$D$15)/Examples!$D$16))))))+Examples!$D$17*$A596^2)</f>
        <v>575237.29863041732</v>
      </c>
      <c r="F596" s="33">
        <f>Examples!$E$18-(Examples!$E$10+Examples!$E$11)*$A596-(Examples!$E$6*Examples!$E$7*Examples!$E$8*EXP(-Examples!$E$9*$A596)*(1-(Examples!$E$12*(1-EXP(-Examples!$E$13*$A596))/(1+EXP(MIN(700,MAX(-700,(Examples!$E$14*$A596-Examples!$E$15)/Examples!$E$16))))))+Examples!$E$17*$A596^2)</f>
        <v>2287862.8863464142</v>
      </c>
      <c r="G596" s="33">
        <f>(Examples!$E$6*Examples!$E$7*Examples!$E$8*EXP(-Examples!$E$9*$A596)*(1-(Examples!$E$12*(1-EXP(-Examples!$E$13*$A596))/(1+EXP(MIN(700,MAX(-700,(Examples!$E$14*$A596-Examples!$E$15)/Examples!$E$16))))))+Examples!$E$17*$A596^2)</f>
        <v>207237.11365358596</v>
      </c>
      <c r="H596" s="33">
        <f>Examples!$F$18-(Examples!$F$10+Examples!$F$11)*$A596-(Examples!$F$6*Examples!$F$7*Examples!$F$8*EXP(-Examples!$F$9*$A596)*(1-(Examples!$F$12*(1-EXP(-Examples!$F$13*$A596))/(1+EXP(MIN(700,MAX(-700,(Examples!$F$14*$A596-Examples!$F$15)/Examples!$F$16))))))+Examples!$F$17*$A596^2)</f>
        <v>-677417.27113070851</v>
      </c>
      <c r="I596" s="33">
        <f>(Examples!$F$6*Examples!$F$7*Examples!$F$8*EXP(-Examples!$F$9*$A596)*(1-(Examples!$F$12*(1-EXP(-Examples!$F$13*$A596))/(1+EXP(MIN(700,MAX(-700,(Examples!$F$14*$A596-Examples!$F$15)/Examples!$F$16))))))+Examples!$F$17*$A596^2)</f>
        <v>708617.27113070851</v>
      </c>
      <c r="J596" s="33">
        <f>Examples!$G$18-(Examples!$G$10+Examples!$G$11)*$A596-(Examples!$G$6*Examples!$G$7*Examples!$G$8*EXP(-Examples!$G$9*$A596)*(1-(Examples!$G$12*(1-EXP(-Examples!$G$13*$A596))/(1+EXP(MIN(700,MAX(-700,(Examples!$G$14*$A596-Examples!$G$15)/Examples!$G$16))))))+Examples!$G$17*$A596^2)</f>
        <v>672534.97316353314</v>
      </c>
      <c r="K596" s="33">
        <f>(Examples!$G$6*Examples!$G$7*Examples!$G$8*EXP(-Examples!$G$9*$A596)*(1-(Examples!$G$12*(1-EXP(-Examples!$G$13*$A596))/(1+EXP(MIN(700,MAX(-700,(Examples!$G$14*$A596-Examples!$G$15)/Examples!$G$16))))))+Examples!$G$17*$A596^2)</f>
        <v>530465.02683646686</v>
      </c>
      <c r="L596" s="33">
        <f>Examples!$H$18-(Examples!$H$10+Examples!$H$11)*$A596-(Examples!$H$6*Examples!$H$7*Examples!$H$8*EXP(-Examples!$H$9*$A596)*(1-(Examples!$H$12*(1-EXP(-Examples!$H$13*$A596))/(1+EXP(MIN(700,MAX(-700,(Examples!$H$14*$A596-Examples!$H$15)/Examples!$H$16))))))+Examples!$H$17*$A596^2)</f>
        <v>670623.93526188249</v>
      </c>
      <c r="M596" s="33">
        <f>(Examples!$H$6*Examples!$H$7*Examples!$H$8*EXP(-Examples!$H$9*$A596)*(1-(Examples!$H$12*(1-EXP(-Examples!$H$13*$A596))/(1+EXP(MIN(700,MAX(-700,(Examples!$H$14*$A596-Examples!$H$15)/Examples!$H$16))))))+Examples!$H$17*$A596^2)</f>
        <v>532376.06473811751</v>
      </c>
    </row>
    <row r="597" spans="1:13" x14ac:dyDescent="0.25">
      <c r="A597">
        <f>(597-2)/100</f>
        <v>5.95</v>
      </c>
      <c r="B597" s="33">
        <f>Examples!$C$18-(Examples!$C$10+Examples!$C$11)*$A597-(Examples!$C$6*Examples!$C$7*Examples!$C$8*EXP(-Examples!$C$9*$A597)*(1-(Examples!$C$12*(1-EXP(-Examples!$C$13*$A597))/(1+EXP(MIN(700,MAX(-700,(Examples!$C$14*$A597-Examples!$C$15)/Examples!$C$16))))))+Examples!$C$17*$A597^2)</f>
        <v>-239965.70207390189</v>
      </c>
      <c r="C597" s="33">
        <f>(Examples!$C$6*Examples!$C$7*Examples!$C$8*EXP(-Examples!$C$9*$A597)*(1-(Examples!$C$12*(1-EXP(-Examples!$C$13*$A597))/(1+EXP(MIN(700,MAX(-700,(Examples!$C$14*$A597-Examples!$C$15)/Examples!$C$16))))))+Examples!$C$17*$A597^2)</f>
        <v>631715.70207390189</v>
      </c>
      <c r="D597" s="33">
        <f>Examples!$D$18-(Examples!$D$10+Examples!$D$11)*$A597-(Examples!$D$6*Examples!$D$7*Examples!$D$8*EXP(-Examples!$D$9*$A597)*(1-(Examples!$D$12*(1-EXP(-Examples!$D$13*$A597))/(1+EXP(MIN(700,MAX(-700,(Examples!$D$14*$A597-Examples!$D$15)/Examples!$D$16))))))+Examples!$D$17*$A597^2)</f>
        <v>1658018.0919705604</v>
      </c>
      <c r="E597" s="33">
        <f>(Examples!$D$6*Examples!$D$7*Examples!$D$8*EXP(-Examples!$D$9*$A597)*(1-(Examples!$D$12*(1-EXP(-Examples!$D$13*$A597))/(1+EXP(MIN(700,MAX(-700,(Examples!$D$14*$A597-Examples!$D$15)/Examples!$D$16))))))+Examples!$D$17*$A597^2)</f>
        <v>574231.90802943963</v>
      </c>
      <c r="F597" s="33">
        <f>Examples!$E$18-(Examples!$E$10+Examples!$E$11)*$A597-(Examples!$E$6*Examples!$E$7*Examples!$E$8*EXP(-Examples!$E$9*$A597)*(1-(Examples!$E$12*(1-EXP(-Examples!$E$13*$A597))/(1+EXP(MIN(700,MAX(-700,(Examples!$E$14*$A597-Examples!$E$15)/Examples!$E$16))))))+Examples!$E$17*$A597^2)</f>
        <v>2286965.3343788972</v>
      </c>
      <c r="G597" s="33">
        <f>(Examples!$E$6*Examples!$E$7*Examples!$E$8*EXP(-Examples!$E$9*$A597)*(1-(Examples!$E$12*(1-EXP(-Examples!$E$13*$A597))/(1+EXP(MIN(700,MAX(-700,(Examples!$E$14*$A597-Examples!$E$15)/Examples!$E$16))))))+Examples!$E$17*$A597^2)</f>
        <v>207284.66562110296</v>
      </c>
      <c r="H597" s="33">
        <f>Examples!$F$18-(Examples!$F$10+Examples!$F$11)*$A597-(Examples!$F$6*Examples!$F$7*Examples!$F$8*EXP(-Examples!$F$9*$A597)*(1-(Examples!$F$12*(1-EXP(-Examples!$F$13*$A597))/(1+EXP(MIN(700,MAX(-700,(Examples!$F$14*$A597-Examples!$F$15)/Examples!$F$16))))))+Examples!$F$17*$A597^2)</f>
        <v>-679986.44855816779</v>
      </c>
      <c r="I597" s="33">
        <f>(Examples!$F$6*Examples!$F$7*Examples!$F$8*EXP(-Examples!$F$9*$A597)*(1-(Examples!$F$12*(1-EXP(-Examples!$F$13*$A597))/(1+EXP(MIN(700,MAX(-700,(Examples!$F$14*$A597-Examples!$F$15)/Examples!$F$16))))))+Examples!$F$17*$A597^2)</f>
        <v>710986.44855816779</v>
      </c>
      <c r="J597" s="33">
        <f>Examples!$G$18-(Examples!$G$10+Examples!$G$11)*$A597-(Examples!$G$6*Examples!$G$7*Examples!$G$8*EXP(-Examples!$G$9*$A597)*(1-(Examples!$G$12*(1-EXP(-Examples!$G$13*$A597))/(1+EXP(MIN(700,MAX(-700,(Examples!$G$14*$A597-Examples!$G$15)/Examples!$G$16))))))+Examples!$G$17*$A597^2)</f>
        <v>671926.43622238166</v>
      </c>
      <c r="K597" s="33">
        <f>(Examples!$G$6*Examples!$G$7*Examples!$G$8*EXP(-Examples!$G$9*$A597)*(1-(Examples!$G$12*(1-EXP(-Examples!$G$13*$A597))/(1+EXP(MIN(700,MAX(-700,(Examples!$G$14*$A597-Examples!$G$15)/Examples!$G$16))))))+Examples!$G$17*$A597^2)</f>
        <v>530573.56377761834</v>
      </c>
      <c r="L597" s="33">
        <f>Examples!$H$18-(Examples!$H$10+Examples!$H$11)*$A597-(Examples!$H$6*Examples!$H$7*Examples!$H$8*EXP(-Examples!$H$9*$A597)*(1-(Examples!$H$12*(1-EXP(-Examples!$H$13*$A597))/(1+EXP(MIN(700,MAX(-700,(Examples!$H$14*$A597-Examples!$H$15)/Examples!$H$16))))))+Examples!$H$17*$A597^2)</f>
        <v>670046.48268491717</v>
      </c>
      <c r="M597" s="33">
        <f>(Examples!$H$6*Examples!$H$7*Examples!$H$8*EXP(-Examples!$H$9*$A597)*(1-(Examples!$H$12*(1-EXP(-Examples!$H$13*$A597))/(1+EXP(MIN(700,MAX(-700,(Examples!$H$14*$A597-Examples!$H$15)/Examples!$H$16))))))+Examples!$H$17*$A597^2)</f>
        <v>532453.51731508283</v>
      </c>
    </row>
    <row r="598" spans="1:13" x14ac:dyDescent="0.25">
      <c r="A598">
        <f>(598-2)/100</f>
        <v>5.96</v>
      </c>
      <c r="B598" s="33">
        <f>Examples!$C$18-(Examples!$C$10+Examples!$C$11)*$A598-(Examples!$C$6*Examples!$C$7*Examples!$C$8*EXP(-Examples!$C$9*$A598)*(1-(Examples!$C$12*(1-EXP(-Examples!$C$13*$A598))/(1+EXP(MIN(700,MAX(-700,(Examples!$C$14*$A598-Examples!$C$15)/Examples!$C$16))))))+Examples!$C$17*$A598^2)</f>
        <v>-241800.62118183414</v>
      </c>
      <c r="C598" s="33">
        <f>(Examples!$C$6*Examples!$C$7*Examples!$C$8*EXP(-Examples!$C$9*$A598)*(1-(Examples!$C$12*(1-EXP(-Examples!$C$13*$A598))/(1+EXP(MIN(700,MAX(-700,(Examples!$C$14*$A598-Examples!$C$15)/Examples!$C$16))))))+Examples!$C$17*$A598^2)</f>
        <v>633200.62118183414</v>
      </c>
      <c r="D598" s="33">
        <f>Examples!$D$18-(Examples!$D$10+Examples!$D$11)*$A598-(Examples!$D$6*Examples!$D$7*Examples!$D$8*EXP(-Examples!$D$9*$A598)*(1-(Examples!$D$12*(1-EXP(-Examples!$D$13*$A598))/(1+EXP(MIN(700,MAX(-700,(Examples!$D$14*$A598-Examples!$D$15)/Examples!$D$16))))))+Examples!$D$17*$A598^2)</f>
        <v>1658568.367849383</v>
      </c>
      <c r="E598" s="33">
        <f>(Examples!$D$6*Examples!$D$7*Examples!$D$8*EXP(-Examples!$D$9*$A598)*(1-(Examples!$D$12*(1-EXP(-Examples!$D$13*$A598))/(1+EXP(MIN(700,MAX(-700,(Examples!$D$14*$A598-Examples!$D$15)/Examples!$D$16))))))+Examples!$D$17*$A598^2)</f>
        <v>573231.63215061696</v>
      </c>
      <c r="F598" s="33">
        <f>Examples!$E$18-(Examples!$E$10+Examples!$E$11)*$A598-(Examples!$E$6*Examples!$E$7*Examples!$E$8*EXP(-Examples!$E$9*$A598)*(1-(Examples!$E$12*(1-EXP(-Examples!$E$13*$A598))/(1+EXP(MIN(700,MAX(-700,(Examples!$E$14*$A598-Examples!$E$15)/Examples!$E$16))))))+Examples!$E$17*$A598^2)</f>
        <v>2286067.1267476301</v>
      </c>
      <c r="G598" s="33">
        <f>(Examples!$E$6*Examples!$E$7*Examples!$E$8*EXP(-Examples!$E$9*$A598)*(1-(Examples!$E$12*(1-EXP(-Examples!$E$13*$A598))/(1+EXP(MIN(700,MAX(-700,(Examples!$E$14*$A598-Examples!$E$15)/Examples!$E$16))))))+Examples!$E$17*$A598^2)</f>
        <v>207332.8732523701</v>
      </c>
      <c r="H598" s="33">
        <f>Examples!$F$18-(Examples!$F$10+Examples!$F$11)*$A598-(Examples!$F$6*Examples!$F$7*Examples!$F$8*EXP(-Examples!$F$9*$A598)*(1-(Examples!$F$12*(1-EXP(-Examples!$F$13*$A598))/(1+EXP(MIN(700,MAX(-700,(Examples!$F$14*$A598-Examples!$F$15)/Examples!$F$16))))))+Examples!$F$17*$A598^2)</f>
        <v>-682559.65241366718</v>
      </c>
      <c r="I598" s="33">
        <f>(Examples!$F$6*Examples!$F$7*Examples!$F$8*EXP(-Examples!$F$9*$A598)*(1-(Examples!$F$12*(1-EXP(-Examples!$F$13*$A598))/(1+EXP(MIN(700,MAX(-700,(Examples!$F$14*$A598-Examples!$F$15)/Examples!$F$16))))))+Examples!$F$17*$A598^2)</f>
        <v>713359.65241366718</v>
      </c>
      <c r="J598" s="33">
        <f>Examples!$G$18-(Examples!$G$10+Examples!$G$11)*$A598-(Examples!$G$6*Examples!$G$7*Examples!$G$8*EXP(-Examples!$G$9*$A598)*(1-(Examples!$G$12*(1-EXP(-Examples!$G$13*$A598))/(1+EXP(MIN(700,MAX(-700,(Examples!$G$14*$A598-Examples!$G$15)/Examples!$G$16))))))+Examples!$G$17*$A598^2)</f>
        <v>671313.74858095869</v>
      </c>
      <c r="K598" s="33">
        <f>(Examples!$G$6*Examples!$G$7*Examples!$G$8*EXP(-Examples!$G$9*$A598)*(1-(Examples!$G$12*(1-EXP(-Examples!$G$13*$A598))/(1+EXP(MIN(700,MAX(-700,(Examples!$G$14*$A598-Examples!$G$15)/Examples!$G$16))))))+Examples!$G$17*$A598^2)</f>
        <v>530686.25141904131</v>
      </c>
      <c r="L598" s="33">
        <f>Examples!$H$18-(Examples!$H$10+Examples!$H$11)*$A598-(Examples!$H$6*Examples!$H$7*Examples!$H$8*EXP(-Examples!$H$9*$A598)*(1-(Examples!$H$12*(1-EXP(-Examples!$H$13*$A598))/(1+EXP(MIN(700,MAX(-700,(Examples!$H$14*$A598-Examples!$H$15)/Examples!$H$16))))))+Examples!$H$17*$A598^2)</f>
        <v>669464.38072156929</v>
      </c>
      <c r="M598" s="33">
        <f>(Examples!$H$6*Examples!$H$7*Examples!$H$8*EXP(-Examples!$H$9*$A598)*(1-(Examples!$H$12*(1-EXP(-Examples!$H$13*$A598))/(1+EXP(MIN(700,MAX(-700,(Examples!$H$14*$A598-Examples!$H$15)/Examples!$H$16))))))+Examples!$H$17*$A598^2)</f>
        <v>532535.61927843071</v>
      </c>
    </row>
    <row r="599" spans="1:13" x14ac:dyDescent="0.25">
      <c r="A599">
        <f>(599-2)/100</f>
        <v>5.97</v>
      </c>
      <c r="B599" s="33">
        <f>Examples!$C$18-(Examples!$C$10+Examples!$C$11)*$A599-(Examples!$C$6*Examples!$C$7*Examples!$C$8*EXP(-Examples!$C$9*$A599)*(1-(Examples!$C$12*(1-EXP(-Examples!$C$13*$A599))/(1+EXP(MIN(700,MAX(-700,(Examples!$C$14*$A599-Examples!$C$15)/Examples!$C$16))))))+Examples!$C$17*$A599^2)</f>
        <v>-243639.44363739679</v>
      </c>
      <c r="C599" s="33">
        <f>(Examples!$C$6*Examples!$C$7*Examples!$C$8*EXP(-Examples!$C$9*$A599)*(1-(Examples!$C$12*(1-EXP(-Examples!$C$13*$A599))/(1+EXP(MIN(700,MAX(-700,(Examples!$C$14*$A599-Examples!$C$15)/Examples!$C$16))))))+Examples!$C$17*$A599^2)</f>
        <v>634689.44363739679</v>
      </c>
      <c r="D599" s="33">
        <f>Examples!$D$18-(Examples!$D$10+Examples!$D$11)*$A599-(Examples!$D$6*Examples!$D$7*Examples!$D$8*EXP(-Examples!$D$9*$A599)*(1-(Examples!$D$12*(1-EXP(-Examples!$D$13*$A599))/(1+EXP(MIN(700,MAX(-700,(Examples!$D$14*$A599-Examples!$D$15)/Examples!$D$16))))))+Examples!$D$17*$A599^2)</f>
        <v>1659113.5015945742</v>
      </c>
      <c r="E599" s="33">
        <f>(Examples!$D$6*Examples!$D$7*Examples!$D$8*EXP(-Examples!$D$9*$A599)*(1-(Examples!$D$12*(1-EXP(-Examples!$D$13*$A599))/(1+EXP(MIN(700,MAX(-700,(Examples!$D$14*$A599-Examples!$D$15)/Examples!$D$16))))))+Examples!$D$17*$A599^2)</f>
        <v>572236.49840542569</v>
      </c>
      <c r="F599" s="33">
        <f>Examples!$E$18-(Examples!$E$10+Examples!$E$11)*$A599-(Examples!$E$6*Examples!$E$7*Examples!$E$8*EXP(-Examples!$E$9*$A599)*(1-(Examples!$E$12*(1-EXP(-Examples!$E$13*$A599))/(1+EXP(MIN(700,MAX(-700,(Examples!$E$14*$A599-Examples!$E$15)/Examples!$E$16))))))+Examples!$E$17*$A599^2)</f>
        <v>2285168.2584498711</v>
      </c>
      <c r="G599" s="33">
        <f>(Examples!$E$6*Examples!$E$7*Examples!$E$8*EXP(-Examples!$E$9*$A599)*(1-(Examples!$E$12*(1-EXP(-Examples!$E$13*$A599))/(1+EXP(MIN(700,MAX(-700,(Examples!$E$14*$A599-Examples!$E$15)/Examples!$E$16))))))+Examples!$E$17*$A599^2)</f>
        <v>207381.74155012867</v>
      </c>
      <c r="H599" s="33">
        <f>Examples!$F$18-(Examples!$F$10+Examples!$F$11)*$A599-(Examples!$F$6*Examples!$F$7*Examples!$F$8*EXP(-Examples!$F$9*$A599)*(1-(Examples!$F$12*(1-EXP(-Examples!$F$13*$A599))/(1+EXP(MIN(700,MAX(-700,(Examples!$F$14*$A599-Examples!$F$15)/Examples!$F$16))))))+Examples!$F$17*$A599^2)</f>
        <v>-685136.88261804194</v>
      </c>
      <c r="I599" s="33">
        <f>(Examples!$F$6*Examples!$F$7*Examples!$F$8*EXP(-Examples!$F$9*$A599)*(1-(Examples!$F$12*(1-EXP(-Examples!$F$13*$A599))/(1+EXP(MIN(700,MAX(-700,(Examples!$F$14*$A599-Examples!$F$15)/Examples!$F$16))))))+Examples!$F$17*$A599^2)</f>
        <v>715736.88261804194</v>
      </c>
      <c r="J599" s="33">
        <f>Examples!$G$18-(Examples!$G$10+Examples!$G$11)*$A599-(Examples!$G$6*Examples!$G$7*Examples!$G$8*EXP(-Examples!$G$9*$A599)*(1-(Examples!$G$12*(1-EXP(-Examples!$G$13*$A599))/(1+EXP(MIN(700,MAX(-700,(Examples!$G$14*$A599-Examples!$G$15)/Examples!$G$16))))))+Examples!$G$17*$A599^2)</f>
        <v>670696.91296580923</v>
      </c>
      <c r="K599" s="33">
        <f>(Examples!$G$6*Examples!$G$7*Examples!$G$8*EXP(-Examples!$G$9*$A599)*(1-(Examples!$G$12*(1-EXP(-Examples!$G$13*$A599))/(1+EXP(MIN(700,MAX(-700,(Examples!$G$14*$A599-Examples!$G$15)/Examples!$G$16))))))+Examples!$G$17*$A599^2)</f>
        <v>530803.08703419077</v>
      </c>
      <c r="L599" s="33">
        <f>Examples!$H$18-(Examples!$H$10+Examples!$H$11)*$A599-(Examples!$H$6*Examples!$H$7*Examples!$H$8*EXP(-Examples!$H$9*$A599)*(1-(Examples!$H$12*(1-EXP(-Examples!$H$13*$A599))/(1+EXP(MIN(700,MAX(-700,(Examples!$H$14*$A599-Examples!$H$15)/Examples!$H$16))))))+Examples!$H$17*$A599^2)</f>
        <v>668877.63990918861</v>
      </c>
      <c r="M599" s="33">
        <f>(Examples!$H$6*Examples!$H$7*Examples!$H$8*EXP(-Examples!$H$9*$A599)*(1-(Examples!$H$12*(1-EXP(-Examples!$H$13*$A599))/(1+EXP(MIN(700,MAX(-700,(Examples!$H$14*$A599-Examples!$H$15)/Examples!$H$16))))))+Examples!$H$17*$A599^2)</f>
        <v>532622.36009081139</v>
      </c>
    </row>
    <row r="600" spans="1:13" x14ac:dyDescent="0.25">
      <c r="A600">
        <f>(600-2)/100</f>
        <v>5.98</v>
      </c>
      <c r="B600" s="33">
        <f>Examples!$C$18-(Examples!$C$10+Examples!$C$11)*$A600-(Examples!$C$6*Examples!$C$7*Examples!$C$8*EXP(-Examples!$C$9*$A600)*(1-(Examples!$C$12*(1-EXP(-Examples!$C$13*$A600))/(1+EXP(MIN(700,MAX(-700,(Examples!$C$14*$A600-Examples!$C$15)/Examples!$C$16))))))+Examples!$C$17*$A600^2)</f>
        <v>-245482.16673599079</v>
      </c>
      <c r="C600" s="33">
        <f>(Examples!$C$6*Examples!$C$7*Examples!$C$8*EXP(-Examples!$C$9*$A600)*(1-(Examples!$C$12*(1-EXP(-Examples!$C$13*$A600))/(1+EXP(MIN(700,MAX(-700,(Examples!$C$14*$A600-Examples!$C$15)/Examples!$C$16))))))+Examples!$C$17*$A600^2)</f>
        <v>636182.16673599079</v>
      </c>
      <c r="D600" s="33">
        <f>Examples!$D$18-(Examples!$D$10+Examples!$D$11)*$A600-(Examples!$D$6*Examples!$D$7*Examples!$D$8*EXP(-Examples!$D$9*$A600)*(1-(Examples!$D$12*(1-EXP(-Examples!$D$13*$A600))/(1+EXP(MIN(700,MAX(-700,(Examples!$D$14*$A600-Examples!$D$15)/Examples!$D$16))))))+Examples!$D$17*$A600^2)</f>
        <v>1659653.4665042616</v>
      </c>
      <c r="E600" s="33">
        <f>(Examples!$D$6*Examples!$D$7*Examples!$D$8*EXP(-Examples!$D$9*$A600)*(1-(Examples!$D$12*(1-EXP(-Examples!$D$13*$A600))/(1+EXP(MIN(700,MAX(-700,(Examples!$D$14*$A600-Examples!$D$15)/Examples!$D$16))))))+Examples!$D$17*$A600^2)</f>
        <v>571246.5334957384</v>
      </c>
      <c r="F600" s="33">
        <f>Examples!$E$18-(Examples!$E$10+Examples!$E$11)*$A600-(Examples!$E$6*Examples!$E$7*Examples!$E$8*EXP(-Examples!$E$9*$A600)*(1-(Examples!$E$12*(1-EXP(-Examples!$E$13*$A600))/(1+EXP(MIN(700,MAX(-700,(Examples!$E$14*$A600-Examples!$E$15)/Examples!$E$16))))))+Examples!$E$17*$A600^2)</f>
        <v>2284268.7244347772</v>
      </c>
      <c r="G600" s="33">
        <f>(Examples!$E$6*Examples!$E$7*Examples!$E$8*EXP(-Examples!$E$9*$A600)*(1-(Examples!$E$12*(1-EXP(-Examples!$E$13*$A600))/(1+EXP(MIN(700,MAX(-700,(Examples!$E$14*$A600-Examples!$E$15)/Examples!$E$16))))))+Examples!$E$17*$A600^2)</f>
        <v>207431.27556522304</v>
      </c>
      <c r="H600" s="33">
        <f>Examples!$F$18-(Examples!$F$10+Examples!$F$11)*$A600-(Examples!$F$6*Examples!$F$7*Examples!$F$8*EXP(-Examples!$F$9*$A600)*(1-(Examples!$F$12*(1-EXP(-Examples!$F$13*$A600))/(1+EXP(MIN(700,MAX(-700,(Examples!$F$14*$A600-Examples!$F$15)/Examples!$F$16))))))+Examples!$F$17*$A600^2)</f>
        <v>-687718.13909236505</v>
      </c>
      <c r="I600" s="33">
        <f>(Examples!$F$6*Examples!$F$7*Examples!$F$8*EXP(-Examples!$F$9*$A600)*(1-(Examples!$F$12*(1-EXP(-Examples!$F$13*$A600))/(1+EXP(MIN(700,MAX(-700,(Examples!$F$14*$A600-Examples!$F$15)/Examples!$F$16))))))+Examples!$F$17*$A600^2)</f>
        <v>718118.13909236505</v>
      </c>
      <c r="J600" s="33">
        <f>Examples!$G$18-(Examples!$G$10+Examples!$G$11)*$A600-(Examples!$G$6*Examples!$G$7*Examples!$G$8*EXP(-Examples!$G$9*$A600)*(1-(Examples!$G$12*(1-EXP(-Examples!$G$13*$A600))/(1+EXP(MIN(700,MAX(-700,(Examples!$G$14*$A600-Examples!$G$15)/Examples!$G$16))))))+Examples!$G$17*$A600^2)</f>
        <v>670075.93218765664</v>
      </c>
      <c r="K600" s="33">
        <f>(Examples!$G$6*Examples!$G$7*Examples!$G$8*EXP(-Examples!$G$9*$A600)*(1-(Examples!$G$12*(1-EXP(-Examples!$G$13*$A600))/(1+EXP(MIN(700,MAX(-700,(Examples!$G$14*$A600-Examples!$G$15)/Examples!$G$16))))))+Examples!$G$17*$A600^2)</f>
        <v>530924.06781234336</v>
      </c>
      <c r="L600" s="33">
        <f>Examples!$H$18-(Examples!$H$10+Examples!$H$11)*$A600-(Examples!$H$6*Examples!$H$7*Examples!$H$8*EXP(-Examples!$H$9*$A600)*(1-(Examples!$H$12*(1-EXP(-Examples!$H$13*$A600))/(1+EXP(MIN(700,MAX(-700,(Examples!$H$14*$A600-Examples!$H$15)/Examples!$H$16))))))+Examples!$H$17*$A600^2)</f>
        <v>668286.27075233683</v>
      </c>
      <c r="M600" s="33">
        <f>(Examples!$H$6*Examples!$H$7*Examples!$H$8*EXP(-Examples!$H$9*$A600)*(1-(Examples!$H$12*(1-EXP(-Examples!$H$13*$A600))/(1+EXP(MIN(700,MAX(-700,(Examples!$H$14*$A600-Examples!$H$15)/Examples!$H$16))))))+Examples!$H$17*$A600^2)</f>
        <v>532713.72924766317</v>
      </c>
    </row>
    <row r="601" spans="1:13" x14ac:dyDescent="0.25">
      <c r="A601">
        <f>(601-2)/100</f>
        <v>5.99</v>
      </c>
      <c r="B601" s="33">
        <f>Examples!$C$18-(Examples!$C$10+Examples!$C$11)*$A601-(Examples!$C$6*Examples!$C$7*Examples!$C$8*EXP(-Examples!$C$9*$A601)*(1-(Examples!$C$12*(1-EXP(-Examples!$C$13*$A601))/(1+EXP(MIN(700,MAX(-700,(Examples!$C$14*$A601-Examples!$C$15)/Examples!$C$16))))))+Examples!$C$17*$A601^2)</f>
        <v>-247328.78778106894</v>
      </c>
      <c r="C601" s="33">
        <f>(Examples!$C$6*Examples!$C$7*Examples!$C$8*EXP(-Examples!$C$9*$A601)*(1-(Examples!$C$12*(1-EXP(-Examples!$C$13*$A601))/(1+EXP(MIN(700,MAX(-700,(Examples!$C$14*$A601-Examples!$C$15)/Examples!$C$16))))))+Examples!$C$17*$A601^2)</f>
        <v>637678.78778106894</v>
      </c>
      <c r="D601" s="33">
        <f>Examples!$D$18-(Examples!$D$10+Examples!$D$11)*$A601-(Examples!$D$6*Examples!$D$7*Examples!$D$8*EXP(-Examples!$D$9*$A601)*(1-(Examples!$D$12*(1-EXP(-Examples!$D$13*$A601))/(1+EXP(MIN(700,MAX(-700,(Examples!$D$14*$A601-Examples!$D$15)/Examples!$D$16))))))+Examples!$D$17*$A601^2)</f>
        <v>1660188.2365784068</v>
      </c>
      <c r="E601" s="33">
        <f>(Examples!$D$6*Examples!$D$7*Examples!$D$8*EXP(-Examples!$D$9*$A601)*(1-(Examples!$D$12*(1-EXP(-Examples!$D$13*$A601))/(1+EXP(MIN(700,MAX(-700,(Examples!$D$14*$A601-Examples!$D$15)/Examples!$D$16))))))+Examples!$D$17*$A601^2)</f>
        <v>570261.76342159323</v>
      </c>
      <c r="F601" s="33">
        <f>Examples!$E$18-(Examples!$E$10+Examples!$E$11)*$A601-(Examples!$E$6*Examples!$E$7*Examples!$E$8*EXP(-Examples!$E$9*$A601)*(1-(Examples!$E$12*(1-EXP(-Examples!$E$13*$A601))/(1+EXP(MIN(700,MAX(-700,(Examples!$E$14*$A601-Examples!$E$15)/Examples!$E$16))))))+Examples!$E$17*$A601^2)</f>
        <v>2283368.5196051877</v>
      </c>
      <c r="G601" s="33">
        <f>(Examples!$E$6*Examples!$E$7*Examples!$E$8*EXP(-Examples!$E$9*$A601)*(1-(Examples!$E$12*(1-EXP(-Examples!$E$13*$A601))/(1+EXP(MIN(700,MAX(-700,(Examples!$E$14*$A601-Examples!$E$15)/Examples!$E$16))))))+Examples!$E$17*$A601^2)</f>
        <v>207481.48039481218</v>
      </c>
      <c r="H601" s="33">
        <f>Examples!$F$18-(Examples!$F$10+Examples!$F$11)*$A601-(Examples!$F$6*Examples!$F$7*Examples!$F$8*EXP(-Examples!$F$9*$A601)*(1-(Examples!$F$12*(1-EXP(-Examples!$F$13*$A601))/(1+EXP(MIN(700,MAX(-700,(Examples!$F$14*$A601-Examples!$F$15)/Examples!$F$16))))))+Examples!$F$17*$A601^2)</f>
        <v>-690303.42175794474</v>
      </c>
      <c r="I601" s="33">
        <f>(Examples!$F$6*Examples!$F$7*Examples!$F$8*EXP(-Examples!$F$9*$A601)*(1-(Examples!$F$12*(1-EXP(-Examples!$F$13*$A601))/(1+EXP(MIN(700,MAX(-700,(Examples!$F$14*$A601-Examples!$F$15)/Examples!$F$16))))))+Examples!$F$17*$A601^2)</f>
        <v>720503.42175794474</v>
      </c>
      <c r="J601" s="33">
        <f>Examples!$G$18-(Examples!$G$10+Examples!$G$11)*$A601-(Examples!$G$6*Examples!$G$7*Examples!$G$8*EXP(-Examples!$G$9*$A601)*(1-(Examples!$G$12*(1-EXP(-Examples!$G$13*$A601))/(1+EXP(MIN(700,MAX(-700,(Examples!$G$14*$A601-Examples!$G$15)/Examples!$G$16))))))+Examples!$G$17*$A601^2)</f>
        <v>669450.80913978512</v>
      </c>
      <c r="K601" s="33">
        <f>(Examples!$G$6*Examples!$G$7*Examples!$G$8*EXP(-Examples!$G$9*$A601)*(1-(Examples!$G$12*(1-EXP(-Examples!$G$13*$A601))/(1+EXP(MIN(700,MAX(-700,(Examples!$G$14*$A601-Examples!$G$15)/Examples!$G$16))))))+Examples!$G$17*$A601^2)</f>
        <v>531049.19086021488</v>
      </c>
      <c r="L601" s="33">
        <f>Examples!$H$18-(Examples!$H$10+Examples!$H$11)*$A601-(Examples!$H$6*Examples!$H$7*Examples!$H$8*EXP(-Examples!$H$9*$A601)*(1-(Examples!$H$12*(1-EXP(-Examples!$H$13*$A601))/(1+EXP(MIN(700,MAX(-700,(Examples!$H$14*$A601-Examples!$H$15)/Examples!$H$16))))))+Examples!$H$17*$A601^2)</f>
        <v>667690.28372276365</v>
      </c>
      <c r="M601" s="33">
        <f>(Examples!$H$6*Examples!$H$7*Examples!$H$8*EXP(-Examples!$H$9*$A601)*(1-(Examples!$H$12*(1-EXP(-Examples!$H$13*$A601))/(1+EXP(MIN(700,MAX(-700,(Examples!$H$14*$A601-Examples!$H$15)/Examples!$H$16))))))+Examples!$H$17*$A601^2)</f>
        <v>532809.71627723635</v>
      </c>
    </row>
    <row r="602" spans="1:13" x14ac:dyDescent="0.25">
      <c r="A602">
        <f>(602-2)/100</f>
        <v>6</v>
      </c>
      <c r="B602" s="33">
        <f>Examples!$C$18-(Examples!$C$10+Examples!$C$11)*$A602-(Examples!$C$6*Examples!$C$7*Examples!$C$8*EXP(-Examples!$C$9*$A602)*(1-(Examples!$C$12*(1-EXP(-Examples!$C$13*$A602))/(1+EXP(MIN(700,MAX(-700,(Examples!$C$14*$A602-Examples!$C$15)/Examples!$C$16))))))+Examples!$C$17*$A602^2)</f>
        <v>-249179.30408411543</v>
      </c>
      <c r="C602" s="33">
        <f>(Examples!$C$6*Examples!$C$7*Examples!$C$8*EXP(-Examples!$C$9*$A602)*(1-(Examples!$C$12*(1-EXP(-Examples!$C$13*$A602))/(1+EXP(MIN(700,MAX(-700,(Examples!$C$14*$A602-Examples!$C$15)/Examples!$C$16))))))+Examples!$C$17*$A602^2)</f>
        <v>639179.30408411543</v>
      </c>
      <c r="D602" s="33">
        <f>Examples!$D$18-(Examples!$D$10+Examples!$D$11)*$A602-(Examples!$D$6*Examples!$D$7*Examples!$D$8*EXP(-Examples!$D$9*$A602)*(1-(Examples!$D$12*(1-EXP(-Examples!$D$13*$A602))/(1+EXP(MIN(700,MAX(-700,(Examples!$D$14*$A602-Examples!$D$15)/Examples!$D$16))))))+Examples!$D$17*$A602^2)</f>
        <v>1660717.7865110124</v>
      </c>
      <c r="E602" s="33">
        <f>(Examples!$D$6*Examples!$D$7*Examples!$D$8*EXP(-Examples!$D$9*$A602)*(1-(Examples!$D$12*(1-EXP(-Examples!$D$13*$A602))/(1+EXP(MIN(700,MAX(-700,(Examples!$D$14*$A602-Examples!$D$15)/Examples!$D$16))))))+Examples!$D$17*$A602^2)</f>
        <v>569282.21348898765</v>
      </c>
      <c r="F602" s="33">
        <f>Examples!$E$18-(Examples!$E$10+Examples!$E$11)*$A602-(Examples!$E$6*Examples!$E$7*Examples!$E$8*EXP(-Examples!$E$9*$A602)*(1-(Examples!$E$12*(1-EXP(-Examples!$E$13*$A602))/(1+EXP(MIN(700,MAX(-700,(Examples!$E$14*$A602-Examples!$E$15)/Examples!$E$16))))))+Examples!$E$17*$A602^2)</f>
        <v>2282467.638819403</v>
      </c>
      <c r="G602" s="33">
        <f>(Examples!$E$6*Examples!$E$7*Examples!$E$8*EXP(-Examples!$E$9*$A602)*(1-(Examples!$E$12*(1-EXP(-Examples!$E$13*$A602))/(1+EXP(MIN(700,MAX(-700,(Examples!$E$14*$A602-Examples!$E$15)/Examples!$E$16))))))+Examples!$E$17*$A602^2)</f>
        <v>207532.36118059713</v>
      </c>
      <c r="H602" s="33">
        <f>Examples!$F$18-(Examples!$F$10+Examples!$F$11)*$A602-(Examples!$F$6*Examples!$F$7*Examples!$F$8*EXP(-Examples!$F$9*$A602)*(1-(Examples!$F$12*(1-EXP(-Examples!$F$13*$A602))/(1+EXP(MIN(700,MAX(-700,(Examples!$F$14*$A602-Examples!$F$15)/Examples!$F$16))))))+Examples!$F$17*$A602^2)</f>
        <v>-692892.7305363256</v>
      </c>
      <c r="I602" s="33">
        <f>(Examples!$F$6*Examples!$F$7*Examples!$F$8*EXP(-Examples!$F$9*$A602)*(1-(Examples!$F$12*(1-EXP(-Examples!$F$13*$A602))/(1+EXP(MIN(700,MAX(-700,(Examples!$F$14*$A602-Examples!$F$15)/Examples!$F$16))))))+Examples!$F$17*$A602^2)</f>
        <v>722892.7305363256</v>
      </c>
      <c r="J602" s="33">
        <f>Examples!$G$18-(Examples!$G$10+Examples!$G$11)*$A602-(Examples!$G$6*Examples!$G$7*Examples!$G$8*EXP(-Examples!$G$9*$A602)*(1-(Examples!$G$12*(1-EXP(-Examples!$G$13*$A602))/(1+EXP(MIN(700,MAX(-700,(Examples!$G$14*$A602-Examples!$G$15)/Examples!$G$16))))))+Examples!$G$17*$A602^2)</f>
        <v>668821.54679644469</v>
      </c>
      <c r="K602" s="33">
        <f>(Examples!$G$6*Examples!$G$7*Examples!$G$8*EXP(-Examples!$G$9*$A602)*(1-(Examples!$G$12*(1-EXP(-Examples!$G$13*$A602))/(1+EXP(MIN(700,MAX(-700,(Examples!$G$14*$A602-Examples!$G$15)/Examples!$G$16))))))+Examples!$G$17*$A602^2)</f>
        <v>531178.45320355531</v>
      </c>
      <c r="L602" s="33">
        <f>Examples!$H$18-(Examples!$H$10+Examples!$H$11)*$A602-(Examples!$H$6*Examples!$H$7*Examples!$H$8*EXP(-Examples!$H$9*$A602)*(1-(Examples!$H$12*(1-EXP(-Examples!$H$13*$A602))/(1+EXP(MIN(700,MAX(-700,(Examples!$H$14*$A602-Examples!$H$15)/Examples!$H$16))))))+Examples!$H$17*$A602^2)</f>
        <v>667089.68925938732</v>
      </c>
      <c r="M602" s="33">
        <f>(Examples!$H$6*Examples!$H$7*Examples!$H$8*EXP(-Examples!$H$9*$A602)*(1-(Examples!$H$12*(1-EXP(-Examples!$H$13*$A602))/(1+EXP(MIN(700,MAX(-700,(Examples!$H$14*$A602-Examples!$H$15)/Examples!$H$16))))))+Examples!$H$17*$A602^2)</f>
        <v>532910.31074061268</v>
      </c>
    </row>
    <row r="603" spans="1:13" x14ac:dyDescent="0.25">
      <c r="A603">
        <f>(603-2)/100</f>
        <v>6.01</v>
      </c>
      <c r="B603" s="33">
        <f>Examples!$C$18-(Examples!$C$10+Examples!$C$11)*$A603-(Examples!$C$6*Examples!$C$7*Examples!$C$8*EXP(-Examples!$C$9*$A603)*(1-(Examples!$C$12*(1-EXP(-Examples!$C$13*$A603))/(1+EXP(MIN(700,MAX(-700,(Examples!$C$14*$A603-Examples!$C$15)/Examples!$C$16))))))+Examples!$C$17*$A603^2)</f>
        <v>-251033.71296462312</v>
      </c>
      <c r="C603" s="33">
        <f>(Examples!$C$6*Examples!$C$7*Examples!$C$8*EXP(-Examples!$C$9*$A603)*(1-(Examples!$C$12*(1-EXP(-Examples!$C$13*$A603))/(1+EXP(MIN(700,MAX(-700,(Examples!$C$14*$A603-Examples!$C$15)/Examples!$C$16))))))+Examples!$C$17*$A603^2)</f>
        <v>640683.71296462312</v>
      </c>
      <c r="D603" s="33">
        <f>Examples!$D$18-(Examples!$D$10+Examples!$D$11)*$A603-(Examples!$D$6*Examples!$D$7*Examples!$D$8*EXP(-Examples!$D$9*$A603)*(1-(Examples!$D$12*(1-EXP(-Examples!$D$13*$A603))/(1+EXP(MIN(700,MAX(-700,(Examples!$D$14*$A603-Examples!$D$15)/Examples!$D$16))))))+Examples!$D$17*$A603^2)</f>
        <v>1661242.0916823095</v>
      </c>
      <c r="E603" s="33">
        <f>(Examples!$D$6*Examples!$D$7*Examples!$D$8*EXP(-Examples!$D$9*$A603)*(1-(Examples!$D$12*(1-EXP(-Examples!$D$13*$A603))/(1+EXP(MIN(700,MAX(-700,(Examples!$D$14*$A603-Examples!$D$15)/Examples!$D$16))))))+Examples!$D$17*$A603^2)</f>
        <v>568307.90831769048</v>
      </c>
      <c r="F603" s="33">
        <f>Examples!$E$18-(Examples!$E$10+Examples!$E$11)*$A603-(Examples!$E$6*Examples!$E$7*Examples!$E$8*EXP(-Examples!$E$9*$A603)*(1-(Examples!$E$12*(1-EXP(-Examples!$E$13*$A603))/(1+EXP(MIN(700,MAX(-700,(Examples!$E$14*$A603-Examples!$E$15)/Examples!$E$16))))))+Examples!$E$17*$A603^2)</f>
        <v>2281566.0768929366</v>
      </c>
      <c r="G603" s="33">
        <f>(Examples!$E$6*Examples!$E$7*Examples!$E$8*EXP(-Examples!$E$9*$A603)*(1-(Examples!$E$12*(1-EXP(-Examples!$E$13*$A603))/(1+EXP(MIN(700,MAX(-700,(Examples!$E$14*$A603-Examples!$E$15)/Examples!$E$16))))))+Examples!$E$17*$A603^2)</f>
        <v>207583.92310706351</v>
      </c>
      <c r="H603" s="33">
        <f>Examples!$F$18-(Examples!$F$10+Examples!$F$11)*$A603-(Examples!$F$6*Examples!$F$7*Examples!$F$8*EXP(-Examples!$F$9*$A603)*(1-(Examples!$F$12*(1-EXP(-Examples!$F$13*$A603))/(1+EXP(MIN(700,MAX(-700,(Examples!$F$14*$A603-Examples!$F$15)/Examples!$F$16))))))+Examples!$F$17*$A603^2)</f>
        <v>-695486.06534928747</v>
      </c>
      <c r="I603" s="33">
        <f>(Examples!$F$6*Examples!$F$7*Examples!$F$8*EXP(-Examples!$F$9*$A603)*(1-(Examples!$F$12*(1-EXP(-Examples!$F$13*$A603))/(1+EXP(MIN(700,MAX(-700,(Examples!$F$14*$A603-Examples!$F$15)/Examples!$F$16))))))+Examples!$F$17*$A603^2)</f>
        <v>725286.06534928747</v>
      </c>
      <c r="J603" s="33">
        <f>Examples!$G$18-(Examples!$G$10+Examples!$G$11)*$A603-(Examples!$G$6*Examples!$G$7*Examples!$G$8*EXP(-Examples!$G$9*$A603)*(1-(Examples!$G$12*(1-EXP(-Examples!$G$13*$A603))/(1+EXP(MIN(700,MAX(-700,(Examples!$G$14*$A603-Examples!$G$15)/Examples!$G$16))))))+Examples!$G$17*$A603^2)</f>
        <v>668188.14821127639</v>
      </c>
      <c r="K603" s="33">
        <f>(Examples!$G$6*Examples!$G$7*Examples!$G$8*EXP(-Examples!$G$9*$A603)*(1-(Examples!$G$12*(1-EXP(-Examples!$G$13*$A603))/(1+EXP(MIN(700,MAX(-700,(Examples!$G$14*$A603-Examples!$G$15)/Examples!$G$16))))))+Examples!$G$17*$A603^2)</f>
        <v>531311.85178872361</v>
      </c>
      <c r="L603" s="33">
        <f>Examples!$H$18-(Examples!$H$10+Examples!$H$11)*$A603-(Examples!$H$6*Examples!$H$7*Examples!$H$8*EXP(-Examples!$H$9*$A603)*(1-(Examples!$H$12*(1-EXP(-Examples!$H$13*$A603))/(1+EXP(MIN(700,MAX(-700,(Examples!$H$14*$A603-Examples!$H$15)/Examples!$H$16))))))+Examples!$H$17*$A603^2)</f>
        <v>666484.49776828033</v>
      </c>
      <c r="M603" s="33">
        <f>(Examples!$H$6*Examples!$H$7*Examples!$H$8*EXP(-Examples!$H$9*$A603)*(1-(Examples!$H$12*(1-EXP(-Examples!$H$13*$A603))/(1+EXP(MIN(700,MAX(-700,(Examples!$H$14*$A603-Examples!$H$15)/Examples!$H$16))))))+Examples!$H$17*$A603^2)</f>
        <v>533015.50223171967</v>
      </c>
    </row>
    <row r="604" spans="1:13" x14ac:dyDescent="0.25">
      <c r="A604">
        <f>(604-2)/100</f>
        <v>6.02</v>
      </c>
      <c r="B604" s="33">
        <f>Examples!$C$18-(Examples!$C$10+Examples!$C$11)*$A604-(Examples!$C$6*Examples!$C$7*Examples!$C$8*EXP(-Examples!$C$9*$A604)*(1-(Examples!$C$12*(1-EXP(-Examples!$C$13*$A604))/(1+EXP(MIN(700,MAX(-700,(Examples!$C$14*$A604-Examples!$C$15)/Examples!$C$16))))))+Examples!$C$17*$A604^2)</f>
        <v>-252892.01175006968</v>
      </c>
      <c r="C604" s="33">
        <f>(Examples!$C$6*Examples!$C$7*Examples!$C$8*EXP(-Examples!$C$9*$A604)*(1-(Examples!$C$12*(1-EXP(-Examples!$C$13*$A604))/(1+EXP(MIN(700,MAX(-700,(Examples!$C$14*$A604-Examples!$C$15)/Examples!$C$16))))))+Examples!$C$17*$A604^2)</f>
        <v>642192.01175006968</v>
      </c>
      <c r="D604" s="33">
        <f>Examples!$D$18-(Examples!$D$10+Examples!$D$11)*$A604-(Examples!$D$6*Examples!$D$7*Examples!$D$8*EXP(-Examples!$D$9*$A604)*(1-(Examples!$D$12*(1-EXP(-Examples!$D$13*$A604))/(1+EXP(MIN(700,MAX(-700,(Examples!$D$14*$A604-Examples!$D$15)/Examples!$D$16))))))+Examples!$D$17*$A604^2)</f>
        <v>1661761.1281509334</v>
      </c>
      <c r="E604" s="33">
        <f>(Examples!$D$6*Examples!$D$7*Examples!$D$8*EXP(-Examples!$D$9*$A604)*(1-(Examples!$D$12*(1-EXP(-Examples!$D$13*$A604))/(1+EXP(MIN(700,MAX(-700,(Examples!$D$14*$A604-Examples!$D$15)/Examples!$D$16))))))+Examples!$D$17*$A604^2)</f>
        <v>567338.87184906669</v>
      </c>
      <c r="F604" s="33">
        <f>Examples!$E$18-(Examples!$E$10+Examples!$E$11)*$A604-(Examples!$E$6*Examples!$E$7*Examples!$E$8*EXP(-Examples!$E$9*$A604)*(1-(Examples!$E$12*(1-EXP(-Examples!$E$13*$A604))/(1+EXP(MIN(700,MAX(-700,(Examples!$E$14*$A604-Examples!$E$15)/Examples!$E$16))))))+Examples!$E$17*$A604^2)</f>
        <v>2280663.8286002604</v>
      </c>
      <c r="G604" s="33">
        <f>(Examples!$E$6*Examples!$E$7*Examples!$E$8*EXP(-Examples!$E$9*$A604)*(1-(Examples!$E$12*(1-EXP(-Examples!$E$13*$A604))/(1+EXP(MIN(700,MAX(-700,(Examples!$E$14*$A604-Examples!$E$15)/Examples!$E$16))))))+Examples!$E$17*$A604^2)</f>
        <v>207636.17139973963</v>
      </c>
      <c r="H604" s="33">
        <f>Examples!$F$18-(Examples!$F$10+Examples!$F$11)*$A604-(Examples!$F$6*Examples!$F$7*Examples!$F$8*EXP(-Examples!$F$9*$A604)*(1-(Examples!$F$12*(1-EXP(-Examples!$F$13*$A604))/(1+EXP(MIN(700,MAX(-700,(Examples!$F$14*$A604-Examples!$F$15)/Examples!$F$16))))))+Examples!$F$17*$A604^2)</f>
        <v>-698083.42611884396</v>
      </c>
      <c r="I604" s="33">
        <f>(Examples!$F$6*Examples!$F$7*Examples!$F$8*EXP(-Examples!$F$9*$A604)*(1-(Examples!$F$12*(1-EXP(-Examples!$F$13*$A604))/(1+EXP(MIN(700,MAX(-700,(Examples!$F$14*$A604-Examples!$F$15)/Examples!$F$16))))))+Examples!$F$17*$A604^2)</f>
        <v>727683.42611884396</v>
      </c>
      <c r="J604" s="33">
        <f>Examples!$G$18-(Examples!$G$10+Examples!$G$11)*$A604-(Examples!$G$6*Examples!$G$7*Examples!$G$8*EXP(-Examples!$G$9*$A604)*(1-(Examples!$G$12*(1-EXP(-Examples!$G$13*$A604))/(1+EXP(MIN(700,MAX(-700,(Examples!$G$14*$A604-Examples!$G$15)/Examples!$G$16))))))+Examples!$G$17*$A604^2)</f>
        <v>667550.61651575891</v>
      </c>
      <c r="K604" s="33">
        <f>(Examples!$G$6*Examples!$G$7*Examples!$G$8*EXP(-Examples!$G$9*$A604)*(1-(Examples!$G$12*(1-EXP(-Examples!$G$13*$A604))/(1+EXP(MIN(700,MAX(-700,(Examples!$G$14*$A604-Examples!$G$15)/Examples!$G$16))))))+Examples!$G$17*$A604^2)</f>
        <v>531449.38348424109</v>
      </c>
      <c r="L604" s="33">
        <f>Examples!$H$18-(Examples!$H$10+Examples!$H$11)*$A604-(Examples!$H$6*Examples!$H$7*Examples!$H$8*EXP(-Examples!$H$9*$A604)*(1-(Examples!$H$12*(1-EXP(-Examples!$H$13*$A604))/(1+EXP(MIN(700,MAX(-700,(Examples!$H$14*$A604-Examples!$H$15)/Examples!$H$16))))))+Examples!$H$17*$A604^2)</f>
        <v>665874.71962265891</v>
      </c>
      <c r="M604" s="33">
        <f>(Examples!$H$6*Examples!$H$7*Examples!$H$8*EXP(-Examples!$H$9*$A604)*(1-(Examples!$H$12*(1-EXP(-Examples!$H$13*$A604))/(1+EXP(MIN(700,MAX(-700,(Examples!$H$14*$A604-Examples!$H$15)/Examples!$H$16))))))+Examples!$H$17*$A604^2)</f>
        <v>533125.28037734109</v>
      </c>
    </row>
    <row r="605" spans="1:13" x14ac:dyDescent="0.25">
      <c r="A605">
        <f>(605-2)/100</f>
        <v>6.03</v>
      </c>
      <c r="B605" s="33">
        <f>Examples!$C$18-(Examples!$C$10+Examples!$C$11)*$A605-(Examples!$C$6*Examples!$C$7*Examples!$C$8*EXP(-Examples!$C$9*$A605)*(1-(Examples!$C$12*(1-EXP(-Examples!$C$13*$A605))/(1+EXP(MIN(700,MAX(-700,(Examples!$C$14*$A605-Examples!$C$15)/Examples!$C$16))))))+Examples!$C$17*$A605^2)</f>
        <v>-254754.19777589745</v>
      </c>
      <c r="C605" s="33">
        <f>(Examples!$C$6*Examples!$C$7*Examples!$C$8*EXP(-Examples!$C$9*$A605)*(1-(Examples!$C$12*(1-EXP(-Examples!$C$13*$A605))/(1+EXP(MIN(700,MAX(-700,(Examples!$C$14*$A605-Examples!$C$15)/Examples!$C$16))))))+Examples!$C$17*$A605^2)</f>
        <v>643704.19777589745</v>
      </c>
      <c r="D605" s="33">
        <f>Examples!$D$18-(Examples!$D$10+Examples!$D$11)*$A605-(Examples!$D$6*Examples!$D$7*Examples!$D$8*EXP(-Examples!$D$9*$A605)*(1-(Examples!$D$12*(1-EXP(-Examples!$D$13*$A605))/(1+EXP(MIN(700,MAX(-700,(Examples!$D$14*$A605-Examples!$D$15)/Examples!$D$16))))))+Examples!$D$17*$A605^2)</f>
        <v>1662274.8726460852</v>
      </c>
      <c r="E605" s="33">
        <f>(Examples!$D$6*Examples!$D$7*Examples!$D$8*EXP(-Examples!$D$9*$A605)*(1-(Examples!$D$12*(1-EXP(-Examples!$D$13*$A605))/(1+EXP(MIN(700,MAX(-700,(Examples!$D$14*$A605-Examples!$D$15)/Examples!$D$16))))))+Examples!$D$17*$A605^2)</f>
        <v>566375.12735391478</v>
      </c>
      <c r="F605" s="33">
        <f>Examples!$E$18-(Examples!$E$10+Examples!$E$11)*$A605-(Examples!$E$6*Examples!$E$7*Examples!$E$8*EXP(-Examples!$E$9*$A605)*(1-(Examples!$E$12*(1-EXP(-Examples!$E$13*$A605))/(1+EXP(MIN(700,MAX(-700,(Examples!$E$14*$A605-Examples!$E$15)/Examples!$E$16))))))+Examples!$E$17*$A605^2)</f>
        <v>2279760.8886765298</v>
      </c>
      <c r="G605" s="33">
        <f>(Examples!$E$6*Examples!$E$7*Examples!$E$8*EXP(-Examples!$E$9*$A605)*(1-(Examples!$E$12*(1-EXP(-Examples!$E$13*$A605))/(1+EXP(MIN(700,MAX(-700,(Examples!$E$14*$A605-Examples!$E$15)/Examples!$E$16))))))+Examples!$E$17*$A605^2)</f>
        <v>207689.11132347008</v>
      </c>
      <c r="H605" s="33">
        <f>Examples!$F$18-(Examples!$F$10+Examples!$F$11)*$A605-(Examples!$F$6*Examples!$F$7*Examples!$F$8*EXP(-Examples!$F$9*$A605)*(1-(Examples!$F$12*(1-EXP(-Examples!$F$13*$A605))/(1+EXP(MIN(700,MAX(-700,(Examples!$F$14*$A605-Examples!$F$15)/Examples!$F$16))))))+Examples!$F$17*$A605^2)</f>
        <v>-700684.81276724266</v>
      </c>
      <c r="I605" s="33">
        <f>(Examples!$F$6*Examples!$F$7*Examples!$F$8*EXP(-Examples!$F$9*$A605)*(1-(Examples!$F$12*(1-EXP(-Examples!$F$13*$A605))/(1+EXP(MIN(700,MAX(-700,(Examples!$F$14*$A605-Examples!$F$15)/Examples!$F$16))))))+Examples!$F$17*$A605^2)</f>
        <v>730084.81276724266</v>
      </c>
      <c r="J605" s="33">
        <f>Examples!$G$18-(Examples!$G$10+Examples!$G$11)*$A605-(Examples!$G$6*Examples!$G$7*Examples!$G$8*EXP(-Examples!$G$9*$A605)*(1-(Examples!$G$12*(1-EXP(-Examples!$G$13*$A605))/(1+EXP(MIN(700,MAX(-700,(Examples!$G$14*$A605-Examples!$G$15)/Examples!$G$16))))))+Examples!$G$17*$A605^2)</f>
        <v>666908.95491767779</v>
      </c>
      <c r="K605" s="33">
        <f>(Examples!$G$6*Examples!$G$7*Examples!$G$8*EXP(-Examples!$G$9*$A605)*(1-(Examples!$G$12*(1-EXP(-Examples!$G$13*$A605))/(1+EXP(MIN(700,MAX(-700,(Examples!$G$14*$A605-Examples!$G$15)/Examples!$G$16))))))+Examples!$G$17*$A605^2)</f>
        <v>531591.04508232221</v>
      </c>
      <c r="L605" s="33">
        <f>Examples!$H$18-(Examples!$H$10+Examples!$H$11)*$A605-(Examples!$H$6*Examples!$H$7*Examples!$H$8*EXP(-Examples!$H$9*$A605)*(1-(Examples!$H$12*(1-EXP(-Examples!$H$13*$A605))/(1+EXP(MIN(700,MAX(-700,(Examples!$H$14*$A605-Examples!$H$15)/Examples!$H$16))))))+Examples!$H$17*$A605^2)</f>
        <v>665260.36516287818</v>
      </c>
      <c r="M605" s="33">
        <f>(Examples!$H$6*Examples!$H$7*Examples!$H$8*EXP(-Examples!$H$9*$A605)*(1-(Examples!$H$12*(1-EXP(-Examples!$H$13*$A605))/(1+EXP(MIN(700,MAX(-700,(Examples!$H$14*$A605-Examples!$H$15)/Examples!$H$16))))))+Examples!$H$17*$A605^2)</f>
        <v>533239.63483712182</v>
      </c>
    </row>
    <row r="606" spans="1:13" x14ac:dyDescent="0.25">
      <c r="A606">
        <f>(606-2)/100</f>
        <v>6.04</v>
      </c>
      <c r="B606" s="33">
        <f>Examples!$C$18-(Examples!$C$10+Examples!$C$11)*$A606-(Examples!$C$6*Examples!$C$7*Examples!$C$8*EXP(-Examples!$C$9*$A606)*(1-(Examples!$C$12*(1-EXP(-Examples!$C$13*$A606))/(1+EXP(MIN(700,MAX(-700,(Examples!$C$14*$A606-Examples!$C$15)/Examples!$C$16))))))+Examples!$C$17*$A606^2)</f>
        <v>-256620.26838548877</v>
      </c>
      <c r="C606" s="33">
        <f>(Examples!$C$6*Examples!$C$7*Examples!$C$8*EXP(-Examples!$C$9*$A606)*(1-(Examples!$C$12*(1-EXP(-Examples!$C$13*$A606))/(1+EXP(MIN(700,MAX(-700,(Examples!$C$14*$A606-Examples!$C$15)/Examples!$C$16))))))+Examples!$C$17*$A606^2)</f>
        <v>645220.26838548877</v>
      </c>
      <c r="D606" s="33">
        <f>Examples!$D$18-(Examples!$D$10+Examples!$D$11)*$A606-(Examples!$D$6*Examples!$D$7*Examples!$D$8*EXP(-Examples!$D$9*$A606)*(1-(Examples!$D$12*(1-EXP(-Examples!$D$13*$A606))/(1+EXP(MIN(700,MAX(-700,(Examples!$D$14*$A606-Examples!$D$15)/Examples!$D$16))))))+Examples!$D$17*$A606^2)</f>
        <v>1662783.3025596905</v>
      </c>
      <c r="E606" s="33">
        <f>(Examples!$D$6*Examples!$D$7*Examples!$D$8*EXP(-Examples!$D$9*$A606)*(1-(Examples!$D$12*(1-EXP(-Examples!$D$13*$A606))/(1+EXP(MIN(700,MAX(-700,(Examples!$D$14*$A606-Examples!$D$15)/Examples!$D$16))))))+Examples!$D$17*$A606^2)</f>
        <v>565416.69744030957</v>
      </c>
      <c r="F606" s="33">
        <f>Examples!$E$18-(Examples!$E$10+Examples!$E$11)*$A606-(Examples!$E$6*Examples!$E$7*Examples!$E$8*EXP(-Examples!$E$9*$A606)*(1-(Examples!$E$12*(1-EXP(-Examples!$E$13*$A606))/(1+EXP(MIN(700,MAX(-700,(Examples!$E$14*$A606-Examples!$E$15)/Examples!$E$16))))))+Examples!$E$17*$A606^2)</f>
        <v>2278857.2518192949</v>
      </c>
      <c r="G606" s="33">
        <f>(Examples!$E$6*Examples!$E$7*Examples!$E$8*EXP(-Examples!$E$9*$A606)*(1-(Examples!$E$12*(1-EXP(-Examples!$E$13*$A606))/(1+EXP(MIN(700,MAX(-700,(Examples!$E$14*$A606-Examples!$E$15)/Examples!$E$16))))))+Examples!$E$17*$A606^2)</f>
        <v>207742.74818070536</v>
      </c>
      <c r="H606" s="33">
        <f>Examples!$F$18-(Examples!$F$10+Examples!$F$11)*$A606-(Examples!$F$6*Examples!$F$7*Examples!$F$8*EXP(-Examples!$F$9*$A606)*(1-(Examples!$F$12*(1-EXP(-Examples!$F$13*$A606))/(1+EXP(MIN(700,MAX(-700,(Examples!$F$14*$A606-Examples!$F$15)/Examples!$F$16))))))+Examples!$F$17*$A606^2)</f>
        <v>-703290.22521696356</v>
      </c>
      <c r="I606" s="33">
        <f>(Examples!$F$6*Examples!$F$7*Examples!$F$8*EXP(-Examples!$F$9*$A606)*(1-(Examples!$F$12*(1-EXP(-Examples!$F$13*$A606))/(1+EXP(MIN(700,MAX(-700,(Examples!$F$14*$A606-Examples!$F$15)/Examples!$F$16))))))+Examples!$F$17*$A606^2)</f>
        <v>732490.22521696356</v>
      </c>
      <c r="J606" s="33">
        <f>Examples!$G$18-(Examples!$G$10+Examples!$G$11)*$A606-(Examples!$G$6*Examples!$G$7*Examples!$G$8*EXP(-Examples!$G$9*$A606)*(1-(Examples!$G$12*(1-EXP(-Examples!$G$13*$A606))/(1+EXP(MIN(700,MAX(-700,(Examples!$G$14*$A606-Examples!$G$15)/Examples!$G$16))))))+Examples!$G$17*$A606^2)</f>
        <v>666263.16669961275</v>
      </c>
      <c r="K606" s="33">
        <f>(Examples!$G$6*Examples!$G$7*Examples!$G$8*EXP(-Examples!$G$9*$A606)*(1-(Examples!$G$12*(1-EXP(-Examples!$G$13*$A606))/(1+EXP(MIN(700,MAX(-700,(Examples!$G$14*$A606-Examples!$G$15)/Examples!$G$16))))))+Examples!$G$17*$A606^2)</f>
        <v>531736.83330038725</v>
      </c>
      <c r="L606" s="33">
        <f>Examples!$H$18-(Examples!$H$10+Examples!$H$11)*$A606-(Examples!$H$6*Examples!$H$7*Examples!$H$8*EXP(-Examples!$H$9*$A606)*(1-(Examples!$H$12*(1-EXP(-Examples!$H$13*$A606))/(1+EXP(MIN(700,MAX(-700,(Examples!$H$14*$A606-Examples!$H$15)/Examples!$H$16))))))+Examples!$H$17*$A606^2)</f>
        <v>664641.44469642977</v>
      </c>
      <c r="M606" s="33">
        <f>(Examples!$H$6*Examples!$H$7*Examples!$H$8*EXP(-Examples!$H$9*$A606)*(1-(Examples!$H$12*(1-EXP(-Examples!$H$13*$A606))/(1+EXP(MIN(700,MAX(-700,(Examples!$H$14*$A606-Examples!$H$15)/Examples!$H$16))))))+Examples!$H$17*$A606^2)</f>
        <v>533358.55530357023</v>
      </c>
    </row>
    <row r="607" spans="1:13" x14ac:dyDescent="0.25">
      <c r="A607">
        <f>(607-2)/100</f>
        <v>6.05</v>
      </c>
      <c r="B607" s="33">
        <f>Examples!$C$18-(Examples!$C$10+Examples!$C$11)*$A607-(Examples!$C$6*Examples!$C$7*Examples!$C$8*EXP(-Examples!$C$9*$A607)*(1-(Examples!$C$12*(1-EXP(-Examples!$C$13*$A607))/(1+EXP(MIN(700,MAX(-700,(Examples!$C$14*$A607-Examples!$C$15)/Examples!$C$16))))))+Examples!$C$17*$A607^2)</f>
        <v>-258490.22093014512</v>
      </c>
      <c r="C607" s="33">
        <f>(Examples!$C$6*Examples!$C$7*Examples!$C$8*EXP(-Examples!$C$9*$A607)*(1-(Examples!$C$12*(1-EXP(-Examples!$C$13*$A607))/(1+EXP(MIN(700,MAX(-700,(Examples!$C$14*$A607-Examples!$C$15)/Examples!$C$16))))))+Examples!$C$17*$A607^2)</f>
        <v>646740.22093014512</v>
      </c>
      <c r="D607" s="33">
        <f>Examples!$D$18-(Examples!$D$10+Examples!$D$11)*$A607-(Examples!$D$6*Examples!$D$7*Examples!$D$8*EXP(-Examples!$D$9*$A607)*(1-(Examples!$D$12*(1-EXP(-Examples!$D$13*$A607))/(1+EXP(MIN(700,MAX(-700,(Examples!$D$14*$A607-Examples!$D$15)/Examples!$D$16))))))+Examples!$D$17*$A607^2)</f>
        <v>1663286.3959385501</v>
      </c>
      <c r="E607" s="33">
        <f>(Examples!$D$6*Examples!$D$7*Examples!$D$8*EXP(-Examples!$D$9*$A607)*(1-(Examples!$D$12*(1-EXP(-Examples!$D$13*$A607))/(1+EXP(MIN(700,MAX(-700,(Examples!$D$14*$A607-Examples!$D$15)/Examples!$D$16))))))+Examples!$D$17*$A607^2)</f>
        <v>564463.60406144976</v>
      </c>
      <c r="F607" s="33">
        <f>Examples!$E$18-(Examples!$E$10+Examples!$E$11)*$A607-(Examples!$E$6*Examples!$E$7*Examples!$E$8*EXP(-Examples!$E$9*$A607)*(1-(Examples!$E$12*(1-EXP(-Examples!$E$13*$A607))/(1+EXP(MIN(700,MAX(-700,(Examples!$E$14*$A607-Examples!$E$15)/Examples!$E$16))))))+Examples!$E$17*$A607^2)</f>
        <v>2277952.9126901925</v>
      </c>
      <c r="G607" s="33">
        <f>(Examples!$E$6*Examples!$E$7*Examples!$E$8*EXP(-Examples!$E$9*$A607)*(1-(Examples!$E$12*(1-EXP(-Examples!$E$13*$A607))/(1+EXP(MIN(700,MAX(-700,(Examples!$E$14*$A607-Examples!$E$15)/Examples!$E$16))))))+Examples!$E$17*$A607^2)</f>
        <v>207797.08730980742</v>
      </c>
      <c r="H607" s="33">
        <f>Examples!$F$18-(Examples!$F$10+Examples!$F$11)*$A607-(Examples!$F$6*Examples!$F$7*Examples!$F$8*EXP(-Examples!$F$9*$A607)*(1-(Examples!$F$12*(1-EXP(-Examples!$F$13*$A607))/(1+EXP(MIN(700,MAX(-700,(Examples!$F$14*$A607-Examples!$F$15)/Examples!$F$16))))))+Examples!$F$17*$A607^2)</f>
        <v>-705899.66339071945</v>
      </c>
      <c r="I607" s="33">
        <f>(Examples!$F$6*Examples!$F$7*Examples!$F$8*EXP(-Examples!$F$9*$A607)*(1-(Examples!$F$12*(1-EXP(-Examples!$F$13*$A607))/(1+EXP(MIN(700,MAX(-700,(Examples!$F$14*$A607-Examples!$F$15)/Examples!$F$16))))))+Examples!$F$17*$A607^2)</f>
        <v>734899.66339071945</v>
      </c>
      <c r="J607" s="33">
        <f>Examples!$G$18-(Examples!$G$10+Examples!$G$11)*$A607-(Examples!$G$6*Examples!$G$7*Examples!$G$8*EXP(-Examples!$G$9*$A607)*(1-(Examples!$G$12*(1-EXP(-Examples!$G$13*$A607))/(1+EXP(MIN(700,MAX(-700,(Examples!$G$14*$A607-Examples!$G$15)/Examples!$G$16))))))+Examples!$G$17*$A607^2)</f>
        <v>665613.25521744834</v>
      </c>
      <c r="K607" s="33">
        <f>(Examples!$G$6*Examples!$G$7*Examples!$G$8*EXP(-Examples!$G$9*$A607)*(1-(Examples!$G$12*(1-EXP(-Examples!$G$13*$A607))/(1+EXP(MIN(700,MAX(-700,(Examples!$G$14*$A607-Examples!$G$15)/Examples!$G$16))))))+Examples!$G$17*$A607^2)</f>
        <v>531886.74478255166</v>
      </c>
      <c r="L607" s="33">
        <f>Examples!$H$18-(Examples!$H$10+Examples!$H$11)*$A607-(Examples!$H$6*Examples!$H$7*Examples!$H$8*EXP(-Examples!$H$9*$A607)*(1-(Examples!$H$12*(1-EXP(-Examples!$H$13*$A607))/(1+EXP(MIN(700,MAX(-700,(Examples!$H$14*$A607-Examples!$H$15)/Examples!$H$16))))))+Examples!$H$17*$A607^2)</f>
        <v>664017.96849794418</v>
      </c>
      <c r="M607" s="33">
        <f>(Examples!$H$6*Examples!$H$7*Examples!$H$8*EXP(-Examples!$H$9*$A607)*(1-(Examples!$H$12*(1-EXP(-Examples!$H$13*$A607))/(1+EXP(MIN(700,MAX(-700,(Examples!$H$14*$A607-Examples!$H$15)/Examples!$H$16))))))+Examples!$H$17*$A607^2)</f>
        <v>533482.03150205582</v>
      </c>
    </row>
    <row r="608" spans="1:13" x14ac:dyDescent="0.25">
      <c r="A608">
        <f>(608-2)/100</f>
        <v>6.06</v>
      </c>
      <c r="B608" s="33">
        <f>Examples!$C$18-(Examples!$C$10+Examples!$C$11)*$A608-(Examples!$C$6*Examples!$C$7*Examples!$C$8*EXP(-Examples!$C$9*$A608)*(1-(Examples!$C$12*(1-EXP(-Examples!$C$13*$A608))/(1+EXP(MIN(700,MAX(-700,(Examples!$C$14*$A608-Examples!$C$15)/Examples!$C$16))))))+Examples!$C$17*$A608^2)</f>
        <v>-260364.05276906467</v>
      </c>
      <c r="C608" s="33">
        <f>(Examples!$C$6*Examples!$C$7*Examples!$C$8*EXP(-Examples!$C$9*$A608)*(1-(Examples!$C$12*(1-EXP(-Examples!$C$13*$A608))/(1+EXP(MIN(700,MAX(-700,(Examples!$C$14*$A608-Examples!$C$15)/Examples!$C$16))))))+Examples!$C$17*$A608^2)</f>
        <v>648264.05276906467</v>
      </c>
      <c r="D608" s="33">
        <f>Examples!$D$18-(Examples!$D$10+Examples!$D$11)*$A608-(Examples!$D$6*Examples!$D$7*Examples!$D$8*EXP(-Examples!$D$9*$A608)*(1-(Examples!$D$12*(1-EXP(-Examples!$D$13*$A608))/(1+EXP(MIN(700,MAX(-700,(Examples!$D$14*$A608-Examples!$D$15)/Examples!$D$16))))))+Examples!$D$17*$A608^2)</f>
        <v>1663784.1314764947</v>
      </c>
      <c r="E608" s="33">
        <f>(Examples!$D$6*Examples!$D$7*Examples!$D$8*EXP(-Examples!$D$9*$A608)*(1-(Examples!$D$12*(1-EXP(-Examples!$D$13*$A608))/(1+EXP(MIN(700,MAX(-700,(Examples!$D$14*$A608-Examples!$D$15)/Examples!$D$16))))))+Examples!$D$17*$A608^2)</f>
        <v>563515.86852350528</v>
      </c>
      <c r="F608" s="33">
        <f>Examples!$E$18-(Examples!$E$10+Examples!$E$11)*$A608-(Examples!$E$6*Examples!$E$7*Examples!$E$8*EXP(-Examples!$E$9*$A608)*(1-(Examples!$E$12*(1-EXP(-Examples!$E$13*$A608))/(1+EXP(MIN(700,MAX(-700,(Examples!$E$14*$A608-Examples!$E$15)/Examples!$E$16))))))+Examples!$E$17*$A608^2)</f>
        <v>2277047.8659166289</v>
      </c>
      <c r="G608" s="33">
        <f>(Examples!$E$6*Examples!$E$7*Examples!$E$8*EXP(-Examples!$E$9*$A608)*(1-(Examples!$E$12*(1-EXP(-Examples!$E$13*$A608))/(1+EXP(MIN(700,MAX(-700,(Examples!$E$14*$A608-Examples!$E$15)/Examples!$E$16))))))+Examples!$E$17*$A608^2)</f>
        <v>207852.13408337123</v>
      </c>
      <c r="H608" s="33">
        <f>Examples!$F$18-(Examples!$F$10+Examples!$F$11)*$A608-(Examples!$F$6*Examples!$F$7*Examples!$F$8*EXP(-Examples!$F$9*$A608)*(1-(Examples!$F$12*(1-EXP(-Examples!$F$13*$A608))/(1+EXP(MIN(700,MAX(-700,(Examples!$F$14*$A608-Examples!$F$15)/Examples!$F$16))))))+Examples!$F$17*$A608^2)</f>
        <v>-708513.12721145409</v>
      </c>
      <c r="I608" s="33">
        <f>(Examples!$F$6*Examples!$F$7*Examples!$F$8*EXP(-Examples!$F$9*$A608)*(1-(Examples!$F$12*(1-EXP(-Examples!$F$13*$A608))/(1+EXP(MIN(700,MAX(-700,(Examples!$F$14*$A608-Examples!$F$15)/Examples!$F$16))))))+Examples!$F$17*$A608^2)</f>
        <v>737313.12721145409</v>
      </c>
      <c r="J608" s="33">
        <f>Examples!$G$18-(Examples!$G$10+Examples!$G$11)*$A608-(Examples!$G$6*Examples!$G$7*Examples!$G$8*EXP(-Examples!$G$9*$A608)*(1-(Examples!$G$12*(1-EXP(-Examples!$G$13*$A608))/(1+EXP(MIN(700,MAX(-700,(Examples!$G$14*$A608-Examples!$G$15)/Examples!$G$16))))))+Examples!$G$17*$A608^2)</f>
        <v>664959.2238989037</v>
      </c>
      <c r="K608" s="33">
        <f>(Examples!$G$6*Examples!$G$7*Examples!$G$8*EXP(-Examples!$G$9*$A608)*(1-(Examples!$G$12*(1-EXP(-Examples!$G$13*$A608))/(1+EXP(MIN(700,MAX(-700,(Examples!$G$14*$A608-Examples!$G$15)/Examples!$G$16))))))+Examples!$G$17*$A608^2)</f>
        <v>532040.7761010963</v>
      </c>
      <c r="L608" s="33">
        <f>Examples!$H$18-(Examples!$H$10+Examples!$H$11)*$A608-(Examples!$H$6*Examples!$H$7*Examples!$H$8*EXP(-Examples!$H$9*$A608)*(1-(Examples!$H$12*(1-EXP(-Examples!$H$13*$A608))/(1+EXP(MIN(700,MAX(-700,(Examples!$H$14*$A608-Examples!$H$15)/Examples!$H$16))))))+Examples!$H$17*$A608^2)</f>
        <v>663389.94680919778</v>
      </c>
      <c r="M608" s="33">
        <f>(Examples!$H$6*Examples!$H$7*Examples!$H$8*EXP(-Examples!$H$9*$A608)*(1-(Examples!$H$12*(1-EXP(-Examples!$H$13*$A608))/(1+EXP(MIN(700,MAX(-700,(Examples!$H$14*$A608-Examples!$H$15)/Examples!$H$16))))))+Examples!$H$17*$A608^2)</f>
        <v>533610.05319080222</v>
      </c>
    </row>
    <row r="609" spans="1:13" x14ac:dyDescent="0.25">
      <c r="A609">
        <f>(609-2)/100</f>
        <v>6.07</v>
      </c>
      <c r="B609" s="33">
        <f>Examples!$C$18-(Examples!$C$10+Examples!$C$11)*$A609-(Examples!$C$6*Examples!$C$7*Examples!$C$8*EXP(-Examples!$C$9*$A609)*(1-(Examples!$C$12*(1-EXP(-Examples!$C$13*$A609))/(1+EXP(MIN(700,MAX(-700,(Examples!$C$14*$A609-Examples!$C$15)/Examples!$C$16))))))+Examples!$C$17*$A609^2)</f>
        <v>-262241.7612693191</v>
      </c>
      <c r="C609" s="33">
        <f>(Examples!$C$6*Examples!$C$7*Examples!$C$8*EXP(-Examples!$C$9*$A609)*(1-(Examples!$C$12*(1-EXP(-Examples!$C$13*$A609))/(1+EXP(MIN(700,MAX(-700,(Examples!$C$14*$A609-Examples!$C$15)/Examples!$C$16))))))+Examples!$C$17*$A609^2)</f>
        <v>649791.7612693191</v>
      </c>
      <c r="D609" s="33">
        <f>Examples!$D$18-(Examples!$D$10+Examples!$D$11)*$A609-(Examples!$D$6*Examples!$D$7*Examples!$D$8*EXP(-Examples!$D$9*$A609)*(1-(Examples!$D$12*(1-EXP(-Examples!$D$13*$A609))/(1+EXP(MIN(700,MAX(-700,(Examples!$D$14*$A609-Examples!$D$15)/Examples!$D$16))))))+Examples!$D$17*$A609^2)</f>
        <v>1664276.4885065388</v>
      </c>
      <c r="E609" s="33">
        <f>(Examples!$D$6*Examples!$D$7*Examples!$D$8*EXP(-Examples!$D$9*$A609)*(1-(Examples!$D$12*(1-EXP(-Examples!$D$13*$A609))/(1+EXP(MIN(700,MAX(-700,(Examples!$D$14*$A609-Examples!$D$15)/Examples!$D$16))))))+Examples!$D$17*$A609^2)</f>
        <v>562573.51149346132</v>
      </c>
      <c r="F609" s="33">
        <f>Examples!$E$18-(Examples!$E$10+Examples!$E$11)*$A609-(Examples!$E$6*Examples!$E$7*Examples!$E$8*EXP(-Examples!$E$9*$A609)*(1-(Examples!$E$12*(1-EXP(-Examples!$E$13*$A609))/(1+EXP(MIN(700,MAX(-700,(Examples!$E$14*$A609-Examples!$E$15)/Examples!$E$16))))))+Examples!$E$17*$A609^2)</f>
        <v>2276142.1060934369</v>
      </c>
      <c r="G609" s="33">
        <f>(Examples!$E$6*Examples!$E$7*Examples!$E$8*EXP(-Examples!$E$9*$A609)*(1-(Examples!$E$12*(1-EXP(-Examples!$E$13*$A609))/(1+EXP(MIN(700,MAX(-700,(Examples!$E$14*$A609-Examples!$E$15)/Examples!$E$16))))))+Examples!$E$17*$A609^2)</f>
        <v>207907.893906563</v>
      </c>
      <c r="H609" s="33">
        <f>Examples!$F$18-(Examples!$F$10+Examples!$F$11)*$A609-(Examples!$F$6*Examples!$F$7*Examples!$F$8*EXP(-Examples!$F$9*$A609)*(1-(Examples!$F$12*(1-EXP(-Examples!$F$13*$A609))/(1+EXP(MIN(700,MAX(-700,(Examples!$F$14*$A609-Examples!$F$15)/Examples!$F$16))))))+Examples!$F$17*$A609^2)</f>
        <v>-711130.61660234223</v>
      </c>
      <c r="I609" s="33">
        <f>(Examples!$F$6*Examples!$F$7*Examples!$F$8*EXP(-Examples!$F$9*$A609)*(1-(Examples!$F$12*(1-EXP(-Examples!$F$13*$A609))/(1+EXP(MIN(700,MAX(-700,(Examples!$F$14*$A609-Examples!$F$15)/Examples!$F$16))))))+Examples!$F$17*$A609^2)</f>
        <v>739730.61660234223</v>
      </c>
      <c r="J609" s="33">
        <f>Examples!$G$18-(Examples!$G$10+Examples!$G$11)*$A609-(Examples!$G$6*Examples!$G$7*Examples!$G$8*EXP(-Examples!$G$9*$A609)*(1-(Examples!$G$12*(1-EXP(-Examples!$G$13*$A609))/(1+EXP(MIN(700,MAX(-700,(Examples!$G$14*$A609-Examples!$G$15)/Examples!$G$16))))))+Examples!$G$17*$A609^2)</f>
        <v>664301.07624208275</v>
      </c>
      <c r="K609" s="33">
        <f>(Examples!$G$6*Examples!$G$7*Examples!$G$8*EXP(-Examples!$G$9*$A609)*(1-(Examples!$G$12*(1-EXP(-Examples!$G$13*$A609))/(1+EXP(MIN(700,MAX(-700,(Examples!$G$14*$A609-Examples!$G$15)/Examples!$G$16))))))+Examples!$G$17*$A609^2)</f>
        <v>532198.92375791725</v>
      </c>
      <c r="L609" s="33">
        <f>Examples!$H$18-(Examples!$H$10+Examples!$H$11)*$A609-(Examples!$H$6*Examples!$H$7*Examples!$H$8*EXP(-Examples!$H$9*$A609)*(1-(Examples!$H$12*(1-EXP(-Examples!$H$13*$A609))/(1+EXP(MIN(700,MAX(-700,(Examples!$H$14*$A609-Examples!$H$15)/Examples!$H$16))))))+Examples!$H$17*$A609^2)</f>
        <v>662757.38983912254</v>
      </c>
      <c r="M609" s="33">
        <f>(Examples!$H$6*Examples!$H$7*Examples!$H$8*EXP(-Examples!$H$9*$A609)*(1-(Examples!$H$12*(1-EXP(-Examples!$H$13*$A609))/(1+EXP(MIN(700,MAX(-700,(Examples!$H$14*$A609-Examples!$H$15)/Examples!$H$16))))))+Examples!$H$17*$A609^2)</f>
        <v>533742.61016087746</v>
      </c>
    </row>
    <row r="610" spans="1:13" x14ac:dyDescent="0.25">
      <c r="A610">
        <f>(610-2)/100</f>
        <v>6.08</v>
      </c>
      <c r="B610" s="33">
        <f>Examples!$C$18-(Examples!$C$10+Examples!$C$11)*$A610-(Examples!$C$6*Examples!$C$7*Examples!$C$8*EXP(-Examples!$C$9*$A610)*(1-(Examples!$C$12*(1-EXP(-Examples!$C$13*$A610))/(1+EXP(MIN(700,MAX(-700,(Examples!$C$14*$A610-Examples!$C$15)/Examples!$C$16))))))+Examples!$C$17*$A610^2)</f>
        <v>-264123.34380583221</v>
      </c>
      <c r="C610" s="33">
        <f>(Examples!$C$6*Examples!$C$7*Examples!$C$8*EXP(-Examples!$C$9*$A610)*(1-(Examples!$C$12*(1-EXP(-Examples!$C$13*$A610))/(1+EXP(MIN(700,MAX(-700,(Examples!$C$14*$A610-Examples!$C$15)/Examples!$C$16))))))+Examples!$C$17*$A610^2)</f>
        <v>651323.34380583221</v>
      </c>
      <c r="D610" s="33">
        <f>Examples!$D$18-(Examples!$D$10+Examples!$D$11)*$A610-(Examples!$D$6*Examples!$D$7*Examples!$D$8*EXP(-Examples!$D$9*$A610)*(1-(Examples!$D$12*(1-EXP(-Examples!$D$13*$A610))/(1+EXP(MIN(700,MAX(-700,(Examples!$D$14*$A610-Examples!$D$15)/Examples!$D$16))))))+Examples!$D$17*$A610^2)</f>
        <v>1664763.4469930425</v>
      </c>
      <c r="E610" s="33">
        <f>(Examples!$D$6*Examples!$D$7*Examples!$D$8*EXP(-Examples!$D$9*$A610)*(1-(Examples!$D$12*(1-EXP(-Examples!$D$13*$A610))/(1+EXP(MIN(700,MAX(-700,(Examples!$D$14*$A610-Examples!$D$15)/Examples!$D$16))))))+Examples!$D$17*$A610^2)</f>
        <v>561636.55300695752</v>
      </c>
      <c r="F610" s="33">
        <f>Examples!$E$18-(Examples!$E$10+Examples!$E$11)*$A610-(Examples!$E$6*Examples!$E$7*Examples!$E$8*EXP(-Examples!$E$9*$A610)*(1-(Examples!$E$12*(1-EXP(-Examples!$E$13*$A610))/(1+EXP(MIN(700,MAX(-700,(Examples!$E$14*$A610-Examples!$E$15)/Examples!$E$16))))))+Examples!$E$17*$A610^2)</f>
        <v>2275235.6277845255</v>
      </c>
      <c r="G610" s="33">
        <f>(Examples!$E$6*Examples!$E$7*Examples!$E$8*EXP(-Examples!$E$9*$A610)*(1-(Examples!$E$12*(1-EXP(-Examples!$E$13*$A610))/(1+EXP(MIN(700,MAX(-700,(Examples!$E$14*$A610-Examples!$E$15)/Examples!$E$16))))))+Examples!$E$17*$A610^2)</f>
        <v>207964.37221547443</v>
      </c>
      <c r="H610" s="33">
        <f>Examples!$F$18-(Examples!$F$10+Examples!$F$11)*$A610-(Examples!$F$6*Examples!$F$7*Examples!$F$8*EXP(-Examples!$F$9*$A610)*(1-(Examples!$F$12*(1-EXP(-Examples!$F$13*$A610))/(1+EXP(MIN(700,MAX(-700,(Examples!$F$14*$A610-Examples!$F$15)/Examples!$F$16))))))+Examples!$F$17*$A610^2)</f>
        <v>-713752.13148678897</v>
      </c>
      <c r="I610" s="33">
        <f>(Examples!$F$6*Examples!$F$7*Examples!$F$8*EXP(-Examples!$F$9*$A610)*(1-(Examples!$F$12*(1-EXP(-Examples!$F$13*$A610))/(1+EXP(MIN(700,MAX(-700,(Examples!$F$14*$A610-Examples!$F$15)/Examples!$F$16))))))+Examples!$F$17*$A610^2)</f>
        <v>742152.13148678897</v>
      </c>
      <c r="J610" s="33">
        <f>Examples!$G$18-(Examples!$G$10+Examples!$G$11)*$A610-(Examples!$G$6*Examples!$G$7*Examples!$G$8*EXP(-Examples!$G$9*$A610)*(1-(Examples!$G$12*(1-EXP(-Examples!$G$13*$A610))/(1+EXP(MIN(700,MAX(-700,(Examples!$G$14*$A610-Examples!$G$15)/Examples!$G$16))))))+Examples!$G$17*$A610^2)</f>
        <v>663638.81581404409</v>
      </c>
      <c r="K610" s="33">
        <f>(Examples!$G$6*Examples!$G$7*Examples!$G$8*EXP(-Examples!$G$9*$A610)*(1-(Examples!$G$12*(1-EXP(-Examples!$G$13*$A610))/(1+EXP(MIN(700,MAX(-700,(Examples!$G$14*$A610-Examples!$G$15)/Examples!$G$16))))))+Examples!$G$17*$A610^2)</f>
        <v>532361.18418595591</v>
      </c>
      <c r="L610" s="33">
        <f>Examples!$H$18-(Examples!$H$10+Examples!$H$11)*$A610-(Examples!$H$6*Examples!$H$7*Examples!$H$8*EXP(-Examples!$H$9*$A610)*(1-(Examples!$H$12*(1-EXP(-Examples!$H$13*$A610))/(1+EXP(MIN(700,MAX(-700,(Examples!$H$14*$A610-Examples!$H$15)/Examples!$H$16))))))+Examples!$H$17*$A610^2)</f>
        <v>662120.30776381865</v>
      </c>
      <c r="M610" s="33">
        <f>(Examples!$H$6*Examples!$H$7*Examples!$H$8*EXP(-Examples!$H$9*$A610)*(1-(Examples!$H$12*(1-EXP(-Examples!$H$13*$A610))/(1+EXP(MIN(700,MAX(-700,(Examples!$H$14*$A610-Examples!$H$15)/Examples!$H$16))))))+Examples!$H$17*$A610^2)</f>
        <v>533879.69223618135</v>
      </c>
    </row>
    <row r="611" spans="1:13" x14ac:dyDescent="0.25">
      <c r="A611">
        <f>(611-2)/100</f>
        <v>6.09</v>
      </c>
      <c r="B611" s="33">
        <f>Examples!$C$18-(Examples!$C$10+Examples!$C$11)*$A611-(Examples!$C$6*Examples!$C$7*Examples!$C$8*EXP(-Examples!$C$9*$A611)*(1-(Examples!$C$12*(1-EXP(-Examples!$C$13*$A611))/(1+EXP(MIN(700,MAX(-700,(Examples!$C$14*$A611-Examples!$C$15)/Examples!$C$16))))))+Examples!$C$17*$A611^2)</f>
        <v>-266008.79776135716</v>
      </c>
      <c r="C611" s="33">
        <f>(Examples!$C$6*Examples!$C$7*Examples!$C$8*EXP(-Examples!$C$9*$A611)*(1-(Examples!$C$12*(1-EXP(-Examples!$C$13*$A611))/(1+EXP(MIN(700,MAX(-700,(Examples!$C$14*$A611-Examples!$C$15)/Examples!$C$16))))))+Examples!$C$17*$A611^2)</f>
        <v>652858.79776135716</v>
      </c>
      <c r="D611" s="33">
        <f>Examples!$D$18-(Examples!$D$10+Examples!$D$11)*$A611-(Examples!$D$6*Examples!$D$7*Examples!$D$8*EXP(-Examples!$D$9*$A611)*(1-(Examples!$D$12*(1-EXP(-Examples!$D$13*$A611))/(1+EXP(MIN(700,MAX(-700,(Examples!$D$14*$A611-Examples!$D$15)/Examples!$D$16))))))+Examples!$D$17*$A611^2)</f>
        <v>1665244.9875238836</v>
      </c>
      <c r="E611" s="33">
        <f>(Examples!$D$6*Examples!$D$7*Examples!$D$8*EXP(-Examples!$D$9*$A611)*(1-(Examples!$D$12*(1-EXP(-Examples!$D$13*$A611))/(1+EXP(MIN(700,MAX(-700,(Examples!$D$14*$A611-Examples!$D$15)/Examples!$D$16))))))+Examples!$D$17*$A611^2)</f>
        <v>560705.01247611654</v>
      </c>
      <c r="F611" s="33">
        <f>Examples!$E$18-(Examples!$E$10+Examples!$E$11)*$A611-(Examples!$E$6*Examples!$E$7*Examples!$E$8*EXP(-Examples!$E$9*$A611)*(1-(Examples!$E$12*(1-EXP(-Examples!$E$13*$A611))/(1+EXP(MIN(700,MAX(-700,(Examples!$E$14*$A611-Examples!$E$15)/Examples!$E$16))))))+Examples!$E$17*$A611^2)</f>
        <v>2274328.4255245063</v>
      </c>
      <c r="G611" s="33">
        <f>(Examples!$E$6*Examples!$E$7*Examples!$E$8*EXP(-Examples!$E$9*$A611)*(1-(Examples!$E$12*(1-EXP(-Examples!$E$13*$A611))/(1+EXP(MIN(700,MAX(-700,(Examples!$E$14*$A611-Examples!$E$15)/Examples!$E$16))))))+Examples!$E$17*$A611^2)</f>
        <v>208021.57447549381</v>
      </c>
      <c r="H611" s="33">
        <f>Examples!$F$18-(Examples!$F$10+Examples!$F$11)*$A611-(Examples!$F$6*Examples!$F$7*Examples!$F$8*EXP(-Examples!$F$9*$A611)*(1-(Examples!$F$12*(1-EXP(-Examples!$F$13*$A611))/(1+EXP(MIN(700,MAX(-700,(Examples!$F$14*$A611-Examples!$F$15)/Examples!$F$16))))))+Examples!$F$17*$A611^2)</f>
        <v>-716377.67178842856</v>
      </c>
      <c r="I611" s="33">
        <f>(Examples!$F$6*Examples!$F$7*Examples!$F$8*EXP(-Examples!$F$9*$A611)*(1-(Examples!$F$12*(1-EXP(-Examples!$F$13*$A611))/(1+EXP(MIN(700,MAX(-700,(Examples!$F$14*$A611-Examples!$F$15)/Examples!$F$16))))))+Examples!$F$17*$A611^2)</f>
        <v>744577.67178842856</v>
      </c>
      <c r="J611" s="33">
        <f>Examples!$G$18-(Examples!$G$10+Examples!$G$11)*$A611-(Examples!$G$6*Examples!$G$7*Examples!$G$8*EXP(-Examples!$G$9*$A611)*(1-(Examples!$G$12*(1-EXP(-Examples!$G$13*$A611))/(1+EXP(MIN(700,MAX(-700,(Examples!$G$14*$A611-Examples!$G$15)/Examples!$G$16))))))+Examples!$G$17*$A611^2)</f>
        <v>662972.44624939293</v>
      </c>
      <c r="K611" s="33">
        <f>(Examples!$G$6*Examples!$G$7*Examples!$G$8*EXP(-Examples!$G$9*$A611)*(1-(Examples!$G$12*(1-EXP(-Examples!$G$13*$A611))/(1+EXP(MIN(700,MAX(-700,(Examples!$G$14*$A611-Examples!$G$15)/Examples!$G$16))))))+Examples!$G$17*$A611^2)</f>
        <v>532527.55375060707</v>
      </c>
      <c r="L611" s="33">
        <f>Examples!$H$18-(Examples!$H$10+Examples!$H$11)*$A611-(Examples!$H$6*Examples!$H$7*Examples!$H$8*EXP(-Examples!$H$9*$A611)*(1-(Examples!$H$12*(1-EXP(-Examples!$H$13*$A611))/(1+EXP(MIN(700,MAX(-700,(Examples!$H$14*$A611-Examples!$H$15)/Examples!$H$16))))))+Examples!$H$17*$A611^2)</f>
        <v>661478.71072657313</v>
      </c>
      <c r="M611" s="33">
        <f>(Examples!$H$6*Examples!$H$7*Examples!$H$8*EXP(-Examples!$H$9*$A611)*(1-(Examples!$H$12*(1-EXP(-Examples!$H$13*$A611))/(1+EXP(MIN(700,MAX(-700,(Examples!$H$14*$A611-Examples!$H$15)/Examples!$H$16))))))+Examples!$H$17*$A611^2)</f>
        <v>534021.28927342687</v>
      </c>
    </row>
    <row r="612" spans="1:13" x14ac:dyDescent="0.25">
      <c r="A612">
        <f>(612-2)/100</f>
        <v>6.1</v>
      </c>
      <c r="B612" s="33">
        <f>Examples!$C$18-(Examples!$C$10+Examples!$C$11)*$A612-(Examples!$C$6*Examples!$C$7*Examples!$C$8*EXP(-Examples!$C$9*$A612)*(1-(Examples!$C$12*(1-EXP(-Examples!$C$13*$A612))/(1+EXP(MIN(700,MAX(-700,(Examples!$C$14*$A612-Examples!$C$15)/Examples!$C$16))))))+Examples!$C$17*$A612^2)</f>
        <v>-267898.12052645395</v>
      </c>
      <c r="C612" s="33">
        <f>(Examples!$C$6*Examples!$C$7*Examples!$C$8*EXP(-Examples!$C$9*$A612)*(1-(Examples!$C$12*(1-EXP(-Examples!$C$13*$A612))/(1+EXP(MIN(700,MAX(-700,(Examples!$C$14*$A612-Examples!$C$15)/Examples!$C$16))))))+Examples!$C$17*$A612^2)</f>
        <v>654398.12052645395</v>
      </c>
      <c r="D612" s="33">
        <f>Examples!$D$18-(Examples!$D$10+Examples!$D$11)*$A612-(Examples!$D$6*Examples!$D$7*Examples!$D$8*EXP(-Examples!$D$9*$A612)*(1-(Examples!$D$12*(1-EXP(-Examples!$D$13*$A612))/(1+EXP(MIN(700,MAX(-700,(Examples!$D$14*$A612-Examples!$D$15)/Examples!$D$16))))))+Examples!$D$17*$A612^2)</f>
        <v>1665721.0913026389</v>
      </c>
      <c r="E612" s="33">
        <f>(Examples!$D$6*Examples!$D$7*Examples!$D$8*EXP(-Examples!$D$9*$A612)*(1-(Examples!$D$12*(1-EXP(-Examples!$D$13*$A612))/(1+EXP(MIN(700,MAX(-700,(Examples!$D$14*$A612-Examples!$D$15)/Examples!$D$16))))))+Examples!$D$17*$A612^2)</f>
        <v>559778.90869736124</v>
      </c>
      <c r="F612" s="33">
        <f>Examples!$E$18-(Examples!$E$10+Examples!$E$11)*$A612-(Examples!$E$6*Examples!$E$7*Examples!$E$8*EXP(-Examples!$E$9*$A612)*(1-(Examples!$E$12*(1-EXP(-Examples!$E$13*$A612))/(1+EXP(MIN(700,MAX(-700,(Examples!$E$14*$A612-Examples!$E$15)/Examples!$E$16))))))+Examples!$E$17*$A612^2)</f>
        <v>2273420.4938203059</v>
      </c>
      <c r="G612" s="33">
        <f>(Examples!$E$6*Examples!$E$7*Examples!$E$8*EXP(-Examples!$E$9*$A612)*(1-(Examples!$E$12*(1-EXP(-Examples!$E$13*$A612))/(1+EXP(MIN(700,MAX(-700,(Examples!$E$14*$A612-Examples!$E$15)/Examples!$E$16))))))+Examples!$E$17*$A612^2)</f>
        <v>208079.50617969388</v>
      </c>
      <c r="H612" s="33">
        <f>Examples!$F$18-(Examples!$F$10+Examples!$F$11)*$A612-(Examples!$F$6*Examples!$F$7*Examples!$F$8*EXP(-Examples!$F$9*$A612)*(1-(Examples!$F$12*(1-EXP(-Examples!$F$13*$A612))/(1+EXP(MIN(700,MAX(-700,(Examples!$F$14*$A612-Examples!$F$15)/Examples!$F$16))))))+Examples!$F$17*$A612^2)</f>
        <v>-719007.23743112397</v>
      </c>
      <c r="I612" s="33">
        <f>(Examples!$F$6*Examples!$F$7*Examples!$F$8*EXP(-Examples!$F$9*$A612)*(1-(Examples!$F$12*(1-EXP(-Examples!$F$13*$A612))/(1+EXP(MIN(700,MAX(-700,(Examples!$F$14*$A612-Examples!$F$15)/Examples!$F$16))))))+Examples!$F$17*$A612^2)</f>
        <v>747007.23743112397</v>
      </c>
      <c r="J612" s="33">
        <f>Examples!$G$18-(Examples!$G$10+Examples!$G$11)*$A612-(Examples!$G$6*Examples!$G$7*Examples!$G$8*EXP(-Examples!$G$9*$A612)*(1-(Examples!$G$12*(1-EXP(-Examples!$G$13*$A612))/(1+EXP(MIN(700,MAX(-700,(Examples!$G$14*$A612-Examples!$G$15)/Examples!$G$16))))))+Examples!$G$17*$A612^2)</f>
        <v>662301.97124888899</v>
      </c>
      <c r="K612" s="33">
        <f>(Examples!$G$6*Examples!$G$7*Examples!$G$8*EXP(-Examples!$G$9*$A612)*(1-(Examples!$G$12*(1-EXP(-Examples!$G$13*$A612))/(1+EXP(MIN(700,MAX(-700,(Examples!$G$14*$A612-Examples!$G$15)/Examples!$G$16))))))+Examples!$G$17*$A612^2)</f>
        <v>532698.02875111101</v>
      </c>
      <c r="L612" s="33">
        <f>Examples!$H$18-(Examples!$H$10+Examples!$H$11)*$A612-(Examples!$H$6*Examples!$H$7*Examples!$H$8*EXP(-Examples!$H$9*$A612)*(1-(Examples!$H$12*(1-EXP(-Examples!$H$13*$A612))/(1+EXP(MIN(700,MAX(-700,(Examples!$H$14*$A612-Examples!$H$15)/Examples!$H$16))))))+Examples!$H$17*$A612^2)</f>
        <v>660832.60883787868</v>
      </c>
      <c r="M612" s="33">
        <f>(Examples!$H$6*Examples!$H$7*Examples!$H$8*EXP(-Examples!$H$9*$A612)*(1-(Examples!$H$12*(1-EXP(-Examples!$H$13*$A612))/(1+EXP(MIN(700,MAX(-700,(Examples!$H$14*$A612-Examples!$H$15)/Examples!$H$16))))))+Examples!$H$17*$A612^2)</f>
        <v>534167.39116212132</v>
      </c>
    </row>
    <row r="613" spans="1:13" x14ac:dyDescent="0.25">
      <c r="A613">
        <f>(613-2)/100</f>
        <v>6.11</v>
      </c>
      <c r="B613" s="33">
        <f>Examples!$C$18-(Examples!$C$10+Examples!$C$11)*$A613-(Examples!$C$6*Examples!$C$7*Examples!$C$8*EXP(-Examples!$C$9*$A613)*(1-(Examples!$C$12*(1-EXP(-Examples!$C$13*$A613))/(1+EXP(MIN(700,MAX(-700,(Examples!$C$14*$A613-Examples!$C$15)/Examples!$C$16))))))+Examples!$C$17*$A613^2)</f>
        <v>-269791.30949946842</v>
      </c>
      <c r="C613" s="33">
        <f>(Examples!$C$6*Examples!$C$7*Examples!$C$8*EXP(-Examples!$C$9*$A613)*(1-(Examples!$C$12*(1-EXP(-Examples!$C$13*$A613))/(1+EXP(MIN(700,MAX(-700,(Examples!$C$14*$A613-Examples!$C$15)/Examples!$C$16))))))+Examples!$C$17*$A613^2)</f>
        <v>655941.30949946842</v>
      </c>
      <c r="D613" s="33">
        <f>Examples!$D$18-(Examples!$D$10+Examples!$D$11)*$A613-(Examples!$D$6*Examples!$D$7*Examples!$D$8*EXP(-Examples!$D$9*$A613)*(1-(Examples!$D$12*(1-EXP(-Examples!$D$13*$A613))/(1+EXP(MIN(700,MAX(-700,(Examples!$D$14*$A613-Examples!$D$15)/Examples!$D$16))))))+Examples!$D$17*$A613^2)</f>
        <v>1666191.7401407822</v>
      </c>
      <c r="E613" s="33">
        <f>(Examples!$D$6*Examples!$D$7*Examples!$D$8*EXP(-Examples!$D$9*$A613)*(1-(Examples!$D$12*(1-EXP(-Examples!$D$13*$A613))/(1+EXP(MIN(700,MAX(-700,(Examples!$D$14*$A613-Examples!$D$15)/Examples!$D$16))))))+Examples!$D$17*$A613^2)</f>
        <v>558858.25985921791</v>
      </c>
      <c r="F613" s="33">
        <f>Examples!$E$18-(Examples!$E$10+Examples!$E$11)*$A613-(Examples!$E$6*Examples!$E$7*Examples!$E$8*EXP(-Examples!$E$9*$A613)*(1-(Examples!$E$12*(1-EXP(-Examples!$E$13*$A613))/(1+EXP(MIN(700,MAX(-700,(Examples!$E$14*$A613-Examples!$E$15)/Examples!$E$16))))))+Examples!$E$17*$A613^2)</f>
        <v>2272511.8271527635</v>
      </c>
      <c r="G613" s="33">
        <f>(Examples!$E$6*Examples!$E$7*Examples!$E$8*EXP(-Examples!$E$9*$A613)*(1-(Examples!$E$12*(1-EXP(-Examples!$E$13*$A613))/(1+EXP(MIN(700,MAX(-700,(Examples!$E$14*$A613-Examples!$E$15)/Examples!$E$16))))))+Examples!$E$17*$A613^2)</f>
        <v>208138.17284723627</v>
      </c>
      <c r="H613" s="33">
        <f>Examples!$F$18-(Examples!$F$10+Examples!$F$11)*$A613-(Examples!$F$6*Examples!$F$7*Examples!$F$8*EXP(-Examples!$F$9*$A613)*(1-(Examples!$F$12*(1-EXP(-Examples!$F$13*$A613))/(1+EXP(MIN(700,MAX(-700,(Examples!$F$14*$A613-Examples!$F$15)/Examples!$F$16))))))+Examples!$F$17*$A613^2)</f>
        <v>-721640.82833896659</v>
      </c>
      <c r="I613" s="33">
        <f>(Examples!$F$6*Examples!$F$7*Examples!$F$8*EXP(-Examples!$F$9*$A613)*(1-(Examples!$F$12*(1-EXP(-Examples!$F$13*$A613))/(1+EXP(MIN(700,MAX(-700,(Examples!$F$14*$A613-Examples!$F$15)/Examples!$F$16))))))+Examples!$F$17*$A613^2)</f>
        <v>749440.82833896659</v>
      </c>
      <c r="J613" s="33">
        <f>Examples!$G$18-(Examples!$G$10+Examples!$G$11)*$A613-(Examples!$G$6*Examples!$G$7*Examples!$G$8*EXP(-Examples!$G$9*$A613)*(1-(Examples!$G$12*(1-EXP(-Examples!$G$13*$A613))/(1+EXP(MIN(700,MAX(-700,(Examples!$G$14*$A613-Examples!$G$15)/Examples!$G$16))))))+Examples!$G$17*$A613^2)</f>
        <v>661627.3945780776</v>
      </c>
      <c r="K613" s="33">
        <f>(Examples!$G$6*Examples!$G$7*Examples!$G$8*EXP(-Examples!$G$9*$A613)*(1-(Examples!$G$12*(1-EXP(-Examples!$G$13*$A613))/(1+EXP(MIN(700,MAX(-700,(Examples!$G$14*$A613-Examples!$G$15)/Examples!$G$16))))))+Examples!$G$17*$A613^2)</f>
        <v>532872.6054219224</v>
      </c>
      <c r="L613" s="33">
        <f>Examples!$H$18-(Examples!$H$10+Examples!$H$11)*$A613-(Examples!$H$6*Examples!$H$7*Examples!$H$8*EXP(-Examples!$H$9*$A613)*(1-(Examples!$H$12*(1-EXP(-Examples!$H$13*$A613))/(1+EXP(MIN(700,MAX(-700,(Examples!$H$14*$A613-Examples!$H$15)/Examples!$H$16))))))+Examples!$H$17*$A613^2)</f>
        <v>660182.01217545802</v>
      </c>
      <c r="M613" s="33">
        <f>(Examples!$H$6*Examples!$H$7*Examples!$H$8*EXP(-Examples!$H$9*$A613)*(1-(Examples!$H$12*(1-EXP(-Examples!$H$13*$A613))/(1+EXP(MIN(700,MAX(-700,(Examples!$H$14*$A613-Examples!$H$15)/Examples!$H$16))))))+Examples!$H$17*$A613^2)</f>
        <v>534317.98782454198</v>
      </c>
    </row>
    <row r="614" spans="1:13" x14ac:dyDescent="0.25">
      <c r="A614">
        <f>(614-2)/100</f>
        <v>6.12</v>
      </c>
      <c r="B614" s="33">
        <f>Examples!$C$18-(Examples!$C$10+Examples!$C$11)*$A614-(Examples!$C$6*Examples!$C$7*Examples!$C$8*EXP(-Examples!$C$9*$A614)*(1-(Examples!$C$12*(1-EXP(-Examples!$C$13*$A614))/(1+EXP(MIN(700,MAX(-700,(Examples!$C$14*$A614-Examples!$C$15)/Examples!$C$16))))))+Examples!$C$17*$A614^2)</f>
        <v>-271688.36208650796</v>
      </c>
      <c r="C614" s="33">
        <f>(Examples!$C$6*Examples!$C$7*Examples!$C$8*EXP(-Examples!$C$9*$A614)*(1-(Examples!$C$12*(1-EXP(-Examples!$C$13*$A614))/(1+EXP(MIN(700,MAX(-700,(Examples!$C$14*$A614-Examples!$C$15)/Examples!$C$16))))))+Examples!$C$17*$A614^2)</f>
        <v>657488.36208650796</v>
      </c>
      <c r="D614" s="33">
        <f>Examples!$D$18-(Examples!$D$10+Examples!$D$11)*$A614-(Examples!$D$6*Examples!$D$7*Examples!$D$8*EXP(-Examples!$D$9*$A614)*(1-(Examples!$D$12*(1-EXP(-Examples!$D$13*$A614))/(1+EXP(MIN(700,MAX(-700,(Examples!$D$14*$A614-Examples!$D$15)/Examples!$D$16))))))+Examples!$D$17*$A614^2)</f>
        <v>1666656.9164498996</v>
      </c>
      <c r="E614" s="33">
        <f>(Examples!$D$6*Examples!$D$7*Examples!$D$8*EXP(-Examples!$D$9*$A614)*(1-(Examples!$D$12*(1-EXP(-Examples!$D$13*$A614))/(1+EXP(MIN(700,MAX(-700,(Examples!$D$14*$A614-Examples!$D$15)/Examples!$D$16))))))+Examples!$D$17*$A614^2)</f>
        <v>557943.08355010045</v>
      </c>
      <c r="F614" s="33">
        <f>Examples!$E$18-(Examples!$E$10+Examples!$E$11)*$A614-(Examples!$E$6*Examples!$E$7*Examples!$E$8*EXP(-Examples!$E$9*$A614)*(1-(Examples!$E$12*(1-EXP(-Examples!$E$13*$A614))/(1+EXP(MIN(700,MAX(-700,(Examples!$E$14*$A614-Examples!$E$15)/Examples!$E$16))))))+Examples!$E$17*$A614^2)</f>
        <v>2271602.4199782065</v>
      </c>
      <c r="G614" s="33">
        <f>(Examples!$E$6*Examples!$E$7*Examples!$E$8*EXP(-Examples!$E$9*$A614)*(1-(Examples!$E$12*(1-EXP(-Examples!$E$13*$A614))/(1+EXP(MIN(700,MAX(-700,(Examples!$E$14*$A614-Examples!$E$15)/Examples!$E$16))))))+Examples!$E$17*$A614^2)</f>
        <v>208197.58002179331</v>
      </c>
      <c r="H614" s="33">
        <f>Examples!$F$18-(Examples!$F$10+Examples!$F$11)*$A614-(Examples!$F$6*Examples!$F$7*Examples!$F$8*EXP(-Examples!$F$9*$A614)*(1-(Examples!$F$12*(1-EXP(-Examples!$F$13*$A614))/(1+EXP(MIN(700,MAX(-700,(Examples!$F$14*$A614-Examples!$F$15)/Examples!$F$16))))))+Examples!$F$17*$A614^2)</f>
        <v>-724278.44443627435</v>
      </c>
      <c r="I614" s="33">
        <f>(Examples!$F$6*Examples!$F$7*Examples!$F$8*EXP(-Examples!$F$9*$A614)*(1-(Examples!$F$12*(1-EXP(-Examples!$F$13*$A614))/(1+EXP(MIN(700,MAX(-700,(Examples!$F$14*$A614-Examples!$F$15)/Examples!$F$16))))))+Examples!$F$17*$A614^2)</f>
        <v>751878.44443627435</v>
      </c>
      <c r="J614" s="33">
        <f>Examples!$G$18-(Examples!$G$10+Examples!$G$11)*$A614-(Examples!$G$6*Examples!$G$7*Examples!$G$8*EXP(-Examples!$G$9*$A614)*(1-(Examples!$G$12*(1-EXP(-Examples!$G$13*$A614))/(1+EXP(MIN(700,MAX(-700,(Examples!$G$14*$A614-Examples!$G$15)/Examples!$G$16))))))+Examples!$G$17*$A614^2)</f>
        <v>660948.72006593819</v>
      </c>
      <c r="K614" s="33">
        <f>(Examples!$G$6*Examples!$G$7*Examples!$G$8*EXP(-Examples!$G$9*$A614)*(1-(Examples!$G$12*(1-EXP(-Examples!$G$13*$A614))/(1+EXP(MIN(700,MAX(-700,(Examples!$G$14*$A614-Examples!$G$15)/Examples!$G$16))))))+Examples!$G$17*$A614^2)</f>
        <v>533051.27993406181</v>
      </c>
      <c r="L614" s="33">
        <f>Examples!$H$18-(Examples!$H$10+Examples!$H$11)*$A614-(Examples!$H$6*Examples!$H$7*Examples!$H$8*EXP(-Examples!$H$9*$A614)*(1-(Examples!$H$12*(1-EXP(-Examples!$H$13*$A614))/(1+EXP(MIN(700,MAX(-700,(Examples!$H$14*$A614-Examples!$H$15)/Examples!$H$16))))))+Examples!$H$17*$A614^2)</f>
        <v>659526.93078428996</v>
      </c>
      <c r="M614" s="33">
        <f>(Examples!$H$6*Examples!$H$7*Examples!$H$8*EXP(-Examples!$H$9*$A614)*(1-(Examples!$H$12*(1-EXP(-Examples!$H$13*$A614))/(1+EXP(MIN(700,MAX(-700,(Examples!$H$14*$A614-Examples!$H$15)/Examples!$H$16))))))+Examples!$H$17*$A614^2)</f>
        <v>534473.06921571004</v>
      </c>
    </row>
    <row r="615" spans="1:13" x14ac:dyDescent="0.25">
      <c r="A615">
        <f>(615-2)/100</f>
        <v>6.13</v>
      </c>
      <c r="B615" s="33">
        <f>Examples!$C$18-(Examples!$C$10+Examples!$C$11)*$A615-(Examples!$C$6*Examples!$C$7*Examples!$C$8*EXP(-Examples!$C$9*$A615)*(1-(Examples!$C$12*(1-EXP(-Examples!$C$13*$A615))/(1+EXP(MIN(700,MAX(-700,(Examples!$C$14*$A615-Examples!$C$15)/Examples!$C$16))))))+Examples!$C$17*$A615^2)</f>
        <v>-273589.27570142155</v>
      </c>
      <c r="C615" s="33">
        <f>(Examples!$C$6*Examples!$C$7*Examples!$C$8*EXP(-Examples!$C$9*$A615)*(1-(Examples!$C$12*(1-EXP(-Examples!$C$13*$A615))/(1+EXP(MIN(700,MAX(-700,(Examples!$C$14*$A615-Examples!$C$15)/Examples!$C$16))))))+Examples!$C$17*$A615^2)</f>
        <v>659039.27570142155</v>
      </c>
      <c r="D615" s="33">
        <f>Examples!$D$18-(Examples!$D$10+Examples!$D$11)*$A615-(Examples!$D$6*Examples!$D$7*Examples!$D$8*EXP(-Examples!$D$9*$A615)*(1-(Examples!$D$12*(1-EXP(-Examples!$D$13*$A615))/(1+EXP(MIN(700,MAX(-700,(Examples!$D$14*$A615-Examples!$D$15)/Examples!$D$16))))))+Examples!$D$17*$A615^2)</f>
        <v>1667116.6032339248</v>
      </c>
      <c r="E615" s="33">
        <f>(Examples!$D$6*Examples!$D$7*Examples!$D$8*EXP(-Examples!$D$9*$A615)*(1-(Examples!$D$12*(1-EXP(-Examples!$D$13*$A615))/(1+EXP(MIN(700,MAX(-700,(Examples!$D$14*$A615-Examples!$D$15)/Examples!$D$16))))))+Examples!$D$17*$A615^2)</f>
        <v>557033.39676607517</v>
      </c>
      <c r="F615" s="33">
        <f>Examples!$E$18-(Examples!$E$10+Examples!$E$11)*$A615-(Examples!$E$6*Examples!$E$7*Examples!$E$8*EXP(-Examples!$E$9*$A615)*(1-(Examples!$E$12*(1-EXP(-Examples!$E$13*$A615))/(1+EXP(MIN(700,MAX(-700,(Examples!$E$14*$A615-Examples!$E$15)/Examples!$E$16))))))+Examples!$E$17*$A615^2)</f>
        <v>2270692.2667300133</v>
      </c>
      <c r="G615" s="33">
        <f>(Examples!$E$6*Examples!$E$7*Examples!$E$8*EXP(-Examples!$E$9*$A615)*(1-(Examples!$E$12*(1-EXP(-Examples!$E$13*$A615))/(1+EXP(MIN(700,MAX(-700,(Examples!$E$14*$A615-Examples!$E$15)/Examples!$E$16))))))+Examples!$E$17*$A615^2)</f>
        <v>208257.73326998664</v>
      </c>
      <c r="H615" s="33">
        <f>Examples!$F$18-(Examples!$F$10+Examples!$F$11)*$A615-(Examples!$F$6*Examples!$F$7*Examples!$F$8*EXP(-Examples!$F$9*$A615)*(1-(Examples!$F$12*(1-EXP(-Examples!$F$13*$A615))/(1+EXP(MIN(700,MAX(-700,(Examples!$F$14*$A615-Examples!$F$15)/Examples!$F$16))))))+Examples!$F$17*$A615^2)</f>
        <v>-726920.0856475929</v>
      </c>
      <c r="I615" s="33">
        <f>(Examples!$F$6*Examples!$F$7*Examples!$F$8*EXP(-Examples!$F$9*$A615)*(1-(Examples!$F$12*(1-EXP(-Examples!$F$13*$A615))/(1+EXP(MIN(700,MAX(-700,(Examples!$F$14*$A615-Examples!$F$15)/Examples!$F$16))))))+Examples!$F$17*$A615^2)</f>
        <v>754320.0856475929</v>
      </c>
      <c r="J615" s="33">
        <f>Examples!$G$18-(Examples!$G$10+Examples!$G$11)*$A615-(Examples!$G$6*Examples!$G$7*Examples!$G$8*EXP(-Examples!$G$9*$A615)*(1-(Examples!$G$12*(1-EXP(-Examples!$G$13*$A615))/(1+EXP(MIN(700,MAX(-700,(Examples!$G$14*$A615-Examples!$G$15)/Examples!$G$16))))))+Examples!$G$17*$A615^2)</f>
        <v>660265.95160355151</v>
      </c>
      <c r="K615" s="33">
        <f>(Examples!$G$6*Examples!$G$7*Examples!$G$8*EXP(-Examples!$G$9*$A615)*(1-(Examples!$G$12*(1-EXP(-Examples!$G$13*$A615))/(1+EXP(MIN(700,MAX(-700,(Examples!$G$14*$A615-Examples!$G$15)/Examples!$G$16))))))+Examples!$G$17*$A615^2)</f>
        <v>533234.04839644849</v>
      </c>
      <c r="L615" s="33">
        <f>Examples!$H$18-(Examples!$H$10+Examples!$H$11)*$A615-(Examples!$H$6*Examples!$H$7*Examples!$H$8*EXP(-Examples!$H$9*$A615)*(1-(Examples!$H$12*(1-EXP(-Examples!$H$13*$A615))/(1+EXP(MIN(700,MAX(-700,(Examples!$H$14*$A615-Examples!$H$15)/Examples!$H$16))))))+Examples!$H$17*$A615^2)</f>
        <v>658867.37467663921</v>
      </c>
      <c r="M615" s="33">
        <f>(Examples!$H$6*Examples!$H$7*Examples!$H$8*EXP(-Examples!$H$9*$A615)*(1-(Examples!$H$12*(1-EXP(-Examples!$H$13*$A615))/(1+EXP(MIN(700,MAX(-700,(Examples!$H$14*$A615-Examples!$H$15)/Examples!$H$16))))))+Examples!$H$17*$A615^2)</f>
        <v>534632.62532336079</v>
      </c>
    </row>
    <row r="616" spans="1:13" x14ac:dyDescent="0.25">
      <c r="A616">
        <f>(616-2)/100</f>
        <v>6.14</v>
      </c>
      <c r="B616" s="33">
        <f>Examples!$C$18-(Examples!$C$10+Examples!$C$11)*$A616-(Examples!$C$6*Examples!$C$7*Examples!$C$8*EXP(-Examples!$C$9*$A616)*(1-(Examples!$C$12*(1-EXP(-Examples!$C$13*$A616))/(1+EXP(MIN(700,MAX(-700,(Examples!$C$14*$A616-Examples!$C$15)/Examples!$C$16))))))+Examples!$C$17*$A616^2)</f>
        <v>-275494.04776577605</v>
      </c>
      <c r="C616" s="33">
        <f>(Examples!$C$6*Examples!$C$7*Examples!$C$8*EXP(-Examples!$C$9*$A616)*(1-(Examples!$C$12*(1-EXP(-Examples!$C$13*$A616))/(1+EXP(MIN(700,MAX(-700,(Examples!$C$14*$A616-Examples!$C$15)/Examples!$C$16))))))+Examples!$C$17*$A616^2)</f>
        <v>660594.04776577605</v>
      </c>
      <c r="D616" s="33">
        <f>Examples!$D$18-(Examples!$D$10+Examples!$D$11)*$A616-(Examples!$D$6*Examples!$D$7*Examples!$D$8*EXP(-Examples!$D$9*$A616)*(1-(Examples!$D$12*(1-EXP(-Examples!$D$13*$A616))/(1+EXP(MIN(700,MAX(-700,(Examples!$D$14*$A616-Examples!$D$15)/Examples!$D$16))))))+Examples!$D$17*$A616^2)</f>
        <v>1667570.7840813957</v>
      </c>
      <c r="E616" s="33">
        <f>(Examples!$D$6*Examples!$D$7*Examples!$D$8*EXP(-Examples!$D$9*$A616)*(1-(Examples!$D$12*(1-EXP(-Examples!$D$13*$A616))/(1+EXP(MIN(700,MAX(-700,(Examples!$D$14*$A616-Examples!$D$15)/Examples!$D$16))))))+Examples!$D$17*$A616^2)</f>
        <v>556129.21591860428</v>
      </c>
      <c r="F616" s="33">
        <f>Examples!$E$18-(Examples!$E$10+Examples!$E$11)*$A616-(Examples!$E$6*Examples!$E$7*Examples!$E$8*EXP(-Examples!$E$9*$A616)*(1-(Examples!$E$12*(1-EXP(-Examples!$E$13*$A616))/(1+EXP(MIN(700,MAX(-700,(Examples!$E$14*$A616-Examples!$E$15)/Examples!$E$16))))))+Examples!$E$17*$A616^2)</f>
        <v>2269781.3618201567</v>
      </c>
      <c r="G616" s="33">
        <f>(Examples!$E$6*Examples!$E$7*Examples!$E$8*EXP(-Examples!$E$9*$A616)*(1-(Examples!$E$12*(1-EXP(-Examples!$E$13*$A616))/(1+EXP(MIN(700,MAX(-700,(Examples!$E$14*$A616-Examples!$E$15)/Examples!$E$16))))))+Examples!$E$17*$A616^2)</f>
        <v>208318.63817984308</v>
      </c>
      <c r="H616" s="33">
        <f>Examples!$F$18-(Examples!$F$10+Examples!$F$11)*$A616-(Examples!$F$6*Examples!$F$7*Examples!$F$8*EXP(-Examples!$F$9*$A616)*(1-(Examples!$F$12*(1-EXP(-Examples!$F$13*$A616))/(1+EXP(MIN(700,MAX(-700,(Examples!$F$14*$A616-Examples!$F$15)/Examples!$F$16))))))+Examples!$F$17*$A616^2)</f>
        <v>-729565.75189769315</v>
      </c>
      <c r="I616" s="33">
        <f>(Examples!$F$6*Examples!$F$7*Examples!$F$8*EXP(-Examples!$F$9*$A616)*(1-(Examples!$F$12*(1-EXP(-Examples!$F$13*$A616))/(1+EXP(MIN(700,MAX(-700,(Examples!$F$14*$A616-Examples!$F$15)/Examples!$F$16))))))+Examples!$F$17*$A616^2)</f>
        <v>756765.75189769315</v>
      </c>
      <c r="J616" s="33">
        <f>Examples!$G$18-(Examples!$G$10+Examples!$G$11)*$A616-(Examples!$G$6*Examples!$G$7*Examples!$G$8*EXP(-Examples!$G$9*$A616)*(1-(Examples!$G$12*(1-EXP(-Examples!$G$13*$A616))/(1+EXP(MIN(700,MAX(-700,(Examples!$G$14*$A616-Examples!$G$15)/Examples!$G$16))))))+Examples!$G$17*$A616^2)</f>
        <v>659579.09314278758</v>
      </c>
      <c r="K616" s="33">
        <f>(Examples!$G$6*Examples!$G$7*Examples!$G$8*EXP(-Examples!$G$9*$A616)*(1-(Examples!$G$12*(1-EXP(-Examples!$G$13*$A616))/(1+EXP(MIN(700,MAX(-700,(Examples!$G$14*$A616-Examples!$G$15)/Examples!$G$16))))))+Examples!$G$17*$A616^2)</f>
        <v>533420.90685721242</v>
      </c>
      <c r="L616" s="33">
        <f>Examples!$H$18-(Examples!$H$10+Examples!$H$11)*$A616-(Examples!$H$6*Examples!$H$7*Examples!$H$8*EXP(-Examples!$H$9*$A616)*(1-(Examples!$H$12*(1-EXP(-Examples!$H$13*$A616))/(1+EXP(MIN(700,MAX(-700,(Examples!$H$14*$A616-Examples!$H$15)/Examples!$H$16))))))+Examples!$H$17*$A616^2)</f>
        <v>658203.35383208795</v>
      </c>
      <c r="M616" s="33">
        <f>(Examples!$H$6*Examples!$H$7*Examples!$H$8*EXP(-Examples!$H$9*$A616)*(1-(Examples!$H$12*(1-EXP(-Examples!$H$13*$A616))/(1+EXP(MIN(700,MAX(-700,(Examples!$H$14*$A616-Examples!$H$15)/Examples!$H$16))))))+Examples!$H$17*$A616^2)</f>
        <v>534796.64616791205</v>
      </c>
    </row>
    <row r="617" spans="1:13" x14ac:dyDescent="0.25">
      <c r="A617">
        <f>(617-2)/100</f>
        <v>6.15</v>
      </c>
      <c r="B617" s="33">
        <f>Examples!$C$18-(Examples!$C$10+Examples!$C$11)*$A617-(Examples!$C$6*Examples!$C$7*Examples!$C$8*EXP(-Examples!$C$9*$A617)*(1-(Examples!$C$12*(1-EXP(-Examples!$C$13*$A617))/(1+EXP(MIN(700,MAX(-700,(Examples!$C$14*$A617-Examples!$C$15)/Examples!$C$16))))))+Examples!$C$17*$A617^2)</f>
        <v>-277402.6757088349</v>
      </c>
      <c r="C617" s="33">
        <f>(Examples!$C$6*Examples!$C$7*Examples!$C$8*EXP(-Examples!$C$9*$A617)*(1-(Examples!$C$12*(1-EXP(-Examples!$C$13*$A617))/(1+EXP(MIN(700,MAX(-700,(Examples!$C$14*$A617-Examples!$C$15)/Examples!$C$16))))))+Examples!$C$17*$A617^2)</f>
        <v>662152.6757088349</v>
      </c>
      <c r="D617" s="33">
        <f>Examples!$D$18-(Examples!$D$10+Examples!$D$11)*$A617-(Examples!$D$6*Examples!$D$7*Examples!$D$8*EXP(-Examples!$D$9*$A617)*(1-(Examples!$D$12*(1-EXP(-Examples!$D$13*$A617))/(1+EXP(MIN(700,MAX(-700,(Examples!$D$14*$A617-Examples!$D$15)/Examples!$D$16))))))+Examples!$D$17*$A617^2)</f>
        <v>1668019.4431577385</v>
      </c>
      <c r="E617" s="33">
        <f>(Examples!$D$6*Examples!$D$7*Examples!$D$8*EXP(-Examples!$D$9*$A617)*(1-(Examples!$D$12*(1-EXP(-Examples!$D$13*$A617))/(1+EXP(MIN(700,MAX(-700,(Examples!$D$14*$A617-Examples!$D$15)/Examples!$D$16))))))+Examples!$D$17*$A617^2)</f>
        <v>555230.55684226146</v>
      </c>
      <c r="F617" s="33">
        <f>Examples!$E$18-(Examples!$E$10+Examples!$E$11)*$A617-(Examples!$E$6*Examples!$E$7*Examples!$E$8*EXP(-Examples!$E$9*$A617)*(1-(Examples!$E$12*(1-EXP(-Examples!$E$13*$A617))/(1+EXP(MIN(700,MAX(-700,(Examples!$E$14*$A617-Examples!$E$15)/Examples!$E$16))))))+Examples!$E$17*$A617^2)</f>
        <v>2268869.6996407318</v>
      </c>
      <c r="G617" s="33">
        <f>(Examples!$E$6*Examples!$E$7*Examples!$E$8*EXP(-Examples!$E$9*$A617)*(1-(Examples!$E$12*(1-EXP(-Examples!$E$13*$A617))/(1+EXP(MIN(700,MAX(-700,(Examples!$E$14*$A617-Examples!$E$15)/Examples!$E$16))))))+Examples!$E$17*$A617^2)</f>
        <v>208380.30035926809</v>
      </c>
      <c r="H617" s="33">
        <f>Examples!$F$18-(Examples!$F$10+Examples!$F$11)*$A617-(Examples!$F$6*Examples!$F$7*Examples!$F$8*EXP(-Examples!$F$9*$A617)*(1-(Examples!$F$12*(1-EXP(-Examples!$F$13*$A617))/(1+EXP(MIN(700,MAX(-700,(Examples!$F$14*$A617-Examples!$F$15)/Examples!$F$16))))))+Examples!$F$17*$A617^2)</f>
        <v>-732215.44311157207</v>
      </c>
      <c r="I617" s="33">
        <f>(Examples!$F$6*Examples!$F$7*Examples!$F$8*EXP(-Examples!$F$9*$A617)*(1-(Examples!$F$12*(1-EXP(-Examples!$F$13*$A617))/(1+EXP(MIN(700,MAX(-700,(Examples!$F$14*$A617-Examples!$F$15)/Examples!$F$16))))))+Examples!$F$17*$A617^2)</f>
        <v>759215.44311157207</v>
      </c>
      <c r="J617" s="33">
        <f>Examples!$G$18-(Examples!$G$10+Examples!$G$11)*$A617-(Examples!$G$6*Examples!$G$7*Examples!$G$8*EXP(-Examples!$G$9*$A617)*(1-(Examples!$G$12*(1-EXP(-Examples!$G$13*$A617))/(1+EXP(MIN(700,MAX(-700,(Examples!$G$14*$A617-Examples!$G$15)/Examples!$G$16))))))+Examples!$G$17*$A617^2)</f>
        <v>658888.14869501046</v>
      </c>
      <c r="K617" s="33">
        <f>(Examples!$G$6*Examples!$G$7*Examples!$G$8*EXP(-Examples!$G$9*$A617)*(1-(Examples!$G$12*(1-EXP(-Examples!$G$13*$A617))/(1+EXP(MIN(700,MAX(-700,(Examples!$G$14*$A617-Examples!$G$15)/Examples!$G$16))))))+Examples!$G$17*$A617^2)</f>
        <v>533611.85130498954</v>
      </c>
      <c r="L617" s="33">
        <f>Examples!$H$18-(Examples!$H$10+Examples!$H$11)*$A617-(Examples!$H$6*Examples!$H$7*Examples!$H$8*EXP(-Examples!$H$9*$A617)*(1-(Examples!$H$12*(1-EXP(-Examples!$H$13*$A617))/(1+EXP(MIN(700,MAX(-700,(Examples!$H$14*$A617-Examples!$H$15)/Examples!$H$16))))))+Examples!$H$17*$A617^2)</f>
        <v>657534.87819757161</v>
      </c>
      <c r="M617" s="33">
        <f>(Examples!$H$6*Examples!$H$7*Examples!$H$8*EXP(-Examples!$H$9*$A617)*(1-(Examples!$H$12*(1-EXP(-Examples!$H$13*$A617))/(1+EXP(MIN(700,MAX(-700,(Examples!$H$14*$A617-Examples!$H$15)/Examples!$H$16))))))+Examples!$H$17*$A617^2)</f>
        <v>534965.12180242839</v>
      </c>
    </row>
    <row r="618" spans="1:13" x14ac:dyDescent="0.25">
      <c r="A618">
        <f>(618-2)/100</f>
        <v>6.16</v>
      </c>
      <c r="B618" s="33">
        <f>Examples!$C$18-(Examples!$C$10+Examples!$C$11)*$A618-(Examples!$C$6*Examples!$C$7*Examples!$C$8*EXP(-Examples!$C$9*$A618)*(1-(Examples!$C$12*(1-EXP(-Examples!$C$13*$A618))/(1+EXP(MIN(700,MAX(-700,(Examples!$C$14*$A618-Examples!$C$15)/Examples!$C$16))))))+Examples!$C$17*$A618^2)</f>
        <v>-279315.15696753515</v>
      </c>
      <c r="C618" s="33">
        <f>(Examples!$C$6*Examples!$C$7*Examples!$C$8*EXP(-Examples!$C$9*$A618)*(1-(Examples!$C$12*(1-EXP(-Examples!$C$13*$A618))/(1+EXP(MIN(700,MAX(-700,(Examples!$C$14*$A618-Examples!$C$15)/Examples!$C$16))))))+Examples!$C$17*$A618^2)</f>
        <v>663715.15696753515</v>
      </c>
      <c r="D618" s="33">
        <f>Examples!$D$18-(Examples!$D$10+Examples!$D$11)*$A618-(Examples!$D$6*Examples!$D$7*Examples!$D$8*EXP(-Examples!$D$9*$A618)*(1-(Examples!$D$12*(1-EXP(-Examples!$D$13*$A618))/(1+EXP(MIN(700,MAX(-700,(Examples!$D$14*$A618-Examples!$D$15)/Examples!$D$16))))))+Examples!$D$17*$A618^2)</f>
        <v>1668462.5651975765</v>
      </c>
      <c r="E618" s="33">
        <f>(Examples!$D$6*Examples!$D$7*Examples!$D$8*EXP(-Examples!$D$9*$A618)*(1-(Examples!$D$12*(1-EXP(-Examples!$D$13*$A618))/(1+EXP(MIN(700,MAX(-700,(Examples!$D$14*$A618-Examples!$D$15)/Examples!$D$16))))))+Examples!$D$17*$A618^2)</f>
        <v>554337.43480242346</v>
      </c>
      <c r="F618" s="33">
        <f>Examples!$E$18-(Examples!$E$10+Examples!$E$11)*$A618-(Examples!$E$6*Examples!$E$7*Examples!$E$8*EXP(-Examples!$E$9*$A618)*(1-(Examples!$E$12*(1-EXP(-Examples!$E$13*$A618))/(1+EXP(MIN(700,MAX(-700,(Examples!$E$14*$A618-Examples!$E$15)/Examples!$E$16))))))+Examples!$E$17*$A618^2)</f>
        <v>2267957.2745654639</v>
      </c>
      <c r="G618" s="33">
        <f>(Examples!$E$6*Examples!$E$7*Examples!$E$8*EXP(-Examples!$E$9*$A618)*(1-(Examples!$E$12*(1-EXP(-Examples!$E$13*$A618))/(1+EXP(MIN(700,MAX(-700,(Examples!$E$14*$A618-Examples!$E$15)/Examples!$E$16))))))+Examples!$E$17*$A618^2)</f>
        <v>208442.72543453629</v>
      </c>
      <c r="H618" s="33">
        <f>Examples!$F$18-(Examples!$F$10+Examples!$F$11)*$A618-(Examples!$F$6*Examples!$F$7*Examples!$F$8*EXP(-Examples!$F$9*$A618)*(1-(Examples!$F$12*(1-EXP(-Examples!$F$13*$A618))/(1+EXP(MIN(700,MAX(-700,(Examples!$F$14*$A618-Examples!$F$15)/Examples!$F$16))))))+Examples!$F$17*$A618^2)</f>
        <v>-734869.15921445016</v>
      </c>
      <c r="I618" s="33">
        <f>(Examples!$F$6*Examples!$F$7*Examples!$F$8*EXP(-Examples!$F$9*$A618)*(1-(Examples!$F$12*(1-EXP(-Examples!$F$13*$A618))/(1+EXP(MIN(700,MAX(-700,(Examples!$F$14*$A618-Examples!$F$15)/Examples!$F$16))))))+Examples!$F$17*$A618^2)</f>
        <v>761669.15921445016</v>
      </c>
      <c r="J618" s="33">
        <f>Examples!$G$18-(Examples!$G$10+Examples!$G$11)*$A618-(Examples!$G$6*Examples!$G$7*Examples!$G$8*EXP(-Examples!$G$9*$A618)*(1-(Examples!$G$12*(1-EXP(-Examples!$G$13*$A618))/(1+EXP(MIN(700,MAX(-700,(Examples!$G$14*$A618-Examples!$G$15)/Examples!$G$16))))))+Examples!$G$17*$A618^2)</f>
        <v>658193.12232980295</v>
      </c>
      <c r="K618" s="33">
        <f>(Examples!$G$6*Examples!$G$7*Examples!$G$8*EXP(-Examples!$G$9*$A618)*(1-(Examples!$G$12*(1-EXP(-Examples!$G$13*$A618))/(1+EXP(MIN(700,MAX(-700,(Examples!$G$14*$A618-Examples!$G$15)/Examples!$G$16))))))+Examples!$G$17*$A618^2)</f>
        <v>533806.87767019705</v>
      </c>
      <c r="L618" s="33">
        <f>Examples!$H$18-(Examples!$H$10+Examples!$H$11)*$A618-(Examples!$H$6*Examples!$H$7*Examples!$H$8*EXP(-Examples!$H$9*$A618)*(1-(Examples!$H$12*(1-EXP(-Examples!$H$13*$A618))/(1+EXP(MIN(700,MAX(-700,(Examples!$H$14*$A618-Examples!$H$15)/Examples!$H$16))))))+Examples!$H$17*$A618^2)</f>
        <v>656861.95768741588</v>
      </c>
      <c r="M618" s="33">
        <f>(Examples!$H$6*Examples!$H$7*Examples!$H$8*EXP(-Examples!$H$9*$A618)*(1-(Examples!$H$12*(1-EXP(-Examples!$H$13*$A618))/(1+EXP(MIN(700,MAX(-700,(Examples!$H$14*$A618-Examples!$H$15)/Examples!$H$16))))))+Examples!$H$17*$A618^2)</f>
        <v>535138.04231258412</v>
      </c>
    </row>
    <row r="619" spans="1:13" x14ac:dyDescent="0.25">
      <c r="A619">
        <f>(619-2)/100</f>
        <v>6.17</v>
      </c>
      <c r="B619" s="33">
        <f>Examples!$C$18-(Examples!$C$10+Examples!$C$11)*$A619-(Examples!$C$6*Examples!$C$7*Examples!$C$8*EXP(-Examples!$C$9*$A619)*(1-(Examples!$C$12*(1-EXP(-Examples!$C$13*$A619))/(1+EXP(MIN(700,MAX(-700,(Examples!$C$14*$A619-Examples!$C$15)/Examples!$C$16))))))+Examples!$C$17*$A619^2)</f>
        <v>-281231.48898646678</v>
      </c>
      <c r="C619" s="33">
        <f>(Examples!$C$6*Examples!$C$7*Examples!$C$8*EXP(-Examples!$C$9*$A619)*(1-(Examples!$C$12*(1-EXP(-Examples!$C$13*$A619))/(1+EXP(MIN(700,MAX(-700,(Examples!$C$14*$A619-Examples!$C$15)/Examples!$C$16))))))+Examples!$C$17*$A619^2)</f>
        <v>665281.48898646678</v>
      </c>
      <c r="D619" s="33">
        <f>Examples!$D$18-(Examples!$D$10+Examples!$D$11)*$A619-(Examples!$D$6*Examples!$D$7*Examples!$D$8*EXP(-Examples!$D$9*$A619)*(1-(Examples!$D$12*(1-EXP(-Examples!$D$13*$A619))/(1+EXP(MIN(700,MAX(-700,(Examples!$D$14*$A619-Examples!$D$15)/Examples!$D$16))))))+Examples!$D$17*$A619^2)</f>
        <v>1668900.1354970704</v>
      </c>
      <c r="E619" s="33">
        <f>(Examples!$D$6*Examples!$D$7*Examples!$D$8*EXP(-Examples!$D$9*$A619)*(1-(Examples!$D$12*(1-EXP(-Examples!$D$13*$A619))/(1+EXP(MIN(700,MAX(-700,(Examples!$D$14*$A619-Examples!$D$15)/Examples!$D$16))))))+Examples!$D$17*$A619^2)</f>
        <v>553449.86450292962</v>
      </c>
      <c r="F619" s="33">
        <f>Examples!$E$18-(Examples!$E$10+Examples!$E$11)*$A619-(Examples!$E$6*Examples!$E$7*Examples!$E$8*EXP(-Examples!$E$9*$A619)*(1-(Examples!$E$12*(1-EXP(-Examples!$E$13*$A619))/(1+EXP(MIN(700,MAX(-700,(Examples!$E$14*$A619-Examples!$E$15)/Examples!$E$16))))))+Examples!$E$17*$A619^2)</f>
        <v>2267044.0809512003</v>
      </c>
      <c r="G619" s="33">
        <f>(Examples!$E$6*Examples!$E$7*Examples!$E$8*EXP(-Examples!$E$9*$A619)*(1-(Examples!$E$12*(1-EXP(-Examples!$E$13*$A619))/(1+EXP(MIN(700,MAX(-700,(Examples!$E$14*$A619-Examples!$E$15)/Examples!$E$16))))))+Examples!$E$17*$A619^2)</f>
        <v>208505.91904879981</v>
      </c>
      <c r="H619" s="33">
        <f>Examples!$F$18-(Examples!$F$10+Examples!$F$11)*$A619-(Examples!$F$6*Examples!$F$7*Examples!$F$8*EXP(-Examples!$F$9*$A619)*(1-(Examples!$F$12*(1-EXP(-Examples!$F$13*$A619))/(1+EXP(MIN(700,MAX(-700,(Examples!$F$14*$A619-Examples!$F$15)/Examples!$F$16))))))+Examples!$F$17*$A619^2)</f>
        <v>-737526.90013177309</v>
      </c>
      <c r="I619" s="33">
        <f>(Examples!$F$6*Examples!$F$7*Examples!$F$8*EXP(-Examples!$F$9*$A619)*(1-(Examples!$F$12*(1-EXP(-Examples!$F$13*$A619))/(1+EXP(MIN(700,MAX(-700,(Examples!$F$14*$A619-Examples!$F$15)/Examples!$F$16))))))+Examples!$F$17*$A619^2)</f>
        <v>764126.90013177309</v>
      </c>
      <c r="J619" s="33">
        <f>Examples!$G$18-(Examples!$G$10+Examples!$G$11)*$A619-(Examples!$G$6*Examples!$G$7*Examples!$G$8*EXP(-Examples!$G$9*$A619)*(1-(Examples!$G$12*(1-EXP(-Examples!$G$13*$A619))/(1+EXP(MIN(700,MAX(-700,(Examples!$G$14*$A619-Examples!$G$15)/Examples!$G$16))))))+Examples!$G$17*$A619^2)</f>
        <v>657494.01817370835</v>
      </c>
      <c r="K619" s="33">
        <f>(Examples!$G$6*Examples!$G$7*Examples!$G$8*EXP(-Examples!$G$9*$A619)*(1-(Examples!$G$12*(1-EXP(-Examples!$G$13*$A619))/(1+EXP(MIN(700,MAX(-700,(Examples!$G$14*$A619-Examples!$G$15)/Examples!$G$16))))))+Examples!$G$17*$A619^2)</f>
        <v>534005.98182629165</v>
      </c>
      <c r="L619" s="33">
        <f>Examples!$H$18-(Examples!$H$10+Examples!$H$11)*$A619-(Examples!$H$6*Examples!$H$7*Examples!$H$8*EXP(-Examples!$H$9*$A619)*(1-(Examples!$H$12*(1-EXP(-Examples!$H$13*$A619))/(1+EXP(MIN(700,MAX(-700,(Examples!$H$14*$A619-Examples!$H$15)/Examples!$H$16))))))+Examples!$H$17*$A619^2)</f>
        <v>656184.60218337702</v>
      </c>
      <c r="M619" s="33">
        <f>(Examples!$H$6*Examples!$H$7*Examples!$H$8*EXP(-Examples!$H$9*$A619)*(1-(Examples!$H$12*(1-EXP(-Examples!$H$13*$A619))/(1+EXP(MIN(700,MAX(-700,(Examples!$H$14*$A619-Examples!$H$15)/Examples!$H$16))))))+Examples!$H$17*$A619^2)</f>
        <v>535315.39781662298</v>
      </c>
    </row>
    <row r="620" spans="1:13" x14ac:dyDescent="0.25">
      <c r="A620">
        <f>(620-2)/100</f>
        <v>6.18</v>
      </c>
      <c r="B620" s="33">
        <f>Examples!$C$18-(Examples!$C$10+Examples!$C$11)*$A620-(Examples!$C$6*Examples!$C$7*Examples!$C$8*EXP(-Examples!$C$9*$A620)*(1-(Examples!$C$12*(1-EXP(-Examples!$C$13*$A620))/(1+EXP(MIN(700,MAX(-700,(Examples!$C$14*$A620-Examples!$C$15)/Examples!$C$16))))))+Examples!$C$17*$A620^2)</f>
        <v>-283151.66921784962</v>
      </c>
      <c r="C620" s="33">
        <f>(Examples!$C$6*Examples!$C$7*Examples!$C$8*EXP(-Examples!$C$9*$A620)*(1-(Examples!$C$12*(1-EXP(-Examples!$C$13*$A620))/(1+EXP(MIN(700,MAX(-700,(Examples!$C$14*$A620-Examples!$C$15)/Examples!$C$16))))))+Examples!$C$17*$A620^2)</f>
        <v>666851.66921784962</v>
      </c>
      <c r="D620" s="33">
        <f>Examples!$D$18-(Examples!$D$10+Examples!$D$11)*$A620-(Examples!$D$6*Examples!$D$7*Examples!$D$8*EXP(-Examples!$D$9*$A620)*(1-(Examples!$D$12*(1-EXP(-Examples!$D$13*$A620))/(1+EXP(MIN(700,MAX(-700,(Examples!$D$14*$A620-Examples!$D$15)/Examples!$D$16))))))+Examples!$D$17*$A620^2)</f>
        <v>1669332.1399062886</v>
      </c>
      <c r="E620" s="33">
        <f>(Examples!$D$6*Examples!$D$7*Examples!$D$8*EXP(-Examples!$D$9*$A620)*(1-(Examples!$D$12*(1-EXP(-Examples!$D$13*$A620))/(1+EXP(MIN(700,MAX(-700,(Examples!$D$14*$A620-Examples!$D$15)/Examples!$D$16))))))+Examples!$D$17*$A620^2)</f>
        <v>552567.86009371141</v>
      </c>
      <c r="F620" s="33">
        <f>Examples!$E$18-(Examples!$E$10+Examples!$E$11)*$A620-(Examples!$E$6*Examples!$E$7*Examples!$E$8*EXP(-Examples!$E$9*$A620)*(1-(Examples!$E$12*(1-EXP(-Examples!$E$13*$A620))/(1+EXP(MIN(700,MAX(-700,(Examples!$E$14*$A620-Examples!$E$15)/Examples!$E$16))))))+Examples!$E$17*$A620^2)</f>
        <v>2266130.1131393858</v>
      </c>
      <c r="G620" s="33">
        <f>(Examples!$E$6*Examples!$E$7*Examples!$E$8*EXP(-Examples!$E$9*$A620)*(1-(Examples!$E$12*(1-EXP(-Examples!$E$13*$A620))/(1+EXP(MIN(700,MAX(-700,(Examples!$E$14*$A620-Examples!$E$15)/Examples!$E$16))))))+Examples!$E$17*$A620^2)</f>
        <v>208569.88686061412</v>
      </c>
      <c r="H620" s="33">
        <f>Examples!$F$18-(Examples!$F$10+Examples!$F$11)*$A620-(Examples!$F$6*Examples!$F$7*Examples!$F$8*EXP(-Examples!$F$9*$A620)*(1-(Examples!$F$12*(1-EXP(-Examples!$F$13*$A620))/(1+EXP(MIN(700,MAX(-700,(Examples!$F$14*$A620-Examples!$F$15)/Examples!$F$16))))))+Examples!$F$17*$A620^2)</f>
        <v>-740188.66578920919</v>
      </c>
      <c r="I620" s="33">
        <f>(Examples!$F$6*Examples!$F$7*Examples!$F$8*EXP(-Examples!$F$9*$A620)*(1-(Examples!$F$12*(1-EXP(-Examples!$F$13*$A620))/(1+EXP(MIN(700,MAX(-700,(Examples!$F$14*$A620-Examples!$F$15)/Examples!$F$16))))))+Examples!$F$17*$A620^2)</f>
        <v>766588.66578920919</v>
      </c>
      <c r="J620" s="33">
        <f>Examples!$G$18-(Examples!$G$10+Examples!$G$11)*$A620-(Examples!$G$6*Examples!$G$7*Examples!$G$8*EXP(-Examples!$G$9*$A620)*(1-(Examples!$G$12*(1-EXP(-Examples!$G$13*$A620))/(1+EXP(MIN(700,MAX(-700,(Examples!$G$14*$A620-Examples!$G$15)/Examples!$G$16))))))+Examples!$G$17*$A620^2)</f>
        <v>656790.84040899179</v>
      </c>
      <c r="K620" s="33">
        <f>(Examples!$G$6*Examples!$G$7*Examples!$G$8*EXP(-Examples!$G$9*$A620)*(1-(Examples!$G$12*(1-EXP(-Examples!$G$13*$A620))/(1+EXP(MIN(700,MAX(-700,(Examples!$G$14*$A620-Examples!$G$15)/Examples!$G$16))))))+Examples!$G$17*$A620^2)</f>
        <v>534209.15959100821</v>
      </c>
      <c r="L620" s="33">
        <f>Examples!$H$18-(Examples!$H$10+Examples!$H$11)*$A620-(Examples!$H$6*Examples!$H$7*Examples!$H$8*EXP(-Examples!$H$9*$A620)*(1-(Examples!$H$12*(1-EXP(-Examples!$H$13*$A620))/(1+EXP(MIN(700,MAX(-700,(Examples!$H$14*$A620-Examples!$H$15)/Examples!$H$16))))))+Examples!$H$17*$A620^2)</f>
        <v>655502.82153468416</v>
      </c>
      <c r="M620" s="33">
        <f>(Examples!$H$6*Examples!$H$7*Examples!$H$8*EXP(-Examples!$H$9*$A620)*(1-(Examples!$H$12*(1-EXP(-Examples!$H$13*$A620))/(1+EXP(MIN(700,MAX(-700,(Examples!$H$14*$A620-Examples!$H$15)/Examples!$H$16))))))+Examples!$H$17*$A620^2)</f>
        <v>535497.17846531584</v>
      </c>
    </row>
    <row r="621" spans="1:13" x14ac:dyDescent="0.25">
      <c r="A621">
        <f>(621-2)/100</f>
        <v>6.19</v>
      </c>
      <c r="B621" s="33">
        <f>Examples!$C$18-(Examples!$C$10+Examples!$C$11)*$A621-(Examples!$C$6*Examples!$C$7*Examples!$C$8*EXP(-Examples!$C$9*$A621)*(1-(Examples!$C$12*(1-EXP(-Examples!$C$13*$A621))/(1+EXP(MIN(700,MAX(-700,(Examples!$C$14*$A621-Examples!$C$15)/Examples!$C$16))))))+Examples!$C$17*$A621^2)</f>
        <v>-285075.69512151123</v>
      </c>
      <c r="C621" s="33">
        <f>(Examples!$C$6*Examples!$C$7*Examples!$C$8*EXP(-Examples!$C$9*$A621)*(1-(Examples!$C$12*(1-EXP(-Examples!$C$13*$A621))/(1+EXP(MIN(700,MAX(-700,(Examples!$C$14*$A621-Examples!$C$15)/Examples!$C$16))))))+Examples!$C$17*$A621^2)</f>
        <v>668425.69512151123</v>
      </c>
      <c r="D621" s="33">
        <f>Examples!$D$18-(Examples!$D$10+Examples!$D$11)*$A621-(Examples!$D$6*Examples!$D$7*Examples!$D$8*EXP(-Examples!$D$9*$A621)*(1-(Examples!$D$12*(1-EXP(-Examples!$D$13*$A621))/(1+EXP(MIN(700,MAX(-700,(Examples!$D$14*$A621-Examples!$D$15)/Examples!$D$16))))))+Examples!$D$17*$A621^2)</f>
        <v>1669758.5648216126</v>
      </c>
      <c r="E621" s="33">
        <f>(Examples!$D$6*Examples!$D$7*Examples!$D$8*EXP(-Examples!$D$9*$A621)*(1-(Examples!$D$12*(1-EXP(-Examples!$D$13*$A621))/(1+EXP(MIN(700,MAX(-700,(Examples!$D$14*$A621-Examples!$D$15)/Examples!$D$16))))))+Examples!$D$17*$A621^2)</f>
        <v>551691.43517838756</v>
      </c>
      <c r="F621" s="33">
        <f>Examples!$E$18-(Examples!$E$10+Examples!$E$11)*$A621-(Examples!$E$6*Examples!$E$7*Examples!$E$8*EXP(-Examples!$E$9*$A621)*(1-(Examples!$E$12*(1-EXP(-Examples!$E$13*$A621))/(1+EXP(MIN(700,MAX(-700,(Examples!$E$14*$A621-Examples!$E$15)/Examples!$E$16))))))+Examples!$E$17*$A621^2)</f>
        <v>2265215.3654575185</v>
      </c>
      <c r="G621" s="33">
        <f>(Examples!$E$6*Examples!$E$7*Examples!$E$8*EXP(-Examples!$E$9*$A621)*(1-(Examples!$E$12*(1-EXP(-Examples!$E$13*$A621))/(1+EXP(MIN(700,MAX(-700,(Examples!$E$14*$A621-Examples!$E$15)/Examples!$E$16))))))+Examples!$E$17*$A621^2)</f>
        <v>208634.63454248142</v>
      </c>
      <c r="H621" s="33">
        <f>Examples!$F$18-(Examples!$F$10+Examples!$F$11)*$A621-(Examples!$F$6*Examples!$F$7*Examples!$F$8*EXP(-Examples!$F$9*$A621)*(1-(Examples!$F$12*(1-EXP(-Examples!$F$13*$A621))/(1+EXP(MIN(700,MAX(-700,(Examples!$F$14*$A621-Examples!$F$15)/Examples!$F$16))))))+Examples!$F$17*$A621^2)</f>
        <v>-742854.45611264964</v>
      </c>
      <c r="I621" s="33">
        <f>(Examples!$F$6*Examples!$F$7*Examples!$F$8*EXP(-Examples!$F$9*$A621)*(1-(Examples!$F$12*(1-EXP(-Examples!$F$13*$A621))/(1+EXP(MIN(700,MAX(-700,(Examples!$F$14*$A621-Examples!$F$15)/Examples!$F$16))))))+Examples!$F$17*$A621^2)</f>
        <v>769054.45611264964</v>
      </c>
      <c r="J621" s="33">
        <f>Examples!$G$18-(Examples!$G$10+Examples!$G$11)*$A621-(Examples!$G$6*Examples!$G$7*Examples!$G$8*EXP(-Examples!$G$9*$A621)*(1-(Examples!$G$12*(1-EXP(-Examples!$G$13*$A621))/(1+EXP(MIN(700,MAX(-700,(Examples!$G$14*$A621-Examples!$G$15)/Examples!$G$16))))))+Examples!$G$17*$A621^2)</f>
        <v>656083.59327241872</v>
      </c>
      <c r="K621" s="33">
        <f>(Examples!$G$6*Examples!$G$7*Examples!$G$8*EXP(-Examples!$G$9*$A621)*(1-(Examples!$G$12*(1-EXP(-Examples!$G$13*$A621))/(1+EXP(MIN(700,MAX(-700,(Examples!$G$14*$A621-Examples!$G$15)/Examples!$G$16))))))+Examples!$G$17*$A621^2)</f>
        <v>534416.40672758128</v>
      </c>
      <c r="L621" s="33">
        <f>Examples!$H$18-(Examples!$H$10+Examples!$H$11)*$A621-(Examples!$H$6*Examples!$H$7*Examples!$H$8*EXP(-Examples!$H$9*$A621)*(1-(Examples!$H$12*(1-EXP(-Examples!$H$13*$A621))/(1+EXP(MIN(700,MAX(-700,(Examples!$H$14*$A621-Examples!$H$15)/Examples!$H$16))))))+Examples!$H$17*$A621^2)</f>
        <v>654816.62555808434</v>
      </c>
      <c r="M621" s="33">
        <f>(Examples!$H$6*Examples!$H$7*Examples!$H$8*EXP(-Examples!$H$9*$A621)*(1-(Examples!$H$12*(1-EXP(-Examples!$H$13*$A621))/(1+EXP(MIN(700,MAX(-700,(Examples!$H$14*$A621-Examples!$H$15)/Examples!$H$16))))))+Examples!$H$17*$A621^2)</f>
        <v>535683.37444191566</v>
      </c>
    </row>
    <row r="622" spans="1:13" x14ac:dyDescent="0.25">
      <c r="A622">
        <f>(622-2)/100</f>
        <v>6.2</v>
      </c>
      <c r="B622" s="33">
        <f>Examples!$C$18-(Examples!$C$10+Examples!$C$11)*$A622-(Examples!$C$6*Examples!$C$7*Examples!$C$8*EXP(-Examples!$C$9*$A622)*(1-(Examples!$C$12*(1-EXP(-Examples!$C$13*$A622))/(1+EXP(MIN(700,MAX(-700,(Examples!$C$14*$A622-Examples!$C$15)/Examples!$C$16))))))+Examples!$C$17*$A622^2)</f>
        <v>-287003.56416486565</v>
      </c>
      <c r="C622" s="33">
        <f>(Examples!$C$6*Examples!$C$7*Examples!$C$8*EXP(-Examples!$C$9*$A622)*(1-(Examples!$C$12*(1-EXP(-Examples!$C$13*$A622))/(1+EXP(MIN(700,MAX(-700,(Examples!$C$14*$A622-Examples!$C$15)/Examples!$C$16))))))+Examples!$C$17*$A622^2)</f>
        <v>670003.56416486565</v>
      </c>
      <c r="D622" s="33">
        <f>Examples!$D$18-(Examples!$D$10+Examples!$D$11)*$A622-(Examples!$D$6*Examples!$D$7*Examples!$D$8*EXP(-Examples!$D$9*$A622)*(1-(Examples!$D$12*(1-EXP(-Examples!$D$13*$A622))/(1+EXP(MIN(700,MAX(-700,(Examples!$D$14*$A622-Examples!$D$15)/Examples!$D$16))))))+Examples!$D$17*$A622^2)</f>
        <v>1670179.3971781759</v>
      </c>
      <c r="E622" s="33">
        <f>(Examples!$D$6*Examples!$D$7*Examples!$D$8*EXP(-Examples!$D$9*$A622)*(1-(Examples!$D$12*(1-EXP(-Examples!$D$13*$A622))/(1+EXP(MIN(700,MAX(-700,(Examples!$D$14*$A622-Examples!$D$15)/Examples!$D$16))))))+Examples!$D$17*$A622^2)</f>
        <v>550820.60282182426</v>
      </c>
      <c r="F622" s="33">
        <f>Examples!$E$18-(Examples!$E$10+Examples!$E$11)*$A622-(Examples!$E$6*Examples!$E$7*Examples!$E$8*EXP(-Examples!$E$9*$A622)*(1-(Examples!$E$12*(1-EXP(-Examples!$E$13*$A622))/(1+EXP(MIN(700,MAX(-700,(Examples!$E$14*$A622-Examples!$E$15)/Examples!$E$16))))))+Examples!$E$17*$A622^2)</f>
        <v>2264299.8322205874</v>
      </c>
      <c r="G622" s="33">
        <f>(Examples!$E$6*Examples!$E$7*Examples!$E$8*EXP(-Examples!$E$9*$A622)*(1-(Examples!$E$12*(1-EXP(-Examples!$E$13*$A622))/(1+EXP(MIN(700,MAX(-700,(Examples!$E$14*$A622-Examples!$E$15)/Examples!$E$16))))))+Examples!$E$17*$A622^2)</f>
        <v>208700.16777941241</v>
      </c>
      <c r="H622" s="33">
        <f>Examples!$F$18-(Examples!$F$10+Examples!$F$11)*$A622-(Examples!$F$6*Examples!$F$7*Examples!$F$8*EXP(-Examples!$F$9*$A622)*(1-(Examples!$F$12*(1-EXP(-Examples!$F$13*$A622))/(1+EXP(MIN(700,MAX(-700,(Examples!$F$14*$A622-Examples!$F$15)/Examples!$F$16))))))+Examples!$F$17*$A622^2)</f>
        <v>-745524.2710282075</v>
      </c>
      <c r="I622" s="33">
        <f>(Examples!$F$6*Examples!$F$7*Examples!$F$8*EXP(-Examples!$F$9*$A622)*(1-(Examples!$F$12*(1-EXP(-Examples!$F$13*$A622))/(1+EXP(MIN(700,MAX(-700,(Examples!$F$14*$A622-Examples!$F$15)/Examples!$F$16))))))+Examples!$F$17*$A622^2)</f>
        <v>771524.2710282075</v>
      </c>
      <c r="J622" s="33">
        <f>Examples!$G$18-(Examples!$G$10+Examples!$G$11)*$A622-(Examples!$G$6*Examples!$G$7*Examples!$G$8*EXP(-Examples!$G$9*$A622)*(1-(Examples!$G$12*(1-EXP(-Examples!$G$13*$A622))/(1+EXP(MIN(700,MAX(-700,(Examples!$G$14*$A622-Examples!$G$15)/Examples!$G$16))))))+Examples!$G$17*$A622^2)</f>
        <v>655372.28105405043</v>
      </c>
      <c r="K622" s="33">
        <f>(Examples!$G$6*Examples!$G$7*Examples!$G$8*EXP(-Examples!$G$9*$A622)*(1-(Examples!$G$12*(1-EXP(-Examples!$G$13*$A622))/(1+EXP(MIN(700,MAX(-700,(Examples!$G$14*$A622-Examples!$G$15)/Examples!$G$16))))))+Examples!$G$17*$A622^2)</f>
        <v>534627.71894594957</v>
      </c>
      <c r="L622" s="33">
        <f>Examples!$H$18-(Examples!$H$10+Examples!$H$11)*$A622-(Examples!$H$6*Examples!$H$7*Examples!$H$8*EXP(-Examples!$H$9*$A622)*(1-(Examples!$H$12*(1-EXP(-Examples!$H$13*$A622))/(1+EXP(MIN(700,MAX(-700,(Examples!$H$14*$A622-Examples!$H$15)/Examples!$H$16))))))+Examples!$H$17*$A622^2)</f>
        <v>654126.0240378892</v>
      </c>
      <c r="M622" s="33">
        <f>(Examples!$H$6*Examples!$H$7*Examples!$H$8*EXP(-Examples!$H$9*$A622)*(1-(Examples!$H$12*(1-EXP(-Examples!$H$13*$A622))/(1+EXP(MIN(700,MAX(-700,(Examples!$H$14*$A622-Examples!$H$15)/Examples!$H$16))))))+Examples!$H$17*$A622^2)</f>
        <v>535873.9759621108</v>
      </c>
    </row>
    <row r="623" spans="1:13" x14ac:dyDescent="0.25">
      <c r="A623">
        <f>(623-2)/100</f>
        <v>6.21</v>
      </c>
      <c r="B623" s="33">
        <f>Examples!$C$18-(Examples!$C$10+Examples!$C$11)*$A623-(Examples!$C$6*Examples!$C$7*Examples!$C$8*EXP(-Examples!$C$9*$A623)*(1-(Examples!$C$12*(1-EXP(-Examples!$C$13*$A623))/(1+EXP(MIN(700,MAX(-700,(Examples!$C$14*$A623-Examples!$C$15)/Examples!$C$16))))))+Examples!$C$17*$A623^2)</f>
        <v>-288935.27382289106</v>
      </c>
      <c r="C623" s="33">
        <f>(Examples!$C$6*Examples!$C$7*Examples!$C$8*EXP(-Examples!$C$9*$A623)*(1-(Examples!$C$12*(1-EXP(-Examples!$C$13*$A623))/(1+EXP(MIN(700,MAX(-700,(Examples!$C$14*$A623-Examples!$C$15)/Examples!$C$16))))))+Examples!$C$17*$A623^2)</f>
        <v>671585.27382289106</v>
      </c>
      <c r="D623" s="33">
        <f>Examples!$D$18-(Examples!$D$10+Examples!$D$11)*$A623-(Examples!$D$6*Examples!$D$7*Examples!$D$8*EXP(-Examples!$D$9*$A623)*(1-(Examples!$D$12*(1-EXP(-Examples!$D$13*$A623))/(1+EXP(MIN(700,MAX(-700,(Examples!$D$14*$A623-Examples!$D$15)/Examples!$D$16))))))+Examples!$D$17*$A623^2)</f>
        <v>1670594.6244423436</v>
      </c>
      <c r="E623" s="33">
        <f>(Examples!$D$6*Examples!$D$7*Examples!$D$8*EXP(-Examples!$D$9*$A623)*(1-(Examples!$D$12*(1-EXP(-Examples!$D$13*$A623))/(1+EXP(MIN(700,MAX(-700,(Examples!$D$14*$A623-Examples!$D$15)/Examples!$D$16))))))+Examples!$D$17*$A623^2)</f>
        <v>549955.3755576564</v>
      </c>
      <c r="F623" s="33">
        <f>Examples!$E$18-(Examples!$E$10+Examples!$E$11)*$A623-(Examples!$E$6*Examples!$E$7*Examples!$E$8*EXP(-Examples!$E$9*$A623)*(1-(Examples!$E$12*(1-EXP(-Examples!$E$13*$A623))/(1+EXP(MIN(700,MAX(-700,(Examples!$E$14*$A623-Examples!$E$15)/Examples!$E$16))))))+Examples!$E$17*$A623^2)</f>
        <v>2263383.5077324947</v>
      </c>
      <c r="G623" s="33">
        <f>(Examples!$E$6*Examples!$E$7*Examples!$E$8*EXP(-Examples!$E$9*$A623)*(1-(Examples!$E$12*(1-EXP(-Examples!$E$13*$A623))/(1+EXP(MIN(700,MAX(-700,(Examples!$E$14*$A623-Examples!$E$15)/Examples!$E$16))))))+Examples!$E$17*$A623^2)</f>
        <v>208766.49226750509</v>
      </c>
      <c r="H623" s="33">
        <f>Examples!$F$18-(Examples!$F$10+Examples!$F$11)*$A623-(Examples!$F$6*Examples!$F$7*Examples!$F$8*EXP(-Examples!$F$9*$A623)*(1-(Examples!$F$12*(1-EXP(-Examples!$F$13*$A623))/(1+EXP(MIN(700,MAX(-700,(Examples!$F$14*$A623-Examples!$F$15)/Examples!$F$16))))))+Examples!$F$17*$A623^2)</f>
        <v>-748198.11046221689</v>
      </c>
      <c r="I623" s="33">
        <f>(Examples!$F$6*Examples!$F$7*Examples!$F$8*EXP(-Examples!$F$9*$A623)*(1-(Examples!$F$12*(1-EXP(-Examples!$F$13*$A623))/(1+EXP(MIN(700,MAX(-700,(Examples!$F$14*$A623-Examples!$F$15)/Examples!$F$16))))))+Examples!$F$17*$A623^2)</f>
        <v>773998.11046221689</v>
      </c>
      <c r="J623" s="33">
        <f>Examples!$G$18-(Examples!$G$10+Examples!$G$11)*$A623-(Examples!$G$6*Examples!$G$7*Examples!$G$8*EXP(-Examples!$G$9*$A623)*(1-(Examples!$G$12*(1-EXP(-Examples!$G$13*$A623))/(1+EXP(MIN(700,MAX(-700,(Examples!$G$14*$A623-Examples!$G$15)/Examples!$G$16))))))+Examples!$G$17*$A623^2)</f>
        <v>654656.90809605888</v>
      </c>
      <c r="K623" s="33">
        <f>(Examples!$G$6*Examples!$G$7*Examples!$G$8*EXP(-Examples!$G$9*$A623)*(1-(Examples!$G$12*(1-EXP(-Examples!$G$13*$A623))/(1+EXP(MIN(700,MAX(-700,(Examples!$G$14*$A623-Examples!$G$15)/Examples!$G$16))))))+Examples!$G$17*$A623^2)</f>
        <v>534843.09190394112</v>
      </c>
      <c r="L623" s="33">
        <f>Examples!$H$18-(Examples!$H$10+Examples!$H$11)*$A623-(Examples!$H$6*Examples!$H$7*Examples!$H$8*EXP(-Examples!$H$9*$A623)*(1-(Examples!$H$12*(1-EXP(-Examples!$H$13*$A623))/(1+EXP(MIN(700,MAX(-700,(Examples!$H$14*$A623-Examples!$H$15)/Examples!$H$16))))))+Examples!$H$17*$A623^2)</f>
        <v>653431.02672602411</v>
      </c>
      <c r="M623" s="33">
        <f>(Examples!$H$6*Examples!$H$7*Examples!$H$8*EXP(-Examples!$H$9*$A623)*(1-(Examples!$H$12*(1-EXP(-Examples!$H$13*$A623))/(1+EXP(MIN(700,MAX(-700,(Examples!$H$14*$A623-Examples!$H$15)/Examples!$H$16))))))+Examples!$H$17*$A623^2)</f>
        <v>536068.97327397589</v>
      </c>
    </row>
    <row r="624" spans="1:13" x14ac:dyDescent="0.25">
      <c r="A624">
        <f>(624-2)/100</f>
        <v>6.22</v>
      </c>
      <c r="B624" s="33">
        <f>Examples!$C$18-(Examples!$C$10+Examples!$C$11)*$A624-(Examples!$C$6*Examples!$C$7*Examples!$C$8*EXP(-Examples!$C$9*$A624)*(1-(Examples!$C$12*(1-EXP(-Examples!$C$13*$A624))/(1+EXP(MIN(700,MAX(-700,(Examples!$C$14*$A624-Examples!$C$15)/Examples!$C$16))))))+Examples!$C$17*$A624^2)</f>
        <v>-290870.82157810824</v>
      </c>
      <c r="C624" s="33">
        <f>(Examples!$C$6*Examples!$C$7*Examples!$C$8*EXP(-Examples!$C$9*$A624)*(1-(Examples!$C$12*(1-EXP(-Examples!$C$13*$A624))/(1+EXP(MIN(700,MAX(-700,(Examples!$C$14*$A624-Examples!$C$15)/Examples!$C$16))))))+Examples!$C$17*$A624^2)</f>
        <v>673170.82157810824</v>
      </c>
      <c r="D624" s="33">
        <f>Examples!$D$18-(Examples!$D$10+Examples!$D$11)*$A624-(Examples!$D$6*Examples!$D$7*Examples!$D$8*EXP(-Examples!$D$9*$A624)*(1-(Examples!$D$12*(1-EXP(-Examples!$D$13*$A624))/(1+EXP(MIN(700,MAX(-700,(Examples!$D$14*$A624-Examples!$D$15)/Examples!$D$16))))))+Examples!$D$17*$A624^2)</f>
        <v>1671004.2346042276</v>
      </c>
      <c r="E624" s="33">
        <f>(Examples!$D$6*Examples!$D$7*Examples!$D$8*EXP(-Examples!$D$9*$A624)*(1-(Examples!$D$12*(1-EXP(-Examples!$D$13*$A624))/(1+EXP(MIN(700,MAX(-700,(Examples!$D$14*$A624-Examples!$D$15)/Examples!$D$16))))))+Examples!$D$17*$A624^2)</f>
        <v>549095.76539577241</v>
      </c>
      <c r="F624" s="33">
        <f>Examples!$E$18-(Examples!$E$10+Examples!$E$11)*$A624-(Examples!$E$6*Examples!$E$7*Examples!$E$8*EXP(-Examples!$E$9*$A624)*(1-(Examples!$E$12*(1-EXP(-Examples!$E$13*$A624))/(1+EXP(MIN(700,MAX(-700,(Examples!$E$14*$A624-Examples!$E$15)/Examples!$E$16))))))+Examples!$E$17*$A624^2)</f>
        <v>2262466.3862874578</v>
      </c>
      <c r="G624" s="33">
        <f>(Examples!$E$6*Examples!$E$7*Examples!$E$8*EXP(-Examples!$E$9*$A624)*(1-(Examples!$E$12*(1-EXP(-Examples!$E$13*$A624))/(1+EXP(MIN(700,MAX(-700,(Examples!$E$14*$A624-Examples!$E$15)/Examples!$E$16))))))+Examples!$E$17*$A624^2)</f>
        <v>208833.61371254228</v>
      </c>
      <c r="H624" s="33">
        <f>Examples!$F$18-(Examples!$F$10+Examples!$F$11)*$A624-(Examples!$F$6*Examples!$F$7*Examples!$F$8*EXP(-Examples!$F$9*$A624)*(1-(Examples!$F$12*(1-EXP(-Examples!$F$13*$A624))/(1+EXP(MIN(700,MAX(-700,(Examples!$F$14*$A624-Examples!$F$15)/Examples!$F$16))))))+Examples!$F$17*$A624^2)</f>
        <v>-750875.97434123338</v>
      </c>
      <c r="I624" s="33">
        <f>(Examples!$F$6*Examples!$F$7*Examples!$F$8*EXP(-Examples!$F$9*$A624)*(1-(Examples!$F$12*(1-EXP(-Examples!$F$13*$A624))/(1+EXP(MIN(700,MAX(-700,(Examples!$F$14*$A624-Examples!$F$15)/Examples!$F$16))))))+Examples!$F$17*$A624^2)</f>
        <v>776475.97434123338</v>
      </c>
      <c r="J624" s="33">
        <f>Examples!$G$18-(Examples!$G$10+Examples!$G$11)*$A624-(Examples!$G$6*Examples!$G$7*Examples!$G$8*EXP(-Examples!$G$9*$A624)*(1-(Examples!$G$12*(1-EXP(-Examples!$G$13*$A624))/(1+EXP(MIN(700,MAX(-700,(Examples!$G$14*$A624-Examples!$G$15)/Examples!$G$16))))))+Examples!$G$17*$A624^2)</f>
        <v>653937.47879155725</v>
      </c>
      <c r="K624" s="33">
        <f>(Examples!$G$6*Examples!$G$7*Examples!$G$8*EXP(-Examples!$G$9*$A624)*(1-(Examples!$G$12*(1-EXP(-Examples!$G$13*$A624))/(1+EXP(MIN(700,MAX(-700,(Examples!$G$14*$A624-Examples!$G$15)/Examples!$G$16))))))+Examples!$G$17*$A624^2)</f>
        <v>535062.52120844275</v>
      </c>
      <c r="L624" s="33">
        <f>Examples!$H$18-(Examples!$H$10+Examples!$H$11)*$A624-(Examples!$H$6*Examples!$H$7*Examples!$H$8*EXP(-Examples!$H$9*$A624)*(1-(Examples!$H$12*(1-EXP(-Examples!$H$13*$A624))/(1+EXP(MIN(700,MAX(-700,(Examples!$H$14*$A624-Examples!$H$15)/Examples!$H$16))))))+Examples!$H$17*$A624^2)</f>
        <v>652731.64334207959</v>
      </c>
      <c r="M624" s="33">
        <f>(Examples!$H$6*Examples!$H$7*Examples!$H$8*EXP(-Examples!$H$9*$A624)*(1-(Examples!$H$12*(1-EXP(-Examples!$H$13*$A624))/(1+EXP(MIN(700,MAX(-700,(Examples!$H$14*$A624-Examples!$H$15)/Examples!$H$16))))))+Examples!$H$17*$A624^2)</f>
        <v>536268.35665792041</v>
      </c>
    </row>
    <row r="625" spans="1:13" x14ac:dyDescent="0.25">
      <c r="A625">
        <f>(625-2)/100</f>
        <v>6.23</v>
      </c>
      <c r="B625" s="33">
        <f>Examples!$C$18-(Examples!$C$10+Examples!$C$11)*$A625-(Examples!$C$6*Examples!$C$7*Examples!$C$8*EXP(-Examples!$C$9*$A625)*(1-(Examples!$C$12*(1-EXP(-Examples!$C$13*$A625))/(1+EXP(MIN(700,MAX(-700,(Examples!$C$14*$A625-Examples!$C$15)/Examples!$C$16))))))+Examples!$C$17*$A625^2)</f>
        <v>-292810.20492055849</v>
      </c>
      <c r="C625" s="33">
        <f>(Examples!$C$6*Examples!$C$7*Examples!$C$8*EXP(-Examples!$C$9*$A625)*(1-(Examples!$C$12*(1-EXP(-Examples!$C$13*$A625))/(1+EXP(MIN(700,MAX(-700,(Examples!$C$14*$A625-Examples!$C$15)/Examples!$C$16))))))+Examples!$C$17*$A625^2)</f>
        <v>674760.20492055849</v>
      </c>
      <c r="D625" s="33">
        <f>Examples!$D$18-(Examples!$D$10+Examples!$D$11)*$A625-(Examples!$D$6*Examples!$D$7*Examples!$D$8*EXP(-Examples!$D$9*$A625)*(1-(Examples!$D$12*(1-EXP(-Examples!$D$13*$A625))/(1+EXP(MIN(700,MAX(-700,(Examples!$D$14*$A625-Examples!$D$15)/Examples!$D$16))))))+Examples!$D$17*$A625^2)</f>
        <v>1671408.2161702453</v>
      </c>
      <c r="E625" s="33">
        <f>(Examples!$D$6*Examples!$D$7*Examples!$D$8*EXP(-Examples!$D$9*$A625)*(1-(Examples!$D$12*(1-EXP(-Examples!$D$13*$A625))/(1+EXP(MIN(700,MAX(-700,(Examples!$D$14*$A625-Examples!$D$15)/Examples!$D$16))))))+Examples!$D$17*$A625^2)</f>
        <v>548241.7838297548</v>
      </c>
      <c r="F625" s="33">
        <f>Examples!$E$18-(Examples!$E$10+Examples!$E$11)*$A625-(Examples!$E$6*Examples!$E$7*Examples!$E$8*EXP(-Examples!$E$9*$A625)*(1-(Examples!$E$12*(1-EXP(-Examples!$E$13*$A625))/(1+EXP(MIN(700,MAX(-700,(Examples!$E$14*$A625-Examples!$E$15)/Examples!$E$16))))))+Examples!$E$17*$A625^2)</f>
        <v>2261548.4621713934</v>
      </c>
      <c r="G625" s="33">
        <f>(Examples!$E$6*Examples!$E$7*Examples!$E$8*EXP(-Examples!$E$9*$A625)*(1-(Examples!$E$12*(1-EXP(-Examples!$E$13*$A625))/(1+EXP(MIN(700,MAX(-700,(Examples!$E$14*$A625-Examples!$E$15)/Examples!$E$16))))))+Examples!$E$17*$A625^2)</f>
        <v>208901.53782860661</v>
      </c>
      <c r="H625" s="33">
        <f>Examples!$F$18-(Examples!$F$10+Examples!$F$11)*$A625-(Examples!$F$6*Examples!$F$7*Examples!$F$8*EXP(-Examples!$F$9*$A625)*(1-(Examples!$F$12*(1-EXP(-Examples!$F$13*$A625))/(1+EXP(MIN(700,MAX(-700,(Examples!$F$14*$A625-Examples!$F$15)/Examples!$F$16))))))+Examples!$F$17*$A625^2)</f>
        <v>-753557.8625920323</v>
      </c>
      <c r="I625" s="33">
        <f>(Examples!$F$6*Examples!$F$7*Examples!$F$8*EXP(-Examples!$F$9*$A625)*(1-(Examples!$F$12*(1-EXP(-Examples!$F$13*$A625))/(1+EXP(MIN(700,MAX(-700,(Examples!$F$14*$A625-Examples!$F$15)/Examples!$F$16))))))+Examples!$F$17*$A625^2)</f>
        <v>778957.8625920323</v>
      </c>
      <c r="J625" s="33">
        <f>Examples!$G$18-(Examples!$G$10+Examples!$G$11)*$A625-(Examples!$G$6*Examples!$G$7*Examples!$G$8*EXP(-Examples!$G$9*$A625)*(1-(Examples!$G$12*(1-EXP(-Examples!$G$13*$A625))/(1+EXP(MIN(700,MAX(-700,(Examples!$G$14*$A625-Examples!$G$15)/Examples!$G$16))))))+Examples!$G$17*$A625^2)</f>
        <v>653213.99758344865</v>
      </c>
      <c r="K625" s="33">
        <f>(Examples!$G$6*Examples!$G$7*Examples!$G$8*EXP(-Examples!$G$9*$A625)*(1-(Examples!$G$12*(1-EXP(-Examples!$G$13*$A625))/(1+EXP(MIN(700,MAX(-700,(Examples!$G$14*$A625-Examples!$G$15)/Examples!$G$16))))))+Examples!$G$17*$A625^2)</f>
        <v>535286.00241655135</v>
      </c>
      <c r="L625" s="33">
        <f>Examples!$H$18-(Examples!$H$10+Examples!$H$11)*$A625-(Examples!$H$6*Examples!$H$7*Examples!$H$8*EXP(-Examples!$H$9*$A625)*(1-(Examples!$H$12*(1-EXP(-Examples!$H$13*$A625))/(1+EXP(MIN(700,MAX(-700,(Examples!$H$14*$A625-Examples!$H$15)/Examples!$H$16))))))+Examples!$H$17*$A625^2)</f>
        <v>652027.88357336412</v>
      </c>
      <c r="M625" s="33">
        <f>(Examples!$H$6*Examples!$H$7*Examples!$H$8*EXP(-Examples!$H$9*$A625)*(1-(Examples!$H$12*(1-EXP(-Examples!$H$13*$A625))/(1+EXP(MIN(700,MAX(-700,(Examples!$H$14*$A625-Examples!$H$15)/Examples!$H$16))))))+Examples!$H$17*$A625^2)</f>
        <v>536472.11642663588</v>
      </c>
    </row>
    <row r="626" spans="1:13" x14ac:dyDescent="0.25">
      <c r="A626">
        <f>(626-2)/100</f>
        <v>6.24</v>
      </c>
      <c r="B626" s="33">
        <f>Examples!$C$18-(Examples!$C$10+Examples!$C$11)*$A626-(Examples!$C$6*Examples!$C$7*Examples!$C$8*EXP(-Examples!$C$9*$A626)*(1-(Examples!$C$12*(1-EXP(-Examples!$C$13*$A626))/(1+EXP(MIN(700,MAX(-700,(Examples!$C$14*$A626-Examples!$C$15)/Examples!$C$16))))))+Examples!$C$17*$A626^2)</f>
        <v>-294753.4213477812</v>
      </c>
      <c r="C626" s="33">
        <f>(Examples!$C$6*Examples!$C$7*Examples!$C$8*EXP(-Examples!$C$9*$A626)*(1-(Examples!$C$12*(1-EXP(-Examples!$C$13*$A626))/(1+EXP(MIN(700,MAX(-700,(Examples!$C$14*$A626-Examples!$C$15)/Examples!$C$16))))))+Examples!$C$17*$A626^2)</f>
        <v>676353.4213477812</v>
      </c>
      <c r="D626" s="33">
        <f>Examples!$D$18-(Examples!$D$10+Examples!$D$11)*$A626-(Examples!$D$6*Examples!$D$7*Examples!$D$8*EXP(-Examples!$D$9*$A626)*(1-(Examples!$D$12*(1-EXP(-Examples!$D$13*$A626))/(1+EXP(MIN(700,MAX(-700,(Examples!$D$14*$A626-Examples!$D$15)/Examples!$D$16))))))+Examples!$D$17*$A626^2)</f>
        <v>1671806.5581557187</v>
      </c>
      <c r="E626" s="33">
        <f>(Examples!$D$6*Examples!$D$7*Examples!$D$8*EXP(-Examples!$D$9*$A626)*(1-(Examples!$D$12*(1-EXP(-Examples!$D$13*$A626))/(1+EXP(MIN(700,MAX(-700,(Examples!$D$14*$A626-Examples!$D$15)/Examples!$D$16))))))+Examples!$D$17*$A626^2)</f>
        <v>547393.44184428139</v>
      </c>
      <c r="F626" s="33">
        <f>Examples!$E$18-(Examples!$E$10+Examples!$E$11)*$A626-(Examples!$E$6*Examples!$E$7*Examples!$E$8*EXP(-Examples!$E$9*$A626)*(1-(Examples!$E$12*(1-EXP(-Examples!$E$13*$A626))/(1+EXP(MIN(700,MAX(-700,(Examples!$E$14*$A626-Examples!$E$15)/Examples!$E$16))))))+Examples!$E$17*$A626^2)</f>
        <v>2260629.7296632859</v>
      </c>
      <c r="G626" s="33">
        <f>(Examples!$E$6*Examples!$E$7*Examples!$E$8*EXP(-Examples!$E$9*$A626)*(1-(Examples!$E$12*(1-EXP(-Examples!$E$13*$A626))/(1+EXP(MIN(700,MAX(-700,(Examples!$E$14*$A626-Examples!$E$15)/Examples!$E$16))))))+Examples!$E$17*$A626^2)</f>
        <v>208970.27033671405</v>
      </c>
      <c r="H626" s="33">
        <f>Examples!$F$18-(Examples!$F$10+Examples!$F$11)*$A626-(Examples!$F$6*Examples!$F$7*Examples!$F$8*EXP(-Examples!$F$9*$A626)*(1-(Examples!$F$12*(1-EXP(-Examples!$F$13*$A626))/(1+EXP(MIN(700,MAX(-700,(Examples!$F$14*$A626-Examples!$F$15)/Examples!$F$16))))))+Examples!$F$17*$A626^2)</f>
        <v>-756243.77514160739</v>
      </c>
      <c r="I626" s="33">
        <f>(Examples!$F$6*Examples!$F$7*Examples!$F$8*EXP(-Examples!$F$9*$A626)*(1-(Examples!$F$12*(1-EXP(-Examples!$F$13*$A626))/(1+EXP(MIN(700,MAX(-700,(Examples!$F$14*$A626-Examples!$F$15)/Examples!$F$16))))))+Examples!$F$17*$A626^2)</f>
        <v>781443.77514160739</v>
      </c>
      <c r="J626" s="33">
        <f>Examples!$G$18-(Examples!$G$10+Examples!$G$11)*$A626-(Examples!$G$6*Examples!$G$7*Examples!$G$8*EXP(-Examples!$G$9*$A626)*(1-(Examples!$G$12*(1-EXP(-Examples!$G$13*$A626))/(1+EXP(MIN(700,MAX(-700,(Examples!$G$14*$A626-Examples!$G$15)/Examples!$G$16))))))+Examples!$G$17*$A626^2)</f>
        <v>652486.46896329126</v>
      </c>
      <c r="K626" s="33">
        <f>(Examples!$G$6*Examples!$G$7*Examples!$G$8*EXP(-Examples!$G$9*$A626)*(1-(Examples!$G$12*(1-EXP(-Examples!$G$13*$A626))/(1+EXP(MIN(700,MAX(-700,(Examples!$G$14*$A626-Examples!$G$15)/Examples!$G$16))))))+Examples!$G$17*$A626^2)</f>
        <v>535513.53103670874</v>
      </c>
      <c r="L626" s="33">
        <f>Examples!$H$18-(Examples!$H$10+Examples!$H$11)*$A626-(Examples!$H$6*Examples!$H$7*Examples!$H$8*EXP(-Examples!$H$9*$A626)*(1-(Examples!$H$12*(1-EXP(-Examples!$H$13*$A626))/(1+EXP(MIN(700,MAX(-700,(Examples!$H$14*$A626-Examples!$H$15)/Examples!$H$16))))))+Examples!$H$17*$A626^2)</f>
        <v>651319.75707495923</v>
      </c>
      <c r="M626" s="33">
        <f>(Examples!$H$6*Examples!$H$7*Examples!$H$8*EXP(-Examples!$H$9*$A626)*(1-(Examples!$H$12*(1-EXP(-Examples!$H$13*$A626))/(1+EXP(MIN(700,MAX(-700,(Examples!$H$14*$A626-Examples!$H$15)/Examples!$H$16))))))+Examples!$H$17*$A626^2)</f>
        <v>536680.24292504077</v>
      </c>
    </row>
    <row r="627" spans="1:13" x14ac:dyDescent="0.25">
      <c r="A627">
        <f>(627-2)/100</f>
        <v>6.25</v>
      </c>
      <c r="B627" s="33">
        <f>Examples!$C$18-(Examples!$C$10+Examples!$C$11)*$A627-(Examples!$C$6*Examples!$C$7*Examples!$C$8*EXP(-Examples!$C$9*$A627)*(1-(Examples!$C$12*(1-EXP(-Examples!$C$13*$A627))/(1+EXP(MIN(700,MAX(-700,(Examples!$C$14*$A627-Examples!$C$15)/Examples!$C$16))))))+Examples!$C$17*$A627^2)</f>
        <v>-296700.46836479346</v>
      </c>
      <c r="C627" s="33">
        <f>(Examples!$C$6*Examples!$C$7*Examples!$C$8*EXP(-Examples!$C$9*$A627)*(1-(Examples!$C$12*(1-EXP(-Examples!$C$13*$A627))/(1+EXP(MIN(700,MAX(-700,(Examples!$C$14*$A627-Examples!$C$15)/Examples!$C$16))))))+Examples!$C$17*$A627^2)</f>
        <v>677950.46836479346</v>
      </c>
      <c r="D627" s="33">
        <f>Examples!$D$18-(Examples!$D$10+Examples!$D$11)*$A627-(Examples!$D$6*Examples!$D$7*Examples!$D$8*EXP(-Examples!$D$9*$A627)*(1-(Examples!$D$12*(1-EXP(-Examples!$D$13*$A627))/(1+EXP(MIN(700,MAX(-700,(Examples!$D$14*$A627-Examples!$D$15)/Examples!$D$16))))))+Examples!$D$17*$A627^2)</f>
        <v>1672199.2500775196</v>
      </c>
      <c r="E627" s="33">
        <f>(Examples!$D$6*Examples!$D$7*Examples!$D$8*EXP(-Examples!$D$9*$A627)*(1-(Examples!$D$12*(1-EXP(-Examples!$D$13*$A627))/(1+EXP(MIN(700,MAX(-700,(Examples!$D$14*$A627-Examples!$D$15)/Examples!$D$16))))))+Examples!$D$17*$A627^2)</f>
        <v>546550.74992248043</v>
      </c>
      <c r="F627" s="33">
        <f>Examples!$E$18-(Examples!$E$10+Examples!$E$11)*$A627-(Examples!$E$6*Examples!$E$7*Examples!$E$8*EXP(-Examples!$E$9*$A627)*(1-(Examples!$E$12*(1-EXP(-Examples!$E$13*$A627))/(1+EXP(MIN(700,MAX(-700,(Examples!$E$14*$A627-Examples!$E$15)/Examples!$E$16))))))+Examples!$E$17*$A627^2)</f>
        <v>2259710.183036535</v>
      </c>
      <c r="G627" s="33">
        <f>(Examples!$E$6*Examples!$E$7*Examples!$E$8*EXP(-Examples!$E$9*$A627)*(1-(Examples!$E$12*(1-EXP(-Examples!$E$13*$A627))/(1+EXP(MIN(700,MAX(-700,(Examples!$E$14*$A627-Examples!$E$15)/Examples!$E$16))))))+Examples!$E$17*$A627^2)</f>
        <v>209039.81696346495</v>
      </c>
      <c r="H627" s="33">
        <f>Examples!$F$18-(Examples!$F$10+Examples!$F$11)*$A627-(Examples!$F$6*Examples!$F$7*Examples!$F$8*EXP(-Examples!$F$9*$A627)*(1-(Examples!$F$12*(1-EXP(-Examples!$F$13*$A627))/(1+EXP(MIN(700,MAX(-700,(Examples!$F$14*$A627-Examples!$F$15)/Examples!$F$16))))))+Examples!$F$17*$A627^2)</f>
        <v>-758933.71191717184</v>
      </c>
      <c r="I627" s="33">
        <f>(Examples!$F$6*Examples!$F$7*Examples!$F$8*EXP(-Examples!$F$9*$A627)*(1-(Examples!$F$12*(1-EXP(-Examples!$F$13*$A627))/(1+EXP(MIN(700,MAX(-700,(Examples!$F$14*$A627-Examples!$F$15)/Examples!$F$16))))))+Examples!$F$17*$A627^2)</f>
        <v>783933.71191717184</v>
      </c>
      <c r="J627" s="33">
        <f>Examples!$G$18-(Examples!$G$10+Examples!$G$11)*$A627-(Examples!$G$6*Examples!$G$7*Examples!$G$8*EXP(-Examples!$G$9*$A627)*(1-(Examples!$G$12*(1-EXP(-Examples!$G$13*$A627))/(1+EXP(MIN(700,MAX(-700,(Examples!$G$14*$A627-Examples!$G$15)/Examples!$G$16))))))+Examples!$G$17*$A627^2)</f>
        <v>651754.89747018088</v>
      </c>
      <c r="K627" s="33">
        <f>(Examples!$G$6*Examples!$G$7*Examples!$G$8*EXP(-Examples!$G$9*$A627)*(1-(Examples!$G$12*(1-EXP(-Examples!$G$13*$A627))/(1+EXP(MIN(700,MAX(-700,(Examples!$G$14*$A627-Examples!$G$15)/Examples!$G$16))))))+Examples!$G$17*$A627^2)</f>
        <v>535745.10252981912</v>
      </c>
      <c r="L627" s="33">
        <f>Examples!$H$18-(Examples!$H$10+Examples!$H$11)*$A627-(Examples!$H$6*Examples!$H$7*Examples!$H$8*EXP(-Examples!$H$9*$A627)*(1-(Examples!$H$12*(1-EXP(-Examples!$H$13*$A627))/(1+EXP(MIN(700,MAX(-700,(Examples!$H$14*$A627-Examples!$H$15)/Examples!$H$16))))))+Examples!$H$17*$A627^2)</f>
        <v>650607.27346977638</v>
      </c>
      <c r="M627" s="33">
        <f>(Examples!$H$6*Examples!$H$7*Examples!$H$8*EXP(-Examples!$H$9*$A627)*(1-(Examples!$H$12*(1-EXP(-Examples!$H$13*$A627))/(1+EXP(MIN(700,MAX(-700,(Examples!$H$14*$A627-Examples!$H$15)/Examples!$H$16))))))+Examples!$H$17*$A627^2)</f>
        <v>536892.72653022362</v>
      </c>
    </row>
    <row r="628" spans="1:13" x14ac:dyDescent="0.25">
      <c r="A628">
        <f>(628-2)/100</f>
        <v>6.26</v>
      </c>
      <c r="B628" s="33">
        <f>Examples!$C$18-(Examples!$C$10+Examples!$C$11)*$A628-(Examples!$C$6*Examples!$C$7*Examples!$C$8*EXP(-Examples!$C$9*$A628)*(1-(Examples!$C$12*(1-EXP(-Examples!$C$13*$A628))/(1+EXP(MIN(700,MAX(-700,(Examples!$C$14*$A628-Examples!$C$15)/Examples!$C$16))))))+Examples!$C$17*$A628^2)</f>
        <v>-298651.34348406713</v>
      </c>
      <c r="C628" s="33">
        <f>(Examples!$C$6*Examples!$C$7*Examples!$C$8*EXP(-Examples!$C$9*$A628)*(1-(Examples!$C$12*(1-EXP(-Examples!$C$13*$A628))/(1+EXP(MIN(700,MAX(-700,(Examples!$C$14*$A628-Examples!$C$15)/Examples!$C$16))))))+Examples!$C$17*$A628^2)</f>
        <v>679551.34348406713</v>
      </c>
      <c r="D628" s="33">
        <f>Examples!$D$18-(Examples!$D$10+Examples!$D$11)*$A628-(Examples!$D$6*Examples!$D$7*Examples!$D$8*EXP(-Examples!$D$9*$A628)*(1-(Examples!$D$12*(1-EXP(-Examples!$D$13*$A628))/(1+EXP(MIN(700,MAX(-700,(Examples!$D$14*$A628-Examples!$D$15)/Examples!$D$16))))))+Examples!$D$17*$A628^2)</f>
        <v>1672586.2819467601</v>
      </c>
      <c r="E628" s="33">
        <f>(Examples!$D$6*Examples!$D$7*Examples!$D$8*EXP(-Examples!$D$9*$A628)*(1-(Examples!$D$12*(1-EXP(-Examples!$D$13*$A628))/(1+EXP(MIN(700,MAX(-700,(Examples!$D$14*$A628-Examples!$D$15)/Examples!$D$16))))))+Examples!$D$17*$A628^2)</f>
        <v>545713.71805323998</v>
      </c>
      <c r="F628" s="33">
        <f>Examples!$E$18-(Examples!$E$10+Examples!$E$11)*$A628-(Examples!$E$6*Examples!$E$7*Examples!$E$8*EXP(-Examples!$E$9*$A628)*(1-(Examples!$E$12*(1-EXP(-Examples!$E$13*$A628))/(1+EXP(MIN(700,MAX(-700,(Examples!$E$14*$A628-Examples!$E$15)/Examples!$E$16))))))+Examples!$E$17*$A628^2)</f>
        <v>2258789.8165602861</v>
      </c>
      <c r="G628" s="33">
        <f>(Examples!$E$6*Examples!$E$7*Examples!$E$8*EXP(-Examples!$E$9*$A628)*(1-(Examples!$E$12*(1-EXP(-Examples!$E$13*$A628))/(1+EXP(MIN(700,MAX(-700,(Examples!$E$14*$A628-Examples!$E$15)/Examples!$E$16))))))+Examples!$E$17*$A628^2)</f>
        <v>209110.18343971402</v>
      </c>
      <c r="H628" s="33">
        <f>Examples!$F$18-(Examples!$F$10+Examples!$F$11)*$A628-(Examples!$F$6*Examples!$F$7*Examples!$F$8*EXP(-Examples!$F$9*$A628)*(1-(Examples!$F$12*(1-EXP(-Examples!$F$13*$A628))/(1+EXP(MIN(700,MAX(-700,(Examples!$F$14*$A628-Examples!$F$15)/Examples!$F$16))))))+Examples!$F$17*$A628^2)</f>
        <v>-761627.67284615699</v>
      </c>
      <c r="I628" s="33">
        <f>(Examples!$F$6*Examples!$F$7*Examples!$F$8*EXP(-Examples!$F$9*$A628)*(1-(Examples!$F$12*(1-EXP(-Examples!$F$13*$A628))/(1+EXP(MIN(700,MAX(-700,(Examples!$F$14*$A628-Examples!$F$15)/Examples!$F$16))))))+Examples!$F$17*$A628^2)</f>
        <v>786427.67284615699</v>
      </c>
      <c r="J628" s="33">
        <f>Examples!$G$18-(Examples!$G$10+Examples!$G$11)*$A628-(Examples!$G$6*Examples!$G$7*Examples!$G$8*EXP(-Examples!$G$9*$A628)*(1-(Examples!$G$12*(1-EXP(-Examples!$G$13*$A628))/(1+EXP(MIN(700,MAX(-700,(Examples!$G$14*$A628-Examples!$G$15)/Examples!$G$16))))))+Examples!$G$17*$A628^2)</f>
        <v>651019.2876896488</v>
      </c>
      <c r="K628" s="33">
        <f>(Examples!$G$6*Examples!$G$7*Examples!$G$8*EXP(-Examples!$G$9*$A628)*(1-(Examples!$G$12*(1-EXP(-Examples!$G$13*$A628))/(1+EXP(MIN(700,MAX(-700,(Examples!$G$14*$A628-Examples!$G$15)/Examples!$G$16))))))+Examples!$G$17*$A628^2)</f>
        <v>535980.7123103512</v>
      </c>
      <c r="L628" s="33">
        <f>Examples!$H$18-(Examples!$H$10+Examples!$H$11)*$A628-(Examples!$H$6*Examples!$H$7*Examples!$H$8*EXP(-Examples!$H$9*$A628)*(1-(Examples!$H$12*(1-EXP(-Examples!$H$13*$A628))/(1+EXP(MIN(700,MAX(-700,(Examples!$H$14*$A628-Examples!$H$15)/Examples!$H$16))))))+Examples!$H$17*$A628^2)</f>
        <v>649890.44234861503</v>
      </c>
      <c r="M628" s="33">
        <f>(Examples!$H$6*Examples!$H$7*Examples!$H$8*EXP(-Examples!$H$9*$A628)*(1-(Examples!$H$12*(1-EXP(-Examples!$H$13*$A628))/(1+EXP(MIN(700,MAX(-700,(Examples!$H$14*$A628-Examples!$H$15)/Examples!$H$16))))))+Examples!$H$17*$A628^2)</f>
        <v>537109.55765138497</v>
      </c>
    </row>
    <row r="629" spans="1:13" x14ac:dyDescent="0.25">
      <c r="A629">
        <f>(629-2)/100</f>
        <v>6.27</v>
      </c>
      <c r="B629" s="33">
        <f>Examples!$C$18-(Examples!$C$10+Examples!$C$11)*$A629-(Examples!$C$6*Examples!$C$7*Examples!$C$8*EXP(-Examples!$C$9*$A629)*(1-(Examples!$C$12*(1-EXP(-Examples!$C$13*$A629))/(1+EXP(MIN(700,MAX(-700,(Examples!$C$14*$A629-Examples!$C$15)/Examples!$C$16))))))+Examples!$C$17*$A629^2)</f>
        <v>-300606.04422550777</v>
      </c>
      <c r="C629" s="33">
        <f>(Examples!$C$6*Examples!$C$7*Examples!$C$8*EXP(-Examples!$C$9*$A629)*(1-(Examples!$C$12*(1-EXP(-Examples!$C$13*$A629))/(1+EXP(MIN(700,MAX(-700,(Examples!$C$14*$A629-Examples!$C$15)/Examples!$C$16))))))+Examples!$C$17*$A629^2)</f>
        <v>681156.04422550777</v>
      </c>
      <c r="D629" s="33">
        <f>Examples!$D$18-(Examples!$D$10+Examples!$D$11)*$A629-(Examples!$D$6*Examples!$D$7*Examples!$D$8*EXP(-Examples!$D$9*$A629)*(1-(Examples!$D$12*(1-EXP(-Examples!$D$13*$A629))/(1+EXP(MIN(700,MAX(-700,(Examples!$D$14*$A629-Examples!$D$15)/Examples!$D$16))))))+Examples!$D$17*$A629^2)</f>
        <v>1672967.6442615264</v>
      </c>
      <c r="E629" s="33">
        <f>(Examples!$D$6*Examples!$D$7*Examples!$D$8*EXP(-Examples!$D$9*$A629)*(1-(Examples!$D$12*(1-EXP(-Examples!$D$13*$A629))/(1+EXP(MIN(700,MAX(-700,(Examples!$D$14*$A629-Examples!$D$15)/Examples!$D$16))))))+Examples!$D$17*$A629^2)</f>
        <v>544882.35573847347</v>
      </c>
      <c r="F629" s="33">
        <f>Examples!$E$18-(Examples!$E$10+Examples!$E$11)*$A629-(Examples!$E$6*Examples!$E$7*Examples!$E$8*EXP(-Examples!$E$9*$A629)*(1-(Examples!$E$12*(1-EXP(-Examples!$E$13*$A629))/(1+EXP(MIN(700,MAX(-700,(Examples!$E$14*$A629-Examples!$E$15)/Examples!$E$16))))))+Examples!$E$17*$A629^2)</f>
        <v>2257868.6245007422</v>
      </c>
      <c r="G629" s="33">
        <f>(Examples!$E$6*Examples!$E$7*Examples!$E$8*EXP(-Examples!$E$9*$A629)*(1-(Examples!$E$12*(1-EXP(-Examples!$E$13*$A629))/(1+EXP(MIN(700,MAX(-700,(Examples!$E$14*$A629-Examples!$E$15)/Examples!$E$16))))))+Examples!$E$17*$A629^2)</f>
        <v>209181.37549925788</v>
      </c>
      <c r="H629" s="33">
        <f>Examples!$F$18-(Examples!$F$10+Examples!$F$11)*$A629-(Examples!$F$6*Examples!$F$7*Examples!$F$8*EXP(-Examples!$F$9*$A629)*(1-(Examples!$F$12*(1-EXP(-Examples!$F$13*$A629))/(1+EXP(MIN(700,MAX(-700,(Examples!$F$14*$A629-Examples!$F$15)/Examples!$F$16))))))+Examples!$F$17*$A629^2)</f>
        <v>-764325.65785621153</v>
      </c>
      <c r="I629" s="33">
        <f>(Examples!$F$6*Examples!$F$7*Examples!$F$8*EXP(-Examples!$F$9*$A629)*(1-(Examples!$F$12*(1-EXP(-Examples!$F$13*$A629))/(1+EXP(MIN(700,MAX(-700,(Examples!$F$14*$A629-Examples!$F$15)/Examples!$F$16))))))+Examples!$F$17*$A629^2)</f>
        <v>788925.65785621153</v>
      </c>
      <c r="J629" s="33">
        <f>Examples!$G$18-(Examples!$G$10+Examples!$G$11)*$A629-(Examples!$G$6*Examples!$G$7*Examples!$G$8*EXP(-Examples!$G$9*$A629)*(1-(Examples!$G$12*(1-EXP(-Examples!$G$13*$A629))/(1+EXP(MIN(700,MAX(-700,(Examples!$G$14*$A629-Examples!$G$15)/Examples!$G$16))))))+Examples!$G$17*$A629^2)</f>
        <v>650279.64425257791</v>
      </c>
      <c r="K629" s="33">
        <f>(Examples!$G$6*Examples!$G$7*Examples!$G$8*EXP(-Examples!$G$9*$A629)*(1-(Examples!$G$12*(1-EXP(-Examples!$G$13*$A629))/(1+EXP(MIN(700,MAX(-700,(Examples!$G$14*$A629-Examples!$G$15)/Examples!$G$16))))))+Examples!$G$17*$A629^2)</f>
        <v>536220.35574742209</v>
      </c>
      <c r="L629" s="33">
        <f>Examples!$H$18-(Examples!$H$10+Examples!$H$11)*$A629-(Examples!$H$6*Examples!$H$7*Examples!$H$8*EXP(-Examples!$H$9*$A629)*(1-(Examples!$H$12*(1-EXP(-Examples!$H$13*$A629))/(1+EXP(MIN(700,MAX(-700,(Examples!$H$14*$A629-Examples!$H$15)/Examples!$H$16))))))+Examples!$H$17*$A629^2)</f>
        <v>649169.27327022329</v>
      </c>
      <c r="M629" s="33">
        <f>(Examples!$H$6*Examples!$H$7*Examples!$H$8*EXP(-Examples!$H$9*$A629)*(1-(Examples!$H$12*(1-EXP(-Examples!$H$13*$A629))/(1+EXP(MIN(700,MAX(-700,(Examples!$H$14*$A629-Examples!$H$15)/Examples!$H$16))))))+Examples!$H$17*$A629^2)</f>
        <v>537330.72672977671</v>
      </c>
    </row>
    <row r="630" spans="1:13" x14ac:dyDescent="0.25">
      <c r="A630">
        <f>(630-2)/100</f>
        <v>6.28</v>
      </c>
      <c r="B630" s="33">
        <f>Examples!$C$18-(Examples!$C$10+Examples!$C$11)*$A630-(Examples!$C$6*Examples!$C$7*Examples!$C$8*EXP(-Examples!$C$9*$A630)*(1-(Examples!$C$12*(1-EXP(-Examples!$C$13*$A630))/(1+EXP(MIN(700,MAX(-700,(Examples!$C$14*$A630-Examples!$C$15)/Examples!$C$16))))))+Examples!$C$17*$A630^2)</f>
        <v>-302564.56811643322</v>
      </c>
      <c r="C630" s="33">
        <f>(Examples!$C$6*Examples!$C$7*Examples!$C$8*EXP(-Examples!$C$9*$A630)*(1-(Examples!$C$12*(1-EXP(-Examples!$C$13*$A630))/(1+EXP(MIN(700,MAX(-700,(Examples!$C$14*$A630-Examples!$C$15)/Examples!$C$16))))))+Examples!$C$17*$A630^2)</f>
        <v>682764.56811643322</v>
      </c>
      <c r="D630" s="33">
        <f>Examples!$D$18-(Examples!$D$10+Examples!$D$11)*$A630-(Examples!$D$6*Examples!$D$7*Examples!$D$8*EXP(-Examples!$D$9*$A630)*(1-(Examples!$D$12*(1-EXP(-Examples!$D$13*$A630))/(1+EXP(MIN(700,MAX(-700,(Examples!$D$14*$A630-Examples!$D$15)/Examples!$D$16))))))+Examples!$D$17*$A630^2)</f>
        <v>1673343.3279996682</v>
      </c>
      <c r="E630" s="33">
        <f>(Examples!$D$6*Examples!$D$7*Examples!$D$8*EXP(-Examples!$D$9*$A630)*(1-(Examples!$D$12*(1-EXP(-Examples!$D$13*$A630))/(1+EXP(MIN(700,MAX(-700,(Examples!$D$14*$A630-Examples!$D$15)/Examples!$D$16))))))+Examples!$D$17*$A630^2)</f>
        <v>544056.6720003318</v>
      </c>
      <c r="F630" s="33">
        <f>Examples!$E$18-(Examples!$E$10+Examples!$E$11)*$A630-(Examples!$E$6*Examples!$E$7*Examples!$E$8*EXP(-Examples!$E$9*$A630)*(1-(Examples!$E$12*(1-EXP(-Examples!$E$13*$A630))/(1+EXP(MIN(700,MAX(-700,(Examples!$E$14*$A630-Examples!$E$15)/Examples!$E$16))))))+Examples!$E$17*$A630^2)</f>
        <v>2256946.6011224585</v>
      </c>
      <c r="G630" s="33">
        <f>(Examples!$E$6*Examples!$E$7*Examples!$E$8*EXP(-Examples!$E$9*$A630)*(1-(Examples!$E$12*(1-EXP(-Examples!$E$13*$A630))/(1+EXP(MIN(700,MAX(-700,(Examples!$E$14*$A630-Examples!$E$15)/Examples!$E$16))))))+Examples!$E$17*$A630^2)</f>
        <v>209253.3988775413</v>
      </c>
      <c r="H630" s="33">
        <f>Examples!$F$18-(Examples!$F$10+Examples!$F$11)*$A630-(Examples!$F$6*Examples!$F$7*Examples!$F$8*EXP(-Examples!$F$9*$A630)*(1-(Examples!$F$12*(1-EXP(-Examples!$F$13*$A630))/(1+EXP(MIN(700,MAX(-700,(Examples!$F$14*$A630-Examples!$F$15)/Examples!$F$16))))))+Examples!$F$17*$A630^2)</f>
        <v>-767027.66687520058</v>
      </c>
      <c r="I630" s="33">
        <f>(Examples!$F$6*Examples!$F$7*Examples!$F$8*EXP(-Examples!$F$9*$A630)*(1-(Examples!$F$12*(1-EXP(-Examples!$F$13*$A630))/(1+EXP(MIN(700,MAX(-700,(Examples!$F$14*$A630-Examples!$F$15)/Examples!$F$16))))))+Examples!$F$17*$A630^2)</f>
        <v>791427.66687520058</v>
      </c>
      <c r="J630" s="33">
        <f>Examples!$G$18-(Examples!$G$10+Examples!$G$11)*$A630-(Examples!$G$6*Examples!$G$7*Examples!$G$8*EXP(-Examples!$G$9*$A630)*(1-(Examples!$G$12*(1-EXP(-Examples!$G$13*$A630))/(1+EXP(MIN(700,MAX(-700,(Examples!$G$14*$A630-Examples!$G$15)/Examples!$G$16))))))+Examples!$G$17*$A630^2)</f>
        <v>649535.97183413373</v>
      </c>
      <c r="K630" s="33">
        <f>(Examples!$G$6*Examples!$G$7*Examples!$G$8*EXP(-Examples!$G$9*$A630)*(1-(Examples!$G$12*(1-EXP(-Examples!$G$13*$A630))/(1+EXP(MIN(700,MAX(-700,(Examples!$G$14*$A630-Examples!$G$15)/Examples!$G$16))))))+Examples!$G$17*$A630^2)</f>
        <v>536464.02816586627</v>
      </c>
      <c r="L630" s="33">
        <f>Examples!$H$18-(Examples!$H$10+Examples!$H$11)*$A630-(Examples!$H$6*Examples!$H$7*Examples!$H$8*EXP(-Examples!$H$9*$A630)*(1-(Examples!$H$12*(1-EXP(-Examples!$H$13*$A630))/(1+EXP(MIN(700,MAX(-700,(Examples!$H$14*$A630-Examples!$H$15)/Examples!$H$16))))))+Examples!$H$17*$A630^2)</f>
        <v>648443.77576135937</v>
      </c>
      <c r="M630" s="33">
        <f>(Examples!$H$6*Examples!$H$7*Examples!$H$8*EXP(-Examples!$H$9*$A630)*(1-(Examples!$H$12*(1-EXP(-Examples!$H$13*$A630))/(1+EXP(MIN(700,MAX(-700,(Examples!$H$14*$A630-Examples!$H$15)/Examples!$H$16))))))+Examples!$H$17*$A630^2)</f>
        <v>537556.22423864063</v>
      </c>
    </row>
    <row r="631" spans="1:13" x14ac:dyDescent="0.25">
      <c r="A631">
        <f>(631-2)/100</f>
        <v>6.29</v>
      </c>
      <c r="B631" s="33">
        <f>Examples!$C$18-(Examples!$C$10+Examples!$C$11)*$A631-(Examples!$C$6*Examples!$C$7*Examples!$C$8*EXP(-Examples!$C$9*$A631)*(1-(Examples!$C$12*(1-EXP(-Examples!$C$13*$A631))/(1+EXP(MIN(700,MAX(-700,(Examples!$C$14*$A631-Examples!$C$15)/Examples!$C$16))))))+Examples!$C$17*$A631^2)</f>
        <v>-304526.91269155079</v>
      </c>
      <c r="C631" s="33">
        <f>(Examples!$C$6*Examples!$C$7*Examples!$C$8*EXP(-Examples!$C$9*$A631)*(1-(Examples!$C$12*(1-EXP(-Examples!$C$13*$A631))/(1+EXP(MIN(700,MAX(-700,(Examples!$C$14*$A631-Examples!$C$15)/Examples!$C$16))))))+Examples!$C$17*$A631^2)</f>
        <v>684376.91269155079</v>
      </c>
      <c r="D631" s="33">
        <f>Examples!$D$18-(Examples!$D$10+Examples!$D$11)*$A631-(Examples!$D$6*Examples!$D$7*Examples!$D$8*EXP(-Examples!$D$9*$A631)*(1-(Examples!$D$12*(1-EXP(-Examples!$D$13*$A631))/(1+EXP(MIN(700,MAX(-700,(Examples!$D$14*$A631-Examples!$D$15)/Examples!$D$16))))))+Examples!$D$17*$A631^2)</f>
        <v>1673713.3246116282</v>
      </c>
      <c r="E631" s="33">
        <f>(Examples!$D$6*Examples!$D$7*Examples!$D$8*EXP(-Examples!$D$9*$A631)*(1-(Examples!$D$12*(1-EXP(-Examples!$D$13*$A631))/(1+EXP(MIN(700,MAX(-700,(Examples!$D$14*$A631-Examples!$D$15)/Examples!$D$16))))))+Examples!$D$17*$A631^2)</f>
        <v>543236.6753883718</v>
      </c>
      <c r="F631" s="33">
        <f>Examples!$E$18-(Examples!$E$10+Examples!$E$11)*$A631-(Examples!$E$6*Examples!$E$7*Examples!$E$8*EXP(-Examples!$E$9*$A631)*(1-(Examples!$E$12*(1-EXP(-Examples!$E$13*$A631))/(1+EXP(MIN(700,MAX(-700,(Examples!$E$14*$A631-Examples!$E$15)/Examples!$E$16))))))+Examples!$E$17*$A631^2)</f>
        <v>2256023.7406896185</v>
      </c>
      <c r="G631" s="33">
        <f>(Examples!$E$6*Examples!$E$7*Examples!$E$8*EXP(-Examples!$E$9*$A631)*(1-(Examples!$E$12*(1-EXP(-Examples!$E$13*$A631))/(1+EXP(MIN(700,MAX(-700,(Examples!$E$14*$A631-Examples!$E$15)/Examples!$E$16))))))+Examples!$E$17*$A631^2)</f>
        <v>209326.25931038169</v>
      </c>
      <c r="H631" s="33">
        <f>Examples!$F$18-(Examples!$F$10+Examples!$F$11)*$A631-(Examples!$F$6*Examples!$F$7*Examples!$F$8*EXP(-Examples!$F$9*$A631)*(1-(Examples!$F$12*(1-EXP(-Examples!$F$13*$A631))/(1+EXP(MIN(700,MAX(-700,(Examples!$F$14*$A631-Examples!$F$15)/Examples!$F$16))))))+Examples!$F$17*$A631^2)</f>
        <v>-769733.6998312053</v>
      </c>
      <c r="I631" s="33">
        <f>(Examples!$F$6*Examples!$F$7*Examples!$F$8*EXP(-Examples!$F$9*$A631)*(1-(Examples!$F$12*(1-EXP(-Examples!$F$13*$A631))/(1+EXP(MIN(700,MAX(-700,(Examples!$F$14*$A631-Examples!$F$15)/Examples!$F$16))))))+Examples!$F$17*$A631^2)</f>
        <v>793933.6998312053</v>
      </c>
      <c r="J631" s="33">
        <f>Examples!$G$18-(Examples!$G$10+Examples!$G$11)*$A631-(Examples!$G$6*Examples!$G$7*Examples!$G$8*EXP(-Examples!$G$9*$A631)*(1-(Examples!$G$12*(1-EXP(-Examples!$G$13*$A631))/(1+EXP(MIN(700,MAX(-700,(Examples!$G$14*$A631-Examples!$G$15)/Examples!$G$16))))))+Examples!$G$17*$A631^2)</f>
        <v>648788.27515271155</v>
      </c>
      <c r="K631" s="33">
        <f>(Examples!$G$6*Examples!$G$7*Examples!$G$8*EXP(-Examples!$G$9*$A631)*(1-(Examples!$G$12*(1-EXP(-Examples!$G$13*$A631))/(1+EXP(MIN(700,MAX(-700,(Examples!$G$14*$A631-Examples!$G$15)/Examples!$G$16))))))+Examples!$G$17*$A631^2)</f>
        <v>536711.72484728845</v>
      </c>
      <c r="L631" s="33">
        <f>Examples!$H$18-(Examples!$H$10+Examples!$H$11)*$A631-(Examples!$H$6*Examples!$H$7*Examples!$H$8*EXP(-Examples!$H$9*$A631)*(1-(Examples!$H$12*(1-EXP(-Examples!$H$13*$A631))/(1+EXP(MIN(700,MAX(-700,(Examples!$H$14*$A631-Examples!$H$15)/Examples!$H$16))))))+Examples!$H$17*$A631^2)</f>
        <v>647713.95931685506</v>
      </c>
      <c r="M631" s="33">
        <f>(Examples!$H$6*Examples!$H$7*Examples!$H$8*EXP(-Examples!$H$9*$A631)*(1-(Examples!$H$12*(1-EXP(-Examples!$H$13*$A631))/(1+EXP(MIN(700,MAX(-700,(Examples!$H$14*$A631-Examples!$H$15)/Examples!$H$16))))))+Examples!$H$17*$A631^2)</f>
        <v>537786.04068314494</v>
      </c>
    </row>
    <row r="632" spans="1:13" x14ac:dyDescent="0.25">
      <c r="A632">
        <f>(632-2)/100</f>
        <v>6.3</v>
      </c>
      <c r="B632" s="33">
        <f>Examples!$C$18-(Examples!$C$10+Examples!$C$11)*$A632-(Examples!$C$6*Examples!$C$7*Examples!$C$8*EXP(-Examples!$C$9*$A632)*(1-(Examples!$C$12*(1-EXP(-Examples!$C$13*$A632))/(1+EXP(MIN(700,MAX(-700,(Examples!$C$14*$A632-Examples!$C$15)/Examples!$C$16))))))+Examples!$C$17*$A632^2)</f>
        <v>-306493.07549293712</v>
      </c>
      <c r="C632" s="33">
        <f>(Examples!$C$6*Examples!$C$7*Examples!$C$8*EXP(-Examples!$C$9*$A632)*(1-(Examples!$C$12*(1-EXP(-Examples!$C$13*$A632))/(1+EXP(MIN(700,MAX(-700,(Examples!$C$14*$A632-Examples!$C$15)/Examples!$C$16))))))+Examples!$C$17*$A632^2)</f>
        <v>685993.07549293712</v>
      </c>
      <c r="D632" s="33">
        <f>Examples!$D$18-(Examples!$D$10+Examples!$D$11)*$A632-(Examples!$D$6*Examples!$D$7*Examples!$D$8*EXP(-Examples!$D$9*$A632)*(1-(Examples!$D$12*(1-EXP(-Examples!$D$13*$A632))/(1+EXP(MIN(700,MAX(-700,(Examples!$D$14*$A632-Examples!$D$15)/Examples!$D$16))))))+Examples!$D$17*$A632^2)</f>
        <v>1674077.6260133306</v>
      </c>
      <c r="E632" s="33">
        <f>(Examples!$D$6*Examples!$D$7*Examples!$D$8*EXP(-Examples!$D$9*$A632)*(1-(Examples!$D$12*(1-EXP(-Examples!$D$13*$A632))/(1+EXP(MIN(700,MAX(-700,(Examples!$D$14*$A632-Examples!$D$15)/Examples!$D$16))))))+Examples!$D$17*$A632^2)</f>
        <v>542422.37398666935</v>
      </c>
      <c r="F632" s="33">
        <f>Examples!$E$18-(Examples!$E$10+Examples!$E$11)*$A632-(Examples!$E$6*Examples!$E$7*Examples!$E$8*EXP(-Examples!$E$9*$A632)*(1-(Examples!$E$12*(1-EXP(-Examples!$E$13*$A632))/(1+EXP(MIN(700,MAX(-700,(Examples!$E$14*$A632-Examples!$E$15)/Examples!$E$16))))))+Examples!$E$17*$A632^2)</f>
        <v>2255100.0374672883</v>
      </c>
      <c r="G632" s="33">
        <f>(Examples!$E$6*Examples!$E$7*Examples!$E$8*EXP(-Examples!$E$9*$A632)*(1-(Examples!$E$12*(1-EXP(-Examples!$E$13*$A632))/(1+EXP(MIN(700,MAX(-700,(Examples!$E$14*$A632-Examples!$E$15)/Examples!$E$16))))))+Examples!$E$17*$A632^2)</f>
        <v>209399.96253271156</v>
      </c>
      <c r="H632" s="33">
        <f>Examples!$F$18-(Examples!$F$10+Examples!$F$11)*$A632-(Examples!$F$6*Examples!$F$7*Examples!$F$8*EXP(-Examples!$F$9*$A632)*(1-(Examples!$F$12*(1-EXP(-Examples!$F$13*$A632))/(1+EXP(MIN(700,MAX(-700,(Examples!$F$14*$A632-Examples!$F$15)/Examples!$F$16))))))+Examples!$F$17*$A632^2)</f>
        <v>-772443.75665252213</v>
      </c>
      <c r="I632" s="33">
        <f>(Examples!$F$6*Examples!$F$7*Examples!$F$8*EXP(-Examples!$F$9*$A632)*(1-(Examples!$F$12*(1-EXP(-Examples!$F$13*$A632))/(1+EXP(MIN(700,MAX(-700,(Examples!$F$14*$A632-Examples!$F$15)/Examples!$F$16))))))+Examples!$F$17*$A632^2)</f>
        <v>796443.75665252213</v>
      </c>
      <c r="J632" s="33">
        <f>Examples!$G$18-(Examples!$G$10+Examples!$G$11)*$A632-(Examples!$G$6*Examples!$G$7*Examples!$G$8*EXP(-Examples!$G$9*$A632)*(1-(Examples!$G$12*(1-EXP(-Examples!$G$13*$A632))/(1+EXP(MIN(700,MAX(-700,(Examples!$G$14*$A632-Examples!$G$15)/Examples!$G$16))))))+Examples!$G$17*$A632^2)</f>
        <v>648036.55896889989</v>
      </c>
      <c r="K632" s="33">
        <f>(Examples!$G$6*Examples!$G$7*Examples!$G$8*EXP(-Examples!$G$9*$A632)*(1-(Examples!$G$12*(1-EXP(-Examples!$G$13*$A632))/(1+EXP(MIN(700,MAX(-700,(Examples!$G$14*$A632-Examples!$G$15)/Examples!$G$16))))))+Examples!$G$17*$A632^2)</f>
        <v>536963.44103110011</v>
      </c>
      <c r="L632" s="33">
        <f>Examples!$H$18-(Examples!$H$10+Examples!$H$11)*$A632-(Examples!$H$6*Examples!$H$7*Examples!$H$8*EXP(-Examples!$H$9*$A632)*(1-(Examples!$H$12*(1-EXP(-Examples!$H$13*$A632))/(1+EXP(MIN(700,MAX(-700,(Examples!$H$14*$A632-Examples!$H$15)/Examples!$H$16))))))+Examples!$H$17*$A632^2)</f>
        <v>646979.83339968009</v>
      </c>
      <c r="M632" s="33">
        <f>(Examples!$H$6*Examples!$H$7*Examples!$H$8*EXP(-Examples!$H$9*$A632)*(1-(Examples!$H$12*(1-EXP(-Examples!$H$13*$A632))/(1+EXP(MIN(700,MAX(-700,(Examples!$H$14*$A632-Examples!$H$15)/Examples!$H$16))))))+Examples!$H$17*$A632^2)</f>
        <v>538020.16660031991</v>
      </c>
    </row>
    <row r="633" spans="1:13" x14ac:dyDescent="0.25">
      <c r="A633">
        <f>(633-2)/100</f>
        <v>6.31</v>
      </c>
      <c r="B633" s="33">
        <f>Examples!$C$18-(Examples!$C$10+Examples!$C$11)*$A633-(Examples!$C$6*Examples!$C$7*Examples!$C$8*EXP(-Examples!$C$9*$A633)*(1-(Examples!$C$12*(1-EXP(-Examples!$C$13*$A633))/(1+EXP(MIN(700,MAX(-700,(Examples!$C$14*$A633-Examples!$C$15)/Examples!$C$16))))))+Examples!$C$17*$A633^2)</f>
        <v>-308463.05407001602</v>
      </c>
      <c r="C633" s="33">
        <f>(Examples!$C$6*Examples!$C$7*Examples!$C$8*EXP(-Examples!$C$9*$A633)*(1-(Examples!$C$12*(1-EXP(-Examples!$C$13*$A633))/(1+EXP(MIN(700,MAX(-700,(Examples!$C$14*$A633-Examples!$C$15)/Examples!$C$16))))))+Examples!$C$17*$A633^2)</f>
        <v>687613.05407001602</v>
      </c>
      <c r="D633" s="33">
        <f>Examples!$D$18-(Examples!$D$10+Examples!$D$11)*$A633-(Examples!$D$6*Examples!$D$7*Examples!$D$8*EXP(-Examples!$D$9*$A633)*(1-(Examples!$D$12*(1-EXP(-Examples!$D$13*$A633))/(1+EXP(MIN(700,MAX(-700,(Examples!$D$14*$A633-Examples!$D$15)/Examples!$D$16))))))+Examples!$D$17*$A633^2)</f>
        <v>1674436.2245791168</v>
      </c>
      <c r="E633" s="33">
        <f>(Examples!$D$6*Examples!$D$7*Examples!$D$8*EXP(-Examples!$D$9*$A633)*(1-(Examples!$D$12*(1-EXP(-Examples!$D$13*$A633))/(1+EXP(MIN(700,MAX(-700,(Examples!$D$14*$A633-Examples!$D$15)/Examples!$D$16))))))+Examples!$D$17*$A633^2)</f>
        <v>541613.7754208832</v>
      </c>
      <c r="F633" s="33">
        <f>Examples!$E$18-(Examples!$E$10+Examples!$E$11)*$A633-(Examples!$E$6*Examples!$E$7*Examples!$E$8*EXP(-Examples!$E$9*$A633)*(1-(Examples!$E$12*(1-EXP(-Examples!$E$13*$A633))/(1+EXP(MIN(700,MAX(-700,(Examples!$E$14*$A633-Examples!$E$15)/Examples!$E$16))))))+Examples!$E$17*$A633^2)</f>
        <v>2254175.4857226601</v>
      </c>
      <c r="G633" s="33">
        <f>(Examples!$E$6*Examples!$E$7*Examples!$E$8*EXP(-Examples!$E$9*$A633)*(1-(Examples!$E$12*(1-EXP(-Examples!$E$13*$A633))/(1+EXP(MIN(700,MAX(-700,(Examples!$E$14*$A633-Examples!$E$15)/Examples!$E$16))))))+Examples!$E$17*$A633^2)</f>
        <v>209474.5142773398</v>
      </c>
      <c r="H633" s="33">
        <f>Examples!$F$18-(Examples!$F$10+Examples!$F$11)*$A633-(Examples!$F$6*Examples!$F$7*Examples!$F$8*EXP(-Examples!$F$9*$A633)*(1-(Examples!$F$12*(1-EXP(-Examples!$F$13*$A633))/(1+EXP(MIN(700,MAX(-700,(Examples!$F$14*$A633-Examples!$F$15)/Examples!$F$16))))))+Examples!$F$17*$A633^2)</f>
        <v>-775157.83726766298</v>
      </c>
      <c r="I633" s="33">
        <f>(Examples!$F$6*Examples!$F$7*Examples!$F$8*EXP(-Examples!$F$9*$A633)*(1-(Examples!$F$12*(1-EXP(-Examples!$F$13*$A633))/(1+EXP(MIN(700,MAX(-700,(Examples!$F$14*$A633-Examples!$F$15)/Examples!$F$16))))))+Examples!$F$17*$A633^2)</f>
        <v>798957.83726766298</v>
      </c>
      <c r="J633" s="33">
        <f>Examples!$G$18-(Examples!$G$10+Examples!$G$11)*$A633-(Examples!$G$6*Examples!$G$7*Examples!$G$8*EXP(-Examples!$G$9*$A633)*(1-(Examples!$G$12*(1-EXP(-Examples!$G$13*$A633))/(1+EXP(MIN(700,MAX(-700,(Examples!$G$14*$A633-Examples!$G$15)/Examples!$G$16))))))+Examples!$G$17*$A633^2)</f>
        <v>647280.82808445941</v>
      </c>
      <c r="K633" s="33">
        <f>(Examples!$G$6*Examples!$G$7*Examples!$G$8*EXP(-Examples!$G$9*$A633)*(1-(Examples!$G$12*(1-EXP(-Examples!$G$13*$A633))/(1+EXP(MIN(700,MAX(-700,(Examples!$G$14*$A633-Examples!$G$15)/Examples!$G$16))))))+Examples!$G$17*$A633^2)</f>
        <v>537219.17191554059</v>
      </c>
      <c r="L633" s="33">
        <f>Examples!$H$18-(Examples!$H$10+Examples!$H$11)*$A633-(Examples!$H$6*Examples!$H$7*Examples!$H$8*EXP(-Examples!$H$9*$A633)*(1-(Examples!$H$12*(1-EXP(-Examples!$H$13*$A633))/(1+EXP(MIN(700,MAX(-700,(Examples!$H$14*$A633-Examples!$H$15)/Examples!$H$16))))))+Examples!$H$17*$A633^2)</f>
        <v>646241.40744100849</v>
      </c>
      <c r="M633" s="33">
        <f>(Examples!$H$6*Examples!$H$7*Examples!$H$8*EXP(-Examples!$H$9*$A633)*(1-(Examples!$H$12*(1-EXP(-Examples!$H$13*$A633))/(1+EXP(MIN(700,MAX(-700,(Examples!$H$14*$A633-Examples!$H$15)/Examples!$H$16))))))+Examples!$H$17*$A633^2)</f>
        <v>538258.59255899151</v>
      </c>
    </row>
    <row r="634" spans="1:13" x14ac:dyDescent="0.25">
      <c r="A634">
        <f>(634-2)/100</f>
        <v>6.32</v>
      </c>
      <c r="B634" s="33">
        <f>Examples!$C$18-(Examples!$C$10+Examples!$C$11)*$A634-(Examples!$C$6*Examples!$C$7*Examples!$C$8*EXP(-Examples!$C$9*$A634)*(1-(Examples!$C$12*(1-EXP(-Examples!$C$13*$A634))/(1+EXP(MIN(700,MAX(-700,(Examples!$C$14*$A634-Examples!$C$15)/Examples!$C$16))))))+Examples!$C$17*$A634^2)</f>
        <v>-310436.84597953735</v>
      </c>
      <c r="C634" s="33">
        <f>(Examples!$C$6*Examples!$C$7*Examples!$C$8*EXP(-Examples!$C$9*$A634)*(1-(Examples!$C$12*(1-EXP(-Examples!$C$13*$A634))/(1+EXP(MIN(700,MAX(-700,(Examples!$C$14*$A634-Examples!$C$15)/Examples!$C$16))))))+Examples!$C$17*$A634^2)</f>
        <v>689236.84597953735</v>
      </c>
      <c r="D634" s="33">
        <f>Examples!$D$18-(Examples!$D$10+Examples!$D$11)*$A634-(Examples!$D$6*Examples!$D$7*Examples!$D$8*EXP(-Examples!$D$9*$A634)*(1-(Examples!$D$12*(1-EXP(-Examples!$D$13*$A634))/(1+EXP(MIN(700,MAX(-700,(Examples!$D$14*$A634-Examples!$D$15)/Examples!$D$16))))))+Examples!$D$17*$A634^2)</f>
        <v>1674789.1131347353</v>
      </c>
      <c r="E634" s="33">
        <f>(Examples!$D$6*Examples!$D$7*Examples!$D$8*EXP(-Examples!$D$9*$A634)*(1-(Examples!$D$12*(1-EXP(-Examples!$D$13*$A634))/(1+EXP(MIN(700,MAX(-700,(Examples!$D$14*$A634-Examples!$D$15)/Examples!$D$16))))))+Examples!$D$17*$A634^2)</f>
        <v>540810.88686526474</v>
      </c>
      <c r="F634" s="33">
        <f>Examples!$E$18-(Examples!$E$10+Examples!$E$11)*$A634-(Examples!$E$6*Examples!$E$7*Examples!$E$8*EXP(-Examples!$E$9*$A634)*(1-(Examples!$E$12*(1-EXP(-Examples!$E$13*$A634))/(1+EXP(MIN(700,MAX(-700,(Examples!$E$14*$A634-Examples!$E$15)/Examples!$E$16))))))+Examples!$E$17*$A634^2)</f>
        <v>2253250.0797262685</v>
      </c>
      <c r="G634" s="33">
        <f>(Examples!$E$6*Examples!$E$7*Examples!$E$8*EXP(-Examples!$E$9*$A634)*(1-(Examples!$E$12*(1-EXP(-Examples!$E$13*$A634))/(1+EXP(MIN(700,MAX(-700,(Examples!$E$14*$A634-Examples!$E$15)/Examples!$E$16))))))+Examples!$E$17*$A634^2)</f>
        <v>209549.92027373129</v>
      </c>
      <c r="H634" s="33">
        <f>Examples!$F$18-(Examples!$F$10+Examples!$F$11)*$A634-(Examples!$F$6*Examples!$F$7*Examples!$F$8*EXP(-Examples!$F$9*$A634)*(1-(Examples!$F$12*(1-EXP(-Examples!$F$13*$A634))/(1+EXP(MIN(700,MAX(-700,(Examples!$F$14*$A634-Examples!$F$15)/Examples!$F$16))))))+Examples!$F$17*$A634^2)</f>
        <v>-777875.94160535373</v>
      </c>
      <c r="I634" s="33">
        <f>(Examples!$F$6*Examples!$F$7*Examples!$F$8*EXP(-Examples!$F$9*$A634)*(1-(Examples!$F$12*(1-EXP(-Examples!$F$13*$A634))/(1+EXP(MIN(700,MAX(-700,(Examples!$F$14*$A634-Examples!$F$15)/Examples!$F$16))))))+Examples!$F$17*$A634^2)</f>
        <v>801475.94160535373</v>
      </c>
      <c r="J634" s="33">
        <f>Examples!$G$18-(Examples!$G$10+Examples!$G$11)*$A634-(Examples!$G$6*Examples!$G$7*Examples!$G$8*EXP(-Examples!$G$9*$A634)*(1-(Examples!$G$12*(1-EXP(-Examples!$G$13*$A634))/(1+EXP(MIN(700,MAX(-700,(Examples!$G$14*$A634-Examples!$G$15)/Examples!$G$16))))))+Examples!$G$17*$A634^2)</f>
        <v>646521.08734131674</v>
      </c>
      <c r="K634" s="33">
        <f>(Examples!$G$6*Examples!$G$7*Examples!$G$8*EXP(-Examples!$G$9*$A634)*(1-(Examples!$G$12*(1-EXP(-Examples!$G$13*$A634))/(1+EXP(MIN(700,MAX(-700,(Examples!$G$14*$A634-Examples!$G$15)/Examples!$G$16))))))+Examples!$G$17*$A634^2)</f>
        <v>537478.91265868326</v>
      </c>
      <c r="L634" s="33">
        <f>Examples!$H$18-(Examples!$H$10+Examples!$H$11)*$A634-(Examples!$H$6*Examples!$H$7*Examples!$H$8*EXP(-Examples!$H$9*$A634)*(1-(Examples!$H$12*(1-EXP(-Examples!$H$13*$A634))/(1+EXP(MIN(700,MAX(-700,(Examples!$H$14*$A634-Examples!$H$15)/Examples!$H$16))))))+Examples!$H$17*$A634^2)</f>
        <v>645498.69084028515</v>
      </c>
      <c r="M634" s="33">
        <f>(Examples!$H$6*Examples!$H$7*Examples!$H$8*EXP(-Examples!$H$9*$A634)*(1-(Examples!$H$12*(1-EXP(-Examples!$H$13*$A634))/(1+EXP(MIN(700,MAX(-700,(Examples!$H$14*$A634-Examples!$H$15)/Examples!$H$16))))))+Examples!$H$17*$A634^2)</f>
        <v>538501.30915971485</v>
      </c>
    </row>
    <row r="635" spans="1:13" x14ac:dyDescent="0.25">
      <c r="A635">
        <f>(635-2)/100</f>
        <v>6.33</v>
      </c>
      <c r="B635" s="33">
        <f>Examples!$C$18-(Examples!$C$10+Examples!$C$11)*$A635-(Examples!$C$6*Examples!$C$7*Examples!$C$8*EXP(-Examples!$C$9*$A635)*(1-(Examples!$C$12*(1-EXP(-Examples!$C$13*$A635))/(1+EXP(MIN(700,MAX(-700,(Examples!$C$14*$A635-Examples!$C$15)/Examples!$C$16))))))+Examples!$C$17*$A635^2)</f>
        <v>-312414.4487855545</v>
      </c>
      <c r="C635" s="33">
        <f>(Examples!$C$6*Examples!$C$7*Examples!$C$8*EXP(-Examples!$C$9*$A635)*(1-(Examples!$C$12*(1-EXP(-Examples!$C$13*$A635))/(1+EXP(MIN(700,MAX(-700,(Examples!$C$14*$A635-Examples!$C$15)/Examples!$C$16))))))+Examples!$C$17*$A635^2)</f>
        <v>690864.4487855545</v>
      </c>
      <c r="D635" s="33">
        <f>Examples!$D$18-(Examples!$D$10+Examples!$D$11)*$A635-(Examples!$D$6*Examples!$D$7*Examples!$D$8*EXP(-Examples!$D$9*$A635)*(1-(Examples!$D$12*(1-EXP(-Examples!$D$13*$A635))/(1+EXP(MIN(700,MAX(-700,(Examples!$D$14*$A635-Examples!$D$15)/Examples!$D$16))))))+Examples!$D$17*$A635^2)</f>
        <v>1675136.2849503839</v>
      </c>
      <c r="E635" s="33">
        <f>(Examples!$D$6*Examples!$D$7*Examples!$D$8*EXP(-Examples!$D$9*$A635)*(1-(Examples!$D$12*(1-EXP(-Examples!$D$13*$A635))/(1+EXP(MIN(700,MAX(-700,(Examples!$D$14*$A635-Examples!$D$15)/Examples!$D$16))))))+Examples!$D$17*$A635^2)</f>
        <v>540013.71504961606</v>
      </c>
      <c r="F635" s="33">
        <f>Examples!$E$18-(Examples!$E$10+Examples!$E$11)*$A635-(Examples!$E$6*Examples!$E$7*Examples!$E$8*EXP(-Examples!$E$9*$A635)*(1-(Examples!$E$12*(1-EXP(-Examples!$E$13*$A635))/(1+EXP(MIN(700,MAX(-700,(Examples!$E$14*$A635-Examples!$E$15)/Examples!$E$16))))))+Examples!$E$17*$A635^2)</f>
        <v>2252323.8137531956</v>
      </c>
      <c r="G635" s="33">
        <f>(Examples!$E$6*Examples!$E$7*Examples!$E$8*EXP(-Examples!$E$9*$A635)*(1-(Examples!$E$12*(1-EXP(-Examples!$E$13*$A635))/(1+EXP(MIN(700,MAX(-700,(Examples!$E$14*$A635-Examples!$E$15)/Examples!$E$16))))))+Examples!$E$17*$A635^2)</f>
        <v>209626.18624680449</v>
      </c>
      <c r="H635" s="33">
        <f>Examples!$F$18-(Examples!$F$10+Examples!$F$11)*$A635-(Examples!$F$6*Examples!$F$7*Examples!$F$8*EXP(-Examples!$F$9*$A635)*(1-(Examples!$F$12*(1-EXP(-Examples!$F$13*$A635))/(1+EXP(MIN(700,MAX(-700,(Examples!$F$14*$A635-Examples!$F$15)/Examples!$F$16))))))+Examples!$F$17*$A635^2)</f>
        <v>-780598.06959453295</v>
      </c>
      <c r="I635" s="33">
        <f>(Examples!$F$6*Examples!$F$7*Examples!$F$8*EXP(-Examples!$F$9*$A635)*(1-(Examples!$F$12*(1-EXP(-Examples!$F$13*$A635))/(1+EXP(MIN(700,MAX(-700,(Examples!$F$14*$A635-Examples!$F$15)/Examples!$F$16))))))+Examples!$F$17*$A635^2)</f>
        <v>803998.06959453295</v>
      </c>
      <c r="J635" s="33">
        <f>Examples!$G$18-(Examples!$G$10+Examples!$G$11)*$A635-(Examples!$G$6*Examples!$G$7*Examples!$G$8*EXP(-Examples!$G$9*$A635)*(1-(Examples!$G$12*(1-EXP(-Examples!$G$13*$A635))/(1+EXP(MIN(700,MAX(-700,(Examples!$G$14*$A635-Examples!$G$15)/Examples!$G$16))))))+Examples!$G$17*$A635^2)</f>
        <v>645757.34162057517</v>
      </c>
      <c r="K635" s="33">
        <f>(Examples!$G$6*Examples!$G$7*Examples!$G$8*EXP(-Examples!$G$9*$A635)*(1-(Examples!$G$12*(1-EXP(-Examples!$G$13*$A635))/(1+EXP(MIN(700,MAX(-700,(Examples!$G$14*$A635-Examples!$G$15)/Examples!$G$16))))))+Examples!$G$17*$A635^2)</f>
        <v>537742.65837942483</v>
      </c>
      <c r="L635" s="33">
        <f>Examples!$H$18-(Examples!$H$10+Examples!$H$11)*$A635-(Examples!$H$6*Examples!$H$7*Examples!$H$8*EXP(-Examples!$H$9*$A635)*(1-(Examples!$H$12*(1-EXP(-Examples!$H$13*$A635))/(1+EXP(MIN(700,MAX(-700,(Examples!$H$14*$A635-Examples!$H$15)/Examples!$H$16))))))+Examples!$H$17*$A635^2)</f>
        <v>644751.69296529656</v>
      </c>
      <c r="M635" s="33">
        <f>(Examples!$H$6*Examples!$H$7*Examples!$H$8*EXP(-Examples!$H$9*$A635)*(1-(Examples!$H$12*(1-EXP(-Examples!$H$13*$A635))/(1+EXP(MIN(700,MAX(-700,(Examples!$H$14*$A635-Examples!$H$15)/Examples!$H$16))))))+Examples!$H$17*$A635^2)</f>
        <v>538748.30703470344</v>
      </c>
    </row>
    <row r="636" spans="1:13" x14ac:dyDescent="0.25">
      <c r="A636">
        <f>(636-2)/100</f>
        <v>6.34</v>
      </c>
      <c r="B636" s="33">
        <f>Examples!$C$18-(Examples!$C$10+Examples!$C$11)*$A636-(Examples!$C$6*Examples!$C$7*Examples!$C$8*EXP(-Examples!$C$9*$A636)*(1-(Examples!$C$12*(1-EXP(-Examples!$C$13*$A636))/(1+EXP(MIN(700,MAX(-700,(Examples!$C$14*$A636-Examples!$C$15)/Examples!$C$16))))))+Examples!$C$17*$A636^2)</f>
        <v>-314395.86005940463</v>
      </c>
      <c r="C636" s="33">
        <f>(Examples!$C$6*Examples!$C$7*Examples!$C$8*EXP(-Examples!$C$9*$A636)*(1-(Examples!$C$12*(1-EXP(-Examples!$C$13*$A636))/(1+EXP(MIN(700,MAX(-700,(Examples!$C$14*$A636-Examples!$C$15)/Examples!$C$16))))))+Examples!$C$17*$A636^2)</f>
        <v>692495.86005940463</v>
      </c>
      <c r="D636" s="33">
        <f>Examples!$D$18-(Examples!$D$10+Examples!$D$11)*$A636-(Examples!$D$6*Examples!$D$7*Examples!$D$8*EXP(-Examples!$D$9*$A636)*(1-(Examples!$D$12*(1-EXP(-Examples!$D$13*$A636))/(1+EXP(MIN(700,MAX(-700,(Examples!$D$14*$A636-Examples!$D$15)/Examples!$D$16))))))+Examples!$D$17*$A636^2)</f>
        <v>1675477.7337338107</v>
      </c>
      <c r="E636" s="33">
        <f>(Examples!$D$6*Examples!$D$7*Examples!$D$8*EXP(-Examples!$D$9*$A636)*(1-(Examples!$D$12*(1-EXP(-Examples!$D$13*$A636))/(1+EXP(MIN(700,MAX(-700,(Examples!$D$14*$A636-Examples!$D$15)/Examples!$D$16))))))+Examples!$D$17*$A636^2)</f>
        <v>539222.26626618928</v>
      </c>
      <c r="F636" s="33">
        <f>Examples!$E$18-(Examples!$E$10+Examples!$E$11)*$A636-(Examples!$E$6*Examples!$E$7*Examples!$E$8*EXP(-Examples!$E$9*$A636)*(1-(Examples!$E$12*(1-EXP(-Examples!$E$13*$A636))/(1+EXP(MIN(700,MAX(-700,(Examples!$E$14*$A636-Examples!$E$15)/Examples!$E$16))))))+Examples!$E$17*$A636^2)</f>
        <v>2251396.6820842521</v>
      </c>
      <c r="G636" s="33">
        <f>(Examples!$E$6*Examples!$E$7*Examples!$E$8*EXP(-Examples!$E$9*$A636)*(1-(Examples!$E$12*(1-EXP(-Examples!$E$13*$A636))/(1+EXP(MIN(700,MAX(-700,(Examples!$E$14*$A636-Examples!$E$15)/Examples!$E$16))))))+Examples!$E$17*$A636^2)</f>
        <v>209703.31791574799</v>
      </c>
      <c r="H636" s="33">
        <f>Examples!$F$18-(Examples!$F$10+Examples!$F$11)*$A636-(Examples!$F$6*Examples!$F$7*Examples!$F$8*EXP(-Examples!$F$9*$A636)*(1-(Examples!$F$12*(1-EXP(-Examples!$F$13*$A636))/(1+EXP(MIN(700,MAX(-700,(Examples!$F$14*$A636-Examples!$F$15)/Examples!$F$16))))))+Examples!$F$17*$A636^2)</f>
        <v>-783324.22116435284</v>
      </c>
      <c r="I636" s="33">
        <f>(Examples!$F$6*Examples!$F$7*Examples!$F$8*EXP(-Examples!$F$9*$A636)*(1-(Examples!$F$12*(1-EXP(-Examples!$F$13*$A636))/(1+EXP(MIN(700,MAX(-700,(Examples!$F$14*$A636-Examples!$F$15)/Examples!$F$16))))))+Examples!$F$17*$A636^2)</f>
        <v>806524.22116435284</v>
      </c>
      <c r="J636" s="33">
        <f>Examples!$G$18-(Examples!$G$10+Examples!$G$11)*$A636-(Examples!$G$6*Examples!$G$7*Examples!$G$8*EXP(-Examples!$G$9*$A636)*(1-(Examples!$G$12*(1-EXP(-Examples!$G$13*$A636))/(1+EXP(MIN(700,MAX(-700,(Examples!$G$14*$A636-Examples!$G$15)/Examples!$G$16))))))+Examples!$G$17*$A636^2)</f>
        <v>644989.59584153828</v>
      </c>
      <c r="K636" s="33">
        <f>(Examples!$G$6*Examples!$G$7*Examples!$G$8*EXP(-Examples!$G$9*$A636)*(1-(Examples!$G$12*(1-EXP(-Examples!$G$13*$A636))/(1+EXP(MIN(700,MAX(-700,(Examples!$G$14*$A636-Examples!$G$15)/Examples!$G$16))))))+Examples!$G$17*$A636^2)</f>
        <v>538010.40415846172</v>
      </c>
      <c r="L636" s="33">
        <f>Examples!$H$18-(Examples!$H$10+Examples!$H$11)*$A636-(Examples!$H$6*Examples!$H$7*Examples!$H$8*EXP(-Examples!$H$9*$A636)*(1-(Examples!$H$12*(1-EXP(-Examples!$H$13*$A636))/(1+EXP(MIN(700,MAX(-700,(Examples!$H$14*$A636-Examples!$H$15)/Examples!$H$16))))))+Examples!$H$17*$A636^2)</f>
        <v>644000.42315223813</v>
      </c>
      <c r="M636" s="33">
        <f>(Examples!$H$6*Examples!$H$7*Examples!$H$8*EXP(-Examples!$H$9*$A636)*(1-(Examples!$H$12*(1-EXP(-Examples!$H$13*$A636))/(1+EXP(MIN(700,MAX(-700,(Examples!$H$14*$A636-Examples!$H$15)/Examples!$H$16))))))+Examples!$H$17*$A636^2)</f>
        <v>538999.57684776187</v>
      </c>
    </row>
    <row r="637" spans="1:13" x14ac:dyDescent="0.25">
      <c r="A637">
        <f>(637-2)/100</f>
        <v>6.35</v>
      </c>
      <c r="B637" s="33">
        <f>Examples!$C$18-(Examples!$C$10+Examples!$C$11)*$A637-(Examples!$C$6*Examples!$C$7*Examples!$C$8*EXP(-Examples!$C$9*$A637)*(1-(Examples!$C$12*(1-EXP(-Examples!$C$13*$A637))/(1+EXP(MIN(700,MAX(-700,(Examples!$C$14*$A637-Examples!$C$15)/Examples!$C$16))))))+Examples!$C$17*$A637^2)</f>
        <v>-316381.07737968629</v>
      </c>
      <c r="C637" s="33">
        <f>(Examples!$C$6*Examples!$C$7*Examples!$C$8*EXP(-Examples!$C$9*$A637)*(1-(Examples!$C$12*(1-EXP(-Examples!$C$13*$A637))/(1+EXP(MIN(700,MAX(-700,(Examples!$C$14*$A637-Examples!$C$15)/Examples!$C$16))))))+Examples!$C$17*$A637^2)</f>
        <v>694131.07737968629</v>
      </c>
      <c r="D637" s="33">
        <f>Examples!$D$18-(Examples!$D$10+Examples!$D$11)*$A637-(Examples!$D$6*Examples!$D$7*Examples!$D$8*EXP(-Examples!$D$9*$A637)*(1-(Examples!$D$12*(1-EXP(-Examples!$D$13*$A637))/(1+EXP(MIN(700,MAX(-700,(Examples!$D$14*$A637-Examples!$D$15)/Examples!$D$16))))))+Examples!$D$17*$A637^2)</f>
        <v>1675813.4536234648</v>
      </c>
      <c r="E637" s="33">
        <f>(Examples!$D$6*Examples!$D$7*Examples!$D$8*EXP(-Examples!$D$9*$A637)*(1-(Examples!$D$12*(1-EXP(-Examples!$D$13*$A637))/(1+EXP(MIN(700,MAX(-700,(Examples!$D$14*$A637-Examples!$D$15)/Examples!$D$16))))))+Examples!$D$17*$A637^2)</f>
        <v>538436.54637653509</v>
      </c>
      <c r="F637" s="33">
        <f>Examples!$E$18-(Examples!$E$10+Examples!$E$11)*$A637-(Examples!$E$6*Examples!$E$7*Examples!$E$8*EXP(-Examples!$E$9*$A637)*(1-(Examples!$E$12*(1-EXP(-Examples!$E$13*$A637))/(1+EXP(MIN(700,MAX(-700,(Examples!$E$14*$A637-Examples!$E$15)/Examples!$E$16))))))+Examples!$E$17*$A637^2)</f>
        <v>2250468.6790071446</v>
      </c>
      <c r="G637" s="33">
        <f>(Examples!$E$6*Examples!$E$7*Examples!$E$8*EXP(-Examples!$E$9*$A637)*(1-(Examples!$E$12*(1-EXP(-Examples!$E$13*$A637))/(1+EXP(MIN(700,MAX(-700,(Examples!$E$14*$A637-Examples!$E$15)/Examples!$E$16))))))+Examples!$E$17*$A637^2)</f>
        <v>209781.32099285518</v>
      </c>
      <c r="H637" s="33">
        <f>Examples!$F$18-(Examples!$F$10+Examples!$F$11)*$A637-(Examples!$F$6*Examples!$F$7*Examples!$F$8*EXP(-Examples!$F$9*$A637)*(1-(Examples!$F$12*(1-EXP(-Examples!$F$13*$A637))/(1+EXP(MIN(700,MAX(-700,(Examples!$F$14*$A637-Examples!$F$15)/Examples!$F$16))))))+Examples!$F$17*$A637^2)</f>
        <v>-786054.39624417771</v>
      </c>
      <c r="I637" s="33">
        <f>(Examples!$F$6*Examples!$F$7*Examples!$F$8*EXP(-Examples!$F$9*$A637)*(1-(Examples!$F$12*(1-EXP(-Examples!$F$13*$A637))/(1+EXP(MIN(700,MAX(-700,(Examples!$F$14*$A637-Examples!$F$15)/Examples!$F$16))))))+Examples!$F$17*$A637^2)</f>
        <v>809054.39624417771</v>
      </c>
      <c r="J637" s="33">
        <f>Examples!$G$18-(Examples!$G$10+Examples!$G$11)*$A637-(Examples!$G$6*Examples!$G$7*Examples!$G$8*EXP(-Examples!$G$9*$A637)*(1-(Examples!$G$12*(1-EXP(-Examples!$G$13*$A637))/(1+EXP(MIN(700,MAX(-700,(Examples!$G$14*$A637-Examples!$G$15)/Examples!$G$16))))))+Examples!$G$17*$A637^2)</f>
        <v>644217.85496075032</v>
      </c>
      <c r="K637" s="33">
        <f>(Examples!$G$6*Examples!$G$7*Examples!$G$8*EXP(-Examples!$G$9*$A637)*(1-(Examples!$G$12*(1-EXP(-Examples!$G$13*$A637))/(1+EXP(MIN(700,MAX(-700,(Examples!$G$14*$A637-Examples!$G$15)/Examples!$G$16))))))+Examples!$G$17*$A637^2)</f>
        <v>538282.14503924968</v>
      </c>
      <c r="L637" s="33">
        <f>Examples!$H$18-(Examples!$H$10+Examples!$H$11)*$A637-(Examples!$H$6*Examples!$H$7*Examples!$H$8*EXP(-Examples!$H$9*$A637)*(1-(Examples!$H$12*(1-EXP(-Examples!$H$13*$A637))/(1+EXP(MIN(700,MAX(-700,(Examples!$H$14*$A637-Examples!$H$15)/Examples!$H$16))))))+Examples!$H$17*$A637^2)</f>
        <v>643244.89070578699</v>
      </c>
      <c r="M637" s="33">
        <f>(Examples!$H$6*Examples!$H$7*Examples!$H$8*EXP(-Examples!$H$9*$A637)*(1-(Examples!$H$12*(1-EXP(-Examples!$H$13*$A637))/(1+EXP(MIN(700,MAX(-700,(Examples!$H$14*$A637-Examples!$H$15)/Examples!$H$16))))))+Examples!$H$17*$A637^2)</f>
        <v>539255.10929421301</v>
      </c>
    </row>
    <row r="638" spans="1:13" x14ac:dyDescent="0.25">
      <c r="A638">
        <f>(638-2)/100</f>
        <v>6.36</v>
      </c>
      <c r="B638" s="33">
        <f>Examples!$C$18-(Examples!$C$10+Examples!$C$11)*$A638-(Examples!$C$6*Examples!$C$7*Examples!$C$8*EXP(-Examples!$C$9*$A638)*(1-(Examples!$C$12*(1-EXP(-Examples!$C$13*$A638))/(1+EXP(MIN(700,MAX(-700,(Examples!$C$14*$A638-Examples!$C$15)/Examples!$C$16))))))+Examples!$C$17*$A638^2)</f>
        <v>-318370.09833223827</v>
      </c>
      <c r="C638" s="33">
        <f>(Examples!$C$6*Examples!$C$7*Examples!$C$8*EXP(-Examples!$C$9*$A638)*(1-(Examples!$C$12*(1-EXP(-Examples!$C$13*$A638))/(1+EXP(MIN(700,MAX(-700,(Examples!$C$14*$A638-Examples!$C$15)/Examples!$C$16))))))+Examples!$C$17*$A638^2)</f>
        <v>695770.09833223827</v>
      </c>
      <c r="D638" s="33">
        <f>Examples!$D$18-(Examples!$D$10+Examples!$D$11)*$A638-(Examples!$D$6*Examples!$D$7*Examples!$D$8*EXP(-Examples!$D$9*$A638)*(1-(Examples!$D$12*(1-EXP(-Examples!$D$13*$A638))/(1+EXP(MIN(700,MAX(-700,(Examples!$D$14*$A638-Examples!$D$15)/Examples!$D$16))))))+Examples!$D$17*$A638^2)</f>
        <v>1676143.4391817101</v>
      </c>
      <c r="E638" s="33">
        <f>(Examples!$D$6*Examples!$D$7*Examples!$D$8*EXP(-Examples!$D$9*$A638)*(1-(Examples!$D$12*(1-EXP(-Examples!$D$13*$A638))/(1+EXP(MIN(700,MAX(-700,(Examples!$D$14*$A638-Examples!$D$15)/Examples!$D$16))))))+Examples!$D$17*$A638^2)</f>
        <v>537656.56081828976</v>
      </c>
      <c r="F638" s="33">
        <f>Examples!$E$18-(Examples!$E$10+Examples!$E$11)*$A638-(Examples!$E$6*Examples!$E$7*Examples!$E$8*EXP(-Examples!$E$9*$A638)*(1-(Examples!$E$12*(1-EXP(-Examples!$E$13*$A638))/(1+EXP(MIN(700,MAX(-700,(Examples!$E$14*$A638-Examples!$E$15)/Examples!$E$16))))))+Examples!$E$17*$A638^2)</f>
        <v>2249539.7988176229</v>
      </c>
      <c r="G638" s="33">
        <f>(Examples!$E$6*Examples!$E$7*Examples!$E$8*EXP(-Examples!$E$9*$A638)*(1-(Examples!$E$12*(1-EXP(-Examples!$E$13*$A638))/(1+EXP(MIN(700,MAX(-700,(Examples!$E$14*$A638-Examples!$E$15)/Examples!$E$16))))))+Examples!$E$17*$A638^2)</f>
        <v>209860.20118237712</v>
      </c>
      <c r="H638" s="33">
        <f>Examples!$F$18-(Examples!$F$10+Examples!$F$11)*$A638-(Examples!$F$6*Examples!$F$7*Examples!$F$8*EXP(-Examples!$F$9*$A638)*(1-(Examples!$F$12*(1-EXP(-Examples!$F$13*$A638))/(1+EXP(MIN(700,MAX(-700,(Examples!$F$14*$A638-Examples!$F$15)/Examples!$F$16))))))+Examples!$F$17*$A638^2)</f>
        <v>-788788.59476358327</v>
      </c>
      <c r="I638" s="33">
        <f>(Examples!$F$6*Examples!$F$7*Examples!$F$8*EXP(-Examples!$F$9*$A638)*(1-(Examples!$F$12*(1-EXP(-Examples!$F$13*$A638))/(1+EXP(MIN(700,MAX(-700,(Examples!$F$14*$A638-Examples!$F$15)/Examples!$F$16))))))+Examples!$F$17*$A638^2)</f>
        <v>811588.59476358327</v>
      </c>
      <c r="J638" s="33">
        <f>Examples!$G$18-(Examples!$G$10+Examples!$G$11)*$A638-(Examples!$G$6*Examples!$G$7*Examples!$G$8*EXP(-Examples!$G$9*$A638)*(1-(Examples!$G$12*(1-EXP(-Examples!$G$13*$A638))/(1+EXP(MIN(700,MAX(-700,(Examples!$G$14*$A638-Examples!$G$15)/Examples!$G$16))))))+Examples!$G$17*$A638^2)</f>
        <v>643442.12397105014</v>
      </c>
      <c r="K638" s="33">
        <f>(Examples!$G$6*Examples!$G$7*Examples!$G$8*EXP(-Examples!$G$9*$A638)*(1-(Examples!$G$12*(1-EXP(-Examples!$G$13*$A638))/(1+EXP(MIN(700,MAX(-700,(Examples!$G$14*$A638-Examples!$G$15)/Examples!$G$16))))))+Examples!$G$17*$A638^2)</f>
        <v>538557.87602894986</v>
      </c>
      <c r="L638" s="33">
        <f>Examples!$H$18-(Examples!$H$10+Examples!$H$11)*$A638-(Examples!$H$6*Examples!$H$7*Examples!$H$8*EXP(-Examples!$H$9*$A638)*(1-(Examples!$H$12*(1-EXP(-Examples!$H$13*$A638))/(1+EXP(MIN(700,MAX(-700,(Examples!$H$14*$A638-Examples!$H$15)/Examples!$H$16))))))+Examples!$H$17*$A638^2)</f>
        <v>642485.1048991736</v>
      </c>
      <c r="M638" s="33">
        <f>(Examples!$H$6*Examples!$H$7*Examples!$H$8*EXP(-Examples!$H$9*$A638)*(1-(Examples!$H$12*(1-EXP(-Examples!$H$13*$A638))/(1+EXP(MIN(700,MAX(-700,(Examples!$H$14*$A638-Examples!$H$15)/Examples!$H$16))))))+Examples!$H$17*$A638^2)</f>
        <v>539514.8951008264</v>
      </c>
    </row>
    <row r="639" spans="1:13" x14ac:dyDescent="0.25">
      <c r="A639">
        <f>(639-2)/100</f>
        <v>6.37</v>
      </c>
      <c r="B639" s="33">
        <f>Examples!$C$18-(Examples!$C$10+Examples!$C$11)*$A639-(Examples!$C$6*Examples!$C$7*Examples!$C$8*EXP(-Examples!$C$9*$A639)*(1-(Examples!$C$12*(1-EXP(-Examples!$C$13*$A639))/(1+EXP(MIN(700,MAX(-700,(Examples!$C$14*$A639-Examples!$C$15)/Examples!$C$16))))))+Examples!$C$17*$A639^2)</f>
        <v>-320362.92051011883</v>
      </c>
      <c r="C639" s="33">
        <f>(Examples!$C$6*Examples!$C$7*Examples!$C$8*EXP(-Examples!$C$9*$A639)*(1-(Examples!$C$12*(1-EXP(-Examples!$C$13*$A639))/(1+EXP(MIN(700,MAX(-700,(Examples!$C$14*$A639-Examples!$C$15)/Examples!$C$16))))))+Examples!$C$17*$A639^2)</f>
        <v>697412.92051011883</v>
      </c>
      <c r="D639" s="33">
        <f>Examples!$D$18-(Examples!$D$10+Examples!$D$11)*$A639-(Examples!$D$6*Examples!$D$7*Examples!$D$8*EXP(-Examples!$D$9*$A639)*(1-(Examples!$D$12*(1-EXP(-Examples!$D$13*$A639))/(1+EXP(MIN(700,MAX(-700,(Examples!$D$14*$A639-Examples!$D$15)/Examples!$D$16))))))+Examples!$D$17*$A639^2)</f>
        <v>1676467.6853880901</v>
      </c>
      <c r="E639" s="33">
        <f>(Examples!$D$6*Examples!$D$7*Examples!$D$8*EXP(-Examples!$D$9*$A639)*(1-(Examples!$D$12*(1-EXP(-Examples!$D$13*$A639))/(1+EXP(MIN(700,MAX(-700,(Examples!$D$14*$A639-Examples!$D$15)/Examples!$D$16))))))+Examples!$D$17*$A639^2)</f>
        <v>536882.31461190979</v>
      </c>
      <c r="F639" s="33">
        <f>Examples!$E$18-(Examples!$E$10+Examples!$E$11)*$A639-(Examples!$E$6*Examples!$E$7*Examples!$E$8*EXP(-Examples!$E$9*$A639)*(1-(Examples!$E$12*(1-EXP(-Examples!$E$13*$A639))/(1+EXP(MIN(700,MAX(-700,(Examples!$E$14*$A639-Examples!$E$15)/Examples!$E$16))))))+Examples!$E$17*$A639^2)</f>
        <v>2248610.0358206052</v>
      </c>
      <c r="G639" s="33">
        <f>(Examples!$E$6*Examples!$E$7*Examples!$E$8*EXP(-Examples!$E$9*$A639)*(1-(Examples!$E$12*(1-EXP(-Examples!$E$13*$A639))/(1+EXP(MIN(700,MAX(-700,(Examples!$E$14*$A639-Examples!$E$15)/Examples!$E$16))))))+Examples!$E$17*$A639^2)</f>
        <v>209939.96417939453</v>
      </c>
      <c r="H639" s="33">
        <f>Examples!$F$18-(Examples!$F$10+Examples!$F$11)*$A639-(Examples!$F$6*Examples!$F$7*Examples!$F$8*EXP(-Examples!$F$9*$A639)*(1-(Examples!$F$12*(1-EXP(-Examples!$F$13*$A639))/(1+EXP(MIN(700,MAX(-700,(Examples!$F$14*$A639-Examples!$F$15)/Examples!$F$16))))))+Examples!$F$17*$A639^2)</f>
        <v>-791526.81665235618</v>
      </c>
      <c r="I639" s="33">
        <f>(Examples!$F$6*Examples!$F$7*Examples!$F$8*EXP(-Examples!$F$9*$A639)*(1-(Examples!$F$12*(1-EXP(-Examples!$F$13*$A639))/(1+EXP(MIN(700,MAX(-700,(Examples!$F$14*$A639-Examples!$F$15)/Examples!$F$16))))))+Examples!$F$17*$A639^2)</f>
        <v>814126.81665235618</v>
      </c>
      <c r="J639" s="33">
        <f>Examples!$G$18-(Examples!$G$10+Examples!$G$11)*$A639-(Examples!$G$6*Examples!$G$7*Examples!$G$8*EXP(-Examples!$G$9*$A639)*(1-(Examples!$G$12*(1-EXP(-Examples!$G$13*$A639))/(1+EXP(MIN(700,MAX(-700,(Examples!$G$14*$A639-Examples!$G$15)/Examples!$G$16))))))+Examples!$G$17*$A639^2)</f>
        <v>642662.40790064051</v>
      </c>
      <c r="K639" s="33">
        <f>(Examples!$G$6*Examples!$G$7*Examples!$G$8*EXP(-Examples!$G$9*$A639)*(1-(Examples!$G$12*(1-EXP(-Examples!$G$13*$A639))/(1+EXP(MIN(700,MAX(-700,(Examples!$G$14*$A639-Examples!$G$15)/Examples!$G$16))))))+Examples!$G$17*$A639^2)</f>
        <v>538837.59209935949</v>
      </c>
      <c r="L639" s="33">
        <f>Examples!$H$18-(Examples!$H$10+Examples!$H$11)*$A639-(Examples!$H$6*Examples!$H$7*Examples!$H$8*EXP(-Examples!$H$9*$A639)*(1-(Examples!$H$12*(1-EXP(-Examples!$H$13*$A639))/(1+EXP(MIN(700,MAX(-700,(Examples!$H$14*$A639-Examples!$H$15)/Examples!$H$16))))))+Examples!$H$17*$A639^2)</f>
        <v>641721.07497425447</v>
      </c>
      <c r="M639" s="33">
        <f>(Examples!$H$6*Examples!$H$7*Examples!$H$8*EXP(-Examples!$H$9*$A639)*(1-(Examples!$H$12*(1-EXP(-Examples!$H$13*$A639))/(1+EXP(MIN(700,MAX(-700,(Examples!$H$14*$A639-Examples!$H$15)/Examples!$H$16))))))+Examples!$H$17*$A639^2)</f>
        <v>539778.92502574553</v>
      </c>
    </row>
    <row r="640" spans="1:13" x14ac:dyDescent="0.25">
      <c r="A640">
        <f>(640-2)/100</f>
        <v>6.38</v>
      </c>
      <c r="B640" s="33">
        <f>Examples!$C$18-(Examples!$C$10+Examples!$C$11)*$A640-(Examples!$C$6*Examples!$C$7*Examples!$C$8*EXP(-Examples!$C$9*$A640)*(1-(Examples!$C$12*(1-EXP(-Examples!$C$13*$A640))/(1+EXP(MIN(700,MAX(-700,(Examples!$C$14*$A640-Examples!$C$15)/Examples!$C$16))))))+Examples!$C$17*$A640^2)</f>
        <v>-322359.54151358397</v>
      </c>
      <c r="C640" s="33">
        <f>(Examples!$C$6*Examples!$C$7*Examples!$C$8*EXP(-Examples!$C$9*$A640)*(1-(Examples!$C$12*(1-EXP(-Examples!$C$13*$A640))/(1+EXP(MIN(700,MAX(-700,(Examples!$C$14*$A640-Examples!$C$15)/Examples!$C$16))))))+Examples!$C$17*$A640^2)</f>
        <v>699059.54151358397</v>
      </c>
      <c r="D640" s="33">
        <f>Examples!$D$18-(Examples!$D$10+Examples!$D$11)*$A640-(Examples!$D$6*Examples!$D$7*Examples!$D$8*EXP(-Examples!$D$9*$A640)*(1-(Examples!$D$12*(1-EXP(-Examples!$D$13*$A640))/(1+EXP(MIN(700,MAX(-700,(Examples!$D$14*$A640-Examples!$D$15)/Examples!$D$16))))))+Examples!$D$17*$A640^2)</f>
        <v>1676786.1876326548</v>
      </c>
      <c r="E640" s="33">
        <f>(Examples!$D$6*Examples!$D$7*Examples!$D$8*EXP(-Examples!$D$9*$A640)*(1-(Examples!$D$12*(1-EXP(-Examples!$D$13*$A640))/(1+EXP(MIN(700,MAX(-700,(Examples!$D$14*$A640-Examples!$D$15)/Examples!$D$16))))))+Examples!$D$17*$A640^2)</f>
        <v>536113.81236734521</v>
      </c>
      <c r="F640" s="33">
        <f>Examples!$E$18-(Examples!$E$10+Examples!$E$11)*$A640-(Examples!$E$6*Examples!$E$7*Examples!$E$8*EXP(-Examples!$E$9*$A640)*(1-(Examples!$E$12*(1-EXP(-Examples!$E$13*$A640))/(1+EXP(MIN(700,MAX(-700,(Examples!$E$14*$A640-Examples!$E$15)/Examples!$E$16))))))+Examples!$E$17*$A640^2)</f>
        <v>2247679.3843312925</v>
      </c>
      <c r="G640" s="33">
        <f>(Examples!$E$6*Examples!$E$7*Examples!$E$8*EXP(-Examples!$E$9*$A640)*(1-(Examples!$E$12*(1-EXP(-Examples!$E$13*$A640))/(1+EXP(MIN(700,MAX(-700,(Examples!$E$14*$A640-Examples!$E$15)/Examples!$E$16))))))+Examples!$E$17*$A640^2)</f>
        <v>210020.61566870732</v>
      </c>
      <c r="H640" s="33">
        <f>Examples!$F$18-(Examples!$F$10+Examples!$F$11)*$A640-(Examples!$F$6*Examples!$F$7*Examples!$F$8*EXP(-Examples!$F$9*$A640)*(1-(Examples!$F$12*(1-EXP(-Examples!$F$13*$A640))/(1+EXP(MIN(700,MAX(-700,(Examples!$F$14*$A640-Examples!$F$15)/Examples!$F$16))))))+Examples!$F$17*$A640^2)</f>
        <v>-794269.06184049381</v>
      </c>
      <c r="I640" s="33">
        <f>(Examples!$F$6*Examples!$F$7*Examples!$F$8*EXP(-Examples!$F$9*$A640)*(1-(Examples!$F$12*(1-EXP(-Examples!$F$13*$A640))/(1+EXP(MIN(700,MAX(-700,(Examples!$F$14*$A640-Examples!$F$15)/Examples!$F$16))))))+Examples!$F$17*$A640^2)</f>
        <v>816669.06184049381</v>
      </c>
      <c r="J640" s="33">
        <f>Examples!$G$18-(Examples!$G$10+Examples!$G$11)*$A640-(Examples!$G$6*Examples!$G$7*Examples!$G$8*EXP(-Examples!$G$9*$A640)*(1-(Examples!$G$12*(1-EXP(-Examples!$G$13*$A640))/(1+EXP(MIN(700,MAX(-700,(Examples!$G$14*$A640-Examples!$G$15)/Examples!$G$16))))))+Examples!$G$17*$A640^2)</f>
        <v>641878.71181217115</v>
      </c>
      <c r="K640" s="33">
        <f>(Examples!$G$6*Examples!$G$7*Examples!$G$8*EXP(-Examples!$G$9*$A640)*(1-(Examples!$G$12*(1-EXP(-Examples!$G$13*$A640))/(1+EXP(MIN(700,MAX(-700,(Examples!$G$14*$A640-Examples!$G$15)/Examples!$G$16))))))+Examples!$G$17*$A640^2)</f>
        <v>539121.28818782885</v>
      </c>
      <c r="L640" s="33">
        <f>Examples!$H$18-(Examples!$H$10+Examples!$H$11)*$A640-(Examples!$H$6*Examples!$H$7*Examples!$H$8*EXP(-Examples!$H$9*$A640)*(1-(Examples!$H$12*(1-EXP(-Examples!$H$13*$A640))/(1+EXP(MIN(700,MAX(-700,(Examples!$H$14*$A640-Examples!$H$15)/Examples!$H$16))))))+Examples!$H$17*$A640^2)</f>
        <v>640952.81014158763</v>
      </c>
      <c r="M640" s="33">
        <f>(Examples!$H$6*Examples!$H$7*Examples!$H$8*EXP(-Examples!$H$9*$A640)*(1-(Examples!$H$12*(1-EXP(-Examples!$H$13*$A640))/(1+EXP(MIN(700,MAX(-700,(Examples!$H$14*$A640-Examples!$H$15)/Examples!$H$16))))))+Examples!$H$17*$A640^2)</f>
        <v>540047.18985841237</v>
      </c>
    </row>
    <row r="641" spans="1:13" x14ac:dyDescent="0.25">
      <c r="A641">
        <f>(641-2)/100</f>
        <v>6.39</v>
      </c>
      <c r="B641" s="33">
        <f>Examples!$C$18-(Examples!$C$10+Examples!$C$11)*$A641-(Examples!$C$6*Examples!$C$7*Examples!$C$8*EXP(-Examples!$C$9*$A641)*(1-(Examples!$C$12*(1-EXP(-Examples!$C$13*$A641))/(1+EXP(MIN(700,MAX(-700,(Examples!$C$14*$A641-Examples!$C$15)/Examples!$C$16))))))+Examples!$C$17*$A641^2)</f>
        <v>-324359.95895006647</v>
      </c>
      <c r="C641" s="33">
        <f>(Examples!$C$6*Examples!$C$7*Examples!$C$8*EXP(-Examples!$C$9*$A641)*(1-(Examples!$C$12*(1-EXP(-Examples!$C$13*$A641))/(1+EXP(MIN(700,MAX(-700,(Examples!$C$14*$A641-Examples!$C$15)/Examples!$C$16))))))+Examples!$C$17*$A641^2)</f>
        <v>700709.95895006647</v>
      </c>
      <c r="D641" s="33">
        <f>Examples!$D$18-(Examples!$D$10+Examples!$D$11)*$A641-(Examples!$D$6*Examples!$D$7*Examples!$D$8*EXP(-Examples!$D$9*$A641)*(1-(Examples!$D$12*(1-EXP(-Examples!$D$13*$A641))/(1+EXP(MIN(700,MAX(-700,(Examples!$D$14*$A641-Examples!$D$15)/Examples!$D$16))))))+Examples!$D$17*$A641^2)</f>
        <v>1677098.9417093452</v>
      </c>
      <c r="E641" s="33">
        <f>(Examples!$D$6*Examples!$D$7*Examples!$D$8*EXP(-Examples!$D$9*$A641)*(1-(Examples!$D$12*(1-EXP(-Examples!$D$13*$A641))/(1+EXP(MIN(700,MAX(-700,(Examples!$D$14*$A641-Examples!$D$15)/Examples!$D$16))))))+Examples!$D$17*$A641^2)</f>
        <v>535351.05829065479</v>
      </c>
      <c r="F641" s="33">
        <f>Examples!$E$18-(Examples!$E$10+Examples!$E$11)*$A641-(Examples!$E$6*Examples!$E$7*Examples!$E$8*EXP(-Examples!$E$9*$A641)*(1-(Examples!$E$12*(1-EXP(-Examples!$E$13*$A641))/(1+EXP(MIN(700,MAX(-700,(Examples!$E$14*$A641-Examples!$E$15)/Examples!$E$16))))))+Examples!$E$17*$A641^2)</f>
        <v>2246747.8386762571</v>
      </c>
      <c r="G641" s="33">
        <f>(Examples!$E$6*Examples!$E$7*Examples!$E$8*EXP(-Examples!$E$9*$A641)*(1-(Examples!$E$12*(1-EXP(-Examples!$E$13*$A641))/(1+EXP(MIN(700,MAX(-700,(Examples!$E$14*$A641-Examples!$E$15)/Examples!$E$16))))))+Examples!$E$17*$A641^2)</f>
        <v>210102.16132374317</v>
      </c>
      <c r="H641" s="33">
        <f>Examples!$F$18-(Examples!$F$10+Examples!$F$11)*$A641-(Examples!$F$6*Examples!$F$7*Examples!$F$8*EXP(-Examples!$F$9*$A641)*(1-(Examples!$F$12*(1-EXP(-Examples!$F$13*$A641))/(1+EXP(MIN(700,MAX(-700,(Examples!$F$14*$A641-Examples!$F$15)/Examples!$F$16))))))+Examples!$F$17*$A641^2)</f>
        <v>-797015.33025820251</v>
      </c>
      <c r="I641" s="33">
        <f>(Examples!$F$6*Examples!$F$7*Examples!$F$8*EXP(-Examples!$F$9*$A641)*(1-(Examples!$F$12*(1-EXP(-Examples!$F$13*$A641))/(1+EXP(MIN(700,MAX(-700,(Examples!$F$14*$A641-Examples!$F$15)/Examples!$F$16))))))+Examples!$F$17*$A641^2)</f>
        <v>819215.33025820251</v>
      </c>
      <c r="J641" s="33">
        <f>Examples!$G$18-(Examples!$G$10+Examples!$G$11)*$A641-(Examples!$G$6*Examples!$G$7*Examples!$G$8*EXP(-Examples!$G$9*$A641)*(1-(Examples!$G$12*(1-EXP(-Examples!$G$13*$A641))/(1+EXP(MIN(700,MAX(-700,(Examples!$G$14*$A641-Examples!$G$15)/Examples!$G$16))))))+Examples!$G$17*$A641^2)</f>
        <v>641091.04080183664</v>
      </c>
      <c r="K641" s="33">
        <f>(Examples!$G$6*Examples!$G$7*Examples!$G$8*EXP(-Examples!$G$9*$A641)*(1-(Examples!$G$12*(1-EXP(-Examples!$G$13*$A641))/(1+EXP(MIN(700,MAX(-700,(Examples!$G$14*$A641-Examples!$G$15)/Examples!$G$16))))))+Examples!$G$17*$A641^2)</f>
        <v>539408.95919816336</v>
      </c>
      <c r="L641" s="33">
        <f>Examples!$H$18-(Examples!$H$10+Examples!$H$11)*$A641-(Examples!$H$6*Examples!$H$7*Examples!$H$8*EXP(-Examples!$H$9*$A641)*(1-(Examples!$H$12*(1-EXP(-Examples!$H$13*$A641))/(1+EXP(MIN(700,MAX(-700,(Examples!$H$14*$A641-Examples!$H$15)/Examples!$H$16))))))+Examples!$H$17*$A641^2)</f>
        <v>640180.31958050653</v>
      </c>
      <c r="M641" s="33">
        <f>(Examples!$H$6*Examples!$H$7*Examples!$H$8*EXP(-Examples!$H$9*$A641)*(1-(Examples!$H$12*(1-EXP(-Examples!$H$13*$A641))/(1+EXP(MIN(700,MAX(-700,(Examples!$H$14*$A641-Examples!$H$15)/Examples!$H$16))))))+Examples!$H$17*$A641^2)</f>
        <v>540319.68041949347</v>
      </c>
    </row>
    <row r="642" spans="1:13" x14ac:dyDescent="0.25">
      <c r="A642">
        <f>(642-2)/100</f>
        <v>6.4</v>
      </c>
      <c r="B642" s="33">
        <f>Examples!$C$18-(Examples!$C$10+Examples!$C$11)*$A642-(Examples!$C$6*Examples!$C$7*Examples!$C$8*EXP(-Examples!$C$9*$A642)*(1-(Examples!$C$12*(1-EXP(-Examples!$C$13*$A642))/(1+EXP(MIN(700,MAX(-700,(Examples!$C$14*$A642-Examples!$C$15)/Examples!$C$16))))))+Examples!$C$17*$A642^2)</f>
        <v>-326364.17043415504</v>
      </c>
      <c r="C642" s="33">
        <f>(Examples!$C$6*Examples!$C$7*Examples!$C$8*EXP(-Examples!$C$9*$A642)*(1-(Examples!$C$12*(1-EXP(-Examples!$C$13*$A642))/(1+EXP(MIN(700,MAX(-700,(Examples!$C$14*$A642-Examples!$C$15)/Examples!$C$16))))))+Examples!$C$17*$A642^2)</f>
        <v>702364.17043415504</v>
      </c>
      <c r="D642" s="33">
        <f>Examples!$D$18-(Examples!$D$10+Examples!$D$11)*$A642-(Examples!$D$6*Examples!$D$7*Examples!$D$8*EXP(-Examples!$D$9*$A642)*(1-(Examples!$D$12*(1-EXP(-Examples!$D$13*$A642))/(1+EXP(MIN(700,MAX(-700,(Examples!$D$14*$A642-Examples!$D$15)/Examples!$D$16))))))+Examples!$D$17*$A642^2)</f>
        <v>1677405.9438094364</v>
      </c>
      <c r="E642" s="33">
        <f>(Examples!$D$6*Examples!$D$7*Examples!$D$8*EXP(-Examples!$D$9*$A642)*(1-(Examples!$D$12*(1-EXP(-Examples!$D$13*$A642))/(1+EXP(MIN(700,MAX(-700,(Examples!$D$14*$A642-Examples!$D$15)/Examples!$D$16))))))+Examples!$D$17*$A642^2)</f>
        <v>534594.0561905636</v>
      </c>
      <c r="F642" s="33">
        <f>Examples!$E$18-(Examples!$E$10+Examples!$E$11)*$A642-(Examples!$E$6*Examples!$E$7*Examples!$E$8*EXP(-Examples!$E$9*$A642)*(1-(Examples!$E$12*(1-EXP(-Examples!$E$13*$A642))/(1+EXP(MIN(700,MAX(-700,(Examples!$E$14*$A642-Examples!$E$15)/Examples!$E$16))))))+Examples!$E$17*$A642^2)</f>
        <v>2245815.3931945157</v>
      </c>
      <c r="G642" s="33">
        <f>(Examples!$E$6*Examples!$E$7*Examples!$E$8*EXP(-Examples!$E$9*$A642)*(1-(Examples!$E$12*(1-EXP(-Examples!$E$13*$A642))/(1+EXP(MIN(700,MAX(-700,(Examples!$E$14*$A642-Examples!$E$15)/Examples!$E$16))))))+Examples!$E$17*$A642^2)</f>
        <v>210184.6068054841</v>
      </c>
      <c r="H642" s="33">
        <f>Examples!$F$18-(Examples!$F$10+Examples!$F$11)*$A642-(Examples!$F$6*Examples!$F$7*Examples!$F$8*EXP(-Examples!$F$9*$A642)*(1-(Examples!$F$12*(1-EXP(-Examples!$F$13*$A642))/(1+EXP(MIN(700,MAX(-700,(Examples!$F$14*$A642-Examples!$F$15)/Examples!$F$16))))))+Examples!$F$17*$A642^2)</f>
        <v>-799765.62183589861</v>
      </c>
      <c r="I642" s="33">
        <f>(Examples!$F$6*Examples!$F$7*Examples!$F$8*EXP(-Examples!$F$9*$A642)*(1-(Examples!$F$12*(1-EXP(-Examples!$F$13*$A642))/(1+EXP(MIN(700,MAX(-700,(Examples!$F$14*$A642-Examples!$F$15)/Examples!$F$16))))))+Examples!$F$17*$A642^2)</f>
        <v>821765.62183589861</v>
      </c>
      <c r="J642" s="33">
        <f>Examples!$G$18-(Examples!$G$10+Examples!$G$11)*$A642-(Examples!$G$6*Examples!$G$7*Examples!$G$8*EXP(-Examples!$G$9*$A642)*(1-(Examples!$G$12*(1-EXP(-Examples!$G$13*$A642))/(1+EXP(MIN(700,MAX(-700,(Examples!$G$14*$A642-Examples!$G$15)/Examples!$G$16))))))+Examples!$G$17*$A642^2)</f>
        <v>640299.39999848721</v>
      </c>
      <c r="K642" s="33">
        <f>(Examples!$G$6*Examples!$G$7*Examples!$G$8*EXP(-Examples!$G$9*$A642)*(1-(Examples!$G$12*(1-EXP(-Examples!$G$13*$A642))/(1+EXP(MIN(700,MAX(-700,(Examples!$G$14*$A642-Examples!$G$15)/Examples!$G$16))))))+Examples!$G$17*$A642^2)</f>
        <v>539700.60000151279</v>
      </c>
      <c r="L642" s="33">
        <f>Examples!$H$18-(Examples!$H$10+Examples!$H$11)*$A642-(Examples!$H$6*Examples!$H$7*Examples!$H$8*EXP(-Examples!$H$9*$A642)*(1-(Examples!$H$12*(1-EXP(-Examples!$H$13*$A642))/(1+EXP(MIN(700,MAX(-700,(Examples!$H$14*$A642-Examples!$H$15)/Examples!$H$16))))))+Examples!$H$17*$A642^2)</f>
        <v>639403.61243919621</v>
      </c>
      <c r="M642" s="33">
        <f>(Examples!$H$6*Examples!$H$7*Examples!$H$8*EXP(-Examples!$H$9*$A642)*(1-(Examples!$H$12*(1-EXP(-Examples!$H$13*$A642))/(1+EXP(MIN(700,MAX(-700,(Examples!$H$14*$A642-Examples!$H$15)/Examples!$H$16))))))+Examples!$H$17*$A642^2)</f>
        <v>540596.38756080379</v>
      </c>
    </row>
    <row r="643" spans="1:13" x14ac:dyDescent="0.25">
      <c r="A643">
        <f>(643-2)/100</f>
        <v>6.41</v>
      </c>
      <c r="B643" s="33">
        <f>Examples!$C$18-(Examples!$C$10+Examples!$C$11)*$A643-(Examples!$C$6*Examples!$C$7*Examples!$C$8*EXP(-Examples!$C$9*$A643)*(1-(Examples!$C$12*(1-EXP(-Examples!$C$13*$A643))/(1+EXP(MIN(700,MAX(-700,(Examples!$C$14*$A643-Examples!$C$15)/Examples!$C$16))))))+Examples!$C$17*$A643^2)</f>
        <v>-328372.17358757276</v>
      </c>
      <c r="C643" s="33">
        <f>(Examples!$C$6*Examples!$C$7*Examples!$C$8*EXP(-Examples!$C$9*$A643)*(1-(Examples!$C$12*(1-EXP(-Examples!$C$13*$A643))/(1+EXP(MIN(700,MAX(-700,(Examples!$C$14*$A643-Examples!$C$15)/Examples!$C$16))))))+Examples!$C$17*$A643^2)</f>
        <v>704022.17358757276</v>
      </c>
      <c r="D643" s="33">
        <f>Examples!$D$18-(Examples!$D$10+Examples!$D$11)*$A643-(Examples!$D$6*Examples!$D$7*Examples!$D$8*EXP(-Examples!$D$9*$A643)*(1-(Examples!$D$12*(1-EXP(-Examples!$D$13*$A643))/(1+EXP(MIN(700,MAX(-700,(Examples!$D$14*$A643-Examples!$D$15)/Examples!$D$16))))))+Examples!$D$17*$A643^2)</f>
        <v>1677707.1905150409</v>
      </c>
      <c r="E643" s="33">
        <f>(Examples!$D$6*Examples!$D$7*Examples!$D$8*EXP(-Examples!$D$9*$A643)*(1-(Examples!$D$12*(1-EXP(-Examples!$D$13*$A643))/(1+EXP(MIN(700,MAX(-700,(Examples!$D$14*$A643-Examples!$D$15)/Examples!$D$16))))))+Examples!$D$17*$A643^2)</f>
        <v>533842.80948495923</v>
      </c>
      <c r="F643" s="33">
        <f>Examples!$E$18-(Examples!$E$10+Examples!$E$11)*$A643-(Examples!$E$6*Examples!$E$7*Examples!$E$8*EXP(-Examples!$E$9*$A643)*(1-(Examples!$E$12*(1-EXP(-Examples!$E$13*$A643))/(1+EXP(MIN(700,MAX(-700,(Examples!$E$14*$A643-Examples!$E$15)/Examples!$E$16))))))+Examples!$E$17*$A643^2)</f>
        <v>2244882.0422385884</v>
      </c>
      <c r="G643" s="33">
        <f>(Examples!$E$6*Examples!$E$7*Examples!$E$8*EXP(-Examples!$E$9*$A643)*(1-(Examples!$E$12*(1-EXP(-Examples!$E$13*$A643))/(1+EXP(MIN(700,MAX(-700,(Examples!$E$14*$A643-Examples!$E$15)/Examples!$E$16))))))+Examples!$E$17*$A643^2)</f>
        <v>210267.95776141161</v>
      </c>
      <c r="H643" s="33">
        <f>Examples!$F$18-(Examples!$F$10+Examples!$F$11)*$A643-(Examples!$F$6*Examples!$F$7*Examples!$F$8*EXP(-Examples!$F$9*$A643)*(1-(Examples!$F$12*(1-EXP(-Examples!$F$13*$A643))/(1+EXP(MIN(700,MAX(-700,(Examples!$F$14*$A643-Examples!$F$15)/Examples!$F$16))))))+Examples!$F$17*$A643^2)</f>
        <v>-802519.93650420592</v>
      </c>
      <c r="I643" s="33">
        <f>(Examples!$F$6*Examples!$F$7*Examples!$F$8*EXP(-Examples!$F$9*$A643)*(1-(Examples!$F$12*(1-EXP(-Examples!$F$13*$A643))/(1+EXP(MIN(700,MAX(-700,(Examples!$F$14*$A643-Examples!$F$15)/Examples!$F$16))))))+Examples!$F$17*$A643^2)</f>
        <v>824319.93650420592</v>
      </c>
      <c r="J643" s="33">
        <f>Examples!$G$18-(Examples!$G$10+Examples!$G$11)*$A643-(Examples!$G$6*Examples!$G$7*Examples!$G$8*EXP(-Examples!$G$9*$A643)*(1-(Examples!$G$12*(1-EXP(-Examples!$G$13*$A643))/(1+EXP(MIN(700,MAX(-700,(Examples!$G$14*$A643-Examples!$G$15)/Examples!$G$16))))))+Examples!$G$17*$A643^2)</f>
        <v>639503.79456275527</v>
      </c>
      <c r="K643" s="33">
        <f>(Examples!$G$6*Examples!$G$7*Examples!$G$8*EXP(-Examples!$G$9*$A643)*(1-(Examples!$G$12*(1-EXP(-Examples!$G$13*$A643))/(1+EXP(MIN(700,MAX(-700,(Examples!$G$14*$A643-Examples!$G$15)/Examples!$G$16))))))+Examples!$G$17*$A643^2)</f>
        <v>539996.20543724473</v>
      </c>
      <c r="L643" s="33">
        <f>Examples!$H$18-(Examples!$H$10+Examples!$H$11)*$A643-(Examples!$H$6*Examples!$H$7*Examples!$H$8*EXP(-Examples!$H$9*$A643)*(1-(Examples!$H$12*(1-EXP(-Examples!$H$13*$A643))/(1+EXP(MIN(700,MAX(-700,(Examples!$H$14*$A643-Examples!$H$15)/Examples!$H$16))))))+Examples!$H$17*$A643^2)</f>
        <v>638622.69783477171</v>
      </c>
      <c r="M643" s="33">
        <f>(Examples!$H$6*Examples!$H$7*Examples!$H$8*EXP(-Examples!$H$9*$A643)*(1-(Examples!$H$12*(1-EXP(-Examples!$H$13*$A643))/(1+EXP(MIN(700,MAX(-700,(Examples!$H$14*$A643-Examples!$H$15)/Examples!$H$16))))))+Examples!$H$17*$A643^2)</f>
        <v>540877.30216522829</v>
      </c>
    </row>
    <row r="644" spans="1:13" x14ac:dyDescent="0.25">
      <c r="A644">
        <f>(644-2)/100</f>
        <v>6.42</v>
      </c>
      <c r="B644" s="33">
        <f>Examples!$C$18-(Examples!$C$10+Examples!$C$11)*$A644-(Examples!$C$6*Examples!$C$7*Examples!$C$8*EXP(-Examples!$C$9*$A644)*(1-(Examples!$C$12*(1-EXP(-Examples!$C$13*$A644))/(1+EXP(MIN(700,MAX(-700,(Examples!$C$14*$A644-Examples!$C$15)/Examples!$C$16))))))+Examples!$C$17*$A644^2)</f>
        <v>-330383.96603915666</v>
      </c>
      <c r="C644" s="33">
        <f>(Examples!$C$6*Examples!$C$7*Examples!$C$8*EXP(-Examples!$C$9*$A644)*(1-(Examples!$C$12*(1-EXP(-Examples!$C$13*$A644))/(1+EXP(MIN(700,MAX(-700,(Examples!$C$14*$A644-Examples!$C$15)/Examples!$C$16))))))+Examples!$C$17*$A644^2)</f>
        <v>705683.96603915666</v>
      </c>
      <c r="D644" s="33">
        <f>Examples!$D$18-(Examples!$D$10+Examples!$D$11)*$A644-(Examples!$D$6*Examples!$D$7*Examples!$D$8*EXP(-Examples!$D$9*$A644)*(1-(Examples!$D$12*(1-EXP(-Examples!$D$13*$A644))/(1+EXP(MIN(700,MAX(-700,(Examples!$D$14*$A644-Examples!$D$15)/Examples!$D$16))))))+Examples!$D$17*$A644^2)</f>
        <v>1678002.6787926718</v>
      </c>
      <c r="E644" s="33">
        <f>(Examples!$D$6*Examples!$D$7*Examples!$D$8*EXP(-Examples!$D$9*$A644)*(1-(Examples!$D$12*(1-EXP(-Examples!$D$13*$A644))/(1+EXP(MIN(700,MAX(-700,(Examples!$D$14*$A644-Examples!$D$15)/Examples!$D$16))))))+Examples!$D$17*$A644^2)</f>
        <v>533097.32120732812</v>
      </c>
      <c r="F644" s="33">
        <f>Examples!$E$18-(Examples!$E$10+Examples!$E$11)*$A644-(Examples!$E$6*Examples!$E$7*Examples!$E$8*EXP(-Examples!$E$9*$A644)*(1-(Examples!$E$12*(1-EXP(-Examples!$E$13*$A644))/(1+EXP(MIN(700,MAX(-700,(Examples!$E$14*$A644-Examples!$E$15)/Examples!$E$16))))))+Examples!$E$17*$A644^2)</f>
        <v>2243947.7801755299</v>
      </c>
      <c r="G644" s="33">
        <f>(Examples!$E$6*Examples!$E$7*Examples!$E$8*EXP(-Examples!$E$9*$A644)*(1-(Examples!$E$12*(1-EXP(-Examples!$E$13*$A644))/(1+EXP(MIN(700,MAX(-700,(Examples!$E$14*$A644-Examples!$E$15)/Examples!$E$16))))))+Examples!$E$17*$A644^2)</f>
        <v>210352.21982447</v>
      </c>
      <c r="H644" s="33">
        <f>Examples!$F$18-(Examples!$F$10+Examples!$F$11)*$A644-(Examples!$F$6*Examples!$F$7*Examples!$F$8*EXP(-Examples!$F$9*$A644)*(1-(Examples!$F$12*(1-EXP(-Examples!$F$13*$A644))/(1+EXP(MIN(700,MAX(-700,(Examples!$F$14*$A644-Examples!$F$15)/Examples!$F$16))))))+Examples!$F$17*$A644^2)</f>
        <v>-805278.27419395652</v>
      </c>
      <c r="I644" s="33">
        <f>(Examples!$F$6*Examples!$F$7*Examples!$F$8*EXP(-Examples!$F$9*$A644)*(1-(Examples!$F$12*(1-EXP(-Examples!$F$13*$A644))/(1+EXP(MIN(700,MAX(-700,(Examples!$F$14*$A644-Examples!$F$15)/Examples!$F$16))))))+Examples!$F$17*$A644^2)</f>
        <v>826878.27419395652</v>
      </c>
      <c r="J644" s="33">
        <f>Examples!$G$18-(Examples!$G$10+Examples!$G$11)*$A644-(Examples!$G$6*Examples!$G$7*Examples!$G$8*EXP(-Examples!$G$9*$A644)*(1-(Examples!$G$12*(1-EXP(-Examples!$G$13*$A644))/(1+EXP(MIN(700,MAX(-700,(Examples!$G$14*$A644-Examples!$G$15)/Examples!$G$16))))))+Examples!$G$17*$A644^2)</f>
        <v>638704.2296861934</v>
      </c>
      <c r="K644" s="33">
        <f>(Examples!$G$6*Examples!$G$7*Examples!$G$8*EXP(-Examples!$G$9*$A644)*(1-(Examples!$G$12*(1-EXP(-Examples!$G$13*$A644))/(1+EXP(MIN(700,MAX(-700,(Examples!$G$14*$A644-Examples!$G$15)/Examples!$G$16))))))+Examples!$G$17*$A644^2)</f>
        <v>540295.7703138066</v>
      </c>
      <c r="L644" s="33">
        <f>Examples!$H$18-(Examples!$H$10+Examples!$H$11)*$A644-(Examples!$H$6*Examples!$H$7*Examples!$H$8*EXP(-Examples!$H$9*$A644)*(1-(Examples!$H$12*(1-EXP(-Examples!$H$13*$A644))/(1+EXP(MIN(700,MAX(-700,(Examples!$H$14*$A644-Examples!$H$15)/Examples!$H$16))))))+Examples!$H$17*$A644^2)</f>
        <v>637837.58485335391</v>
      </c>
      <c r="M644" s="33">
        <f>(Examples!$H$6*Examples!$H$7*Examples!$H$8*EXP(-Examples!$H$9*$A644)*(1-(Examples!$H$12*(1-EXP(-Examples!$H$13*$A644))/(1+EXP(MIN(700,MAX(-700,(Examples!$H$14*$A644-Examples!$H$15)/Examples!$H$16))))))+Examples!$H$17*$A644^2)</f>
        <v>541162.41514664609</v>
      </c>
    </row>
    <row r="645" spans="1:13" x14ac:dyDescent="0.25">
      <c r="A645">
        <f>(645-2)/100</f>
        <v>6.43</v>
      </c>
      <c r="B645" s="33">
        <f>Examples!$C$18-(Examples!$C$10+Examples!$C$11)*$A645-(Examples!$C$6*Examples!$C$7*Examples!$C$8*EXP(-Examples!$C$9*$A645)*(1-(Examples!$C$12*(1-EXP(-Examples!$C$13*$A645))/(1+EXP(MIN(700,MAX(-700,(Examples!$C$14*$A645-Examples!$C$15)/Examples!$C$16))))))+Examples!$C$17*$A645^2)</f>
        <v>-332399.54542483645</v>
      </c>
      <c r="C645" s="33">
        <f>(Examples!$C$6*Examples!$C$7*Examples!$C$8*EXP(-Examples!$C$9*$A645)*(1-(Examples!$C$12*(1-EXP(-Examples!$C$13*$A645))/(1+EXP(MIN(700,MAX(-700,(Examples!$C$14*$A645-Examples!$C$15)/Examples!$C$16))))))+Examples!$C$17*$A645^2)</f>
        <v>707349.54542483645</v>
      </c>
      <c r="D645" s="33">
        <f>Examples!$D$18-(Examples!$D$10+Examples!$D$11)*$A645-(Examples!$D$6*Examples!$D$7*Examples!$D$8*EXP(-Examples!$D$9*$A645)*(1-(Examples!$D$12*(1-EXP(-Examples!$D$13*$A645))/(1+EXP(MIN(700,MAX(-700,(Examples!$D$14*$A645-Examples!$D$15)/Examples!$D$16))))))+Examples!$D$17*$A645^2)</f>
        <v>1678292.4059868685</v>
      </c>
      <c r="E645" s="33">
        <f>(Examples!$D$6*Examples!$D$7*Examples!$D$8*EXP(-Examples!$D$9*$A645)*(1-(Examples!$D$12*(1-EXP(-Examples!$D$13*$A645))/(1+EXP(MIN(700,MAX(-700,(Examples!$D$14*$A645-Examples!$D$15)/Examples!$D$16))))))+Examples!$D$17*$A645^2)</f>
        <v>532357.59401313146</v>
      </c>
      <c r="F645" s="33">
        <f>Examples!$E$18-(Examples!$E$10+Examples!$E$11)*$A645-(Examples!$E$6*Examples!$E$7*Examples!$E$8*EXP(-Examples!$E$9*$A645)*(1-(Examples!$E$12*(1-EXP(-Examples!$E$13*$A645))/(1+EXP(MIN(700,MAX(-700,(Examples!$E$14*$A645-Examples!$E$15)/Examples!$E$16))))))+Examples!$E$17*$A645^2)</f>
        <v>2243012.601387952</v>
      </c>
      <c r="G645" s="33">
        <f>(Examples!$E$6*Examples!$E$7*Examples!$E$8*EXP(-Examples!$E$9*$A645)*(1-(Examples!$E$12*(1-EXP(-Examples!$E$13*$A645))/(1+EXP(MIN(700,MAX(-700,(Examples!$E$14*$A645-Examples!$E$15)/Examples!$E$16))))))+Examples!$E$17*$A645^2)</f>
        <v>210437.39861204816</v>
      </c>
      <c r="H645" s="33">
        <f>Examples!$F$18-(Examples!$F$10+Examples!$F$11)*$A645-(Examples!$F$6*Examples!$F$7*Examples!$F$8*EXP(-Examples!$F$9*$A645)*(1-(Examples!$F$12*(1-EXP(-Examples!$F$13*$A645))/(1+EXP(MIN(700,MAX(-700,(Examples!$F$14*$A645-Examples!$F$15)/Examples!$F$16))))))+Examples!$F$17*$A645^2)</f>
        <v>-808040.6348361898</v>
      </c>
      <c r="I645" s="33">
        <f>(Examples!$F$6*Examples!$F$7*Examples!$F$8*EXP(-Examples!$F$9*$A645)*(1-(Examples!$F$12*(1-EXP(-Examples!$F$13*$A645))/(1+EXP(MIN(700,MAX(-700,(Examples!$F$14*$A645-Examples!$F$15)/Examples!$F$16))))))+Examples!$F$17*$A645^2)</f>
        <v>829440.6348361898</v>
      </c>
      <c r="J645" s="33">
        <f>Examples!$G$18-(Examples!$G$10+Examples!$G$11)*$A645-(Examples!$G$6*Examples!$G$7*Examples!$G$8*EXP(-Examples!$G$9*$A645)*(1-(Examples!$G$12*(1-EXP(-Examples!$G$13*$A645))/(1+EXP(MIN(700,MAX(-700,(Examples!$G$14*$A645-Examples!$G$15)/Examples!$G$16))))))+Examples!$G$17*$A645^2)</f>
        <v>637900.71059042751</v>
      </c>
      <c r="K645" s="33">
        <f>(Examples!$G$6*Examples!$G$7*Examples!$G$8*EXP(-Examples!$G$9*$A645)*(1-(Examples!$G$12*(1-EXP(-Examples!$G$13*$A645))/(1+EXP(MIN(700,MAX(-700,(Examples!$G$14*$A645-Examples!$G$15)/Examples!$G$16))))))+Examples!$G$17*$A645^2)</f>
        <v>540599.28940957249</v>
      </c>
      <c r="L645" s="33">
        <f>Examples!$H$18-(Examples!$H$10+Examples!$H$11)*$A645-(Examples!$H$6*Examples!$H$7*Examples!$H$8*EXP(-Examples!$H$9*$A645)*(1-(Examples!$H$12*(1-EXP(-Examples!$H$13*$A645))/(1+EXP(MIN(700,MAX(-700,(Examples!$H$14*$A645-Examples!$H$15)/Examples!$H$16))))))+Examples!$H$17*$A645^2)</f>
        <v>637048.28255014936</v>
      </c>
      <c r="M645" s="33">
        <f>(Examples!$H$6*Examples!$H$7*Examples!$H$8*EXP(-Examples!$H$9*$A645)*(1-(Examples!$H$12*(1-EXP(-Examples!$H$13*$A645))/(1+EXP(MIN(700,MAX(-700,(Examples!$H$14*$A645-Examples!$H$15)/Examples!$H$16))))))+Examples!$H$17*$A645^2)</f>
        <v>541451.71744985064</v>
      </c>
    </row>
    <row r="646" spans="1:13" x14ac:dyDescent="0.25">
      <c r="A646">
        <f>(646-2)/100</f>
        <v>6.44</v>
      </c>
      <c r="B646" s="33">
        <f>Examples!$C$18-(Examples!$C$10+Examples!$C$11)*$A646-(Examples!$C$6*Examples!$C$7*Examples!$C$8*EXP(-Examples!$C$9*$A646)*(1-(Examples!$C$12*(1-EXP(-Examples!$C$13*$A646))/(1+EXP(MIN(700,MAX(-700,(Examples!$C$14*$A646-Examples!$C$15)/Examples!$C$16))))))+Examples!$C$17*$A646^2)</f>
        <v>-334418.90938761411</v>
      </c>
      <c r="C646" s="33">
        <f>(Examples!$C$6*Examples!$C$7*Examples!$C$8*EXP(-Examples!$C$9*$A646)*(1-(Examples!$C$12*(1-EXP(-Examples!$C$13*$A646))/(1+EXP(MIN(700,MAX(-700,(Examples!$C$14*$A646-Examples!$C$15)/Examples!$C$16))))))+Examples!$C$17*$A646^2)</f>
        <v>709018.90938761411</v>
      </c>
      <c r="D646" s="33">
        <f>Examples!$D$18-(Examples!$D$10+Examples!$D$11)*$A646-(Examples!$D$6*Examples!$D$7*Examples!$D$8*EXP(-Examples!$D$9*$A646)*(1-(Examples!$D$12*(1-EXP(-Examples!$D$13*$A646))/(1+EXP(MIN(700,MAX(-700,(Examples!$D$14*$A646-Examples!$D$15)/Examples!$D$16))))))+Examples!$D$17*$A646^2)</f>
        <v>1678576.3698138813</v>
      </c>
      <c r="E646" s="33">
        <f>(Examples!$D$6*Examples!$D$7*Examples!$D$8*EXP(-Examples!$D$9*$A646)*(1-(Examples!$D$12*(1-EXP(-Examples!$D$13*$A646))/(1+EXP(MIN(700,MAX(-700,(Examples!$D$14*$A646-Examples!$D$15)/Examples!$D$16))))))+Examples!$D$17*$A646^2)</f>
        <v>531623.63018611865</v>
      </c>
      <c r="F646" s="33">
        <f>Examples!$E$18-(Examples!$E$10+Examples!$E$11)*$A646-(Examples!$E$6*Examples!$E$7*Examples!$E$8*EXP(-Examples!$E$9*$A646)*(1-(Examples!$E$12*(1-EXP(-Examples!$E$13*$A646))/(1+EXP(MIN(700,MAX(-700,(Examples!$E$14*$A646-Examples!$E$15)/Examples!$E$16))))))+Examples!$E$17*$A646^2)</f>
        <v>2242076.5002750205</v>
      </c>
      <c r="G646" s="33">
        <f>(Examples!$E$6*Examples!$E$7*Examples!$E$8*EXP(-Examples!$E$9*$A646)*(1-(Examples!$E$12*(1-EXP(-Examples!$E$13*$A646))/(1+EXP(MIN(700,MAX(-700,(Examples!$E$14*$A646-Examples!$E$15)/Examples!$E$16))))))+Examples!$E$17*$A646^2)</f>
        <v>210523.49972497928</v>
      </c>
      <c r="H646" s="33">
        <f>Examples!$F$18-(Examples!$F$10+Examples!$F$11)*$A646-(Examples!$F$6*Examples!$F$7*Examples!$F$8*EXP(-Examples!$F$9*$A646)*(1-(Examples!$F$12*(1-EXP(-Examples!$F$13*$A646))/(1+EXP(MIN(700,MAX(-700,(Examples!$F$14*$A646-Examples!$F$15)/Examples!$F$16))))))+Examples!$F$17*$A646^2)</f>
        <v>-810807.01836215192</v>
      </c>
      <c r="I646" s="33">
        <f>(Examples!$F$6*Examples!$F$7*Examples!$F$8*EXP(-Examples!$F$9*$A646)*(1-(Examples!$F$12*(1-EXP(-Examples!$F$13*$A646))/(1+EXP(MIN(700,MAX(-700,(Examples!$F$14*$A646-Examples!$F$15)/Examples!$F$16))))))+Examples!$F$17*$A646^2)</f>
        <v>832007.01836215192</v>
      </c>
      <c r="J646" s="33">
        <f>Examples!$G$18-(Examples!$G$10+Examples!$G$11)*$A646-(Examples!$G$6*Examples!$G$7*Examples!$G$8*EXP(-Examples!$G$9*$A646)*(1-(Examples!$G$12*(1-EXP(-Examples!$G$13*$A646))/(1+EXP(MIN(700,MAX(-700,(Examples!$G$14*$A646-Examples!$G$15)/Examples!$G$16))))))+Examples!$G$17*$A646^2)</f>
        <v>637093.24252632307</v>
      </c>
      <c r="K646" s="33">
        <f>(Examples!$G$6*Examples!$G$7*Examples!$G$8*EXP(-Examples!$G$9*$A646)*(1-(Examples!$G$12*(1-EXP(-Examples!$G$13*$A646))/(1+EXP(MIN(700,MAX(-700,(Examples!$G$14*$A646-Examples!$G$15)/Examples!$G$16))))))+Examples!$G$17*$A646^2)</f>
        <v>540906.75747367693</v>
      </c>
      <c r="L646" s="33">
        <f>Examples!$H$18-(Examples!$H$10+Examples!$H$11)*$A646-(Examples!$H$6*Examples!$H$7*Examples!$H$8*EXP(-Examples!$H$9*$A646)*(1-(Examples!$H$12*(1-EXP(-Examples!$H$13*$A646))/(1+EXP(MIN(700,MAX(-700,(Examples!$H$14*$A646-Examples!$H$15)/Examples!$H$16))))))+Examples!$H$17*$A646^2)</f>
        <v>636254.79994952912</v>
      </c>
      <c r="M646" s="33">
        <f>(Examples!$H$6*Examples!$H$7*Examples!$H$8*EXP(-Examples!$H$9*$A646)*(1-(Examples!$H$12*(1-EXP(-Examples!$H$13*$A646))/(1+EXP(MIN(700,MAX(-700,(Examples!$H$14*$A646-Examples!$H$15)/Examples!$H$16))))))+Examples!$H$17*$A646^2)</f>
        <v>541745.20005047088</v>
      </c>
    </row>
    <row r="647" spans="1:13" x14ac:dyDescent="0.25">
      <c r="A647">
        <f>(647-2)/100</f>
        <v>6.45</v>
      </c>
      <c r="B647" s="33">
        <f>Examples!$C$18-(Examples!$C$10+Examples!$C$11)*$A647-(Examples!$C$6*Examples!$C$7*Examples!$C$8*EXP(-Examples!$C$9*$A647)*(1-(Examples!$C$12*(1-EXP(-Examples!$C$13*$A647))/(1+EXP(MIN(700,MAX(-700,(Examples!$C$14*$A647-Examples!$C$15)/Examples!$C$16))))))+Examples!$C$17*$A647^2)</f>
        <v>-336442.05557754147</v>
      </c>
      <c r="C647" s="33">
        <f>(Examples!$C$6*Examples!$C$7*Examples!$C$8*EXP(-Examples!$C$9*$A647)*(1-(Examples!$C$12*(1-EXP(-Examples!$C$13*$A647))/(1+EXP(MIN(700,MAX(-700,(Examples!$C$14*$A647-Examples!$C$15)/Examples!$C$16))))))+Examples!$C$17*$A647^2)</f>
        <v>710692.05557754147</v>
      </c>
      <c r="D647" s="33">
        <f>Examples!$D$18-(Examples!$D$10+Examples!$D$11)*$A647-(Examples!$D$6*Examples!$D$7*Examples!$D$8*EXP(-Examples!$D$9*$A647)*(1-(Examples!$D$12*(1-EXP(-Examples!$D$13*$A647))/(1+EXP(MIN(700,MAX(-700,(Examples!$D$14*$A647-Examples!$D$15)/Examples!$D$16))))))+Examples!$D$17*$A647^2)</f>
        <v>1678854.5683554185</v>
      </c>
      <c r="E647" s="33">
        <f>(Examples!$D$6*Examples!$D$7*Examples!$D$8*EXP(-Examples!$D$9*$A647)*(1-(Examples!$D$12*(1-EXP(-Examples!$D$13*$A647))/(1+EXP(MIN(700,MAX(-700,(Examples!$D$14*$A647-Examples!$D$15)/Examples!$D$16))))))+Examples!$D$17*$A647^2)</f>
        <v>530895.43164458149</v>
      </c>
      <c r="F647" s="33">
        <f>Examples!$E$18-(Examples!$E$10+Examples!$E$11)*$A647-(Examples!$E$6*Examples!$E$7*Examples!$E$8*EXP(-Examples!$E$9*$A647)*(1-(Examples!$E$12*(1-EXP(-Examples!$E$13*$A647))/(1+EXP(MIN(700,MAX(-700,(Examples!$E$14*$A647-Examples!$E$15)/Examples!$E$16))))))+Examples!$E$17*$A647^2)</f>
        <v>2241139.4712534407</v>
      </c>
      <c r="G647" s="33">
        <f>(Examples!$E$6*Examples!$E$7*Examples!$E$8*EXP(-Examples!$E$9*$A647)*(1-(Examples!$E$12*(1-EXP(-Examples!$E$13*$A647))/(1+EXP(MIN(700,MAX(-700,(Examples!$E$14*$A647-Examples!$E$15)/Examples!$E$16))))))+Examples!$E$17*$A647^2)</f>
        <v>210610.52874655923</v>
      </c>
      <c r="H647" s="33">
        <f>Examples!$F$18-(Examples!$F$10+Examples!$F$11)*$A647-(Examples!$F$6*Examples!$F$7*Examples!$F$8*EXP(-Examples!$F$9*$A647)*(1-(Examples!$F$12*(1-EXP(-Examples!$F$13*$A647))/(1+EXP(MIN(700,MAX(-700,(Examples!$F$14*$A647-Examples!$F$15)/Examples!$F$16))))))+Examples!$F$17*$A647^2)</f>
        <v>-813577.42470329395</v>
      </c>
      <c r="I647" s="33">
        <f>(Examples!$F$6*Examples!$F$7*Examples!$F$8*EXP(-Examples!$F$9*$A647)*(1-(Examples!$F$12*(1-EXP(-Examples!$F$13*$A647))/(1+EXP(MIN(700,MAX(-700,(Examples!$F$14*$A647-Examples!$F$15)/Examples!$F$16))))))+Examples!$F$17*$A647^2)</f>
        <v>834577.42470329395</v>
      </c>
      <c r="J647" s="33">
        <f>Examples!$G$18-(Examples!$G$10+Examples!$G$11)*$A647-(Examples!$G$6*Examples!$G$7*Examples!$G$8*EXP(-Examples!$G$9*$A647)*(1-(Examples!$G$12*(1-EXP(-Examples!$G$13*$A647))/(1+EXP(MIN(700,MAX(-700,(Examples!$G$14*$A647-Examples!$G$15)/Examples!$G$16))))))+Examples!$G$17*$A647^2)</f>
        <v>636281.83077316335</v>
      </c>
      <c r="K647" s="33">
        <f>(Examples!$G$6*Examples!$G$7*Examples!$G$8*EXP(-Examples!$G$9*$A647)*(1-(Examples!$G$12*(1-EXP(-Examples!$G$13*$A647))/(1+EXP(MIN(700,MAX(-700,(Examples!$G$14*$A647-Examples!$G$15)/Examples!$G$16))))))+Examples!$G$17*$A647^2)</f>
        <v>541218.16922683665</v>
      </c>
      <c r="L647" s="33">
        <f>Examples!$H$18-(Examples!$H$10+Examples!$H$11)*$A647-(Examples!$H$6*Examples!$H$7*Examples!$H$8*EXP(-Examples!$H$9*$A647)*(1-(Examples!$H$12*(1-EXP(-Examples!$H$13*$A647))/(1+EXP(MIN(700,MAX(-700,(Examples!$H$14*$A647-Examples!$H$15)/Examples!$H$16))))))+Examples!$H$17*$A647^2)</f>
        <v>635457.14604510926</v>
      </c>
      <c r="M647" s="33">
        <f>(Examples!$H$6*Examples!$H$7*Examples!$H$8*EXP(-Examples!$H$9*$A647)*(1-(Examples!$H$12*(1-EXP(-Examples!$H$13*$A647))/(1+EXP(MIN(700,MAX(-700,(Examples!$H$14*$A647-Examples!$H$15)/Examples!$H$16))))))+Examples!$H$17*$A647^2)</f>
        <v>542042.85395489074</v>
      </c>
    </row>
    <row r="648" spans="1:13" x14ac:dyDescent="0.25">
      <c r="A648">
        <f>(648-2)/100</f>
        <v>6.46</v>
      </c>
      <c r="B648" s="33">
        <f>Examples!$C$18-(Examples!$C$10+Examples!$C$11)*$A648-(Examples!$C$6*Examples!$C$7*Examples!$C$8*EXP(-Examples!$C$9*$A648)*(1-(Examples!$C$12*(1-EXP(-Examples!$C$13*$A648))/(1+EXP(MIN(700,MAX(-700,(Examples!$C$14*$A648-Examples!$C$15)/Examples!$C$16))))))+Examples!$C$17*$A648^2)</f>
        <v>-338468.98165170196</v>
      </c>
      <c r="C648" s="33">
        <f>(Examples!$C$6*Examples!$C$7*Examples!$C$8*EXP(-Examples!$C$9*$A648)*(1-(Examples!$C$12*(1-EXP(-Examples!$C$13*$A648))/(1+EXP(MIN(700,MAX(-700,(Examples!$C$14*$A648-Examples!$C$15)/Examples!$C$16))))))+Examples!$C$17*$A648^2)</f>
        <v>712368.98165170196</v>
      </c>
      <c r="D648" s="33">
        <f>Examples!$D$18-(Examples!$D$10+Examples!$D$11)*$A648-(Examples!$D$6*Examples!$D$7*Examples!$D$8*EXP(-Examples!$D$9*$A648)*(1-(Examples!$D$12*(1-EXP(-Examples!$D$13*$A648))/(1+EXP(MIN(700,MAX(-700,(Examples!$D$14*$A648-Examples!$D$15)/Examples!$D$16))))))+Examples!$D$17*$A648^2)</f>
        <v>1679127.0000524563</v>
      </c>
      <c r="E648" s="33">
        <f>(Examples!$D$6*Examples!$D$7*Examples!$D$8*EXP(-Examples!$D$9*$A648)*(1-(Examples!$D$12*(1-EXP(-Examples!$D$13*$A648))/(1+EXP(MIN(700,MAX(-700,(Examples!$D$14*$A648-Examples!$D$15)/Examples!$D$16))))))+Examples!$D$17*$A648^2)</f>
        <v>530172.99994754361</v>
      </c>
      <c r="F648" s="33">
        <f>Examples!$E$18-(Examples!$E$10+Examples!$E$11)*$A648-(Examples!$E$6*Examples!$E$7*Examples!$E$8*EXP(-Examples!$E$9*$A648)*(1-(Examples!$E$12*(1-EXP(-Examples!$E$13*$A648))/(1+EXP(MIN(700,MAX(-700,(Examples!$E$14*$A648-Examples!$E$15)/Examples!$E$16))))))+Examples!$E$17*$A648^2)</f>
        <v>2240201.5087584173</v>
      </c>
      <c r="G648" s="33">
        <f>(Examples!$E$6*Examples!$E$7*Examples!$E$8*EXP(-Examples!$E$9*$A648)*(1-(Examples!$E$12*(1-EXP(-Examples!$E$13*$A648))/(1+EXP(MIN(700,MAX(-700,(Examples!$E$14*$A648-Examples!$E$15)/Examples!$E$16))))))+Examples!$E$17*$A648^2)</f>
        <v>210698.49124158261</v>
      </c>
      <c r="H648" s="33">
        <f>Examples!$F$18-(Examples!$F$10+Examples!$F$11)*$A648-(Examples!$F$6*Examples!$F$7*Examples!$F$8*EXP(-Examples!$F$9*$A648)*(1-(Examples!$F$12*(1-EXP(-Examples!$F$13*$A648))/(1+EXP(MIN(700,MAX(-700,(Examples!$F$14*$A648-Examples!$F$15)/Examples!$F$16))))))+Examples!$F$17*$A648^2)</f>
        <v>-816351.85379127355</v>
      </c>
      <c r="I648" s="33">
        <f>(Examples!$F$6*Examples!$F$7*Examples!$F$8*EXP(-Examples!$F$9*$A648)*(1-(Examples!$F$12*(1-EXP(-Examples!$F$13*$A648))/(1+EXP(MIN(700,MAX(-700,(Examples!$F$14*$A648-Examples!$F$15)/Examples!$F$16))))))+Examples!$F$17*$A648^2)</f>
        <v>837151.85379127355</v>
      </c>
      <c r="J648" s="33">
        <f>Examples!$G$18-(Examples!$G$10+Examples!$G$11)*$A648-(Examples!$G$6*Examples!$G$7*Examples!$G$8*EXP(-Examples!$G$9*$A648)*(1-(Examples!$G$12*(1-EXP(-Examples!$G$13*$A648))/(1+EXP(MIN(700,MAX(-700,(Examples!$G$14*$A648-Examples!$G$15)/Examples!$G$16))))))+Examples!$G$17*$A648^2)</f>
        <v>635466.48063784209</v>
      </c>
      <c r="K648" s="33">
        <f>(Examples!$G$6*Examples!$G$7*Examples!$G$8*EXP(-Examples!$G$9*$A648)*(1-(Examples!$G$12*(1-EXP(-Examples!$G$13*$A648))/(1+EXP(MIN(700,MAX(-700,(Examples!$G$14*$A648-Examples!$G$15)/Examples!$G$16))))))+Examples!$G$17*$A648^2)</f>
        <v>541533.51936215791</v>
      </c>
      <c r="L648" s="33">
        <f>Examples!$H$18-(Examples!$H$10+Examples!$H$11)*$A648-(Examples!$H$6*Examples!$H$7*Examples!$H$8*EXP(-Examples!$H$9*$A648)*(1-(Examples!$H$12*(1-EXP(-Examples!$H$13*$A648))/(1+EXP(MIN(700,MAX(-700,(Examples!$H$14*$A648-Examples!$H$15)/Examples!$H$16))))))+Examples!$H$17*$A648^2)</f>
        <v>634655.32979983068</v>
      </c>
      <c r="M648" s="33">
        <f>(Examples!$H$6*Examples!$H$7*Examples!$H$8*EXP(-Examples!$H$9*$A648)*(1-(Examples!$H$12*(1-EXP(-Examples!$H$13*$A648))/(1+EXP(MIN(700,MAX(-700,(Examples!$H$14*$A648-Examples!$H$15)/Examples!$H$16))))))+Examples!$H$17*$A648^2)</f>
        <v>542344.67020016932</v>
      </c>
    </row>
    <row r="649" spans="1:13" x14ac:dyDescent="0.25">
      <c r="A649">
        <f>(649-2)/100</f>
        <v>6.47</v>
      </c>
      <c r="B649" s="33">
        <f>Examples!$C$18-(Examples!$C$10+Examples!$C$11)*$A649-(Examples!$C$6*Examples!$C$7*Examples!$C$8*EXP(-Examples!$C$9*$A649)*(1-(Examples!$C$12*(1-EXP(-Examples!$C$13*$A649))/(1+EXP(MIN(700,MAX(-700,(Examples!$C$14*$A649-Examples!$C$15)/Examples!$C$16))))))+Examples!$C$17*$A649^2)</f>
        <v>-340499.68527418771</v>
      </c>
      <c r="C649" s="33">
        <f>(Examples!$C$6*Examples!$C$7*Examples!$C$8*EXP(-Examples!$C$9*$A649)*(1-(Examples!$C$12*(1-EXP(-Examples!$C$13*$A649))/(1+EXP(MIN(700,MAX(-700,(Examples!$C$14*$A649-Examples!$C$15)/Examples!$C$16))))))+Examples!$C$17*$A649^2)</f>
        <v>714049.68527418771</v>
      </c>
      <c r="D649" s="33">
        <f>Examples!$D$18-(Examples!$D$10+Examples!$D$11)*$A649-(Examples!$D$6*Examples!$D$7*Examples!$D$8*EXP(-Examples!$D$9*$A649)*(1-(Examples!$D$12*(1-EXP(-Examples!$D$13*$A649))/(1+EXP(MIN(700,MAX(-700,(Examples!$D$14*$A649-Examples!$D$15)/Examples!$D$16))))))+Examples!$D$17*$A649^2)</f>
        <v>1679393.66369911</v>
      </c>
      <c r="E649" s="33">
        <f>(Examples!$D$6*Examples!$D$7*Examples!$D$8*EXP(-Examples!$D$9*$A649)*(1-(Examples!$D$12*(1-EXP(-Examples!$D$13*$A649))/(1+EXP(MIN(700,MAX(-700,(Examples!$D$14*$A649-Examples!$D$15)/Examples!$D$16))))))+Examples!$D$17*$A649^2)</f>
        <v>529456.33630089008</v>
      </c>
      <c r="F649" s="33">
        <f>Examples!$E$18-(Examples!$E$10+Examples!$E$11)*$A649-(Examples!$E$6*Examples!$E$7*Examples!$E$8*EXP(-Examples!$E$9*$A649)*(1-(Examples!$E$12*(1-EXP(-Examples!$E$13*$A649))/(1+EXP(MIN(700,MAX(-700,(Examples!$E$14*$A649-Examples!$E$15)/Examples!$E$16))))))+Examples!$E$17*$A649^2)</f>
        <v>2239262.6072446024</v>
      </c>
      <c r="G649" s="33">
        <f>(Examples!$E$6*Examples!$E$7*Examples!$E$8*EXP(-Examples!$E$9*$A649)*(1-(Examples!$E$12*(1-EXP(-Examples!$E$13*$A649))/(1+EXP(MIN(700,MAX(-700,(Examples!$E$14*$A649-Examples!$E$15)/Examples!$E$16))))))+Examples!$E$17*$A649^2)</f>
        <v>210787.39275539736</v>
      </c>
      <c r="H649" s="33">
        <f>Examples!$F$18-(Examples!$F$10+Examples!$F$11)*$A649-(Examples!$F$6*Examples!$F$7*Examples!$F$8*EXP(-Examples!$F$9*$A649)*(1-(Examples!$F$12*(1-EXP(-Examples!$F$13*$A649))/(1+EXP(MIN(700,MAX(-700,(Examples!$F$14*$A649-Examples!$F$15)/Examples!$F$16))))))+Examples!$F$17*$A649^2)</f>
        <v>-819130.30555795226</v>
      </c>
      <c r="I649" s="33">
        <f>(Examples!$F$6*Examples!$F$7*Examples!$F$8*EXP(-Examples!$F$9*$A649)*(1-(Examples!$F$12*(1-EXP(-Examples!$F$13*$A649))/(1+EXP(MIN(700,MAX(-700,(Examples!$F$14*$A649-Examples!$F$15)/Examples!$F$16))))))+Examples!$F$17*$A649^2)</f>
        <v>839730.30555795226</v>
      </c>
      <c r="J649" s="33">
        <f>Examples!$G$18-(Examples!$G$10+Examples!$G$11)*$A649-(Examples!$G$6*Examples!$G$7*Examples!$G$8*EXP(-Examples!$G$9*$A649)*(1-(Examples!$G$12*(1-EXP(-Examples!$G$13*$A649))/(1+EXP(MIN(700,MAX(-700,(Examples!$G$14*$A649-Examples!$G$15)/Examples!$G$16))))))+Examples!$G$17*$A649^2)</f>
        <v>634647.19745406858</v>
      </c>
      <c r="K649" s="33">
        <f>(Examples!$G$6*Examples!$G$7*Examples!$G$8*EXP(-Examples!$G$9*$A649)*(1-(Examples!$G$12*(1-EXP(-Examples!$G$13*$A649))/(1+EXP(MIN(700,MAX(-700,(Examples!$G$14*$A649-Examples!$G$15)/Examples!$G$16))))))+Examples!$G$17*$A649^2)</f>
        <v>541852.80254593142</v>
      </c>
      <c r="L649" s="33">
        <f>Examples!$H$18-(Examples!$H$10+Examples!$H$11)*$A649-(Examples!$H$6*Examples!$H$7*Examples!$H$8*EXP(-Examples!$H$9*$A649)*(1-(Examples!$H$12*(1-EXP(-Examples!$H$13*$A649))/(1+EXP(MIN(700,MAX(-700,(Examples!$H$14*$A649-Examples!$H$15)/Examples!$H$16))))))+Examples!$H$17*$A649^2)</f>
        <v>633849.36014604149</v>
      </c>
      <c r="M649" s="33">
        <f>(Examples!$H$6*Examples!$H$7*Examples!$H$8*EXP(-Examples!$H$9*$A649)*(1-(Examples!$H$12*(1-EXP(-Examples!$H$13*$A649))/(1+EXP(MIN(700,MAX(-700,(Examples!$H$14*$A649-Examples!$H$15)/Examples!$H$16))))))+Examples!$H$17*$A649^2)</f>
        <v>542650.63985395851</v>
      </c>
    </row>
    <row r="650" spans="1:13" x14ac:dyDescent="0.25">
      <c r="A650">
        <f>(650-2)/100</f>
        <v>6.48</v>
      </c>
      <c r="B650" s="33">
        <f>Examples!$C$18-(Examples!$C$10+Examples!$C$11)*$A650-(Examples!$C$6*Examples!$C$7*Examples!$C$8*EXP(-Examples!$C$9*$A650)*(1-(Examples!$C$12*(1-EXP(-Examples!$C$13*$A650))/(1+EXP(MIN(700,MAX(-700,(Examples!$C$14*$A650-Examples!$C$15)/Examples!$C$16))))))+Examples!$C$17*$A650^2)</f>
        <v>-342534.16411608027</v>
      </c>
      <c r="C650" s="33">
        <f>(Examples!$C$6*Examples!$C$7*Examples!$C$8*EXP(-Examples!$C$9*$A650)*(1-(Examples!$C$12*(1-EXP(-Examples!$C$13*$A650))/(1+EXP(MIN(700,MAX(-700,(Examples!$C$14*$A650-Examples!$C$15)/Examples!$C$16))))))+Examples!$C$17*$A650^2)</f>
        <v>715734.16411608027</v>
      </c>
      <c r="D650" s="33">
        <f>Examples!$D$18-(Examples!$D$10+Examples!$D$11)*$A650-(Examples!$D$6*Examples!$D$7*Examples!$D$8*EXP(-Examples!$D$9*$A650)*(1-(Examples!$D$12*(1-EXP(-Examples!$D$13*$A650))/(1+EXP(MIN(700,MAX(-700,(Examples!$D$14*$A650-Examples!$D$15)/Examples!$D$16))))))+Examples!$D$17*$A650^2)</f>
        <v>1679654.5584365679</v>
      </c>
      <c r="E650" s="33">
        <f>(Examples!$D$6*Examples!$D$7*Examples!$D$8*EXP(-Examples!$D$9*$A650)*(1-(Examples!$D$12*(1-EXP(-Examples!$D$13*$A650))/(1+EXP(MIN(700,MAX(-700,(Examples!$D$14*$A650-Examples!$D$15)/Examples!$D$16))))))+Examples!$D$17*$A650^2)</f>
        <v>528745.44156343222</v>
      </c>
      <c r="F650" s="33">
        <f>Examples!$E$18-(Examples!$E$10+Examples!$E$11)*$A650-(Examples!$E$6*Examples!$E$7*Examples!$E$8*EXP(-Examples!$E$9*$A650)*(1-(Examples!$E$12*(1-EXP(-Examples!$E$13*$A650))/(1+EXP(MIN(700,MAX(-700,(Examples!$E$14*$A650-Examples!$E$15)/Examples!$E$16))))))+Examples!$E$17*$A650^2)</f>
        <v>2238322.7611870226</v>
      </c>
      <c r="G650" s="33">
        <f>(Examples!$E$6*Examples!$E$7*Examples!$E$8*EXP(-Examples!$E$9*$A650)*(1-(Examples!$E$12*(1-EXP(-Examples!$E$13*$A650))/(1+EXP(MIN(700,MAX(-700,(Examples!$E$14*$A650-Examples!$E$15)/Examples!$E$16))))))+Examples!$E$17*$A650^2)</f>
        <v>210877.23881297727</v>
      </c>
      <c r="H650" s="33">
        <f>Examples!$F$18-(Examples!$F$10+Examples!$F$11)*$A650-(Examples!$F$6*Examples!$F$7*Examples!$F$8*EXP(-Examples!$F$9*$A650)*(1-(Examples!$F$12*(1-EXP(-Examples!$F$13*$A650))/(1+EXP(MIN(700,MAX(-700,(Examples!$F$14*$A650-Examples!$F$15)/Examples!$F$16))))))+Examples!$F$17*$A650^2)</f>
        <v>-821912.77993539639</v>
      </c>
      <c r="I650" s="33">
        <f>(Examples!$F$6*Examples!$F$7*Examples!$F$8*EXP(-Examples!$F$9*$A650)*(1-(Examples!$F$12*(1-EXP(-Examples!$F$13*$A650))/(1+EXP(MIN(700,MAX(-700,(Examples!$F$14*$A650-Examples!$F$15)/Examples!$F$16))))))+Examples!$F$17*$A650^2)</f>
        <v>842312.77993539639</v>
      </c>
      <c r="J650" s="33">
        <f>Examples!$G$18-(Examples!$G$10+Examples!$G$11)*$A650-(Examples!$G$6*Examples!$G$7*Examples!$G$8*EXP(-Examples!$G$9*$A650)*(1-(Examples!$G$12*(1-EXP(-Examples!$G$13*$A650))/(1+EXP(MIN(700,MAX(-700,(Examples!$G$14*$A650-Examples!$G$15)/Examples!$G$16))))))+Examples!$G$17*$A650^2)</f>
        <v>633823.98658158444</v>
      </c>
      <c r="K650" s="33">
        <f>(Examples!$G$6*Examples!$G$7*Examples!$G$8*EXP(-Examples!$G$9*$A650)*(1-(Examples!$G$12*(1-EXP(-Examples!$G$13*$A650))/(1+EXP(MIN(700,MAX(-700,(Examples!$G$14*$A650-Examples!$G$15)/Examples!$G$16))))))+Examples!$G$17*$A650^2)</f>
        <v>542176.01341841556</v>
      </c>
      <c r="L650" s="33">
        <f>Examples!$H$18-(Examples!$H$10+Examples!$H$11)*$A650-(Examples!$H$6*Examples!$H$7*Examples!$H$8*EXP(-Examples!$H$9*$A650)*(1-(Examples!$H$12*(1-EXP(-Examples!$H$13*$A650))/(1+EXP(MIN(700,MAX(-700,(Examples!$H$14*$A650-Examples!$H$15)/Examples!$H$16))))))+Examples!$H$17*$A650^2)</f>
        <v>633039.24598557828</v>
      </c>
      <c r="M650" s="33">
        <f>(Examples!$H$6*Examples!$H$7*Examples!$H$8*EXP(-Examples!$H$9*$A650)*(1-(Examples!$H$12*(1-EXP(-Examples!$H$13*$A650))/(1+EXP(MIN(700,MAX(-700,(Examples!$H$14*$A650-Examples!$H$15)/Examples!$H$16))))))+Examples!$H$17*$A650^2)</f>
        <v>542960.75401442172</v>
      </c>
    </row>
    <row r="651" spans="1:13" x14ac:dyDescent="0.25">
      <c r="A651">
        <f>(651-2)/100</f>
        <v>6.49</v>
      </c>
      <c r="B651" s="33">
        <f>Examples!$C$18-(Examples!$C$10+Examples!$C$11)*$A651-(Examples!$C$6*Examples!$C$7*Examples!$C$8*EXP(-Examples!$C$9*$A651)*(1-(Examples!$C$12*(1-EXP(-Examples!$C$13*$A651))/(1+EXP(MIN(700,MAX(-700,(Examples!$C$14*$A651-Examples!$C$15)/Examples!$C$16))))))+Examples!$C$17*$A651^2)</f>
        <v>-344572.41585542809</v>
      </c>
      <c r="C651" s="33">
        <f>(Examples!$C$6*Examples!$C$7*Examples!$C$8*EXP(-Examples!$C$9*$A651)*(1-(Examples!$C$12*(1-EXP(-Examples!$C$13*$A651))/(1+EXP(MIN(700,MAX(-700,(Examples!$C$14*$A651-Examples!$C$15)/Examples!$C$16))))))+Examples!$C$17*$A651^2)</f>
        <v>717422.41585542809</v>
      </c>
      <c r="D651" s="33">
        <f>Examples!$D$18-(Examples!$D$10+Examples!$D$11)*$A651-(Examples!$D$6*Examples!$D$7*Examples!$D$8*EXP(-Examples!$D$9*$A651)*(1-(Examples!$D$12*(1-EXP(-Examples!$D$13*$A651))/(1+EXP(MIN(700,MAX(-700,(Examples!$D$14*$A651-Examples!$D$15)/Examples!$D$16))))))+Examples!$D$17*$A651^2)</f>
        <v>1679909.6837470876</v>
      </c>
      <c r="E651" s="33">
        <f>(Examples!$D$6*Examples!$D$7*Examples!$D$8*EXP(-Examples!$D$9*$A651)*(1-(Examples!$D$12*(1-EXP(-Examples!$D$13*$A651))/(1+EXP(MIN(700,MAX(-700,(Examples!$D$14*$A651-Examples!$D$15)/Examples!$D$16))))))+Examples!$D$17*$A651^2)</f>
        <v>528040.31625291251</v>
      </c>
      <c r="F651" s="33">
        <f>Examples!$E$18-(Examples!$E$10+Examples!$E$11)*$A651-(Examples!$E$6*Examples!$E$7*Examples!$E$8*EXP(-Examples!$E$9*$A651)*(1-(Examples!$E$12*(1-EXP(-Examples!$E$13*$A651))/(1+EXP(MIN(700,MAX(-700,(Examples!$E$14*$A651-Examples!$E$15)/Examples!$E$16))))))+Examples!$E$17*$A651^2)</f>
        <v>2237381.9650819874</v>
      </c>
      <c r="G651" s="33">
        <f>(Examples!$E$6*Examples!$E$7*Examples!$E$8*EXP(-Examples!$E$9*$A651)*(1-(Examples!$E$12*(1-EXP(-Examples!$E$13*$A651))/(1+EXP(MIN(700,MAX(-700,(Examples!$E$14*$A651-Examples!$E$15)/Examples!$E$16))))))+Examples!$E$17*$A651^2)</f>
        <v>210968.03491801242</v>
      </c>
      <c r="H651" s="33">
        <f>Examples!$F$18-(Examples!$F$10+Examples!$F$11)*$A651-(Examples!$F$6*Examples!$F$7*Examples!$F$8*EXP(-Examples!$F$9*$A651)*(1-(Examples!$F$12*(1-EXP(-Examples!$F$13*$A651))/(1+EXP(MIN(700,MAX(-700,(Examples!$F$14*$A651-Examples!$F$15)/Examples!$F$16))))))+Examples!$F$17*$A651^2)</f>
        <v>-824699.27685587469</v>
      </c>
      <c r="I651" s="33">
        <f>(Examples!$F$6*Examples!$F$7*Examples!$F$8*EXP(-Examples!$F$9*$A651)*(1-(Examples!$F$12*(1-EXP(-Examples!$F$13*$A651))/(1+EXP(MIN(700,MAX(-700,(Examples!$F$14*$A651-Examples!$F$15)/Examples!$F$16))))))+Examples!$F$17*$A651^2)</f>
        <v>844899.27685587469</v>
      </c>
      <c r="J651" s="33">
        <f>Examples!$G$18-(Examples!$G$10+Examples!$G$11)*$A651-(Examples!$G$6*Examples!$G$7*Examples!$G$8*EXP(-Examples!$G$9*$A651)*(1-(Examples!$G$12*(1-EXP(-Examples!$G$13*$A651))/(1+EXP(MIN(700,MAX(-700,(Examples!$G$14*$A651-Examples!$G$15)/Examples!$G$16))))))+Examples!$G$17*$A651^2)</f>
        <v>632996.85340539494</v>
      </c>
      <c r="K651" s="33">
        <f>(Examples!$G$6*Examples!$G$7*Examples!$G$8*EXP(-Examples!$G$9*$A651)*(1-(Examples!$G$12*(1-EXP(-Examples!$G$13*$A651))/(1+EXP(MIN(700,MAX(-700,(Examples!$G$14*$A651-Examples!$G$15)/Examples!$G$16))))))+Examples!$G$17*$A651^2)</f>
        <v>542503.14659460506</v>
      </c>
      <c r="L651" s="33">
        <f>Examples!$H$18-(Examples!$H$10+Examples!$H$11)*$A651-(Examples!$H$6*Examples!$H$7*Examples!$H$8*EXP(-Examples!$H$9*$A651)*(1-(Examples!$H$12*(1-EXP(-Examples!$H$13*$A651))/(1+EXP(MIN(700,MAX(-700,(Examples!$H$14*$A651-Examples!$H$15)/Examples!$H$16))))))+Examples!$H$17*$A651^2)</f>
        <v>632224.99618984899</v>
      </c>
      <c r="M651" s="33">
        <f>(Examples!$H$6*Examples!$H$7*Examples!$H$8*EXP(-Examples!$H$9*$A651)*(1-(Examples!$H$12*(1-EXP(-Examples!$H$13*$A651))/(1+EXP(MIN(700,MAX(-700,(Examples!$H$14*$A651-Examples!$H$15)/Examples!$H$16))))))+Examples!$H$17*$A651^2)</f>
        <v>543275.00381015101</v>
      </c>
    </row>
    <row r="652" spans="1:13" x14ac:dyDescent="0.25">
      <c r="A652">
        <f>(652-2)/100</f>
        <v>6.5</v>
      </c>
      <c r="B652" s="33">
        <f>Examples!$C$18-(Examples!$C$10+Examples!$C$11)*$A652-(Examples!$C$6*Examples!$C$7*Examples!$C$8*EXP(-Examples!$C$9*$A652)*(1-(Examples!$C$12*(1-EXP(-Examples!$C$13*$A652))/(1+EXP(MIN(700,MAX(-700,(Examples!$C$14*$A652-Examples!$C$15)/Examples!$C$16))))))+Examples!$C$17*$A652^2)</f>
        <v>-346614.43817722867</v>
      </c>
      <c r="C652" s="33">
        <f>(Examples!$C$6*Examples!$C$7*Examples!$C$8*EXP(-Examples!$C$9*$A652)*(1-(Examples!$C$12*(1-EXP(-Examples!$C$13*$A652))/(1+EXP(MIN(700,MAX(-700,(Examples!$C$14*$A652-Examples!$C$15)/Examples!$C$16))))))+Examples!$C$17*$A652^2)</f>
        <v>719114.43817722867</v>
      </c>
      <c r="D652" s="33">
        <f>Examples!$D$18-(Examples!$D$10+Examples!$D$11)*$A652-(Examples!$D$6*Examples!$D$7*Examples!$D$8*EXP(-Examples!$D$9*$A652)*(1-(Examples!$D$12*(1-EXP(-Examples!$D$13*$A652))/(1+EXP(MIN(700,MAX(-700,(Examples!$D$14*$A652-Examples!$D$15)/Examples!$D$16))))))+Examples!$D$17*$A652^2)</f>
        <v>1680159.0394480571</v>
      </c>
      <c r="E652" s="33">
        <f>(Examples!$D$6*Examples!$D$7*Examples!$D$8*EXP(-Examples!$D$9*$A652)*(1-(Examples!$D$12*(1-EXP(-Examples!$D$13*$A652))/(1+EXP(MIN(700,MAX(-700,(Examples!$D$14*$A652-Examples!$D$15)/Examples!$D$16))))))+Examples!$D$17*$A652^2)</f>
        <v>527340.96055194293</v>
      </c>
      <c r="F652" s="33">
        <f>Examples!$E$18-(Examples!$E$10+Examples!$E$11)*$A652-(Examples!$E$6*Examples!$E$7*Examples!$E$8*EXP(-Examples!$E$9*$A652)*(1-(Examples!$E$12*(1-EXP(-Examples!$E$13*$A652))/(1+EXP(MIN(700,MAX(-700,(Examples!$E$14*$A652-Examples!$E$15)/Examples!$E$16))))))+Examples!$E$17*$A652^2)</f>
        <v>2236440.2134479824</v>
      </c>
      <c r="G652" s="33">
        <f>(Examples!$E$6*Examples!$E$7*Examples!$E$8*EXP(-Examples!$E$9*$A652)*(1-(Examples!$E$12*(1-EXP(-Examples!$E$13*$A652))/(1+EXP(MIN(700,MAX(-700,(Examples!$E$14*$A652-Examples!$E$15)/Examples!$E$16))))))+Examples!$E$17*$A652^2)</f>
        <v>211059.78655201761</v>
      </c>
      <c r="H652" s="33">
        <f>Examples!$F$18-(Examples!$F$10+Examples!$F$11)*$A652-(Examples!$F$6*Examples!$F$7*Examples!$F$8*EXP(-Examples!$F$9*$A652)*(1-(Examples!$F$12*(1-EXP(-Examples!$F$13*$A652))/(1+EXP(MIN(700,MAX(-700,(Examples!$F$14*$A652-Examples!$F$15)/Examples!$F$16))))))+Examples!$F$17*$A652^2)</f>
        <v>-827489.79625185998</v>
      </c>
      <c r="I652" s="33">
        <f>(Examples!$F$6*Examples!$F$7*Examples!$F$8*EXP(-Examples!$F$9*$A652)*(1-(Examples!$F$12*(1-EXP(-Examples!$F$13*$A652))/(1+EXP(MIN(700,MAX(-700,(Examples!$F$14*$A652-Examples!$F$15)/Examples!$F$16))))))+Examples!$F$17*$A652^2)</f>
        <v>847489.79625185998</v>
      </c>
      <c r="J652" s="33">
        <f>Examples!$G$18-(Examples!$G$10+Examples!$G$11)*$A652-(Examples!$G$6*Examples!$G$7*Examples!$G$8*EXP(-Examples!$G$9*$A652)*(1-(Examples!$G$12*(1-EXP(-Examples!$G$13*$A652))/(1+EXP(MIN(700,MAX(-700,(Examples!$G$14*$A652-Examples!$G$15)/Examples!$G$16))))))+Examples!$G$17*$A652^2)</f>
        <v>632165.80333500984</v>
      </c>
      <c r="K652" s="33">
        <f>(Examples!$G$6*Examples!$G$7*Examples!$G$8*EXP(-Examples!$G$9*$A652)*(1-(Examples!$G$12*(1-EXP(-Examples!$G$13*$A652))/(1+EXP(MIN(700,MAX(-700,(Examples!$G$14*$A652-Examples!$G$15)/Examples!$G$16))))))+Examples!$G$17*$A652^2)</f>
        <v>542834.19666499016</v>
      </c>
      <c r="L652" s="33">
        <f>Examples!$H$18-(Examples!$H$10+Examples!$H$11)*$A652-(Examples!$H$6*Examples!$H$7*Examples!$H$8*EXP(-Examples!$H$9*$A652)*(1-(Examples!$H$12*(1-EXP(-Examples!$H$13*$A652))/(1+EXP(MIN(700,MAX(-700,(Examples!$H$14*$A652-Examples!$H$15)/Examples!$H$16))))))+Examples!$H$17*$A652^2)</f>
        <v>631406.61959991558</v>
      </c>
      <c r="M652" s="33">
        <f>(Examples!$H$6*Examples!$H$7*Examples!$H$8*EXP(-Examples!$H$9*$A652)*(1-(Examples!$H$12*(1-EXP(-Examples!$H$13*$A652))/(1+EXP(MIN(700,MAX(-700,(Examples!$H$14*$A652-Examples!$H$15)/Examples!$H$16))))))+Examples!$H$17*$A652^2)</f>
        <v>543593.38040008442</v>
      </c>
    </row>
    <row r="653" spans="1:13" x14ac:dyDescent="0.25">
      <c r="A653">
        <f>(653-2)/100</f>
        <v>6.51</v>
      </c>
      <c r="B653" s="33">
        <f>Examples!$C$18-(Examples!$C$10+Examples!$C$11)*$A653-(Examples!$C$6*Examples!$C$7*Examples!$C$8*EXP(-Examples!$C$9*$A653)*(1-(Examples!$C$12*(1-EXP(-Examples!$C$13*$A653))/(1+EXP(MIN(700,MAX(-700,(Examples!$C$14*$A653-Examples!$C$15)/Examples!$C$16))))))+Examples!$C$17*$A653^2)</f>
        <v>-348660.22877340578</v>
      </c>
      <c r="C653" s="33">
        <f>(Examples!$C$6*Examples!$C$7*Examples!$C$8*EXP(-Examples!$C$9*$A653)*(1-(Examples!$C$12*(1-EXP(-Examples!$C$13*$A653))/(1+EXP(MIN(700,MAX(-700,(Examples!$C$14*$A653-Examples!$C$15)/Examples!$C$16))))))+Examples!$C$17*$A653^2)</f>
        <v>720810.22877340578</v>
      </c>
      <c r="D653" s="33">
        <f>Examples!$D$18-(Examples!$D$10+Examples!$D$11)*$A653-(Examples!$D$6*Examples!$D$7*Examples!$D$8*EXP(-Examples!$D$9*$A653)*(1-(Examples!$D$12*(1-EXP(-Examples!$D$13*$A653))/(1+EXP(MIN(700,MAX(-700,(Examples!$D$14*$A653-Examples!$D$15)/Examples!$D$16))))))+Examples!$D$17*$A653^2)</f>
        <v>1680402.6256861161</v>
      </c>
      <c r="E653" s="33">
        <f>(Examples!$D$6*Examples!$D$7*Examples!$D$8*EXP(-Examples!$D$9*$A653)*(1-(Examples!$D$12*(1-EXP(-Examples!$D$13*$A653))/(1+EXP(MIN(700,MAX(-700,(Examples!$D$14*$A653-Examples!$D$15)/Examples!$D$16))))))+Examples!$D$17*$A653^2)</f>
        <v>526647.37431388383</v>
      </c>
      <c r="F653" s="33">
        <f>Examples!$E$18-(Examples!$E$10+Examples!$E$11)*$A653-(Examples!$E$6*Examples!$E$7*Examples!$E$8*EXP(-Examples!$E$9*$A653)*(1-(Examples!$E$12*(1-EXP(-Examples!$E$13*$A653))/(1+EXP(MIN(700,MAX(-700,(Examples!$E$14*$A653-Examples!$E$15)/Examples!$E$16))))))+Examples!$E$17*$A653^2)</f>
        <v>2235497.5008265413</v>
      </c>
      <c r="G653" s="33">
        <f>(Examples!$E$6*Examples!$E$7*Examples!$E$8*EXP(-Examples!$E$9*$A653)*(1-(Examples!$E$12*(1-EXP(-Examples!$E$13*$A653))/(1+EXP(MIN(700,MAX(-700,(Examples!$E$14*$A653-Examples!$E$15)/Examples!$E$16))))))+Examples!$E$17*$A653^2)</f>
        <v>211152.49917345872</v>
      </c>
      <c r="H653" s="33">
        <f>Examples!$F$18-(Examples!$F$10+Examples!$F$11)*$A653-(Examples!$F$6*Examples!$F$7*Examples!$F$8*EXP(-Examples!$F$9*$A653)*(1-(Examples!$F$12*(1-EXP(-Examples!$F$13*$A653))/(1+EXP(MIN(700,MAX(-700,(Examples!$F$14*$A653-Examples!$F$15)/Examples!$F$16))))))+Examples!$F$17*$A653^2)</f>
        <v>-830284.33805602684</v>
      </c>
      <c r="I653" s="33">
        <f>(Examples!$F$6*Examples!$F$7*Examples!$F$8*EXP(-Examples!$F$9*$A653)*(1-(Examples!$F$12*(1-EXP(-Examples!$F$13*$A653))/(1+EXP(MIN(700,MAX(-700,(Examples!$F$14*$A653-Examples!$F$15)/Examples!$F$16))))))+Examples!$F$17*$A653^2)</f>
        <v>850084.33805602684</v>
      </c>
      <c r="J653" s="33">
        <f>Examples!$G$18-(Examples!$G$10+Examples!$G$11)*$A653-(Examples!$G$6*Examples!$G$7*Examples!$G$8*EXP(-Examples!$G$9*$A653)*(1-(Examples!$G$12*(1-EXP(-Examples!$G$13*$A653))/(1+EXP(MIN(700,MAX(-700,(Examples!$G$14*$A653-Examples!$G$15)/Examples!$G$16))))))+Examples!$G$17*$A653^2)</f>
        <v>631330.84180369962</v>
      </c>
      <c r="K653" s="33">
        <f>(Examples!$G$6*Examples!$G$7*Examples!$G$8*EXP(-Examples!$G$9*$A653)*(1-(Examples!$G$12*(1-EXP(-Examples!$G$13*$A653))/(1+EXP(MIN(700,MAX(-700,(Examples!$G$14*$A653-Examples!$G$15)/Examples!$G$16))))))+Examples!$G$17*$A653^2)</f>
        <v>543169.15819630038</v>
      </c>
      <c r="L653" s="33">
        <f>Examples!$H$18-(Examples!$H$10+Examples!$H$11)*$A653-(Examples!$H$6*Examples!$H$7*Examples!$H$8*EXP(-Examples!$H$9*$A653)*(1-(Examples!$H$12*(1-EXP(-Examples!$H$13*$A653))/(1+EXP(MIN(700,MAX(-700,(Examples!$H$14*$A653-Examples!$H$15)/Examples!$H$16))))))+Examples!$H$17*$A653^2)</f>
        <v>630584.12502657808</v>
      </c>
      <c r="M653" s="33">
        <f>(Examples!$H$6*Examples!$H$7*Examples!$H$8*EXP(-Examples!$H$9*$A653)*(1-(Examples!$H$12*(1-EXP(-Examples!$H$13*$A653))/(1+EXP(MIN(700,MAX(-700,(Examples!$H$14*$A653-Examples!$H$15)/Examples!$H$16))))))+Examples!$H$17*$A653^2)</f>
        <v>543915.87497342192</v>
      </c>
    </row>
    <row r="654" spans="1:13" x14ac:dyDescent="0.25">
      <c r="A654">
        <f>(654-2)/100</f>
        <v>6.52</v>
      </c>
      <c r="B654" s="33">
        <f>Examples!$C$18-(Examples!$C$10+Examples!$C$11)*$A654-(Examples!$C$6*Examples!$C$7*Examples!$C$8*EXP(-Examples!$C$9*$A654)*(1-(Examples!$C$12*(1-EXP(-Examples!$C$13*$A654))/(1+EXP(MIN(700,MAX(-700,(Examples!$C$14*$A654-Examples!$C$15)/Examples!$C$16))))))+Examples!$C$17*$A654^2)</f>
        <v>-350709.78534278972</v>
      </c>
      <c r="C654" s="33">
        <f>(Examples!$C$6*Examples!$C$7*Examples!$C$8*EXP(-Examples!$C$9*$A654)*(1-(Examples!$C$12*(1-EXP(-Examples!$C$13*$A654))/(1+EXP(MIN(700,MAX(-700,(Examples!$C$14*$A654-Examples!$C$15)/Examples!$C$16))))))+Examples!$C$17*$A654^2)</f>
        <v>722509.78534278972</v>
      </c>
      <c r="D654" s="33">
        <f>Examples!$D$18-(Examples!$D$10+Examples!$D$11)*$A654-(Examples!$D$6*Examples!$D$7*Examples!$D$8*EXP(-Examples!$D$9*$A654)*(1-(Examples!$D$12*(1-EXP(-Examples!$D$13*$A654))/(1+EXP(MIN(700,MAX(-700,(Examples!$D$14*$A654-Examples!$D$15)/Examples!$D$16))))))+Examples!$D$17*$A654^2)</f>
        <v>1680640.4429313433</v>
      </c>
      <c r="E654" s="33">
        <f>(Examples!$D$6*Examples!$D$7*Examples!$D$8*EXP(-Examples!$D$9*$A654)*(1-(Examples!$D$12*(1-EXP(-Examples!$D$13*$A654))/(1+EXP(MIN(700,MAX(-700,(Examples!$D$14*$A654-Examples!$D$15)/Examples!$D$16))))))+Examples!$D$17*$A654^2)</f>
        <v>525959.55706865666</v>
      </c>
      <c r="F654" s="33">
        <f>Examples!$E$18-(Examples!$E$10+Examples!$E$11)*$A654-(Examples!$E$6*Examples!$E$7*Examples!$E$8*EXP(-Examples!$E$9*$A654)*(1-(Examples!$E$12*(1-EXP(-Examples!$E$13*$A654))/(1+EXP(MIN(700,MAX(-700,(Examples!$E$14*$A654-Examples!$E$15)/Examples!$E$16))))))+Examples!$E$17*$A654^2)</f>
        <v>2234553.821783103</v>
      </c>
      <c r="G654" s="33">
        <f>(Examples!$E$6*Examples!$E$7*Examples!$E$8*EXP(-Examples!$E$9*$A654)*(1-(Examples!$E$12*(1-EXP(-Examples!$E$13*$A654))/(1+EXP(MIN(700,MAX(-700,(Examples!$E$14*$A654-Examples!$E$15)/Examples!$E$16))))))+Examples!$E$17*$A654^2)</f>
        <v>211246.17821689695</v>
      </c>
      <c r="H654" s="33">
        <f>Examples!$F$18-(Examples!$F$10+Examples!$F$11)*$A654-(Examples!$F$6*Examples!$F$7*Examples!$F$8*EXP(-Examples!$F$9*$A654)*(1-(Examples!$F$12*(1-EXP(-Examples!$F$13*$A654))/(1+EXP(MIN(700,MAX(-700,(Examples!$F$14*$A654-Examples!$F$15)/Examples!$F$16))))))+Examples!$F$17*$A654^2)</f>
        <v>-833082.90220125113</v>
      </c>
      <c r="I654" s="33">
        <f>(Examples!$F$6*Examples!$F$7*Examples!$F$8*EXP(-Examples!$F$9*$A654)*(1-(Examples!$F$12*(1-EXP(-Examples!$F$13*$A654))/(1+EXP(MIN(700,MAX(-700,(Examples!$F$14*$A654-Examples!$F$15)/Examples!$F$16))))))+Examples!$F$17*$A654^2)</f>
        <v>852682.90220125113</v>
      </c>
      <c r="J654" s="33">
        <f>Examples!$G$18-(Examples!$G$10+Examples!$G$11)*$A654-(Examples!$G$6*Examples!$G$7*Examples!$G$8*EXP(-Examples!$G$9*$A654)*(1-(Examples!$G$12*(1-EXP(-Examples!$G$13*$A654))/(1+EXP(MIN(700,MAX(-700,(Examples!$G$14*$A654-Examples!$G$15)/Examples!$G$16))))))+Examples!$G$17*$A654^2)</f>
        <v>630491.97426776099</v>
      </c>
      <c r="K654" s="33">
        <f>(Examples!$G$6*Examples!$G$7*Examples!$G$8*EXP(-Examples!$G$9*$A654)*(1-(Examples!$G$12*(1-EXP(-Examples!$G$13*$A654))/(1+EXP(MIN(700,MAX(-700,(Examples!$G$14*$A654-Examples!$G$15)/Examples!$G$16))))))+Examples!$G$17*$A654^2)</f>
        <v>543508.02573223901</v>
      </c>
      <c r="L654" s="33">
        <f>Examples!$H$18-(Examples!$H$10+Examples!$H$11)*$A654-(Examples!$H$6*Examples!$H$7*Examples!$H$8*EXP(-Examples!$H$9*$A654)*(1-(Examples!$H$12*(1-EXP(-Examples!$H$13*$A654))/(1+EXP(MIN(700,MAX(-700,(Examples!$H$14*$A654-Examples!$H$15)/Examples!$H$16))))))+Examples!$H$17*$A654^2)</f>
        <v>629757.52125045878</v>
      </c>
      <c r="M654" s="33">
        <f>(Examples!$H$6*Examples!$H$7*Examples!$H$8*EXP(-Examples!$H$9*$A654)*(1-(Examples!$H$12*(1-EXP(-Examples!$H$13*$A654))/(1+EXP(MIN(700,MAX(-700,(Examples!$H$14*$A654-Examples!$H$15)/Examples!$H$16))))))+Examples!$H$17*$A654^2)</f>
        <v>544242.47874954122</v>
      </c>
    </row>
    <row r="655" spans="1:13" x14ac:dyDescent="0.25">
      <c r="A655">
        <f>(655-2)/100</f>
        <v>6.53</v>
      </c>
      <c r="B655" s="33">
        <f>Examples!$C$18-(Examples!$C$10+Examples!$C$11)*$A655-(Examples!$C$6*Examples!$C$7*Examples!$C$8*EXP(-Examples!$C$9*$A655)*(1-(Examples!$C$12*(1-EXP(-Examples!$C$13*$A655))/(1+EXP(MIN(700,MAX(-700,(Examples!$C$14*$A655-Examples!$C$15)/Examples!$C$16))))))+Examples!$C$17*$A655^2)</f>
        <v>-352763.10559109726</v>
      </c>
      <c r="C655" s="33">
        <f>(Examples!$C$6*Examples!$C$7*Examples!$C$8*EXP(-Examples!$C$9*$A655)*(1-(Examples!$C$12*(1-EXP(-Examples!$C$13*$A655))/(1+EXP(MIN(700,MAX(-700,(Examples!$C$14*$A655-Examples!$C$15)/Examples!$C$16))))))+Examples!$C$17*$A655^2)</f>
        <v>724213.10559109726</v>
      </c>
      <c r="D655" s="33">
        <f>Examples!$D$18-(Examples!$D$10+Examples!$D$11)*$A655-(Examples!$D$6*Examples!$D$7*Examples!$D$8*EXP(-Examples!$D$9*$A655)*(1-(Examples!$D$12*(1-EXP(-Examples!$D$13*$A655))/(1+EXP(MIN(700,MAX(-700,(Examples!$D$14*$A655-Examples!$D$15)/Examples!$D$16))))))+Examples!$D$17*$A655^2)</f>
        <v>1680872.4919715049</v>
      </c>
      <c r="E655" s="33">
        <f>(Examples!$D$6*Examples!$D$7*Examples!$D$8*EXP(-Examples!$D$9*$A655)*(1-(Examples!$D$12*(1-EXP(-Examples!$D$13*$A655))/(1+EXP(MIN(700,MAX(-700,(Examples!$D$14*$A655-Examples!$D$15)/Examples!$D$16))))))+Examples!$D$17*$A655^2)</f>
        <v>525277.50802849513</v>
      </c>
      <c r="F655" s="33">
        <f>Examples!$E$18-(Examples!$E$10+Examples!$E$11)*$A655-(Examples!$E$6*Examples!$E$7*Examples!$E$8*EXP(-Examples!$E$9*$A655)*(1-(Examples!$E$12*(1-EXP(-Examples!$E$13*$A655))/(1+EXP(MIN(700,MAX(-700,(Examples!$E$14*$A655-Examples!$E$15)/Examples!$E$16))))))+Examples!$E$17*$A655^2)</f>
        <v>2233609.1709078494</v>
      </c>
      <c r="G655" s="33">
        <f>(Examples!$E$6*Examples!$E$7*Examples!$E$8*EXP(-Examples!$E$9*$A655)*(1-(Examples!$E$12*(1-EXP(-Examples!$E$13*$A655))/(1+EXP(MIN(700,MAX(-700,(Examples!$E$14*$A655-Examples!$E$15)/Examples!$E$16))))))+Examples!$E$17*$A655^2)</f>
        <v>211340.82909215061</v>
      </c>
      <c r="H655" s="33">
        <f>Examples!$F$18-(Examples!$F$10+Examples!$F$11)*$A655-(Examples!$F$6*Examples!$F$7*Examples!$F$8*EXP(-Examples!$F$9*$A655)*(1-(Examples!$F$12*(1-EXP(-Examples!$F$13*$A655))/(1+EXP(MIN(700,MAX(-700,(Examples!$F$14*$A655-Examples!$F$15)/Examples!$F$16))))))+Examples!$F$17*$A655^2)</f>
        <v>-835885.48862061079</v>
      </c>
      <c r="I655" s="33">
        <f>(Examples!$F$6*Examples!$F$7*Examples!$F$8*EXP(-Examples!$F$9*$A655)*(1-(Examples!$F$12*(1-EXP(-Examples!$F$13*$A655))/(1+EXP(MIN(700,MAX(-700,(Examples!$F$14*$A655-Examples!$F$15)/Examples!$F$16))))))+Examples!$F$17*$A655^2)</f>
        <v>855285.48862061079</v>
      </c>
      <c r="J655" s="33">
        <f>Examples!$G$18-(Examples!$G$10+Examples!$G$11)*$A655-(Examples!$G$6*Examples!$G$7*Examples!$G$8*EXP(-Examples!$G$9*$A655)*(1-(Examples!$G$12*(1-EXP(-Examples!$G$13*$A655))/(1+EXP(MIN(700,MAX(-700,(Examples!$G$14*$A655-Examples!$G$15)/Examples!$G$16))))))+Examples!$G$17*$A655^2)</f>
        <v>629649.20620579575</v>
      </c>
      <c r="K655" s="33">
        <f>(Examples!$G$6*Examples!$G$7*Examples!$G$8*EXP(-Examples!$G$9*$A655)*(1-(Examples!$G$12*(1-EXP(-Examples!$G$13*$A655))/(1+EXP(MIN(700,MAX(-700,(Examples!$G$14*$A655-Examples!$G$15)/Examples!$G$16))))))+Examples!$G$17*$A655^2)</f>
        <v>543850.79379420425</v>
      </c>
      <c r="L655" s="33">
        <f>Examples!$H$18-(Examples!$H$10+Examples!$H$11)*$A655-(Examples!$H$6*Examples!$H$7*Examples!$H$8*EXP(-Examples!$H$9*$A655)*(1-(Examples!$H$12*(1-EXP(-Examples!$H$13*$A655))/(1+EXP(MIN(700,MAX(-700,(Examples!$H$14*$A655-Examples!$H$15)/Examples!$H$16))))))+Examples!$H$17*$A655^2)</f>
        <v>628926.81702208577</v>
      </c>
      <c r="M655" s="33">
        <f>(Examples!$H$6*Examples!$H$7*Examples!$H$8*EXP(-Examples!$H$9*$A655)*(1-(Examples!$H$12*(1-EXP(-Examples!$H$13*$A655))/(1+EXP(MIN(700,MAX(-700,(Examples!$H$14*$A655-Examples!$H$15)/Examples!$H$16))))))+Examples!$H$17*$A655^2)</f>
        <v>544573.18297791423</v>
      </c>
    </row>
    <row r="656" spans="1:13" x14ac:dyDescent="0.25">
      <c r="A656">
        <f>(656-2)/100</f>
        <v>6.54</v>
      </c>
      <c r="B656" s="33">
        <f>Examples!$C$18-(Examples!$C$10+Examples!$C$11)*$A656-(Examples!$C$6*Examples!$C$7*Examples!$C$8*EXP(-Examples!$C$9*$A656)*(1-(Examples!$C$12*(1-EXP(-Examples!$C$13*$A656))/(1+EXP(MIN(700,MAX(-700,(Examples!$C$14*$A656-Examples!$C$15)/Examples!$C$16))))))+Examples!$C$17*$A656^2)</f>
        <v>-354820.18723091064</v>
      </c>
      <c r="C656" s="33">
        <f>(Examples!$C$6*Examples!$C$7*Examples!$C$8*EXP(-Examples!$C$9*$A656)*(1-(Examples!$C$12*(1-EXP(-Examples!$C$13*$A656))/(1+EXP(MIN(700,MAX(-700,(Examples!$C$14*$A656-Examples!$C$15)/Examples!$C$16))))))+Examples!$C$17*$A656^2)</f>
        <v>725920.18723091064</v>
      </c>
      <c r="D656" s="33">
        <f>Examples!$D$18-(Examples!$D$10+Examples!$D$11)*$A656-(Examples!$D$6*Examples!$D$7*Examples!$D$8*EXP(-Examples!$D$9*$A656)*(1-(Examples!$D$12*(1-EXP(-Examples!$D$13*$A656))/(1+EXP(MIN(700,MAX(-700,(Examples!$D$14*$A656-Examples!$D$15)/Examples!$D$16))))))+Examples!$D$17*$A656^2)</f>
        <v>1681098.7739063671</v>
      </c>
      <c r="E656" s="33">
        <f>(Examples!$D$6*Examples!$D$7*Examples!$D$8*EXP(-Examples!$D$9*$A656)*(1-(Examples!$D$12*(1-EXP(-Examples!$D$13*$A656))/(1+EXP(MIN(700,MAX(-700,(Examples!$D$14*$A656-Examples!$D$15)/Examples!$D$16))))))+Examples!$D$17*$A656^2)</f>
        <v>524601.22609363287</v>
      </c>
      <c r="F656" s="33">
        <f>Examples!$E$18-(Examples!$E$10+Examples!$E$11)*$A656-(Examples!$E$6*Examples!$E$7*Examples!$E$8*EXP(-Examples!$E$9*$A656)*(1-(Examples!$E$12*(1-EXP(-Examples!$E$13*$A656))/(1+EXP(MIN(700,MAX(-700,(Examples!$E$14*$A656-Examples!$E$15)/Examples!$E$16))))))+Examples!$E$17*$A656^2)</f>
        <v>2232663.5428165253</v>
      </c>
      <c r="G656" s="33">
        <f>(Examples!$E$6*Examples!$E$7*Examples!$E$8*EXP(-Examples!$E$9*$A656)*(1-(Examples!$E$12*(1-EXP(-Examples!$E$13*$A656))/(1+EXP(MIN(700,MAX(-700,(Examples!$E$14*$A656-Examples!$E$15)/Examples!$E$16))))))+Examples!$E$17*$A656^2)</f>
        <v>211436.45718347479</v>
      </c>
      <c r="H656" s="33">
        <f>Examples!$F$18-(Examples!$F$10+Examples!$F$11)*$A656-(Examples!$F$6*Examples!$F$7*Examples!$F$8*EXP(-Examples!$F$9*$A656)*(1-(Examples!$F$12*(1-EXP(-Examples!$F$13*$A656))/(1+EXP(MIN(700,MAX(-700,(Examples!$F$14*$A656-Examples!$F$15)/Examples!$F$16))))))+Examples!$F$17*$A656^2)</f>
        <v>-838692.09724738309</v>
      </c>
      <c r="I656" s="33">
        <f>(Examples!$F$6*Examples!$F$7*Examples!$F$8*EXP(-Examples!$F$9*$A656)*(1-(Examples!$F$12*(1-EXP(-Examples!$F$13*$A656))/(1+EXP(MIN(700,MAX(-700,(Examples!$F$14*$A656-Examples!$F$15)/Examples!$F$16))))))+Examples!$F$17*$A656^2)</f>
        <v>857892.09724738309</v>
      </c>
      <c r="J656" s="33">
        <f>Examples!$G$18-(Examples!$G$10+Examples!$G$11)*$A656-(Examples!$G$6*Examples!$G$7*Examples!$G$8*EXP(-Examples!$G$9*$A656)*(1-(Examples!$G$12*(1-EXP(-Examples!$G$13*$A656))/(1+EXP(MIN(700,MAX(-700,(Examples!$G$14*$A656-Examples!$G$15)/Examples!$G$16))))))+Examples!$G$17*$A656^2)</f>
        <v>628802.54311800096</v>
      </c>
      <c r="K656" s="33">
        <f>(Examples!$G$6*Examples!$G$7*Examples!$G$8*EXP(-Examples!$G$9*$A656)*(1-(Examples!$G$12*(1-EXP(-Examples!$G$13*$A656))/(1+EXP(MIN(700,MAX(-700,(Examples!$G$14*$A656-Examples!$G$15)/Examples!$G$16))))))+Examples!$G$17*$A656^2)</f>
        <v>544197.45688199904</v>
      </c>
      <c r="L656" s="33">
        <f>Examples!$H$18-(Examples!$H$10+Examples!$H$11)*$A656-(Examples!$H$6*Examples!$H$7*Examples!$H$8*EXP(-Examples!$H$9*$A656)*(1-(Examples!$H$12*(1-EXP(-Examples!$H$13*$A656))/(1+EXP(MIN(700,MAX(-700,(Examples!$H$14*$A656-Examples!$H$15)/Examples!$H$16))))))+Examples!$H$17*$A656^2)</f>
        <v>628092.021061979</v>
      </c>
      <c r="M656" s="33">
        <f>(Examples!$H$6*Examples!$H$7*Examples!$H$8*EXP(-Examples!$H$9*$A656)*(1-(Examples!$H$12*(1-EXP(-Examples!$H$13*$A656))/(1+EXP(MIN(700,MAX(-700,(Examples!$H$14*$A656-Examples!$H$15)/Examples!$H$16))))))+Examples!$H$17*$A656^2)</f>
        <v>544907.978938021</v>
      </c>
    </row>
    <row r="657" spans="1:13" x14ac:dyDescent="0.25">
      <c r="A657">
        <f>(657-2)/100</f>
        <v>6.55</v>
      </c>
      <c r="B657" s="33">
        <f>Examples!$C$18-(Examples!$C$10+Examples!$C$11)*$A657-(Examples!$C$6*Examples!$C$7*Examples!$C$8*EXP(-Examples!$C$9*$A657)*(1-(Examples!$C$12*(1-EXP(-Examples!$C$13*$A657))/(1+EXP(MIN(700,MAX(-700,(Examples!$C$14*$A657-Examples!$C$15)/Examples!$C$16))))))+Examples!$C$17*$A657^2)</f>
        <v>-356881.02798165753</v>
      </c>
      <c r="C657" s="33">
        <f>(Examples!$C$6*Examples!$C$7*Examples!$C$8*EXP(-Examples!$C$9*$A657)*(1-(Examples!$C$12*(1-EXP(-Examples!$C$13*$A657))/(1+EXP(MIN(700,MAX(-700,(Examples!$C$14*$A657-Examples!$C$15)/Examples!$C$16))))))+Examples!$C$17*$A657^2)</f>
        <v>727631.02798165753</v>
      </c>
      <c r="D657" s="33">
        <f>Examples!$D$18-(Examples!$D$10+Examples!$D$11)*$A657-(Examples!$D$6*Examples!$D$7*Examples!$D$8*EXP(-Examples!$D$9*$A657)*(1-(Examples!$D$12*(1-EXP(-Examples!$D$13*$A657))/(1+EXP(MIN(700,MAX(-700,(Examples!$D$14*$A657-Examples!$D$15)/Examples!$D$16))))))+Examples!$D$17*$A657^2)</f>
        <v>1681319.2901420742</v>
      </c>
      <c r="E657" s="33">
        <f>(Examples!$D$6*Examples!$D$7*Examples!$D$8*EXP(-Examples!$D$9*$A657)*(1-(Examples!$D$12*(1-EXP(-Examples!$D$13*$A657))/(1+EXP(MIN(700,MAX(-700,(Examples!$D$14*$A657-Examples!$D$15)/Examples!$D$16))))))+Examples!$D$17*$A657^2)</f>
        <v>523930.70985792589</v>
      </c>
      <c r="F657" s="33">
        <f>Examples!$E$18-(Examples!$E$10+Examples!$E$11)*$A657-(Examples!$E$6*Examples!$E$7*Examples!$E$8*EXP(-Examples!$E$9*$A657)*(1-(Examples!$E$12*(1-EXP(-Examples!$E$13*$A657))/(1+EXP(MIN(700,MAX(-700,(Examples!$E$14*$A657-Examples!$E$15)/Examples!$E$16))))))+Examples!$E$17*$A657^2)</f>
        <v>2231716.9321512412</v>
      </c>
      <c r="G657" s="33">
        <f>(Examples!$E$6*Examples!$E$7*Examples!$E$8*EXP(-Examples!$E$9*$A657)*(1-(Examples!$E$12*(1-EXP(-Examples!$E$13*$A657))/(1+EXP(MIN(700,MAX(-700,(Examples!$E$14*$A657-Examples!$E$15)/Examples!$E$16))))))+Examples!$E$17*$A657^2)</f>
        <v>211533.06784875854</v>
      </c>
      <c r="H657" s="33">
        <f>Examples!$F$18-(Examples!$F$10+Examples!$F$11)*$A657-(Examples!$F$6*Examples!$F$7*Examples!$F$8*EXP(-Examples!$F$9*$A657)*(1-(Examples!$F$12*(1-EXP(-Examples!$F$13*$A657))/(1+EXP(MIN(700,MAX(-700,(Examples!$F$14*$A657-Examples!$F$15)/Examples!$F$16))))))+Examples!$F$17*$A657^2)</f>
        <v>-841502.72801504575</v>
      </c>
      <c r="I657" s="33">
        <f>(Examples!$F$6*Examples!$F$7*Examples!$F$8*EXP(-Examples!$F$9*$A657)*(1-(Examples!$F$12*(1-EXP(-Examples!$F$13*$A657))/(1+EXP(MIN(700,MAX(-700,(Examples!$F$14*$A657-Examples!$F$15)/Examples!$F$16))))))+Examples!$F$17*$A657^2)</f>
        <v>860502.72801504575</v>
      </c>
      <c r="J657" s="33">
        <f>Examples!$G$18-(Examples!$G$10+Examples!$G$11)*$A657-(Examples!$G$6*Examples!$G$7*Examples!$G$8*EXP(-Examples!$G$9*$A657)*(1-(Examples!$G$12*(1-EXP(-Examples!$G$13*$A657))/(1+EXP(MIN(700,MAX(-700,(Examples!$G$14*$A657-Examples!$G$15)/Examples!$G$16))))))+Examples!$G$17*$A657^2)</f>
        <v>627951.99052547081</v>
      </c>
      <c r="K657" s="33">
        <f>(Examples!$G$6*Examples!$G$7*Examples!$G$8*EXP(-Examples!$G$9*$A657)*(1-(Examples!$G$12*(1-EXP(-Examples!$G$13*$A657))/(1+EXP(MIN(700,MAX(-700,(Examples!$G$14*$A657-Examples!$G$15)/Examples!$G$16))))))+Examples!$G$17*$A657^2)</f>
        <v>544548.00947452919</v>
      </c>
      <c r="L657" s="33">
        <f>Examples!$H$18-(Examples!$H$10+Examples!$H$11)*$A657-(Examples!$H$6*Examples!$H$7*Examples!$H$8*EXP(-Examples!$H$9*$A657)*(1-(Examples!$H$12*(1-EXP(-Examples!$H$13*$A657))/(1+EXP(MIN(700,MAX(-700,(Examples!$H$14*$A657-Examples!$H$15)/Examples!$H$16))))))+Examples!$H$17*$A657^2)</f>
        <v>627253.14206073503</v>
      </c>
      <c r="M657" s="33">
        <f>(Examples!$H$6*Examples!$H$7*Examples!$H$8*EXP(-Examples!$H$9*$A657)*(1-(Examples!$H$12*(1-EXP(-Examples!$H$13*$A657))/(1+EXP(MIN(700,MAX(-700,(Examples!$H$14*$A657-Examples!$H$15)/Examples!$H$16))))))+Examples!$H$17*$A657^2)</f>
        <v>545246.85793926497</v>
      </c>
    </row>
    <row r="658" spans="1:13" x14ac:dyDescent="0.25">
      <c r="A658">
        <f>(658-2)/100</f>
        <v>6.56</v>
      </c>
      <c r="B658" s="33">
        <f>Examples!$C$18-(Examples!$C$10+Examples!$C$11)*$A658-(Examples!$C$6*Examples!$C$7*Examples!$C$8*EXP(-Examples!$C$9*$A658)*(1-(Examples!$C$12*(1-EXP(-Examples!$C$13*$A658))/(1+EXP(MIN(700,MAX(-700,(Examples!$C$14*$A658-Examples!$C$15)/Examples!$C$16))))))+Examples!$C$17*$A658^2)</f>
        <v>-358945.62556959083</v>
      </c>
      <c r="C658" s="33">
        <f>(Examples!$C$6*Examples!$C$7*Examples!$C$8*EXP(-Examples!$C$9*$A658)*(1-(Examples!$C$12*(1-EXP(-Examples!$C$13*$A658))/(1+EXP(MIN(700,MAX(-700,(Examples!$C$14*$A658-Examples!$C$15)/Examples!$C$16))))))+Examples!$C$17*$A658^2)</f>
        <v>729345.62556959083</v>
      </c>
      <c r="D658" s="33">
        <f>Examples!$D$18-(Examples!$D$10+Examples!$D$11)*$A658-(Examples!$D$6*Examples!$D$7*Examples!$D$8*EXP(-Examples!$D$9*$A658)*(1-(Examples!$D$12*(1-EXP(-Examples!$D$13*$A658))/(1+EXP(MIN(700,MAX(-700,(Examples!$D$14*$A658-Examples!$D$15)/Examples!$D$16))))))+Examples!$D$17*$A658^2)</f>
        <v>1681534.0423855861</v>
      </c>
      <c r="E658" s="33">
        <f>(Examples!$D$6*Examples!$D$7*Examples!$D$8*EXP(-Examples!$D$9*$A658)*(1-(Examples!$D$12*(1-EXP(-Examples!$D$13*$A658))/(1+EXP(MIN(700,MAX(-700,(Examples!$D$14*$A658-Examples!$D$15)/Examples!$D$16))))))+Examples!$D$17*$A658^2)</f>
        <v>523265.95761441404</v>
      </c>
      <c r="F658" s="33">
        <f>Examples!$E$18-(Examples!$E$10+Examples!$E$11)*$A658-(Examples!$E$6*Examples!$E$7*Examples!$E$8*EXP(-Examples!$E$9*$A658)*(1-(Examples!$E$12*(1-EXP(-Examples!$E$13*$A658))/(1+EXP(MIN(700,MAX(-700,(Examples!$E$14*$A658-Examples!$E$15)/Examples!$E$16))))))+Examples!$E$17*$A658^2)</f>
        <v>2230769.3335812604</v>
      </c>
      <c r="G658" s="33">
        <f>(Examples!$E$6*Examples!$E$7*Examples!$E$8*EXP(-Examples!$E$9*$A658)*(1-(Examples!$E$12*(1-EXP(-Examples!$E$13*$A658))/(1+EXP(MIN(700,MAX(-700,(Examples!$E$14*$A658-Examples!$E$15)/Examples!$E$16))))))+Examples!$E$17*$A658^2)</f>
        <v>211630.66641873936</v>
      </c>
      <c r="H658" s="33">
        <f>Examples!$F$18-(Examples!$F$10+Examples!$F$11)*$A658-(Examples!$F$6*Examples!$F$7*Examples!$F$8*EXP(-Examples!$F$9*$A658)*(1-(Examples!$F$12*(1-EXP(-Examples!$F$13*$A658))/(1+EXP(MIN(700,MAX(-700,(Examples!$F$14*$A658-Examples!$F$15)/Examples!$F$16))))))+Examples!$F$17*$A658^2)</f>
        <v>-844317.38085727592</v>
      </c>
      <c r="I658" s="33">
        <f>(Examples!$F$6*Examples!$F$7*Examples!$F$8*EXP(-Examples!$F$9*$A658)*(1-(Examples!$F$12*(1-EXP(-Examples!$F$13*$A658))/(1+EXP(MIN(700,MAX(-700,(Examples!$F$14*$A658-Examples!$F$15)/Examples!$F$16))))))+Examples!$F$17*$A658^2)</f>
        <v>863117.38085727592</v>
      </c>
      <c r="J658" s="33">
        <f>Examples!$G$18-(Examples!$G$10+Examples!$G$11)*$A658-(Examples!$G$6*Examples!$G$7*Examples!$G$8*EXP(-Examples!$G$9*$A658)*(1-(Examples!$G$12*(1-EXP(-Examples!$G$13*$A658))/(1+EXP(MIN(700,MAX(-700,(Examples!$G$14*$A658-Examples!$G$15)/Examples!$G$16))))))+Examples!$G$17*$A658^2)</f>
        <v>627097.5539695092</v>
      </c>
      <c r="K658" s="33">
        <f>(Examples!$G$6*Examples!$G$7*Examples!$G$8*EXP(-Examples!$G$9*$A658)*(1-(Examples!$G$12*(1-EXP(-Examples!$G$13*$A658))/(1+EXP(MIN(700,MAX(-700,(Examples!$G$14*$A658-Examples!$G$15)/Examples!$G$16))))))+Examples!$G$17*$A658^2)</f>
        <v>544902.4460304908</v>
      </c>
      <c r="L658" s="33">
        <f>Examples!$H$18-(Examples!$H$10+Examples!$H$11)*$A658-(Examples!$H$6*Examples!$H$7*Examples!$H$8*EXP(-Examples!$H$9*$A658)*(1-(Examples!$H$12*(1-EXP(-Examples!$H$13*$A658))/(1+EXP(MIN(700,MAX(-700,(Examples!$H$14*$A658-Examples!$H$15)/Examples!$H$16))))))+Examples!$H$17*$A658^2)</f>
        <v>626410.18867911282</v>
      </c>
      <c r="M658" s="33">
        <f>(Examples!$H$6*Examples!$H$7*Examples!$H$8*EXP(-Examples!$H$9*$A658)*(1-(Examples!$H$12*(1-EXP(-Examples!$H$13*$A658))/(1+EXP(MIN(700,MAX(-700,(Examples!$H$14*$A658-Examples!$H$15)/Examples!$H$16))))))+Examples!$H$17*$A658^2)</f>
        <v>545589.81132088718</v>
      </c>
    </row>
    <row r="659" spans="1:13" x14ac:dyDescent="0.25">
      <c r="A659">
        <f>(659-2)/100</f>
        <v>6.57</v>
      </c>
      <c r="B659" s="33">
        <f>Examples!$C$18-(Examples!$C$10+Examples!$C$11)*$A659-(Examples!$C$6*Examples!$C$7*Examples!$C$8*EXP(-Examples!$C$9*$A659)*(1-(Examples!$C$12*(1-EXP(-Examples!$C$13*$A659))/(1+EXP(MIN(700,MAX(-700,(Examples!$C$14*$A659-Examples!$C$15)/Examples!$C$16))))))+Examples!$C$17*$A659^2)</f>
        <v>-361013.97772776848</v>
      </c>
      <c r="C659" s="33">
        <f>(Examples!$C$6*Examples!$C$7*Examples!$C$8*EXP(-Examples!$C$9*$A659)*(1-(Examples!$C$12*(1-EXP(-Examples!$C$13*$A659))/(1+EXP(MIN(700,MAX(-700,(Examples!$C$14*$A659-Examples!$C$15)/Examples!$C$16))))))+Examples!$C$17*$A659^2)</f>
        <v>731063.97772776848</v>
      </c>
      <c r="D659" s="33">
        <f>Examples!$D$18-(Examples!$D$10+Examples!$D$11)*$A659-(Examples!$D$6*Examples!$D$7*Examples!$D$8*EXP(-Examples!$D$9*$A659)*(1-(Examples!$D$12*(1-EXP(-Examples!$D$13*$A659))/(1+EXP(MIN(700,MAX(-700,(Examples!$D$14*$A659-Examples!$D$15)/Examples!$D$16))))))+Examples!$D$17*$A659^2)</f>
        <v>1681743.0326391822</v>
      </c>
      <c r="E659" s="33">
        <f>(Examples!$D$6*Examples!$D$7*Examples!$D$8*EXP(-Examples!$D$9*$A659)*(1-(Examples!$D$12*(1-EXP(-Examples!$D$13*$A659))/(1+EXP(MIN(700,MAX(-700,(Examples!$D$14*$A659-Examples!$D$15)/Examples!$D$16))))))+Examples!$D$17*$A659^2)</f>
        <v>522606.96736081783</v>
      </c>
      <c r="F659" s="33">
        <f>Examples!$E$18-(Examples!$E$10+Examples!$E$11)*$A659-(Examples!$E$6*Examples!$E$7*Examples!$E$8*EXP(-Examples!$E$9*$A659)*(1-(Examples!$E$12*(1-EXP(-Examples!$E$13*$A659))/(1+EXP(MIN(700,MAX(-700,(Examples!$E$14*$A659-Examples!$E$15)/Examples!$E$16))))))+Examples!$E$17*$A659^2)</f>
        <v>2229820.7418037644</v>
      </c>
      <c r="G659" s="33">
        <f>(Examples!$E$6*Examples!$E$7*Examples!$E$8*EXP(-Examples!$E$9*$A659)*(1-(Examples!$E$12*(1-EXP(-Examples!$E$13*$A659))/(1+EXP(MIN(700,MAX(-700,(Examples!$E$14*$A659-Examples!$E$15)/Examples!$E$16))))))+Examples!$E$17*$A659^2)</f>
        <v>211729.25819623546</v>
      </c>
      <c r="H659" s="33">
        <f>Examples!$F$18-(Examples!$F$10+Examples!$F$11)*$A659-(Examples!$F$6*Examples!$F$7*Examples!$F$8*EXP(-Examples!$F$9*$A659)*(1-(Examples!$F$12*(1-EXP(-Examples!$F$13*$A659))/(1+EXP(MIN(700,MAX(-700,(Examples!$F$14*$A659-Examples!$F$15)/Examples!$F$16))))))+Examples!$F$17*$A659^2)</f>
        <v>-847136.05570794933</v>
      </c>
      <c r="I659" s="33">
        <f>(Examples!$F$6*Examples!$F$7*Examples!$F$8*EXP(-Examples!$F$9*$A659)*(1-(Examples!$F$12*(1-EXP(-Examples!$F$13*$A659))/(1+EXP(MIN(700,MAX(-700,(Examples!$F$14*$A659-Examples!$F$15)/Examples!$F$16))))))+Examples!$F$17*$A659^2)</f>
        <v>865736.05570794933</v>
      </c>
      <c r="J659" s="33">
        <f>Examples!$G$18-(Examples!$G$10+Examples!$G$11)*$A659-(Examples!$G$6*Examples!$G$7*Examples!$G$8*EXP(-Examples!$G$9*$A659)*(1-(Examples!$G$12*(1-EXP(-Examples!$G$13*$A659))/(1+EXP(MIN(700,MAX(-700,(Examples!$G$14*$A659-Examples!$G$15)/Examples!$G$16))))))+Examples!$G$17*$A659^2)</f>
        <v>626239.23901095474</v>
      </c>
      <c r="K659" s="33">
        <f>(Examples!$G$6*Examples!$G$7*Examples!$G$8*EXP(-Examples!$G$9*$A659)*(1-(Examples!$G$12*(1-EXP(-Examples!$G$13*$A659))/(1+EXP(MIN(700,MAX(-700,(Examples!$G$14*$A659-Examples!$G$15)/Examples!$G$16))))))+Examples!$G$17*$A659^2)</f>
        <v>545260.76098904526</v>
      </c>
      <c r="L659" s="33">
        <f>Examples!$H$18-(Examples!$H$10+Examples!$H$11)*$A659-(Examples!$H$6*Examples!$H$7*Examples!$H$8*EXP(-Examples!$H$9*$A659)*(1-(Examples!$H$12*(1-EXP(-Examples!$H$13*$A659))/(1+EXP(MIN(700,MAX(-700,(Examples!$H$14*$A659-Examples!$H$15)/Examples!$H$16))))))+Examples!$H$17*$A659^2)</f>
        <v>625563.16954812012</v>
      </c>
      <c r="M659" s="33">
        <f>(Examples!$H$6*Examples!$H$7*Examples!$H$8*EXP(-Examples!$H$9*$A659)*(1-(Examples!$H$12*(1-EXP(-Examples!$H$13*$A659))/(1+EXP(MIN(700,MAX(-700,(Examples!$H$14*$A659-Examples!$H$15)/Examples!$H$16))))))+Examples!$H$17*$A659^2)</f>
        <v>545936.83045187988</v>
      </c>
    </row>
    <row r="660" spans="1:13" x14ac:dyDescent="0.25">
      <c r="A660">
        <f>(660-2)/100</f>
        <v>6.58</v>
      </c>
      <c r="B660" s="33">
        <f>Examples!$C$18-(Examples!$C$10+Examples!$C$11)*$A660-(Examples!$C$6*Examples!$C$7*Examples!$C$8*EXP(-Examples!$C$9*$A660)*(1-(Examples!$C$12*(1-EXP(-Examples!$C$13*$A660))/(1+EXP(MIN(700,MAX(-700,(Examples!$C$14*$A660-Examples!$C$15)/Examples!$C$16))))))+Examples!$C$17*$A660^2)</f>
        <v>-363086.08219603286</v>
      </c>
      <c r="C660" s="33">
        <f>(Examples!$C$6*Examples!$C$7*Examples!$C$8*EXP(-Examples!$C$9*$A660)*(1-(Examples!$C$12*(1-EXP(-Examples!$C$13*$A660))/(1+EXP(MIN(700,MAX(-700,(Examples!$C$14*$A660-Examples!$C$15)/Examples!$C$16))))))+Examples!$C$17*$A660^2)</f>
        <v>732786.08219603286</v>
      </c>
      <c r="D660" s="33">
        <f>Examples!$D$18-(Examples!$D$10+Examples!$D$11)*$A660-(Examples!$D$6*Examples!$D$7*Examples!$D$8*EXP(-Examples!$D$9*$A660)*(1-(Examples!$D$12*(1-EXP(-Examples!$D$13*$A660))/(1+EXP(MIN(700,MAX(-700,(Examples!$D$14*$A660-Examples!$D$15)/Examples!$D$16))))))+Examples!$D$17*$A660^2)</f>
        <v>1681946.2631950288</v>
      </c>
      <c r="E660" s="33">
        <f>(Examples!$D$6*Examples!$D$7*Examples!$D$8*EXP(-Examples!$D$9*$A660)*(1-(Examples!$D$12*(1-EXP(-Examples!$D$13*$A660))/(1+EXP(MIN(700,MAX(-700,(Examples!$D$14*$A660-Examples!$D$15)/Examples!$D$16))))))+Examples!$D$17*$A660^2)</f>
        <v>521953.73680497124</v>
      </c>
      <c r="F660" s="33">
        <f>Examples!$E$18-(Examples!$E$10+Examples!$E$11)*$A660-(Examples!$E$6*Examples!$E$7*Examples!$E$8*EXP(-Examples!$E$9*$A660)*(1-(Examples!$E$12*(1-EXP(-Examples!$E$13*$A660))/(1+EXP(MIN(700,MAX(-700,(Examples!$E$14*$A660-Examples!$E$15)/Examples!$E$16))))))+Examples!$E$17*$A660^2)</f>
        <v>2228871.1515446049</v>
      </c>
      <c r="G660" s="33">
        <f>(Examples!$E$6*Examples!$E$7*Examples!$E$8*EXP(-Examples!$E$9*$A660)*(1-(Examples!$E$12*(1-EXP(-Examples!$E$13*$A660))/(1+EXP(MIN(700,MAX(-700,(Examples!$E$14*$A660-Examples!$E$15)/Examples!$E$16))))))+Examples!$E$17*$A660^2)</f>
        <v>211828.848455395</v>
      </c>
      <c r="H660" s="33">
        <f>Examples!$F$18-(Examples!$F$10+Examples!$F$11)*$A660-(Examples!$F$6*Examples!$F$7*Examples!$F$8*EXP(-Examples!$F$9*$A660)*(1-(Examples!$F$12*(1-EXP(-Examples!$F$13*$A660))/(1+EXP(MIN(700,MAX(-700,(Examples!$F$14*$A660-Examples!$F$15)/Examples!$F$16))))))+Examples!$F$17*$A660^2)</f>
        <v>-849958.75250113895</v>
      </c>
      <c r="I660" s="33">
        <f>(Examples!$F$6*Examples!$F$7*Examples!$F$8*EXP(-Examples!$F$9*$A660)*(1-(Examples!$F$12*(1-EXP(-Examples!$F$13*$A660))/(1+EXP(MIN(700,MAX(-700,(Examples!$F$14*$A660-Examples!$F$15)/Examples!$F$16))))))+Examples!$F$17*$A660^2)</f>
        <v>868358.75250113895</v>
      </c>
      <c r="J660" s="33">
        <f>Examples!$G$18-(Examples!$G$10+Examples!$G$11)*$A660-(Examples!$G$6*Examples!$G$7*Examples!$G$8*EXP(-Examples!$G$9*$A660)*(1-(Examples!$G$12*(1-EXP(-Examples!$G$13*$A660))/(1+EXP(MIN(700,MAX(-700,(Examples!$G$14*$A660-Examples!$G$15)/Examples!$G$16))))))+Examples!$G$17*$A660^2)</f>
        <v>625377.05122951593</v>
      </c>
      <c r="K660" s="33">
        <f>(Examples!$G$6*Examples!$G$7*Examples!$G$8*EXP(-Examples!$G$9*$A660)*(1-(Examples!$G$12*(1-EXP(-Examples!$G$13*$A660))/(1+EXP(MIN(700,MAX(-700,(Examples!$G$14*$A660-Examples!$G$15)/Examples!$G$16))))))+Examples!$G$17*$A660^2)</f>
        <v>545622.94877048407</v>
      </c>
      <c r="L660" s="33">
        <f>Examples!$H$18-(Examples!$H$10+Examples!$H$11)*$A660-(Examples!$H$6*Examples!$H$7*Examples!$H$8*EXP(-Examples!$H$9*$A660)*(1-(Examples!$H$12*(1-EXP(-Examples!$H$13*$A660))/(1+EXP(MIN(700,MAX(-700,(Examples!$H$14*$A660-Examples!$H$15)/Examples!$H$16))))))+Examples!$H$17*$A660^2)</f>
        <v>624712.09326909902</v>
      </c>
      <c r="M660" s="33">
        <f>(Examples!$H$6*Examples!$H$7*Examples!$H$8*EXP(-Examples!$H$9*$A660)*(1-(Examples!$H$12*(1-EXP(-Examples!$H$13*$A660))/(1+EXP(MIN(700,MAX(-700,(Examples!$H$14*$A660-Examples!$H$15)/Examples!$H$16))))))+Examples!$H$17*$A660^2)</f>
        <v>546287.90673090098</v>
      </c>
    </row>
    <row r="661" spans="1:13" x14ac:dyDescent="0.25">
      <c r="A661">
        <f>(661-2)/100</f>
        <v>6.59</v>
      </c>
      <c r="B661" s="33">
        <f>Examples!$C$18-(Examples!$C$10+Examples!$C$11)*$A661-(Examples!$C$6*Examples!$C$7*Examples!$C$8*EXP(-Examples!$C$9*$A661)*(1-(Examples!$C$12*(1-EXP(-Examples!$C$13*$A661))/(1+EXP(MIN(700,MAX(-700,(Examples!$C$14*$A661-Examples!$C$15)/Examples!$C$16))))))+Examples!$C$17*$A661^2)</f>
        <v>-365161.93672099127</v>
      </c>
      <c r="C661" s="33">
        <f>(Examples!$C$6*Examples!$C$7*Examples!$C$8*EXP(-Examples!$C$9*$A661)*(1-(Examples!$C$12*(1-EXP(-Examples!$C$13*$A661))/(1+EXP(MIN(700,MAX(-700,(Examples!$C$14*$A661-Examples!$C$15)/Examples!$C$16))))))+Examples!$C$17*$A661^2)</f>
        <v>734511.93672099127</v>
      </c>
      <c r="D661" s="33">
        <f>Examples!$D$18-(Examples!$D$10+Examples!$D$11)*$A661-(Examples!$D$6*Examples!$D$7*Examples!$D$8*EXP(-Examples!$D$9*$A661)*(1-(Examples!$D$12*(1-EXP(-Examples!$D$13*$A661))/(1+EXP(MIN(700,MAX(-700,(Examples!$D$14*$A661-Examples!$D$15)/Examples!$D$16))))))+Examples!$D$17*$A661^2)</f>
        <v>1682143.7366298069</v>
      </c>
      <c r="E661" s="33">
        <f>(Examples!$D$6*Examples!$D$7*Examples!$D$8*EXP(-Examples!$D$9*$A661)*(1-(Examples!$D$12*(1-EXP(-Examples!$D$13*$A661))/(1+EXP(MIN(700,MAX(-700,(Examples!$D$14*$A661-Examples!$D$15)/Examples!$D$16))))))+Examples!$D$17*$A661^2)</f>
        <v>521306.26337019308</v>
      </c>
      <c r="F661" s="33">
        <f>Examples!$E$18-(Examples!$E$10+Examples!$E$11)*$A661-(Examples!$E$6*Examples!$E$7*Examples!$E$8*EXP(-Examples!$E$9*$A661)*(1-(Examples!$E$12*(1-EXP(-Examples!$E$13*$A661))/(1+EXP(MIN(700,MAX(-700,(Examples!$E$14*$A661-Examples!$E$15)/Examples!$E$16))))))+Examples!$E$17*$A661^2)</f>
        <v>2227920.5575590371</v>
      </c>
      <c r="G661" s="33">
        <f>(Examples!$E$6*Examples!$E$7*Examples!$E$8*EXP(-Examples!$E$9*$A661)*(1-(Examples!$E$12*(1-EXP(-Examples!$E$13*$A661))/(1+EXP(MIN(700,MAX(-700,(Examples!$E$14*$A661-Examples!$E$15)/Examples!$E$16))))))+Examples!$E$17*$A661^2)</f>
        <v>211929.442440963</v>
      </c>
      <c r="H661" s="33">
        <f>Examples!$F$18-(Examples!$F$10+Examples!$F$11)*$A661-(Examples!$F$6*Examples!$F$7*Examples!$F$8*EXP(-Examples!$F$9*$A661)*(1-(Examples!$F$12*(1-EXP(-Examples!$F$13*$A661))/(1+EXP(MIN(700,MAX(-700,(Examples!$F$14*$A661-Examples!$F$15)/Examples!$F$16))))))+Examples!$F$17*$A661^2)</f>
        <v>-852785.47117111646</v>
      </c>
      <c r="I661" s="33">
        <f>(Examples!$F$6*Examples!$F$7*Examples!$F$8*EXP(-Examples!$F$9*$A661)*(1-(Examples!$F$12*(1-EXP(-Examples!$F$13*$A661))/(1+EXP(MIN(700,MAX(-700,(Examples!$F$14*$A661-Examples!$F$15)/Examples!$F$16))))))+Examples!$F$17*$A661^2)</f>
        <v>870985.47117111646</v>
      </c>
      <c r="J661" s="33">
        <f>Examples!$G$18-(Examples!$G$10+Examples!$G$11)*$A661-(Examples!$G$6*Examples!$G$7*Examples!$G$8*EXP(-Examples!$G$9*$A661)*(1-(Examples!$G$12*(1-EXP(-Examples!$G$13*$A661))/(1+EXP(MIN(700,MAX(-700,(Examples!$G$14*$A661-Examples!$G$15)/Examples!$G$16))))))+Examples!$G$17*$A661^2)</f>
        <v>624510.99622311746</v>
      </c>
      <c r="K661" s="33">
        <f>(Examples!$G$6*Examples!$G$7*Examples!$G$8*EXP(-Examples!$G$9*$A661)*(1-(Examples!$G$12*(1-EXP(-Examples!$G$13*$A661))/(1+EXP(MIN(700,MAX(-700,(Examples!$G$14*$A661-Examples!$G$15)/Examples!$G$16))))))+Examples!$G$17*$A661^2)</f>
        <v>545989.00377688254</v>
      </c>
      <c r="L661" s="33">
        <f>Examples!$H$18-(Examples!$H$10+Examples!$H$11)*$A661-(Examples!$H$6*Examples!$H$7*Examples!$H$8*EXP(-Examples!$H$9*$A661)*(1-(Examples!$H$12*(1-EXP(-Examples!$H$13*$A661))/(1+EXP(MIN(700,MAX(-700,(Examples!$H$14*$A661-Examples!$H$15)/Examples!$H$16))))))+Examples!$H$17*$A661^2)</f>
        <v>623856.96841381409</v>
      </c>
      <c r="M661" s="33">
        <f>(Examples!$H$6*Examples!$H$7*Examples!$H$8*EXP(-Examples!$H$9*$A661)*(1-(Examples!$H$12*(1-EXP(-Examples!$H$13*$A661))/(1+EXP(MIN(700,MAX(-700,(Examples!$H$14*$A661-Examples!$H$15)/Examples!$H$16))))))+Examples!$H$17*$A661^2)</f>
        <v>546643.03158618591</v>
      </c>
    </row>
    <row r="662" spans="1:13" x14ac:dyDescent="0.25">
      <c r="A662">
        <f>(662-2)/100</f>
        <v>6.6</v>
      </c>
      <c r="B662" s="33">
        <f>Examples!$C$18-(Examples!$C$10+Examples!$C$11)*$A662-(Examples!$C$6*Examples!$C$7*Examples!$C$8*EXP(-Examples!$C$9*$A662)*(1-(Examples!$C$12*(1-EXP(-Examples!$C$13*$A662))/(1+EXP(MIN(700,MAX(-700,(Examples!$C$14*$A662-Examples!$C$15)/Examples!$C$16))))))+Examples!$C$17*$A662^2)</f>
        <v>-367241.53905599518</v>
      </c>
      <c r="C662" s="33">
        <f>(Examples!$C$6*Examples!$C$7*Examples!$C$8*EXP(-Examples!$C$9*$A662)*(1-(Examples!$C$12*(1-EXP(-Examples!$C$13*$A662))/(1+EXP(MIN(700,MAX(-700,(Examples!$C$14*$A662-Examples!$C$15)/Examples!$C$16))))))+Examples!$C$17*$A662^2)</f>
        <v>736241.53905599518</v>
      </c>
      <c r="D662" s="33">
        <f>Examples!$D$18-(Examples!$D$10+Examples!$D$11)*$A662-(Examples!$D$6*Examples!$D$7*Examples!$D$8*EXP(-Examples!$D$9*$A662)*(1-(Examples!$D$12*(1-EXP(-Examples!$D$13*$A662))/(1+EXP(MIN(700,MAX(-700,(Examples!$D$14*$A662-Examples!$D$15)/Examples!$D$16))))))+Examples!$D$17*$A662^2)</f>
        <v>1682335.4557994071</v>
      </c>
      <c r="E662" s="33">
        <f>(Examples!$D$6*Examples!$D$7*Examples!$D$8*EXP(-Examples!$D$9*$A662)*(1-(Examples!$D$12*(1-EXP(-Examples!$D$13*$A662))/(1+EXP(MIN(700,MAX(-700,(Examples!$D$14*$A662-Examples!$D$15)/Examples!$D$16))))))+Examples!$D$17*$A662^2)</f>
        <v>520664.54420059291</v>
      </c>
      <c r="F662" s="33">
        <f>Examples!$E$18-(Examples!$E$10+Examples!$E$11)*$A662-(Examples!$E$6*Examples!$E$7*Examples!$E$8*EXP(-Examples!$E$9*$A662)*(1-(Examples!$E$12*(1-EXP(-Examples!$E$13*$A662))/(1+EXP(MIN(700,MAX(-700,(Examples!$E$14*$A662-Examples!$E$15)/Examples!$E$16))))))+Examples!$E$17*$A662^2)</f>
        <v>2226968.9546324355</v>
      </c>
      <c r="G662" s="33">
        <f>(Examples!$E$6*Examples!$E$7*Examples!$E$8*EXP(-Examples!$E$9*$A662)*(1-(Examples!$E$12*(1-EXP(-Examples!$E$13*$A662))/(1+EXP(MIN(700,MAX(-700,(Examples!$E$14*$A662-Examples!$E$15)/Examples!$E$16))))))+Examples!$E$17*$A662^2)</f>
        <v>212031.04536756474</v>
      </c>
      <c r="H662" s="33">
        <f>Examples!$F$18-(Examples!$F$10+Examples!$F$11)*$A662-(Examples!$F$6*Examples!$F$7*Examples!$F$8*EXP(-Examples!$F$9*$A662)*(1-(Examples!$F$12*(1-EXP(-Examples!$F$13*$A662))/(1+EXP(MIN(700,MAX(-700,(Examples!$F$14*$A662-Examples!$F$15)/Examples!$F$16))))))+Examples!$F$17*$A662^2)</f>
        <v>-855616.21165234956</v>
      </c>
      <c r="I662" s="33">
        <f>(Examples!$F$6*Examples!$F$7*Examples!$F$8*EXP(-Examples!$F$9*$A662)*(1-(Examples!$F$12*(1-EXP(-Examples!$F$13*$A662))/(1+EXP(MIN(700,MAX(-700,(Examples!$F$14*$A662-Examples!$F$15)/Examples!$F$16))))))+Examples!$F$17*$A662^2)</f>
        <v>873616.21165234956</v>
      </c>
      <c r="J662" s="33">
        <f>Examples!$G$18-(Examples!$G$10+Examples!$G$11)*$A662-(Examples!$G$6*Examples!$G$7*Examples!$G$8*EXP(-Examples!$G$9*$A662)*(1-(Examples!$G$12*(1-EXP(-Examples!$G$13*$A662))/(1+EXP(MIN(700,MAX(-700,(Examples!$G$14*$A662-Examples!$G$15)/Examples!$G$16))))))+Examples!$G$17*$A662^2)</f>
        <v>623641.07960725785</v>
      </c>
      <c r="K662" s="33">
        <f>(Examples!$G$6*Examples!$G$7*Examples!$G$8*EXP(-Examples!$G$9*$A662)*(1-(Examples!$G$12*(1-EXP(-Examples!$G$13*$A662))/(1+EXP(MIN(700,MAX(-700,(Examples!$G$14*$A662-Examples!$G$15)/Examples!$G$16))))))+Examples!$G$17*$A662^2)</f>
        <v>546358.92039274215</v>
      </c>
      <c r="L662" s="33">
        <f>Examples!$H$18-(Examples!$H$10+Examples!$H$11)*$A662-(Examples!$H$6*Examples!$H$7*Examples!$H$8*EXP(-Examples!$H$9*$A662)*(1-(Examples!$H$12*(1-EXP(-Examples!$H$13*$A662))/(1+EXP(MIN(700,MAX(-700,(Examples!$H$14*$A662-Examples!$H$15)/Examples!$H$16))))))+Examples!$H$17*$A662^2)</f>
        <v>622997.80352453783</v>
      </c>
      <c r="M662" s="33">
        <f>(Examples!$H$6*Examples!$H$7*Examples!$H$8*EXP(-Examples!$H$9*$A662)*(1-(Examples!$H$12*(1-EXP(-Examples!$H$13*$A662))/(1+EXP(MIN(700,MAX(-700,(Examples!$H$14*$A662-Examples!$H$15)/Examples!$H$16))))))+Examples!$H$17*$A662^2)</f>
        <v>547002.19647546217</v>
      </c>
    </row>
    <row r="663" spans="1:13" x14ac:dyDescent="0.25">
      <c r="A663">
        <f>(663-2)/100</f>
        <v>6.61</v>
      </c>
      <c r="B663" s="33">
        <f>Examples!$C$18-(Examples!$C$10+Examples!$C$11)*$A663-(Examples!$C$6*Examples!$C$7*Examples!$C$8*EXP(-Examples!$C$9*$A663)*(1-(Examples!$C$12*(1-EXP(-Examples!$C$13*$A663))/(1+EXP(MIN(700,MAX(-700,(Examples!$C$14*$A663-Examples!$C$15)/Examples!$C$16))))))+Examples!$C$17*$A663^2)</f>
        <v>-369324.88696112134</v>
      </c>
      <c r="C663" s="33">
        <f>(Examples!$C$6*Examples!$C$7*Examples!$C$8*EXP(-Examples!$C$9*$A663)*(1-(Examples!$C$12*(1-EXP(-Examples!$C$13*$A663))/(1+EXP(MIN(700,MAX(-700,(Examples!$C$14*$A663-Examples!$C$15)/Examples!$C$16))))))+Examples!$C$17*$A663^2)</f>
        <v>737974.88696112134</v>
      </c>
      <c r="D663" s="33">
        <f>Examples!$D$18-(Examples!$D$10+Examples!$D$11)*$A663-(Examples!$D$6*Examples!$D$7*Examples!$D$8*EXP(-Examples!$D$9*$A663)*(1-(Examples!$D$12*(1-EXP(-Examples!$D$13*$A663))/(1+EXP(MIN(700,MAX(-700,(Examples!$D$14*$A663-Examples!$D$15)/Examples!$D$16))))))+Examples!$D$17*$A663^2)</f>
        <v>1682521.4238336843</v>
      </c>
      <c r="E663" s="33">
        <f>(Examples!$D$6*Examples!$D$7*Examples!$D$8*EXP(-Examples!$D$9*$A663)*(1-(Examples!$D$12*(1-EXP(-Examples!$D$13*$A663))/(1+EXP(MIN(700,MAX(-700,(Examples!$D$14*$A663-Examples!$D$15)/Examples!$D$16))))))+Examples!$D$17*$A663^2)</f>
        <v>520028.5761663157</v>
      </c>
      <c r="F663" s="33">
        <f>Examples!$E$18-(Examples!$E$10+Examples!$E$11)*$A663-(Examples!$E$6*Examples!$E$7*Examples!$E$8*EXP(-Examples!$E$9*$A663)*(1-(Examples!$E$12*(1-EXP(-Examples!$E$13*$A663))/(1+EXP(MIN(700,MAX(-700,(Examples!$E$14*$A663-Examples!$E$15)/Examples!$E$16))))))+Examples!$E$17*$A663^2)</f>
        <v>2226016.3375809928</v>
      </c>
      <c r="G663" s="33">
        <f>(Examples!$E$6*Examples!$E$7*Examples!$E$8*EXP(-Examples!$E$9*$A663)*(1-(Examples!$E$12*(1-EXP(-Examples!$E$13*$A663))/(1+EXP(MIN(700,MAX(-700,(Examples!$E$14*$A663-Examples!$E$15)/Examples!$E$16))))))+Examples!$E$17*$A663^2)</f>
        <v>212133.66241900699</v>
      </c>
      <c r="H663" s="33">
        <f>Examples!$F$18-(Examples!$F$10+Examples!$F$11)*$A663-(Examples!$F$6*Examples!$F$7*Examples!$F$8*EXP(-Examples!$F$9*$A663)*(1-(Examples!$F$12*(1-EXP(-Examples!$F$13*$A663))/(1+EXP(MIN(700,MAX(-700,(Examples!$F$14*$A663-Examples!$F$15)/Examples!$F$16))))))+Examples!$F$17*$A663^2)</f>
        <v>-858450.9738795032</v>
      </c>
      <c r="I663" s="33">
        <f>(Examples!$F$6*Examples!$F$7*Examples!$F$8*EXP(-Examples!$F$9*$A663)*(1-(Examples!$F$12*(1-EXP(-Examples!$F$13*$A663))/(1+EXP(MIN(700,MAX(-700,(Examples!$F$14*$A663-Examples!$F$15)/Examples!$F$16))))))+Examples!$F$17*$A663^2)</f>
        <v>876250.9738795032</v>
      </c>
      <c r="J663" s="33">
        <f>Examples!$G$18-(Examples!$G$10+Examples!$G$11)*$A663-(Examples!$G$6*Examples!$G$7*Examples!$G$8*EXP(-Examples!$G$9*$A663)*(1-(Examples!$G$12*(1-EXP(-Examples!$G$13*$A663))/(1+EXP(MIN(700,MAX(-700,(Examples!$G$14*$A663-Examples!$G$15)/Examples!$G$16))))))+Examples!$G$17*$A663^2)</f>
        <v>622767.30701437616</v>
      </c>
      <c r="K663" s="33">
        <f>(Examples!$G$6*Examples!$G$7*Examples!$G$8*EXP(-Examples!$G$9*$A663)*(1-(Examples!$G$12*(1-EXP(-Examples!$G$13*$A663))/(1+EXP(MIN(700,MAX(-700,(Examples!$G$14*$A663-Examples!$G$15)/Examples!$G$16))))))+Examples!$G$17*$A663^2)</f>
        <v>546732.69298562384</v>
      </c>
      <c r="L663" s="33">
        <f>Examples!$H$18-(Examples!$H$10+Examples!$H$11)*$A663-(Examples!$H$6*Examples!$H$7*Examples!$H$8*EXP(-Examples!$H$9*$A663)*(1-(Examples!$H$12*(1-EXP(-Examples!$H$13*$A663))/(1+EXP(MIN(700,MAX(-700,(Examples!$H$14*$A663-Examples!$H$15)/Examples!$H$16))))))+Examples!$H$17*$A663^2)</f>
        <v>622134.60711413866</v>
      </c>
      <c r="M663" s="33">
        <f>(Examples!$H$6*Examples!$H$7*Examples!$H$8*EXP(-Examples!$H$9*$A663)*(1-(Examples!$H$12*(1-EXP(-Examples!$H$13*$A663))/(1+EXP(MIN(700,MAX(-700,(Examples!$H$14*$A663-Examples!$H$15)/Examples!$H$16))))))+Examples!$H$17*$A663^2)</f>
        <v>547365.39288586134</v>
      </c>
    </row>
    <row r="664" spans="1:13" x14ac:dyDescent="0.25">
      <c r="A664">
        <f>(664-2)/100</f>
        <v>6.62</v>
      </c>
      <c r="B664" s="33">
        <f>Examples!$C$18-(Examples!$C$10+Examples!$C$11)*$A664-(Examples!$C$6*Examples!$C$7*Examples!$C$8*EXP(-Examples!$C$9*$A664)*(1-(Examples!$C$12*(1-EXP(-Examples!$C$13*$A664))/(1+EXP(MIN(700,MAX(-700,(Examples!$C$14*$A664-Examples!$C$15)/Examples!$C$16))))))+Examples!$C$17*$A664^2)</f>
        <v>-371411.97820315044</v>
      </c>
      <c r="C664" s="33">
        <f>(Examples!$C$6*Examples!$C$7*Examples!$C$8*EXP(-Examples!$C$9*$A664)*(1-(Examples!$C$12*(1-EXP(-Examples!$C$13*$A664))/(1+EXP(MIN(700,MAX(-700,(Examples!$C$14*$A664-Examples!$C$15)/Examples!$C$16))))))+Examples!$C$17*$A664^2)</f>
        <v>739711.97820315044</v>
      </c>
      <c r="D664" s="33">
        <f>Examples!$D$18-(Examples!$D$10+Examples!$D$11)*$A664-(Examples!$D$6*Examples!$D$7*Examples!$D$8*EXP(-Examples!$D$9*$A664)*(1-(Examples!$D$12*(1-EXP(-Examples!$D$13*$A664))/(1+EXP(MIN(700,MAX(-700,(Examples!$D$14*$A664-Examples!$D$15)/Examples!$D$16))))))+Examples!$D$17*$A664^2)</f>
        <v>1682701.6441312763</v>
      </c>
      <c r="E664" s="33">
        <f>(Examples!$D$6*Examples!$D$7*Examples!$D$8*EXP(-Examples!$D$9*$A664)*(1-(Examples!$D$12*(1-EXP(-Examples!$D$13*$A664))/(1+EXP(MIN(700,MAX(-700,(Examples!$D$14*$A664-Examples!$D$15)/Examples!$D$16))))))+Examples!$D$17*$A664^2)</f>
        <v>519398.35586872359</v>
      </c>
      <c r="F664" s="33">
        <f>Examples!$E$18-(Examples!$E$10+Examples!$E$11)*$A664-(Examples!$E$6*Examples!$E$7*Examples!$E$8*EXP(-Examples!$E$9*$A664)*(1-(Examples!$E$12*(1-EXP(-Examples!$E$13*$A664))/(1+EXP(MIN(700,MAX(-700,(Examples!$E$14*$A664-Examples!$E$15)/Examples!$E$16))))))+Examples!$E$17*$A664^2)</f>
        <v>2225062.7012524046</v>
      </c>
      <c r="G664" s="33">
        <f>(Examples!$E$6*Examples!$E$7*Examples!$E$8*EXP(-Examples!$E$9*$A664)*(1-(Examples!$E$12*(1-EXP(-Examples!$E$13*$A664))/(1+EXP(MIN(700,MAX(-700,(Examples!$E$14*$A664-Examples!$E$15)/Examples!$E$16))))))+Examples!$E$17*$A664^2)</f>
        <v>212237.29874759534</v>
      </c>
      <c r="H664" s="33">
        <f>Examples!$F$18-(Examples!$F$10+Examples!$F$11)*$A664-(Examples!$F$6*Examples!$F$7*Examples!$F$8*EXP(-Examples!$F$9*$A664)*(1-(Examples!$F$12*(1-EXP(-Examples!$F$13*$A664))/(1+EXP(MIN(700,MAX(-700,(Examples!$F$14*$A664-Examples!$F$15)/Examples!$F$16))))))+Examples!$F$17*$A664^2)</f>
        <v>-861289.75778743683</v>
      </c>
      <c r="I664" s="33">
        <f>(Examples!$F$6*Examples!$F$7*Examples!$F$8*EXP(-Examples!$F$9*$A664)*(1-(Examples!$F$12*(1-EXP(-Examples!$F$13*$A664))/(1+EXP(MIN(700,MAX(-700,(Examples!$F$14*$A664-Examples!$F$15)/Examples!$F$16))))))+Examples!$F$17*$A664^2)</f>
        <v>878889.75778743683</v>
      </c>
      <c r="J664" s="33">
        <f>Examples!$G$18-(Examples!$G$10+Examples!$G$11)*$A664-(Examples!$G$6*Examples!$G$7*Examples!$G$8*EXP(-Examples!$G$9*$A664)*(1-(Examples!$G$12*(1-EXP(-Examples!$G$13*$A664))/(1+EXP(MIN(700,MAX(-700,(Examples!$G$14*$A664-Examples!$G$15)/Examples!$G$16))))))+Examples!$G$17*$A664^2)</f>
        <v>621889.68409323192</v>
      </c>
      <c r="K664" s="33">
        <f>(Examples!$G$6*Examples!$G$7*Examples!$G$8*EXP(-Examples!$G$9*$A664)*(1-(Examples!$G$12*(1-EXP(-Examples!$G$13*$A664))/(1+EXP(MIN(700,MAX(-700,(Examples!$G$14*$A664-Examples!$G$15)/Examples!$G$16))))))+Examples!$G$17*$A664^2)</f>
        <v>547110.31590676808</v>
      </c>
      <c r="L664" s="33">
        <f>Examples!$H$18-(Examples!$H$10+Examples!$H$11)*$A664-(Examples!$H$6*Examples!$H$7*Examples!$H$8*EXP(-Examples!$H$9*$A664)*(1-(Examples!$H$12*(1-EXP(-Examples!$H$13*$A664))/(1+EXP(MIN(700,MAX(-700,(Examples!$H$14*$A664-Examples!$H$15)/Examples!$H$16))))))+Examples!$H$17*$A664^2)</f>
        <v>621267.38766616862</v>
      </c>
      <c r="M664" s="33">
        <f>(Examples!$H$6*Examples!$H$7*Examples!$H$8*EXP(-Examples!$H$9*$A664)*(1-(Examples!$H$12*(1-EXP(-Examples!$H$13*$A664))/(1+EXP(MIN(700,MAX(-700,(Examples!$H$14*$A664-Examples!$H$15)/Examples!$H$16))))))+Examples!$H$17*$A664^2)</f>
        <v>547732.61233383138</v>
      </c>
    </row>
    <row r="665" spans="1:13" x14ac:dyDescent="0.25">
      <c r="A665">
        <f>(665-2)/100</f>
        <v>6.63</v>
      </c>
      <c r="B665" s="33">
        <f>Examples!$C$18-(Examples!$C$10+Examples!$C$11)*$A665-(Examples!$C$6*Examples!$C$7*Examples!$C$8*EXP(-Examples!$C$9*$A665)*(1-(Examples!$C$12*(1-EXP(-Examples!$C$13*$A665))/(1+EXP(MIN(700,MAX(-700,(Examples!$C$14*$A665-Examples!$C$15)/Examples!$C$16))))))+Examples!$C$17*$A665^2)</f>
        <v>-373502.81055554771</v>
      </c>
      <c r="C665" s="33">
        <f>(Examples!$C$6*Examples!$C$7*Examples!$C$8*EXP(-Examples!$C$9*$A665)*(1-(Examples!$C$12*(1-EXP(-Examples!$C$13*$A665))/(1+EXP(MIN(700,MAX(-700,(Examples!$C$14*$A665-Examples!$C$15)/Examples!$C$16))))))+Examples!$C$17*$A665^2)</f>
        <v>741452.81055554771</v>
      </c>
      <c r="D665" s="33">
        <f>Examples!$D$18-(Examples!$D$10+Examples!$D$11)*$A665-(Examples!$D$6*Examples!$D$7*Examples!$D$8*EXP(-Examples!$D$9*$A665)*(1-(Examples!$D$12*(1-EXP(-Examples!$D$13*$A665))/(1+EXP(MIN(700,MAX(-700,(Examples!$D$14*$A665-Examples!$D$15)/Examples!$D$16))))))+Examples!$D$17*$A665^2)</f>
        <v>1682876.1203544876</v>
      </c>
      <c r="E665" s="33">
        <f>(Examples!$D$6*Examples!$D$7*Examples!$D$8*EXP(-Examples!$D$9*$A665)*(1-(Examples!$D$12*(1-EXP(-Examples!$D$13*$A665))/(1+EXP(MIN(700,MAX(-700,(Examples!$D$14*$A665-Examples!$D$15)/Examples!$D$16))))))+Examples!$D$17*$A665^2)</f>
        <v>518773.8796455125</v>
      </c>
      <c r="F665" s="33">
        <f>Examples!$E$18-(Examples!$E$10+Examples!$E$11)*$A665-(Examples!$E$6*Examples!$E$7*Examples!$E$8*EXP(-Examples!$E$9*$A665)*(1-(Examples!$E$12*(1-EXP(-Examples!$E$13*$A665))/(1+EXP(MIN(700,MAX(-700,(Examples!$E$14*$A665-Examples!$E$15)/Examples!$E$16))))))+Examples!$E$17*$A665^2)</f>
        <v>2224108.0405265307</v>
      </c>
      <c r="G665" s="33">
        <f>(Examples!$E$6*Examples!$E$7*Examples!$E$8*EXP(-Examples!$E$9*$A665)*(1-(Examples!$E$12*(1-EXP(-Examples!$E$13*$A665))/(1+EXP(MIN(700,MAX(-700,(Examples!$E$14*$A665-Examples!$E$15)/Examples!$E$16))))))+Examples!$E$17*$A665^2)</f>
        <v>212341.95947346906</v>
      </c>
      <c r="H665" s="33">
        <f>Examples!$F$18-(Examples!$F$10+Examples!$F$11)*$A665-(Examples!$F$6*Examples!$F$7*Examples!$F$8*EXP(-Examples!$F$9*$A665)*(1-(Examples!$F$12*(1-EXP(-Examples!$F$13*$A665))/(1+EXP(MIN(700,MAX(-700,(Examples!$F$14*$A665-Examples!$F$15)/Examples!$F$16))))))+Examples!$F$17*$A665^2)</f>
        <v>-864132.56331120559</v>
      </c>
      <c r="I665" s="33">
        <f>(Examples!$F$6*Examples!$F$7*Examples!$F$8*EXP(-Examples!$F$9*$A665)*(1-(Examples!$F$12*(1-EXP(-Examples!$F$13*$A665))/(1+EXP(MIN(700,MAX(-700,(Examples!$F$14*$A665-Examples!$F$15)/Examples!$F$16))))))+Examples!$F$17*$A665^2)</f>
        <v>881532.56331120559</v>
      </c>
      <c r="J665" s="33">
        <f>Examples!$G$18-(Examples!$G$10+Examples!$G$11)*$A665-(Examples!$G$6*Examples!$G$7*Examples!$G$8*EXP(-Examples!$G$9*$A665)*(1-(Examples!$G$12*(1-EXP(-Examples!$G$13*$A665))/(1+EXP(MIN(700,MAX(-700,(Examples!$G$14*$A665-Examples!$G$15)/Examples!$G$16))))))+Examples!$G$17*$A665^2)</f>
        <v>621008.21650829259</v>
      </c>
      <c r="K665" s="33">
        <f>(Examples!$G$6*Examples!$G$7*Examples!$G$8*EXP(-Examples!$G$9*$A665)*(1-(Examples!$G$12*(1-EXP(-Examples!$G$13*$A665))/(1+EXP(MIN(700,MAX(-700,(Examples!$G$14*$A665-Examples!$G$15)/Examples!$G$16))))))+Examples!$G$17*$A665^2)</f>
        <v>547491.78349170741</v>
      </c>
      <c r="L665" s="33">
        <f>Examples!$H$18-(Examples!$H$10+Examples!$H$11)*$A665-(Examples!$H$6*Examples!$H$7*Examples!$H$8*EXP(-Examples!$H$9*$A665)*(1-(Examples!$H$12*(1-EXP(-Examples!$H$13*$A665))/(1+EXP(MIN(700,MAX(-700,(Examples!$H$14*$A665-Examples!$H$15)/Examples!$H$16))))))+Examples!$H$17*$A665^2)</f>
        <v>620396.15363495064</v>
      </c>
      <c r="M665" s="33">
        <f>(Examples!$H$6*Examples!$H$7*Examples!$H$8*EXP(-Examples!$H$9*$A665)*(1-(Examples!$H$12*(1-EXP(-Examples!$H$13*$A665))/(1+EXP(MIN(700,MAX(-700,(Examples!$H$14*$A665-Examples!$H$15)/Examples!$H$16))))))+Examples!$H$17*$A665^2)</f>
        <v>548103.84636504936</v>
      </c>
    </row>
    <row r="666" spans="1:13" x14ac:dyDescent="0.25">
      <c r="A666">
        <f>(666-2)/100</f>
        <v>6.64</v>
      </c>
      <c r="B666" s="33">
        <f>Examples!$C$18-(Examples!$C$10+Examples!$C$11)*$A666-(Examples!$C$6*Examples!$C$7*Examples!$C$8*EXP(-Examples!$C$9*$A666)*(1-(Examples!$C$12*(1-EXP(-Examples!$C$13*$A666))/(1+EXP(MIN(700,MAX(-700,(Examples!$C$14*$A666-Examples!$C$15)/Examples!$C$16))))))+Examples!$C$17*$A666^2)</f>
        <v>-375597.38179844408</v>
      </c>
      <c r="C666" s="33">
        <f>(Examples!$C$6*Examples!$C$7*Examples!$C$8*EXP(-Examples!$C$9*$A666)*(1-(Examples!$C$12*(1-EXP(-Examples!$C$13*$A666))/(1+EXP(MIN(700,MAX(-700,(Examples!$C$14*$A666-Examples!$C$15)/Examples!$C$16))))))+Examples!$C$17*$A666^2)</f>
        <v>743197.38179844408</v>
      </c>
      <c r="D666" s="33">
        <f>Examples!$D$18-(Examples!$D$10+Examples!$D$11)*$A666-(Examples!$D$6*Examples!$D$7*Examples!$D$8*EXP(-Examples!$D$9*$A666)*(1-(Examples!$D$12*(1-EXP(-Examples!$D$13*$A666))/(1+EXP(MIN(700,MAX(-700,(Examples!$D$14*$A666-Examples!$D$15)/Examples!$D$16))))))+Examples!$D$17*$A666^2)</f>
        <v>1683044.8564242306</v>
      </c>
      <c r="E666" s="33">
        <f>(Examples!$D$6*Examples!$D$7*Examples!$D$8*EXP(-Examples!$D$9*$A666)*(1-(Examples!$D$12*(1-EXP(-Examples!$D$13*$A666))/(1+EXP(MIN(700,MAX(-700,(Examples!$D$14*$A666-Examples!$D$15)/Examples!$D$16))))))+Examples!$D$17*$A666^2)</f>
        <v>518155.1435757695</v>
      </c>
      <c r="F666" s="33">
        <f>Examples!$E$18-(Examples!$E$10+Examples!$E$11)*$A666-(Examples!$E$6*Examples!$E$7*Examples!$E$8*EXP(-Examples!$E$9*$A666)*(1-(Examples!$E$12*(1-EXP(-Examples!$E$13*$A666))/(1+EXP(MIN(700,MAX(-700,(Examples!$E$14*$A666-Examples!$E$15)/Examples!$E$16))))))+Examples!$E$17*$A666^2)</f>
        <v>2223152.3503160477</v>
      </c>
      <c r="G666" s="33">
        <f>(Examples!$E$6*Examples!$E$7*Examples!$E$8*EXP(-Examples!$E$9*$A666)*(1-(Examples!$E$12*(1-EXP(-Examples!$E$13*$A666))/(1+EXP(MIN(700,MAX(-700,(Examples!$E$14*$A666-Examples!$E$15)/Examples!$E$16))))))+Examples!$E$17*$A666^2)</f>
        <v>212447.64968395236</v>
      </c>
      <c r="H666" s="33">
        <f>Examples!$F$18-(Examples!$F$10+Examples!$F$11)*$A666-(Examples!$F$6*Examples!$F$7*Examples!$F$8*EXP(-Examples!$F$9*$A666)*(1-(Examples!$F$12*(1-EXP(-Examples!$F$13*$A666))/(1+EXP(MIN(700,MAX(-700,(Examples!$F$14*$A666-Examples!$F$15)/Examples!$F$16))))))+Examples!$F$17*$A666^2)</f>
        <v>-866979.39038605953</v>
      </c>
      <c r="I666" s="33">
        <f>(Examples!$F$6*Examples!$F$7*Examples!$F$8*EXP(-Examples!$F$9*$A666)*(1-(Examples!$F$12*(1-EXP(-Examples!$F$13*$A666))/(1+EXP(MIN(700,MAX(-700,(Examples!$F$14*$A666-Examples!$F$15)/Examples!$F$16))))))+Examples!$F$17*$A666^2)</f>
        <v>884179.39038605953</v>
      </c>
      <c r="J666" s="33">
        <f>Examples!$G$18-(Examples!$G$10+Examples!$G$11)*$A666-(Examples!$G$6*Examples!$G$7*Examples!$G$8*EXP(-Examples!$G$9*$A666)*(1-(Examples!$G$12*(1-EXP(-Examples!$G$13*$A666))/(1+EXP(MIN(700,MAX(-700,(Examples!$G$14*$A666-Examples!$G$15)/Examples!$G$16))))))+Examples!$G$17*$A666^2)</f>
        <v>620122.90993913251</v>
      </c>
      <c r="K666" s="33">
        <f>(Examples!$G$6*Examples!$G$7*Examples!$G$8*EXP(-Examples!$G$9*$A666)*(1-(Examples!$G$12*(1-EXP(-Examples!$G$13*$A666))/(1+EXP(MIN(700,MAX(-700,(Examples!$G$14*$A666-Examples!$G$15)/Examples!$G$16))))))+Examples!$G$17*$A666^2)</f>
        <v>547877.09006086749</v>
      </c>
      <c r="L666" s="33">
        <f>Examples!$H$18-(Examples!$H$10+Examples!$H$11)*$A666-(Examples!$H$6*Examples!$H$7*Examples!$H$8*EXP(-Examples!$H$9*$A666)*(1-(Examples!$H$12*(1-EXP(-Examples!$H$13*$A666))/(1+EXP(MIN(700,MAX(-700,(Examples!$H$14*$A666-Examples!$H$15)/Examples!$H$16))))))+Examples!$H$17*$A666^2)</f>
        <v>619520.91344566632</v>
      </c>
      <c r="M666" s="33">
        <f>(Examples!$H$6*Examples!$H$7*Examples!$H$8*EXP(-Examples!$H$9*$A666)*(1-(Examples!$H$12*(1-EXP(-Examples!$H$13*$A666))/(1+EXP(MIN(700,MAX(-700,(Examples!$H$14*$A666-Examples!$H$15)/Examples!$H$16))))))+Examples!$H$17*$A666^2)</f>
        <v>548479.08655433368</v>
      </c>
    </row>
    <row r="667" spans="1:13" x14ac:dyDescent="0.25">
      <c r="A667">
        <f>(667-2)/100</f>
        <v>6.65</v>
      </c>
      <c r="B667" s="33">
        <f>Examples!$C$18-(Examples!$C$10+Examples!$C$11)*$A667-(Examples!$C$6*Examples!$C$7*Examples!$C$8*EXP(-Examples!$C$9*$A667)*(1-(Examples!$C$12*(1-EXP(-Examples!$C$13*$A667))/(1+EXP(MIN(700,MAX(-700,(Examples!$C$14*$A667-Examples!$C$15)/Examples!$C$16))))))+Examples!$C$17*$A667^2)</f>
        <v>-377695.68971861491</v>
      </c>
      <c r="C667" s="33">
        <f>(Examples!$C$6*Examples!$C$7*Examples!$C$8*EXP(-Examples!$C$9*$A667)*(1-(Examples!$C$12*(1-EXP(-Examples!$C$13*$A667))/(1+EXP(MIN(700,MAX(-700,(Examples!$C$14*$A667-Examples!$C$15)/Examples!$C$16))))))+Examples!$C$17*$A667^2)</f>
        <v>744945.68971861491</v>
      </c>
      <c r="D667" s="33">
        <f>Examples!$D$18-(Examples!$D$10+Examples!$D$11)*$A667-(Examples!$D$6*Examples!$D$7*Examples!$D$8*EXP(-Examples!$D$9*$A667)*(1-(Examples!$D$12*(1-EXP(-Examples!$D$13*$A667))/(1+EXP(MIN(700,MAX(-700,(Examples!$D$14*$A667-Examples!$D$15)/Examples!$D$16))))))+Examples!$D$17*$A667^2)</f>
        <v>1683207.8565150346</v>
      </c>
      <c r="E667" s="33">
        <f>(Examples!$D$6*Examples!$D$7*Examples!$D$8*EXP(-Examples!$D$9*$A667)*(1-(Examples!$D$12*(1-EXP(-Examples!$D$13*$A667))/(1+EXP(MIN(700,MAX(-700,(Examples!$D$14*$A667-Examples!$D$15)/Examples!$D$16))))))+Examples!$D$17*$A667^2)</f>
        <v>517542.14348496555</v>
      </c>
      <c r="F667" s="33">
        <f>Examples!$E$18-(Examples!$E$10+Examples!$E$11)*$A667-(Examples!$E$6*Examples!$E$7*Examples!$E$8*EXP(-Examples!$E$9*$A667)*(1-(Examples!$E$12*(1-EXP(-Examples!$E$13*$A667))/(1+EXP(MIN(700,MAX(-700,(Examples!$E$14*$A667-Examples!$E$15)/Examples!$E$16))))))+Examples!$E$17*$A667^2)</f>
        <v>2222195.6255670781</v>
      </c>
      <c r="G667" s="33">
        <f>(Examples!$E$6*Examples!$E$7*Examples!$E$8*EXP(-Examples!$E$9*$A667)*(1-(Examples!$E$12*(1-EXP(-Examples!$E$13*$A667))/(1+EXP(MIN(700,MAX(-700,(Examples!$E$14*$A667-Examples!$E$15)/Examples!$E$16))))))+Examples!$E$17*$A667^2)</f>
        <v>212554.37443292208</v>
      </c>
      <c r="H667" s="33">
        <f>Examples!$F$18-(Examples!$F$10+Examples!$F$11)*$A667-(Examples!$F$6*Examples!$F$7*Examples!$F$8*EXP(-Examples!$F$9*$A667)*(1-(Examples!$F$12*(1-EXP(-Examples!$F$13*$A667))/(1+EXP(MIN(700,MAX(-700,(Examples!$F$14*$A667-Examples!$F$15)/Examples!$F$16))))))+Examples!$F$17*$A667^2)</f>
        <v>-869830.23894744227</v>
      </c>
      <c r="I667" s="33">
        <f>(Examples!$F$6*Examples!$F$7*Examples!$F$8*EXP(-Examples!$F$9*$A667)*(1-(Examples!$F$12*(1-EXP(-Examples!$F$13*$A667))/(1+EXP(MIN(700,MAX(-700,(Examples!$F$14*$A667-Examples!$F$15)/Examples!$F$16))))))+Examples!$F$17*$A667^2)</f>
        <v>886830.23894744227</v>
      </c>
      <c r="J667" s="33">
        <f>Examples!$G$18-(Examples!$G$10+Examples!$G$11)*$A667-(Examples!$G$6*Examples!$G$7*Examples!$G$8*EXP(-Examples!$G$9*$A667)*(1-(Examples!$G$12*(1-EXP(-Examples!$G$13*$A667))/(1+EXP(MIN(700,MAX(-700,(Examples!$G$14*$A667-Examples!$G$15)/Examples!$G$16))))))+Examples!$G$17*$A667^2)</f>
        <v>619233.77007984289</v>
      </c>
      <c r="K667" s="33">
        <f>(Examples!$G$6*Examples!$G$7*Examples!$G$8*EXP(-Examples!$G$9*$A667)*(1-(Examples!$G$12*(1-EXP(-Examples!$G$13*$A667))/(1+EXP(MIN(700,MAX(-700,(Examples!$G$14*$A667-Examples!$G$15)/Examples!$G$16))))))+Examples!$G$17*$A667^2)</f>
        <v>548266.22992015711</v>
      </c>
      <c r="L667" s="33">
        <f>Examples!$H$18-(Examples!$H$10+Examples!$H$11)*$A667-(Examples!$H$6*Examples!$H$7*Examples!$H$8*EXP(-Examples!$H$9*$A667)*(1-(Examples!$H$12*(1-EXP(-Examples!$H$13*$A667))/(1+EXP(MIN(700,MAX(-700,(Examples!$H$14*$A667-Examples!$H$15)/Examples!$H$16))))))+Examples!$H$17*$A667^2)</f>
        <v>618641.67549444456</v>
      </c>
      <c r="M667" s="33">
        <f>(Examples!$H$6*Examples!$H$7*Examples!$H$8*EXP(-Examples!$H$9*$A667)*(1-(Examples!$H$12*(1-EXP(-Examples!$H$13*$A667))/(1+EXP(MIN(700,MAX(-700,(Examples!$H$14*$A667-Examples!$H$15)/Examples!$H$16))))))+Examples!$H$17*$A667^2)</f>
        <v>548858.32450555544</v>
      </c>
    </row>
    <row r="668" spans="1:13" x14ac:dyDescent="0.25">
      <c r="A668">
        <f>(668-2)/100</f>
        <v>6.66</v>
      </c>
      <c r="B668" s="33">
        <f>Examples!$C$18-(Examples!$C$10+Examples!$C$11)*$A668-(Examples!$C$6*Examples!$C$7*Examples!$C$8*EXP(-Examples!$C$9*$A668)*(1-(Examples!$C$12*(1-EXP(-Examples!$C$13*$A668))/(1+EXP(MIN(700,MAX(-700,(Examples!$C$14*$A668-Examples!$C$15)/Examples!$C$16))))))+Examples!$C$17*$A668^2)</f>
        <v>-379797.73210946098</v>
      </c>
      <c r="C668" s="33">
        <f>(Examples!$C$6*Examples!$C$7*Examples!$C$8*EXP(-Examples!$C$9*$A668)*(1-(Examples!$C$12*(1-EXP(-Examples!$C$13*$A668))/(1+EXP(MIN(700,MAX(-700,(Examples!$C$14*$A668-Examples!$C$15)/Examples!$C$16))))))+Examples!$C$17*$A668^2)</f>
        <v>746697.73210946098</v>
      </c>
      <c r="D668" s="33">
        <f>Examples!$D$18-(Examples!$D$10+Examples!$D$11)*$A668-(Examples!$D$6*Examples!$D$7*Examples!$D$8*EXP(-Examples!$D$9*$A668)*(1-(Examples!$D$12*(1-EXP(-Examples!$D$13*$A668))/(1+EXP(MIN(700,MAX(-700,(Examples!$D$14*$A668-Examples!$D$15)/Examples!$D$16))))))+Examples!$D$17*$A668^2)</f>
        <v>1683365.1250501131</v>
      </c>
      <c r="E668" s="33">
        <f>(Examples!$D$6*Examples!$D$7*Examples!$D$8*EXP(-Examples!$D$9*$A668)*(1-(Examples!$D$12*(1-EXP(-Examples!$D$13*$A668))/(1+EXP(MIN(700,MAX(-700,(Examples!$D$14*$A668-Examples!$D$15)/Examples!$D$16))))))+Examples!$D$17*$A668^2)</f>
        <v>516934.87494988693</v>
      </c>
      <c r="F668" s="33">
        <f>Examples!$E$18-(Examples!$E$10+Examples!$E$11)*$A668-(Examples!$E$6*Examples!$E$7*Examples!$E$8*EXP(-Examples!$E$9*$A668)*(1-(Examples!$E$12*(1-EXP(-Examples!$E$13*$A668))/(1+EXP(MIN(700,MAX(-700,(Examples!$E$14*$A668-Examples!$E$15)/Examples!$E$16))))))+Examples!$E$17*$A668^2)</f>
        <v>2221237.8612598078</v>
      </c>
      <c r="G668" s="33">
        <f>(Examples!$E$6*Examples!$E$7*Examples!$E$8*EXP(-Examples!$E$9*$A668)*(1-(Examples!$E$12*(1-EXP(-Examples!$E$13*$A668))/(1+EXP(MIN(700,MAX(-700,(Examples!$E$14*$A668-Examples!$E$15)/Examples!$E$16))))))+Examples!$E$17*$A668^2)</f>
        <v>212662.13874019228</v>
      </c>
      <c r="H668" s="33">
        <f>Examples!$F$18-(Examples!$F$10+Examples!$F$11)*$A668-(Examples!$F$6*Examples!$F$7*Examples!$F$8*EXP(-Examples!$F$9*$A668)*(1-(Examples!$F$12*(1-EXP(-Examples!$F$13*$A668))/(1+EXP(MIN(700,MAX(-700,(Examples!$F$14*$A668-Examples!$F$15)/Examples!$F$16))))))+Examples!$F$17*$A668^2)</f>
        <v>-872685.10893099045</v>
      </c>
      <c r="I668" s="33">
        <f>(Examples!$F$6*Examples!$F$7*Examples!$F$8*EXP(-Examples!$F$9*$A668)*(1-(Examples!$F$12*(1-EXP(-Examples!$F$13*$A668))/(1+EXP(MIN(700,MAX(-700,(Examples!$F$14*$A668-Examples!$F$15)/Examples!$F$16))))))+Examples!$F$17*$A668^2)</f>
        <v>889485.10893099045</v>
      </c>
      <c r="J668" s="33">
        <f>Examples!$G$18-(Examples!$G$10+Examples!$G$11)*$A668-(Examples!$G$6*Examples!$G$7*Examples!$G$8*EXP(-Examples!$G$9*$A668)*(1-(Examples!$G$12*(1-EXP(-Examples!$G$13*$A668))/(1+EXP(MIN(700,MAX(-700,(Examples!$G$14*$A668-Examples!$G$15)/Examples!$G$16))))))+Examples!$G$17*$A668^2)</f>
        <v>618340.80263844971</v>
      </c>
      <c r="K668" s="33">
        <f>(Examples!$G$6*Examples!$G$7*Examples!$G$8*EXP(-Examples!$G$9*$A668)*(1-(Examples!$G$12*(1-EXP(-Examples!$G$13*$A668))/(1+EXP(MIN(700,MAX(-700,(Examples!$G$14*$A668-Examples!$G$15)/Examples!$G$16))))))+Examples!$G$17*$A668^2)</f>
        <v>548659.19736155029</v>
      </c>
      <c r="L668" s="33">
        <f>Examples!$H$18-(Examples!$H$10+Examples!$H$11)*$A668-(Examples!$H$6*Examples!$H$7*Examples!$H$8*EXP(-Examples!$H$9*$A668)*(1-(Examples!$H$12*(1-EXP(-Examples!$H$13*$A668))/(1+EXP(MIN(700,MAX(-700,(Examples!$H$14*$A668-Examples!$H$15)/Examples!$H$16))))))+Examples!$H$17*$A668^2)</f>
        <v>617758.44814844953</v>
      </c>
      <c r="M668" s="33">
        <f>(Examples!$H$6*Examples!$H$7*Examples!$H$8*EXP(-Examples!$H$9*$A668)*(1-(Examples!$H$12*(1-EXP(-Examples!$H$13*$A668))/(1+EXP(MIN(700,MAX(-700,(Examples!$H$14*$A668-Examples!$H$15)/Examples!$H$16))))))+Examples!$H$17*$A668^2)</f>
        <v>549241.55185155047</v>
      </c>
    </row>
    <row r="669" spans="1:13" x14ac:dyDescent="0.25">
      <c r="A669">
        <f>(669-2)/100</f>
        <v>6.67</v>
      </c>
      <c r="B669" s="33">
        <f>Examples!$C$18-(Examples!$C$10+Examples!$C$11)*$A669-(Examples!$C$6*Examples!$C$7*Examples!$C$8*EXP(-Examples!$C$9*$A669)*(1-(Examples!$C$12*(1-EXP(-Examples!$C$13*$A669))/(1+EXP(MIN(700,MAX(-700,(Examples!$C$14*$A669-Examples!$C$15)/Examples!$C$16))))))+Examples!$C$17*$A669^2)</f>
        <v>-381903.50677098869</v>
      </c>
      <c r="C669" s="33">
        <f>(Examples!$C$6*Examples!$C$7*Examples!$C$8*EXP(-Examples!$C$9*$A669)*(1-(Examples!$C$12*(1-EXP(-Examples!$C$13*$A669))/(1+EXP(MIN(700,MAX(-700,(Examples!$C$14*$A669-Examples!$C$15)/Examples!$C$16))))))+Examples!$C$17*$A669^2)</f>
        <v>748453.50677098869</v>
      </c>
      <c r="D669" s="33">
        <f>Examples!$D$18-(Examples!$D$10+Examples!$D$11)*$A669-(Examples!$D$6*Examples!$D$7*Examples!$D$8*EXP(-Examples!$D$9*$A669)*(1-(Examples!$D$12*(1-EXP(-Examples!$D$13*$A669))/(1+EXP(MIN(700,MAX(-700,(Examples!$D$14*$A669-Examples!$D$15)/Examples!$D$16))))))+Examples!$D$17*$A669^2)</f>
        <v>1683516.6666964951</v>
      </c>
      <c r="E669" s="33">
        <f>(Examples!$D$6*Examples!$D$7*Examples!$D$8*EXP(-Examples!$D$9*$A669)*(1-(Examples!$D$12*(1-EXP(-Examples!$D$13*$A669))/(1+EXP(MIN(700,MAX(-700,(Examples!$D$14*$A669-Examples!$D$15)/Examples!$D$16))))))+Examples!$D$17*$A669^2)</f>
        <v>516333.33330350491</v>
      </c>
      <c r="F669" s="33">
        <f>Examples!$E$18-(Examples!$E$10+Examples!$E$11)*$A669-(Examples!$E$6*Examples!$E$7*Examples!$E$8*EXP(-Examples!$E$9*$A669)*(1-(Examples!$E$12*(1-EXP(-Examples!$E$13*$A669))/(1+EXP(MIN(700,MAX(-700,(Examples!$E$14*$A669-Examples!$E$15)/Examples!$E$16))))))+Examples!$E$17*$A669^2)</f>
        <v>2220279.052409085</v>
      </c>
      <c r="G669" s="33">
        <f>(Examples!$E$6*Examples!$E$7*Examples!$E$8*EXP(-Examples!$E$9*$A669)*(1-(Examples!$E$12*(1-EXP(-Examples!$E$13*$A669))/(1+EXP(MIN(700,MAX(-700,(Examples!$E$14*$A669-Examples!$E$15)/Examples!$E$16))))))+Examples!$E$17*$A669^2)</f>
        <v>212770.94759091493</v>
      </c>
      <c r="H669" s="33">
        <f>Examples!$F$18-(Examples!$F$10+Examples!$F$11)*$A669-(Examples!$F$6*Examples!$F$7*Examples!$F$8*EXP(-Examples!$F$9*$A669)*(1-(Examples!$F$12*(1-EXP(-Examples!$F$13*$A669))/(1+EXP(MIN(700,MAX(-700,(Examples!$F$14*$A669-Examples!$F$15)/Examples!$F$16))))))+Examples!$F$17*$A669^2)</f>
        <v>-875544.00027253444</v>
      </c>
      <c r="I669" s="33">
        <f>(Examples!$F$6*Examples!$F$7*Examples!$F$8*EXP(-Examples!$F$9*$A669)*(1-(Examples!$F$12*(1-EXP(-Examples!$F$13*$A669))/(1+EXP(MIN(700,MAX(-700,(Examples!$F$14*$A669-Examples!$F$15)/Examples!$F$16))))))+Examples!$F$17*$A669^2)</f>
        <v>892144.00027253444</v>
      </c>
      <c r="J669" s="33">
        <f>Examples!$G$18-(Examples!$G$10+Examples!$G$11)*$A669-(Examples!$G$6*Examples!$G$7*Examples!$G$8*EXP(-Examples!$G$9*$A669)*(1-(Examples!$G$12*(1-EXP(-Examples!$G$13*$A669))/(1+EXP(MIN(700,MAX(-700,(Examples!$G$14*$A669-Examples!$G$15)/Examples!$G$16))))))+Examples!$G$17*$A669^2)</f>
        <v>617444.01333634253</v>
      </c>
      <c r="K669" s="33">
        <f>(Examples!$G$6*Examples!$G$7*Examples!$G$8*EXP(-Examples!$G$9*$A669)*(1-(Examples!$G$12*(1-EXP(-Examples!$G$13*$A669))/(1+EXP(MIN(700,MAX(-700,(Examples!$G$14*$A669-Examples!$G$15)/Examples!$G$16))))))+Examples!$G$17*$A669^2)</f>
        <v>549055.98666365747</v>
      </c>
      <c r="L669" s="33">
        <f>Examples!$H$18-(Examples!$H$10+Examples!$H$11)*$A669-(Examples!$H$6*Examples!$H$7*Examples!$H$8*EXP(-Examples!$H$9*$A669)*(1-(Examples!$H$12*(1-EXP(-Examples!$H$13*$A669))/(1+EXP(MIN(700,MAX(-700,(Examples!$H$14*$A669-Examples!$H$15)/Examples!$H$16))))))+Examples!$H$17*$A669^2)</f>
        <v>616871.23974596884</v>
      </c>
      <c r="M669" s="33">
        <f>(Examples!$H$6*Examples!$H$7*Examples!$H$8*EXP(-Examples!$H$9*$A669)*(1-(Examples!$H$12*(1-EXP(-Examples!$H$13*$A669))/(1+EXP(MIN(700,MAX(-700,(Examples!$H$14*$A669-Examples!$H$15)/Examples!$H$16))))))+Examples!$H$17*$A669^2)</f>
        <v>549628.76025403116</v>
      </c>
    </row>
    <row r="670" spans="1:13" x14ac:dyDescent="0.25">
      <c r="A670">
        <f>(670-2)/100</f>
        <v>6.68</v>
      </c>
      <c r="B670" s="33">
        <f>Examples!$C$18-(Examples!$C$10+Examples!$C$11)*$A670-(Examples!$C$6*Examples!$C$7*Examples!$C$8*EXP(-Examples!$C$9*$A670)*(1-(Examples!$C$12*(1-EXP(-Examples!$C$13*$A670))/(1+EXP(MIN(700,MAX(-700,(Examples!$C$14*$A670-Examples!$C$15)/Examples!$C$16))))))+Examples!$C$17*$A670^2)</f>
        <v>-384013.01150979055</v>
      </c>
      <c r="C670" s="33">
        <f>(Examples!$C$6*Examples!$C$7*Examples!$C$8*EXP(-Examples!$C$9*$A670)*(1-(Examples!$C$12*(1-EXP(-Examples!$C$13*$A670))/(1+EXP(MIN(700,MAX(-700,(Examples!$C$14*$A670-Examples!$C$15)/Examples!$C$16))))))+Examples!$C$17*$A670^2)</f>
        <v>750213.01150979055</v>
      </c>
      <c r="D670" s="33">
        <f>Examples!$D$18-(Examples!$D$10+Examples!$D$11)*$A670-(Examples!$D$6*Examples!$D$7*Examples!$D$8*EXP(-Examples!$D$9*$A670)*(1-(Examples!$D$12*(1-EXP(-Examples!$D$13*$A670))/(1+EXP(MIN(700,MAX(-700,(Examples!$D$14*$A670-Examples!$D$15)/Examples!$D$16))))))+Examples!$D$17*$A670^2)</f>
        <v>1683662.486360217</v>
      </c>
      <c r="E670" s="33">
        <f>(Examples!$D$6*Examples!$D$7*Examples!$D$8*EXP(-Examples!$D$9*$A670)*(1-(Examples!$D$12*(1-EXP(-Examples!$D$13*$A670))/(1+EXP(MIN(700,MAX(-700,(Examples!$D$14*$A670-Examples!$D$15)/Examples!$D$16))))))+Examples!$D$17*$A670^2)</f>
        <v>515737.51363978296</v>
      </c>
      <c r="F670" s="33">
        <f>Examples!$E$18-(Examples!$E$10+Examples!$E$11)*$A670-(Examples!$E$6*Examples!$E$7*Examples!$E$8*EXP(-Examples!$E$9*$A670)*(1-(Examples!$E$12*(1-EXP(-Examples!$E$13*$A670))/(1+EXP(MIN(700,MAX(-700,(Examples!$E$14*$A670-Examples!$E$15)/Examples!$E$16))))))+Examples!$E$17*$A670^2)</f>
        <v>2219319.1940650032</v>
      </c>
      <c r="G670" s="33">
        <f>(Examples!$E$6*Examples!$E$7*Examples!$E$8*EXP(-Examples!$E$9*$A670)*(1-(Examples!$E$12*(1-EXP(-Examples!$E$13*$A670))/(1+EXP(MIN(700,MAX(-700,(Examples!$E$14*$A670-Examples!$E$15)/Examples!$E$16))))))+Examples!$E$17*$A670^2)</f>
        <v>212880.80593499681</v>
      </c>
      <c r="H670" s="33">
        <f>Examples!$F$18-(Examples!$F$10+Examples!$F$11)*$A670-(Examples!$F$6*Examples!$F$7*Examples!$F$8*EXP(-Examples!$F$9*$A670)*(1-(Examples!$F$12*(1-EXP(-Examples!$F$13*$A670))/(1+EXP(MIN(700,MAX(-700,(Examples!$F$14*$A670-Examples!$F$15)/Examples!$F$16))))))+Examples!$F$17*$A670^2)</f>
        <v>-878406.91290809598</v>
      </c>
      <c r="I670" s="33">
        <f>(Examples!$F$6*Examples!$F$7*Examples!$F$8*EXP(-Examples!$F$9*$A670)*(1-(Examples!$F$12*(1-EXP(-Examples!$F$13*$A670))/(1+EXP(MIN(700,MAX(-700,(Examples!$F$14*$A670-Examples!$F$15)/Examples!$F$16))))))+Examples!$F$17*$A670^2)</f>
        <v>894806.91290809598</v>
      </c>
      <c r="J670" s="33">
        <f>Examples!$G$18-(Examples!$G$10+Examples!$G$11)*$A670-(Examples!$G$6*Examples!$G$7*Examples!$G$8*EXP(-Examples!$G$9*$A670)*(1-(Examples!$G$12*(1-EXP(-Examples!$G$13*$A670))/(1+EXP(MIN(700,MAX(-700,(Examples!$G$14*$A670-Examples!$G$15)/Examples!$G$16))))))+Examples!$G$17*$A670^2)</f>
        <v>616543.40790771355</v>
      </c>
      <c r="K670" s="33">
        <f>(Examples!$G$6*Examples!$G$7*Examples!$G$8*EXP(-Examples!$G$9*$A670)*(1-(Examples!$G$12*(1-EXP(-Examples!$G$13*$A670))/(1+EXP(MIN(700,MAX(-700,(Examples!$G$14*$A670-Examples!$G$15)/Examples!$G$16))))))+Examples!$G$17*$A670^2)</f>
        <v>549456.59209228645</v>
      </c>
      <c r="L670" s="33">
        <f>Examples!$H$18-(Examples!$H$10+Examples!$H$11)*$A670-(Examples!$H$6*Examples!$H$7*Examples!$H$8*EXP(-Examples!$H$9*$A670)*(1-(Examples!$H$12*(1-EXP(-Examples!$H$13*$A670))/(1+EXP(MIN(700,MAX(-700,(Examples!$H$14*$A670-Examples!$H$15)/Examples!$H$16))))))+Examples!$H$17*$A670^2)</f>
        <v>615980.05859650252</v>
      </c>
      <c r="M670" s="33">
        <f>(Examples!$H$6*Examples!$H$7*Examples!$H$8*EXP(-Examples!$H$9*$A670)*(1-(Examples!$H$12*(1-EXP(-Examples!$H$13*$A670))/(1+EXP(MIN(700,MAX(-700,(Examples!$H$14*$A670-Examples!$H$15)/Examples!$H$16))))))+Examples!$H$17*$A670^2)</f>
        <v>550019.94140349748</v>
      </c>
    </row>
    <row r="671" spans="1:13" x14ac:dyDescent="0.25">
      <c r="A671">
        <f>(671-2)/100</f>
        <v>6.69</v>
      </c>
      <c r="B671" s="33">
        <f>Examples!$C$18-(Examples!$C$10+Examples!$C$11)*$A671-(Examples!$C$6*Examples!$C$7*Examples!$C$8*EXP(-Examples!$C$9*$A671)*(1-(Examples!$C$12*(1-EXP(-Examples!$C$13*$A671))/(1+EXP(MIN(700,MAX(-700,(Examples!$C$14*$A671-Examples!$C$15)/Examples!$C$16))))))+Examples!$C$17*$A671^2)</f>
        <v>-386126.2441390251</v>
      </c>
      <c r="C671" s="33">
        <f>(Examples!$C$6*Examples!$C$7*Examples!$C$8*EXP(-Examples!$C$9*$A671)*(1-(Examples!$C$12*(1-EXP(-Examples!$C$13*$A671))/(1+EXP(MIN(700,MAX(-700,(Examples!$C$14*$A671-Examples!$C$15)/Examples!$C$16))))))+Examples!$C$17*$A671^2)</f>
        <v>751976.2441390251</v>
      </c>
      <c r="D671" s="33">
        <f>Examples!$D$18-(Examples!$D$10+Examples!$D$11)*$A671-(Examples!$D$6*Examples!$D$7*Examples!$D$8*EXP(-Examples!$D$9*$A671)*(1-(Examples!$D$12*(1-EXP(-Examples!$D$13*$A671))/(1+EXP(MIN(700,MAX(-700,(Examples!$D$14*$A671-Examples!$D$15)/Examples!$D$16))))))+Examples!$D$17*$A671^2)</f>
        <v>1683802.5891815764</v>
      </c>
      <c r="E671" s="33">
        <f>(Examples!$D$6*Examples!$D$7*Examples!$D$8*EXP(-Examples!$D$9*$A671)*(1-(Examples!$D$12*(1-EXP(-Examples!$D$13*$A671))/(1+EXP(MIN(700,MAX(-700,(Examples!$D$14*$A671-Examples!$D$15)/Examples!$D$16))))))+Examples!$D$17*$A671^2)</f>
        <v>515147.41081842349</v>
      </c>
      <c r="F671" s="33">
        <f>Examples!$E$18-(Examples!$E$10+Examples!$E$11)*$A671-(Examples!$E$6*Examples!$E$7*Examples!$E$8*EXP(-Examples!$E$9*$A671)*(1-(Examples!$E$12*(1-EXP(-Examples!$E$13*$A671))/(1+EXP(MIN(700,MAX(-700,(Examples!$E$14*$A671-Examples!$E$15)/Examples!$E$16))))))+Examples!$E$17*$A671^2)</f>
        <v>2218358.2813134668</v>
      </c>
      <c r="G671" s="33">
        <f>(Examples!$E$6*Examples!$E$7*Examples!$E$8*EXP(-Examples!$E$9*$A671)*(1-(Examples!$E$12*(1-EXP(-Examples!$E$13*$A671))/(1+EXP(MIN(700,MAX(-700,(Examples!$E$14*$A671-Examples!$E$15)/Examples!$E$16))))))+Examples!$E$17*$A671^2)</f>
        <v>212991.71868653293</v>
      </c>
      <c r="H671" s="33">
        <f>Examples!$F$18-(Examples!$F$10+Examples!$F$11)*$A671-(Examples!$F$6*Examples!$F$7*Examples!$F$8*EXP(-Examples!$F$9*$A671)*(1-(Examples!$F$12*(1-EXP(-Examples!$F$13*$A671))/(1+EXP(MIN(700,MAX(-700,(Examples!$F$14*$A671-Examples!$F$15)/Examples!$F$16))))))+Examples!$F$17*$A671^2)</f>
        <v>-881273.84677388892</v>
      </c>
      <c r="I671" s="33">
        <f>(Examples!$F$6*Examples!$F$7*Examples!$F$8*EXP(-Examples!$F$9*$A671)*(1-(Examples!$F$12*(1-EXP(-Examples!$F$13*$A671))/(1+EXP(MIN(700,MAX(-700,(Examples!$F$14*$A671-Examples!$F$15)/Examples!$F$16))))))+Examples!$F$17*$A671^2)</f>
        <v>897473.84677388892</v>
      </c>
      <c r="J671" s="33">
        <f>Examples!$G$18-(Examples!$G$10+Examples!$G$11)*$A671-(Examples!$G$6*Examples!$G$7*Examples!$G$8*EXP(-Examples!$G$9*$A671)*(1-(Examples!$G$12*(1-EXP(-Examples!$G$13*$A671))/(1+EXP(MIN(700,MAX(-700,(Examples!$G$14*$A671-Examples!$G$15)/Examples!$G$16))))))+Examples!$G$17*$A671^2)</f>
        <v>615638.9920990048</v>
      </c>
      <c r="K671" s="33">
        <f>(Examples!$G$6*Examples!$G$7*Examples!$G$8*EXP(-Examples!$G$9*$A671)*(1-(Examples!$G$12*(1-EXP(-Examples!$G$13*$A671))/(1+EXP(MIN(700,MAX(-700,(Examples!$G$14*$A671-Examples!$G$15)/Examples!$G$16))))))+Examples!$G$17*$A671^2)</f>
        <v>549861.0079009952</v>
      </c>
      <c r="L671" s="33">
        <f>Examples!$H$18-(Examples!$H$10+Examples!$H$11)*$A671-(Examples!$H$6*Examples!$H$7*Examples!$H$8*EXP(-Examples!$H$9*$A671)*(1-(Examples!$H$12*(1-EXP(-Examples!$H$13*$A671))/(1+EXP(MIN(700,MAX(-700,(Examples!$H$14*$A671-Examples!$H$15)/Examples!$H$16))))))+Examples!$H$17*$A671^2)</f>
        <v>615084.91298085125</v>
      </c>
      <c r="M671" s="33">
        <f>(Examples!$H$6*Examples!$H$7*Examples!$H$8*EXP(-Examples!$H$9*$A671)*(1-(Examples!$H$12*(1-EXP(-Examples!$H$13*$A671))/(1+EXP(MIN(700,MAX(-700,(Examples!$H$14*$A671-Examples!$H$15)/Examples!$H$16))))))+Examples!$H$17*$A671^2)</f>
        <v>550415.08701914875</v>
      </c>
    </row>
    <row r="672" spans="1:13" x14ac:dyDescent="0.25">
      <c r="A672">
        <f>(672-2)/100</f>
        <v>6.7</v>
      </c>
      <c r="B672" s="33">
        <f>Examples!$C$18-(Examples!$C$10+Examples!$C$11)*$A672-(Examples!$C$6*Examples!$C$7*Examples!$C$8*EXP(-Examples!$C$9*$A672)*(1-(Examples!$C$12*(1-EXP(-Examples!$C$13*$A672))/(1+EXP(MIN(700,MAX(-700,(Examples!$C$14*$A672-Examples!$C$15)/Examples!$C$16))))))+Examples!$C$17*$A672^2)</f>
        <v>-388243.20247839822</v>
      </c>
      <c r="C672" s="33">
        <f>(Examples!$C$6*Examples!$C$7*Examples!$C$8*EXP(-Examples!$C$9*$A672)*(1-(Examples!$C$12*(1-EXP(-Examples!$C$13*$A672))/(1+EXP(MIN(700,MAX(-700,(Examples!$C$14*$A672-Examples!$C$15)/Examples!$C$16))))))+Examples!$C$17*$A672^2)</f>
        <v>753743.20247839822</v>
      </c>
      <c r="D672" s="33">
        <f>Examples!$D$18-(Examples!$D$10+Examples!$D$11)*$A672-(Examples!$D$6*Examples!$D$7*Examples!$D$8*EXP(-Examples!$D$9*$A672)*(1-(Examples!$D$12*(1-EXP(-Examples!$D$13*$A672))/(1+EXP(MIN(700,MAX(-700,(Examples!$D$14*$A672-Examples!$D$15)/Examples!$D$16))))))+Examples!$D$17*$A672^2)</f>
        <v>1683936.9805304459</v>
      </c>
      <c r="E672" s="33">
        <f>(Examples!$D$6*Examples!$D$7*Examples!$D$8*EXP(-Examples!$D$9*$A672)*(1-(Examples!$D$12*(1-EXP(-Examples!$D$13*$A672))/(1+EXP(MIN(700,MAX(-700,(Examples!$D$14*$A672-Examples!$D$15)/Examples!$D$16))))))+Examples!$D$17*$A672^2)</f>
        <v>514563.01946955401</v>
      </c>
      <c r="F672" s="33">
        <f>Examples!$E$18-(Examples!$E$10+Examples!$E$11)*$A672-(Examples!$E$6*Examples!$E$7*Examples!$E$8*EXP(-Examples!$E$9*$A672)*(1-(Examples!$E$12*(1-EXP(-Examples!$E$13*$A672))/(1+EXP(MIN(700,MAX(-700,(Examples!$E$14*$A672-Examples!$E$15)/Examples!$E$16))))))+Examples!$E$17*$A672^2)</f>
        <v>2217396.3092767447</v>
      </c>
      <c r="G672" s="33">
        <f>(Examples!$E$6*Examples!$E$7*Examples!$E$8*EXP(-Examples!$E$9*$A672)*(1-(Examples!$E$12*(1-EXP(-Examples!$E$13*$A672))/(1+EXP(MIN(700,MAX(-700,(Examples!$E$14*$A672-Examples!$E$15)/Examples!$E$16))))))+Examples!$E$17*$A672^2)</f>
        <v>213103.69072325525</v>
      </c>
      <c r="H672" s="33">
        <f>Examples!$F$18-(Examples!$F$10+Examples!$F$11)*$A672-(Examples!$F$6*Examples!$F$7*Examples!$F$8*EXP(-Examples!$F$9*$A672)*(1-(Examples!$F$12*(1-EXP(-Examples!$F$13*$A672))/(1+EXP(MIN(700,MAX(-700,(Examples!$F$14*$A672-Examples!$F$15)/Examples!$F$16))))))+Examples!$F$17*$A672^2)</f>
        <v>-884144.80180631788</v>
      </c>
      <c r="I672" s="33">
        <f>(Examples!$F$6*Examples!$F$7*Examples!$F$8*EXP(-Examples!$F$9*$A672)*(1-(Examples!$F$12*(1-EXP(-Examples!$F$13*$A672))/(1+EXP(MIN(700,MAX(-700,(Examples!$F$14*$A672-Examples!$F$15)/Examples!$F$16))))))+Examples!$F$17*$A672^2)</f>
        <v>900144.80180631788</v>
      </c>
      <c r="J672" s="33">
        <f>Examples!$G$18-(Examples!$G$10+Examples!$G$11)*$A672-(Examples!$G$6*Examples!$G$7*Examples!$G$8*EXP(-Examples!$G$9*$A672)*(1-(Examples!$G$12*(1-EXP(-Examples!$G$13*$A672))/(1+EXP(MIN(700,MAX(-700,(Examples!$G$14*$A672-Examples!$G$15)/Examples!$G$16))))))+Examples!$G$17*$A672^2)</f>
        <v>614730.77166836557</v>
      </c>
      <c r="K672" s="33">
        <f>(Examples!$G$6*Examples!$G$7*Examples!$G$8*EXP(-Examples!$G$9*$A672)*(1-(Examples!$G$12*(1-EXP(-Examples!$G$13*$A672))/(1+EXP(MIN(700,MAX(-700,(Examples!$G$14*$A672-Examples!$G$15)/Examples!$G$16))))))+Examples!$G$17*$A672^2)</f>
        <v>550269.22833163443</v>
      </c>
      <c r="L672" s="33">
        <f>Examples!$H$18-(Examples!$H$10+Examples!$H$11)*$A672-(Examples!$H$6*Examples!$H$7*Examples!$H$8*EXP(-Examples!$H$9*$A672)*(1-(Examples!$H$12*(1-EXP(-Examples!$H$13*$A672))/(1+EXP(MIN(700,MAX(-700,(Examples!$H$14*$A672-Examples!$H$15)/Examples!$H$16))))))+Examples!$H$17*$A672^2)</f>
        <v>614185.81115120556</v>
      </c>
      <c r="M672" s="33">
        <f>(Examples!$H$6*Examples!$H$7*Examples!$H$8*EXP(-Examples!$H$9*$A672)*(1-(Examples!$H$12*(1-EXP(-Examples!$H$13*$A672))/(1+EXP(MIN(700,MAX(-700,(Examples!$H$14*$A672-Examples!$H$15)/Examples!$H$16))))))+Examples!$H$17*$A672^2)</f>
        <v>550814.18884879444</v>
      </c>
    </row>
    <row r="673" spans="1:13" x14ac:dyDescent="0.25">
      <c r="A673">
        <f>(673-2)/100</f>
        <v>6.71</v>
      </c>
      <c r="B673" s="33">
        <f>Examples!$C$18-(Examples!$C$10+Examples!$C$11)*$A673-(Examples!$C$6*Examples!$C$7*Examples!$C$8*EXP(-Examples!$C$9*$A673)*(1-(Examples!$C$12*(1-EXP(-Examples!$C$13*$A673))/(1+EXP(MIN(700,MAX(-700,(Examples!$C$14*$A673-Examples!$C$15)/Examples!$C$16))))))+Examples!$C$17*$A673^2)</f>
        <v>-390363.8843541427</v>
      </c>
      <c r="C673" s="33">
        <f>(Examples!$C$6*Examples!$C$7*Examples!$C$8*EXP(-Examples!$C$9*$A673)*(1-(Examples!$C$12*(1-EXP(-Examples!$C$13*$A673))/(1+EXP(MIN(700,MAX(-700,(Examples!$C$14*$A673-Examples!$C$15)/Examples!$C$16))))))+Examples!$C$17*$A673^2)</f>
        <v>755513.8843541427</v>
      </c>
      <c r="D673" s="33">
        <f>Examples!$D$18-(Examples!$D$10+Examples!$D$11)*$A673-(Examples!$D$6*Examples!$D$7*Examples!$D$8*EXP(-Examples!$D$9*$A673)*(1-(Examples!$D$12*(1-EXP(-Examples!$D$13*$A673))/(1+EXP(MIN(700,MAX(-700,(Examples!$D$14*$A673-Examples!$D$15)/Examples!$D$16))))))+Examples!$D$17*$A673^2)</f>
        <v>1684065.6660016491</v>
      </c>
      <c r="E673" s="33">
        <f>(Examples!$D$6*Examples!$D$7*Examples!$D$8*EXP(-Examples!$D$9*$A673)*(1-(Examples!$D$12*(1-EXP(-Examples!$D$13*$A673))/(1+EXP(MIN(700,MAX(-700,(Examples!$D$14*$A673-Examples!$D$15)/Examples!$D$16))))))+Examples!$D$17*$A673^2)</f>
        <v>513984.33399835083</v>
      </c>
      <c r="F673" s="33">
        <f>Examples!$E$18-(Examples!$E$10+Examples!$E$11)*$A673-(Examples!$E$6*Examples!$E$7*Examples!$E$8*EXP(-Examples!$E$9*$A673)*(1-(Examples!$E$12*(1-EXP(-Examples!$E$13*$A673))/(1+EXP(MIN(700,MAX(-700,(Examples!$E$14*$A673-Examples!$E$15)/Examples!$E$16))))))+Examples!$E$17*$A673^2)</f>
        <v>2216433.2731140018</v>
      </c>
      <c r="G673" s="33">
        <f>(Examples!$E$6*Examples!$E$7*Examples!$E$8*EXP(-Examples!$E$9*$A673)*(1-(Examples!$E$12*(1-EXP(-Examples!$E$13*$A673))/(1+EXP(MIN(700,MAX(-700,(Examples!$E$14*$A673-Examples!$E$15)/Examples!$E$16))))))+Examples!$E$17*$A673^2)</f>
        <v>213216.72688599807</v>
      </c>
      <c r="H673" s="33">
        <f>Examples!$F$18-(Examples!$F$10+Examples!$F$11)*$A673-(Examples!$F$6*Examples!$F$7*Examples!$F$8*EXP(-Examples!$F$9*$A673)*(1-(Examples!$F$12*(1-EXP(-Examples!$F$13*$A673))/(1+EXP(MIN(700,MAX(-700,(Examples!$F$14*$A673-Examples!$F$15)/Examples!$F$16))))))+Examples!$F$17*$A673^2)</f>
        <v>-887019.7779419783</v>
      </c>
      <c r="I673" s="33">
        <f>(Examples!$F$6*Examples!$F$7*Examples!$F$8*EXP(-Examples!$F$9*$A673)*(1-(Examples!$F$12*(1-EXP(-Examples!$F$13*$A673))/(1+EXP(MIN(700,MAX(-700,(Examples!$F$14*$A673-Examples!$F$15)/Examples!$F$16))))))+Examples!$F$17*$A673^2)</f>
        <v>902819.7779419783</v>
      </c>
      <c r="J673" s="33">
        <f>Examples!$G$18-(Examples!$G$10+Examples!$G$11)*$A673-(Examples!$G$6*Examples!$G$7*Examples!$G$8*EXP(-Examples!$G$9*$A673)*(1-(Examples!$G$12*(1-EXP(-Examples!$G$13*$A673))/(1+EXP(MIN(700,MAX(-700,(Examples!$G$14*$A673-Examples!$G$15)/Examples!$G$16))))))+Examples!$G$17*$A673^2)</f>
        <v>613818.75238511944</v>
      </c>
      <c r="K673" s="33">
        <f>(Examples!$G$6*Examples!$G$7*Examples!$G$8*EXP(-Examples!$G$9*$A673)*(1-(Examples!$G$12*(1-EXP(-Examples!$G$13*$A673))/(1+EXP(MIN(700,MAX(-700,(Examples!$G$14*$A673-Examples!$G$15)/Examples!$G$16))))))+Examples!$G$17*$A673^2)</f>
        <v>550681.24761488056</v>
      </c>
      <c r="L673" s="33">
        <f>Examples!$H$18-(Examples!$H$10+Examples!$H$11)*$A673-(Examples!$H$6*Examples!$H$7*Examples!$H$8*EXP(-Examples!$H$9*$A673)*(1-(Examples!$H$12*(1-EXP(-Examples!$H$13*$A673))/(1+EXP(MIN(700,MAX(-700,(Examples!$H$14*$A673-Examples!$H$15)/Examples!$H$16))))))+Examples!$H$17*$A673^2)</f>
        <v>613282.76133123413</v>
      </c>
      <c r="M673" s="33">
        <f>(Examples!$H$6*Examples!$H$7*Examples!$H$8*EXP(-Examples!$H$9*$A673)*(1-(Examples!$H$12*(1-EXP(-Examples!$H$13*$A673))/(1+EXP(MIN(700,MAX(-700,(Examples!$H$14*$A673-Examples!$H$15)/Examples!$H$16))))))+Examples!$H$17*$A673^2)</f>
        <v>551217.23866876587</v>
      </c>
    </row>
    <row r="674" spans="1:13" x14ac:dyDescent="0.25">
      <c r="A674">
        <f>(674-2)/100</f>
        <v>6.72</v>
      </c>
      <c r="B674" s="33">
        <f>Examples!$C$18-(Examples!$C$10+Examples!$C$11)*$A674-(Examples!$C$6*Examples!$C$7*Examples!$C$8*EXP(-Examples!$C$9*$A674)*(1-(Examples!$C$12*(1-EXP(-Examples!$C$13*$A674))/(1+EXP(MIN(700,MAX(-700,(Examples!$C$14*$A674-Examples!$C$15)/Examples!$C$16))))))+Examples!$C$17*$A674^2)</f>
        <v>-392488.28759899968</v>
      </c>
      <c r="C674" s="33">
        <f>(Examples!$C$6*Examples!$C$7*Examples!$C$8*EXP(-Examples!$C$9*$A674)*(1-(Examples!$C$12*(1-EXP(-Examples!$C$13*$A674))/(1+EXP(MIN(700,MAX(-700,(Examples!$C$14*$A674-Examples!$C$15)/Examples!$C$16))))))+Examples!$C$17*$A674^2)</f>
        <v>757288.28759899968</v>
      </c>
      <c r="D674" s="33">
        <f>Examples!$D$18-(Examples!$D$10+Examples!$D$11)*$A674-(Examples!$D$6*Examples!$D$7*Examples!$D$8*EXP(-Examples!$D$9*$A674)*(1-(Examples!$D$12*(1-EXP(-Examples!$D$13*$A674))/(1+EXP(MIN(700,MAX(-700,(Examples!$D$14*$A674-Examples!$D$15)/Examples!$D$16))))))+Examples!$D$17*$A674^2)</f>
        <v>1684188.6514103964</v>
      </c>
      <c r="E674" s="33">
        <f>(Examples!$D$6*Examples!$D$7*Examples!$D$8*EXP(-Examples!$D$9*$A674)*(1-(Examples!$D$12*(1-EXP(-Examples!$D$13*$A674))/(1+EXP(MIN(700,MAX(-700,(Examples!$D$14*$A674-Examples!$D$15)/Examples!$D$16))))))+Examples!$D$17*$A674^2)</f>
        <v>513411.34858960356</v>
      </c>
      <c r="F674" s="33">
        <f>Examples!$E$18-(Examples!$E$10+Examples!$E$11)*$A674-(Examples!$E$6*Examples!$E$7*Examples!$E$8*EXP(-Examples!$E$9*$A674)*(1-(Examples!$E$12*(1-EXP(-Examples!$E$13*$A674))/(1+EXP(MIN(700,MAX(-700,(Examples!$E$14*$A674-Examples!$E$15)/Examples!$E$16))))))+Examples!$E$17*$A674^2)</f>
        <v>2215469.1680218214</v>
      </c>
      <c r="G674" s="33">
        <f>(Examples!$E$6*Examples!$E$7*Examples!$E$8*EXP(-Examples!$E$9*$A674)*(1-(Examples!$E$12*(1-EXP(-Examples!$E$13*$A674))/(1+EXP(MIN(700,MAX(-700,(Examples!$E$14*$A674-Examples!$E$15)/Examples!$E$16))))))+Examples!$E$17*$A674^2)</f>
        <v>213330.83197817861</v>
      </c>
      <c r="H674" s="33">
        <f>Examples!$F$18-(Examples!$F$10+Examples!$F$11)*$A674-(Examples!$F$6*Examples!$F$7*Examples!$F$8*EXP(-Examples!$F$9*$A674)*(1-(Examples!$F$12*(1-EXP(-Examples!$F$13*$A674))/(1+EXP(MIN(700,MAX(-700,(Examples!$F$14*$A674-Examples!$F$15)/Examples!$F$16))))))+Examples!$F$17*$A674^2)</f>
        <v>-889898.77511765517</v>
      </c>
      <c r="I674" s="33">
        <f>(Examples!$F$6*Examples!$F$7*Examples!$F$8*EXP(-Examples!$F$9*$A674)*(1-(Examples!$F$12*(1-EXP(-Examples!$F$13*$A674))/(1+EXP(MIN(700,MAX(-700,(Examples!$F$14*$A674-Examples!$F$15)/Examples!$F$16))))))+Examples!$F$17*$A674^2)</f>
        <v>905498.77511765517</v>
      </c>
      <c r="J674" s="33">
        <f>Examples!$G$18-(Examples!$G$10+Examples!$G$11)*$A674-(Examples!$G$6*Examples!$G$7*Examples!$G$8*EXP(-Examples!$G$9*$A674)*(1-(Examples!$G$12*(1-EXP(-Examples!$G$13*$A674))/(1+EXP(MIN(700,MAX(-700,(Examples!$G$14*$A674-Examples!$G$15)/Examples!$G$16))))))+Examples!$G$17*$A674^2)</f>
        <v>612902.94002923905</v>
      </c>
      <c r="K674" s="33">
        <f>(Examples!$G$6*Examples!$G$7*Examples!$G$8*EXP(-Examples!$G$9*$A674)*(1-(Examples!$G$12*(1-EXP(-Examples!$G$13*$A674))/(1+EXP(MIN(700,MAX(-700,(Examples!$G$14*$A674-Examples!$G$15)/Examples!$G$16))))))+Examples!$G$17*$A674^2)</f>
        <v>551097.05997076095</v>
      </c>
      <c r="L674" s="33">
        <f>Examples!$H$18-(Examples!$H$10+Examples!$H$11)*$A674-(Examples!$H$6*Examples!$H$7*Examples!$H$8*EXP(-Examples!$H$9*$A674)*(1-(Examples!$H$12*(1-EXP(-Examples!$H$13*$A674))/(1+EXP(MIN(700,MAX(-700,(Examples!$H$14*$A674-Examples!$H$15)/Examples!$H$16))))))+Examples!$H$17*$A674^2)</f>
        <v>612375.77171617316</v>
      </c>
      <c r="M674" s="33">
        <f>(Examples!$H$6*Examples!$H$7*Examples!$H$8*EXP(-Examples!$H$9*$A674)*(1-(Examples!$H$12*(1-EXP(-Examples!$H$13*$A674))/(1+EXP(MIN(700,MAX(-700,(Examples!$H$14*$A674-Examples!$H$15)/Examples!$H$16))))))+Examples!$H$17*$A674^2)</f>
        <v>551624.22828382684</v>
      </c>
    </row>
    <row r="675" spans="1:13" x14ac:dyDescent="0.25">
      <c r="A675">
        <f>(675-2)/100</f>
        <v>6.73</v>
      </c>
      <c r="B675" s="33">
        <f>Examples!$C$18-(Examples!$C$10+Examples!$C$11)*$A675-(Examples!$C$6*Examples!$C$7*Examples!$C$8*EXP(-Examples!$C$9*$A675)*(1-(Examples!$C$12*(1-EXP(-Examples!$C$13*$A675))/(1+EXP(MIN(700,MAX(-700,(Examples!$C$14*$A675-Examples!$C$15)/Examples!$C$16))))))+Examples!$C$17*$A675^2)</f>
        <v>-394616.41005219903</v>
      </c>
      <c r="C675" s="33">
        <f>(Examples!$C$6*Examples!$C$7*Examples!$C$8*EXP(-Examples!$C$9*$A675)*(1-(Examples!$C$12*(1-EXP(-Examples!$C$13*$A675))/(1+EXP(MIN(700,MAX(-700,(Examples!$C$14*$A675-Examples!$C$15)/Examples!$C$16))))))+Examples!$C$17*$A675^2)</f>
        <v>759066.41005219903</v>
      </c>
      <c r="D675" s="33">
        <f>Examples!$D$18-(Examples!$D$10+Examples!$D$11)*$A675-(Examples!$D$6*Examples!$D$7*Examples!$D$8*EXP(-Examples!$D$9*$A675)*(1-(Examples!$D$12*(1-EXP(-Examples!$D$13*$A675))/(1+EXP(MIN(700,MAX(-700,(Examples!$D$14*$A675-Examples!$D$15)/Examples!$D$16))))))+Examples!$D$17*$A675^2)</f>
        <v>1684305.94278778</v>
      </c>
      <c r="E675" s="33">
        <f>(Examples!$D$6*Examples!$D$7*Examples!$D$8*EXP(-Examples!$D$9*$A675)*(1-(Examples!$D$12*(1-EXP(-Examples!$D$13*$A675))/(1+EXP(MIN(700,MAX(-700,(Examples!$D$14*$A675-Examples!$D$15)/Examples!$D$16))))))+Examples!$D$17*$A675^2)</f>
        <v>512844.05721222016</v>
      </c>
      <c r="F675" s="33">
        <f>Examples!$E$18-(Examples!$E$10+Examples!$E$11)*$A675-(Examples!$E$6*Examples!$E$7*Examples!$E$8*EXP(-Examples!$E$9*$A675)*(1-(Examples!$E$12*(1-EXP(-Examples!$E$13*$A675))/(1+EXP(MIN(700,MAX(-700,(Examples!$E$14*$A675-Examples!$E$15)/Examples!$E$16))))))+Examples!$E$17*$A675^2)</f>
        <v>2214503.9892347064</v>
      </c>
      <c r="G675" s="33">
        <f>(Examples!$E$6*Examples!$E$7*Examples!$E$8*EXP(-Examples!$E$9*$A675)*(1-(Examples!$E$12*(1-EXP(-Examples!$E$13*$A675))/(1+EXP(MIN(700,MAX(-700,(Examples!$E$14*$A675-Examples!$E$15)/Examples!$E$16))))))+Examples!$E$17*$A675^2)</f>
        <v>213446.01076529344</v>
      </c>
      <c r="H675" s="33">
        <f>Examples!$F$18-(Examples!$F$10+Examples!$F$11)*$A675-(Examples!$F$6*Examples!$F$7*Examples!$F$8*EXP(-Examples!$F$9*$A675)*(1-(Examples!$F$12*(1-EXP(-Examples!$F$13*$A675))/(1+EXP(MIN(700,MAX(-700,(Examples!$F$14*$A675-Examples!$F$15)/Examples!$F$16))))))+Examples!$F$17*$A675^2)</f>
        <v>-892781.79327032354</v>
      </c>
      <c r="I675" s="33">
        <f>(Examples!$F$6*Examples!$F$7*Examples!$F$8*EXP(-Examples!$F$9*$A675)*(1-(Examples!$F$12*(1-EXP(-Examples!$F$13*$A675))/(1+EXP(MIN(700,MAX(-700,(Examples!$F$14*$A675-Examples!$F$15)/Examples!$F$16))))))+Examples!$F$17*$A675^2)</f>
        <v>908181.79327032354</v>
      </c>
      <c r="J675" s="33">
        <f>Examples!$G$18-(Examples!$G$10+Examples!$G$11)*$A675-(Examples!$G$6*Examples!$G$7*Examples!$G$8*EXP(-Examples!$G$9*$A675)*(1-(Examples!$G$12*(1-EXP(-Examples!$G$13*$A675))/(1+EXP(MIN(700,MAX(-700,(Examples!$G$14*$A675-Examples!$G$15)/Examples!$G$16))))))+Examples!$G$17*$A675^2)</f>
        <v>611983.3403908317</v>
      </c>
      <c r="K675" s="33">
        <f>(Examples!$G$6*Examples!$G$7*Examples!$G$8*EXP(-Examples!$G$9*$A675)*(1-(Examples!$G$12*(1-EXP(-Examples!$G$13*$A675))/(1+EXP(MIN(700,MAX(-700,(Examples!$G$14*$A675-Examples!$G$15)/Examples!$G$16))))))+Examples!$G$17*$A675^2)</f>
        <v>551516.6596091683</v>
      </c>
      <c r="L675" s="33">
        <f>Examples!$H$18-(Examples!$H$10+Examples!$H$11)*$A675-(Examples!$H$6*Examples!$H$7*Examples!$H$8*EXP(-Examples!$H$9*$A675)*(1-(Examples!$H$12*(1-EXP(-Examples!$H$13*$A675))/(1+EXP(MIN(700,MAX(-700,(Examples!$H$14*$A675-Examples!$H$15)/Examples!$H$16))))))+Examples!$H$17*$A675^2)</f>
        <v>611464.85047291522</v>
      </c>
      <c r="M675" s="33">
        <f>(Examples!$H$6*Examples!$H$7*Examples!$H$8*EXP(-Examples!$H$9*$A675)*(1-(Examples!$H$12*(1-EXP(-Examples!$H$13*$A675))/(1+EXP(MIN(700,MAX(-700,(Examples!$H$14*$A675-Examples!$H$15)/Examples!$H$16))))))+Examples!$H$17*$A675^2)</f>
        <v>552035.14952708478</v>
      </c>
    </row>
    <row r="676" spans="1:13" x14ac:dyDescent="0.25">
      <c r="A676">
        <f>(676-2)/100</f>
        <v>6.74</v>
      </c>
      <c r="B676" s="33">
        <f>Examples!$C$18-(Examples!$C$10+Examples!$C$11)*$A676-(Examples!$C$6*Examples!$C$7*Examples!$C$8*EXP(-Examples!$C$9*$A676)*(1-(Examples!$C$12*(1-EXP(-Examples!$C$13*$A676))/(1+EXP(MIN(700,MAX(-700,(Examples!$C$14*$A676-Examples!$C$15)/Examples!$C$16))))))+Examples!$C$17*$A676^2)</f>
        <v>-396748.24955943937</v>
      </c>
      <c r="C676" s="33">
        <f>(Examples!$C$6*Examples!$C$7*Examples!$C$8*EXP(-Examples!$C$9*$A676)*(1-(Examples!$C$12*(1-EXP(-Examples!$C$13*$A676))/(1+EXP(MIN(700,MAX(-700,(Examples!$C$14*$A676-Examples!$C$15)/Examples!$C$16))))))+Examples!$C$17*$A676^2)</f>
        <v>760848.24955943937</v>
      </c>
      <c r="D676" s="33">
        <f>Examples!$D$18-(Examples!$D$10+Examples!$D$11)*$A676-(Examples!$D$6*Examples!$D$7*Examples!$D$8*EXP(-Examples!$D$9*$A676)*(1-(Examples!$D$12*(1-EXP(-Examples!$D$13*$A676))/(1+EXP(MIN(700,MAX(-700,(Examples!$D$14*$A676-Examples!$D$15)/Examples!$D$16))))))+Examples!$D$17*$A676^2)</f>
        <v>1684417.5463763298</v>
      </c>
      <c r="E676" s="33">
        <f>(Examples!$D$6*Examples!$D$7*Examples!$D$8*EXP(-Examples!$D$9*$A676)*(1-(Examples!$D$12*(1-EXP(-Examples!$D$13*$A676))/(1+EXP(MIN(700,MAX(-700,(Examples!$D$14*$A676-Examples!$D$15)/Examples!$D$16))))))+Examples!$D$17*$A676^2)</f>
        <v>512282.45362367027</v>
      </c>
      <c r="F676" s="33">
        <f>Examples!$E$18-(Examples!$E$10+Examples!$E$11)*$A676-(Examples!$E$6*Examples!$E$7*Examples!$E$8*EXP(-Examples!$E$9*$A676)*(1-(Examples!$E$12*(1-EXP(-Examples!$E$13*$A676))/(1+EXP(MIN(700,MAX(-700,(Examples!$E$14*$A676-Examples!$E$15)/Examples!$E$16))))))+Examples!$E$17*$A676^2)</f>
        <v>2213537.7320255698</v>
      </c>
      <c r="G676" s="33">
        <f>(Examples!$E$6*Examples!$E$7*Examples!$E$8*EXP(-Examples!$E$9*$A676)*(1-(Examples!$E$12*(1-EXP(-Examples!$E$13*$A676))/(1+EXP(MIN(700,MAX(-700,(Examples!$E$14*$A676-Examples!$E$15)/Examples!$E$16))))))+Examples!$E$17*$A676^2)</f>
        <v>213562.26797443023</v>
      </c>
      <c r="H676" s="33">
        <f>Examples!$F$18-(Examples!$F$10+Examples!$F$11)*$A676-(Examples!$F$6*Examples!$F$7*Examples!$F$8*EXP(-Examples!$F$9*$A676)*(1-(Examples!$F$12*(1-EXP(-Examples!$F$13*$A676))/(1+EXP(MIN(700,MAX(-700,(Examples!$F$14*$A676-Examples!$F$15)/Examples!$F$16))))))+Examples!$F$17*$A676^2)</f>
        <v>-895668.83233714616</v>
      </c>
      <c r="I676" s="33">
        <f>(Examples!$F$6*Examples!$F$7*Examples!$F$8*EXP(-Examples!$F$9*$A676)*(1-(Examples!$F$12*(1-EXP(-Examples!$F$13*$A676))/(1+EXP(MIN(700,MAX(-700,(Examples!$F$14*$A676-Examples!$F$15)/Examples!$F$16))))))+Examples!$F$17*$A676^2)</f>
        <v>910868.83233714616</v>
      </c>
      <c r="J676" s="33">
        <f>Examples!$G$18-(Examples!$G$10+Examples!$G$11)*$A676-(Examples!$G$6*Examples!$G$7*Examples!$G$8*EXP(-Examples!$G$9*$A676)*(1-(Examples!$G$12*(1-EXP(-Examples!$G$13*$A676))/(1+EXP(MIN(700,MAX(-700,(Examples!$G$14*$A676-Examples!$G$15)/Examples!$G$16))))))+Examples!$G$17*$A676^2)</f>
        <v>611059.95926963235</v>
      </c>
      <c r="K676" s="33">
        <f>(Examples!$G$6*Examples!$G$7*Examples!$G$8*EXP(-Examples!$G$9*$A676)*(1-(Examples!$G$12*(1-EXP(-Examples!$G$13*$A676))/(1+EXP(MIN(700,MAX(-700,(Examples!$G$14*$A676-Examples!$G$15)/Examples!$G$16))))))+Examples!$G$17*$A676^2)</f>
        <v>551940.04073036765</v>
      </c>
      <c r="L676" s="33">
        <f>Examples!$H$18-(Examples!$H$10+Examples!$H$11)*$A676-(Examples!$H$6*Examples!$H$7*Examples!$H$8*EXP(-Examples!$H$9*$A676)*(1-(Examples!$H$12*(1-EXP(-Examples!$H$13*$A676))/(1+EXP(MIN(700,MAX(-700,(Examples!$H$14*$A676-Examples!$H$15)/Examples!$H$16))))))+Examples!$H$17*$A676^2)</f>
        <v>610550.00574009796</v>
      </c>
      <c r="M676" s="33">
        <f>(Examples!$H$6*Examples!$H$7*Examples!$H$8*EXP(-Examples!$H$9*$A676)*(1-(Examples!$H$12*(1-EXP(-Examples!$H$13*$A676))/(1+EXP(MIN(700,MAX(-700,(Examples!$H$14*$A676-Examples!$H$15)/Examples!$H$16))))))+Examples!$H$17*$A676^2)</f>
        <v>552449.99425990204</v>
      </c>
    </row>
    <row r="677" spans="1:13" x14ac:dyDescent="0.25">
      <c r="A677">
        <f>(677-2)/100</f>
        <v>6.75</v>
      </c>
      <c r="B677" s="33">
        <f>Examples!$C$18-(Examples!$C$10+Examples!$C$11)*$A677-(Examples!$C$6*Examples!$C$7*Examples!$C$8*EXP(-Examples!$C$9*$A677)*(1-(Examples!$C$12*(1-EXP(-Examples!$C$13*$A677))/(1+EXP(MIN(700,MAX(-700,(Examples!$C$14*$A677-Examples!$C$15)/Examples!$C$16))))))+Examples!$C$17*$A677^2)</f>
        <v>-398883.8039728693</v>
      </c>
      <c r="C677" s="33">
        <f>(Examples!$C$6*Examples!$C$7*Examples!$C$8*EXP(-Examples!$C$9*$A677)*(1-(Examples!$C$12*(1-EXP(-Examples!$C$13*$A677))/(1+EXP(MIN(700,MAX(-700,(Examples!$C$14*$A677-Examples!$C$15)/Examples!$C$16))))))+Examples!$C$17*$A677^2)</f>
        <v>762633.8039728693</v>
      </c>
      <c r="D677" s="33">
        <f>Examples!$D$18-(Examples!$D$10+Examples!$D$11)*$A677-(Examples!$D$6*Examples!$D$7*Examples!$D$8*EXP(-Examples!$D$9*$A677)*(1-(Examples!$D$12*(1-EXP(-Examples!$D$13*$A677))/(1+EXP(MIN(700,MAX(-700,(Examples!$D$14*$A677-Examples!$D$15)/Examples!$D$16))))))+Examples!$D$17*$A677^2)</f>
        <v>1684523.4686256284</v>
      </c>
      <c r="E677" s="33">
        <f>(Examples!$D$6*Examples!$D$7*Examples!$D$8*EXP(-Examples!$D$9*$A677)*(1-(Examples!$D$12*(1-EXP(-Examples!$D$13*$A677))/(1+EXP(MIN(700,MAX(-700,(Examples!$D$14*$A677-Examples!$D$15)/Examples!$D$16))))))+Examples!$D$17*$A677^2)</f>
        <v>511726.53137437167</v>
      </c>
      <c r="F677" s="33">
        <f>Examples!$E$18-(Examples!$E$10+Examples!$E$11)*$A677-(Examples!$E$6*Examples!$E$7*Examples!$E$8*EXP(-Examples!$E$9*$A677)*(1-(Examples!$E$12*(1-EXP(-Examples!$E$13*$A677))/(1+EXP(MIN(700,MAX(-700,(Examples!$E$14*$A677-Examples!$E$15)/Examples!$E$16))))))+Examples!$E$17*$A677^2)</f>
        <v>2212570.391706205</v>
      </c>
      <c r="G677" s="33">
        <f>(Examples!$E$6*Examples!$E$7*Examples!$E$8*EXP(-Examples!$E$9*$A677)*(1-(Examples!$E$12*(1-EXP(-Examples!$E$13*$A677))/(1+EXP(MIN(700,MAX(-700,(Examples!$E$14*$A677-Examples!$E$15)/Examples!$E$16))))))+Examples!$E$17*$A677^2)</f>
        <v>213679.60829379517</v>
      </c>
      <c r="H677" s="33">
        <f>Examples!$F$18-(Examples!$F$10+Examples!$F$11)*$A677-(Examples!$F$6*Examples!$F$7*Examples!$F$8*EXP(-Examples!$F$9*$A677)*(1-(Examples!$F$12*(1-EXP(-Examples!$F$13*$A677))/(1+EXP(MIN(700,MAX(-700,(Examples!$F$14*$A677-Examples!$F$15)/Examples!$F$16))))))+Examples!$F$17*$A677^2)</f>
        <v>-898559.89225547481</v>
      </c>
      <c r="I677" s="33">
        <f>(Examples!$F$6*Examples!$F$7*Examples!$F$8*EXP(-Examples!$F$9*$A677)*(1-(Examples!$F$12*(1-EXP(-Examples!$F$13*$A677))/(1+EXP(MIN(700,MAX(-700,(Examples!$F$14*$A677-Examples!$F$15)/Examples!$F$16))))))+Examples!$F$17*$A677^2)</f>
        <v>913559.89225547481</v>
      </c>
      <c r="J677" s="33">
        <f>Examples!$G$18-(Examples!$G$10+Examples!$G$11)*$A677-(Examples!$G$6*Examples!$G$7*Examples!$G$8*EXP(-Examples!$G$9*$A677)*(1-(Examples!$G$12*(1-EXP(-Examples!$G$13*$A677))/(1+EXP(MIN(700,MAX(-700,(Examples!$G$14*$A677-Examples!$G$15)/Examples!$G$16))))))+Examples!$G$17*$A677^2)</f>
        <v>610132.80247450643</v>
      </c>
      <c r="K677" s="33">
        <f>(Examples!$G$6*Examples!$G$7*Examples!$G$8*EXP(-Examples!$G$9*$A677)*(1-(Examples!$G$12*(1-EXP(-Examples!$G$13*$A677))/(1+EXP(MIN(700,MAX(-700,(Examples!$G$14*$A677-Examples!$G$15)/Examples!$G$16))))))+Examples!$G$17*$A677^2)</f>
        <v>552367.19752549357</v>
      </c>
      <c r="L677" s="33">
        <f>Examples!$H$18-(Examples!$H$10+Examples!$H$11)*$A677-(Examples!$H$6*Examples!$H$7*Examples!$H$8*EXP(-Examples!$H$9*$A677)*(1-(Examples!$H$12*(1-EXP(-Examples!$H$13*$A677))/(1+EXP(MIN(700,MAX(-700,(Examples!$H$14*$A677-Examples!$H$15)/Examples!$H$16))))))+Examples!$H$17*$A677^2)</f>
        <v>609631.24562819395</v>
      </c>
      <c r="M677" s="33">
        <f>(Examples!$H$6*Examples!$H$7*Examples!$H$8*EXP(-Examples!$H$9*$A677)*(1-(Examples!$H$12*(1-EXP(-Examples!$H$13*$A677))/(1+EXP(MIN(700,MAX(-700,(Examples!$H$14*$A677-Examples!$H$15)/Examples!$H$16))))))+Examples!$H$17*$A677^2)</f>
        <v>552868.75437180605</v>
      </c>
    </row>
    <row r="678" spans="1:13" x14ac:dyDescent="0.25">
      <c r="A678">
        <f>(678-2)/100</f>
        <v>6.76</v>
      </c>
      <c r="B678" s="33">
        <f>Examples!$C$18-(Examples!$C$10+Examples!$C$11)*$A678-(Examples!$C$6*Examples!$C$7*Examples!$C$8*EXP(-Examples!$C$9*$A678)*(1-(Examples!$C$12*(1-EXP(-Examples!$C$13*$A678))/(1+EXP(MIN(700,MAX(-700,(Examples!$C$14*$A678-Examples!$C$15)/Examples!$C$16))))))+Examples!$C$17*$A678^2)</f>
        <v>-401023.0711510689</v>
      </c>
      <c r="C678" s="33">
        <f>(Examples!$C$6*Examples!$C$7*Examples!$C$8*EXP(-Examples!$C$9*$A678)*(1-(Examples!$C$12*(1-EXP(-Examples!$C$13*$A678))/(1+EXP(MIN(700,MAX(-700,(Examples!$C$14*$A678-Examples!$C$15)/Examples!$C$16))))))+Examples!$C$17*$A678^2)</f>
        <v>764423.0711510689</v>
      </c>
      <c r="D678" s="33">
        <f>Examples!$D$18-(Examples!$D$10+Examples!$D$11)*$A678-(Examples!$D$6*Examples!$D$7*Examples!$D$8*EXP(-Examples!$D$9*$A678)*(1-(Examples!$D$12*(1-EXP(-Examples!$D$13*$A678))/(1+EXP(MIN(700,MAX(-700,(Examples!$D$14*$A678-Examples!$D$15)/Examples!$D$16))))))+Examples!$D$17*$A678^2)</f>
        <v>1684623.7161879847</v>
      </c>
      <c r="E678" s="33">
        <f>(Examples!$D$6*Examples!$D$7*Examples!$D$8*EXP(-Examples!$D$9*$A678)*(1-(Examples!$D$12*(1-EXP(-Examples!$D$13*$A678))/(1+EXP(MIN(700,MAX(-700,(Examples!$D$14*$A678-Examples!$D$15)/Examples!$D$16))))))+Examples!$D$17*$A678^2)</f>
        <v>511176.28381201532</v>
      </c>
      <c r="F678" s="33">
        <f>Examples!$E$18-(Examples!$E$10+Examples!$E$11)*$A678-(Examples!$E$6*Examples!$E$7*Examples!$E$8*EXP(-Examples!$E$9*$A678)*(1-(Examples!$E$12*(1-EXP(-Examples!$E$13*$A678))/(1+EXP(MIN(700,MAX(-700,(Examples!$E$14*$A678-Examples!$E$15)/Examples!$E$16))))))+Examples!$E$17*$A678^2)</f>
        <v>2211601.9636277449</v>
      </c>
      <c r="G678" s="33">
        <f>(Examples!$E$6*Examples!$E$7*Examples!$E$8*EXP(-Examples!$E$9*$A678)*(1-(Examples!$E$12*(1-EXP(-Examples!$E$13*$A678))/(1+EXP(MIN(700,MAX(-700,(Examples!$E$14*$A678-Examples!$E$15)/Examples!$E$16))))))+Examples!$E$17*$A678^2)</f>
        <v>213798.03637225513</v>
      </c>
      <c r="H678" s="33">
        <f>Examples!$F$18-(Examples!$F$10+Examples!$F$11)*$A678-(Examples!$F$6*Examples!$F$7*Examples!$F$8*EXP(-Examples!$F$9*$A678)*(1-(Examples!$F$12*(1-EXP(-Examples!$F$13*$A678))/(1+EXP(MIN(700,MAX(-700,(Examples!$F$14*$A678-Examples!$F$15)/Examples!$F$16))))))+Examples!$F$17*$A678^2)</f>
        <v>-901454.97296284873</v>
      </c>
      <c r="I678" s="33">
        <f>(Examples!$F$6*Examples!$F$7*Examples!$F$8*EXP(-Examples!$F$9*$A678)*(1-(Examples!$F$12*(1-EXP(-Examples!$F$13*$A678))/(1+EXP(MIN(700,MAX(-700,(Examples!$F$14*$A678-Examples!$F$15)/Examples!$F$16))))))+Examples!$F$17*$A678^2)</f>
        <v>916254.97296284873</v>
      </c>
      <c r="J678" s="33">
        <f>Examples!$G$18-(Examples!$G$10+Examples!$G$11)*$A678-(Examples!$G$6*Examples!$G$7*Examples!$G$8*EXP(-Examples!$G$9*$A678)*(1-(Examples!$G$12*(1-EXP(-Examples!$G$13*$A678))/(1+EXP(MIN(700,MAX(-700,(Examples!$G$14*$A678-Examples!$G$15)/Examples!$G$16))))))+Examples!$G$17*$A678^2)</f>
        <v>609201.87582296005</v>
      </c>
      <c r="K678" s="33">
        <f>(Examples!$G$6*Examples!$G$7*Examples!$G$8*EXP(-Examples!$G$9*$A678)*(1-(Examples!$G$12*(1-EXP(-Examples!$G$13*$A678))/(1+EXP(MIN(700,MAX(-700,(Examples!$G$14*$A678-Examples!$G$15)/Examples!$G$16))))))+Examples!$G$17*$A678^2)</f>
        <v>552798.12417703995</v>
      </c>
      <c r="L678" s="33">
        <f>Examples!$H$18-(Examples!$H$10+Examples!$H$11)*$A678-(Examples!$H$6*Examples!$H$7*Examples!$H$8*EXP(-Examples!$H$9*$A678)*(1-(Examples!$H$12*(1-EXP(-Examples!$H$13*$A678))/(1+EXP(MIN(700,MAX(-700,(Examples!$H$14*$A678-Examples!$H$15)/Examples!$H$16))))))+Examples!$H$17*$A678^2)</f>
        <v>608708.57821959862</v>
      </c>
      <c r="M678" s="33">
        <f>(Examples!$H$6*Examples!$H$7*Examples!$H$8*EXP(-Examples!$H$9*$A678)*(1-(Examples!$H$12*(1-EXP(-Examples!$H$13*$A678))/(1+EXP(MIN(700,MAX(-700,(Examples!$H$14*$A678-Examples!$H$15)/Examples!$H$16))))))+Examples!$H$17*$A678^2)</f>
        <v>553291.42178040138</v>
      </c>
    </row>
    <row r="679" spans="1:13" x14ac:dyDescent="0.25">
      <c r="A679">
        <f>(679-2)/100</f>
        <v>6.77</v>
      </c>
      <c r="B679" s="33">
        <f>Examples!$C$18-(Examples!$C$10+Examples!$C$11)*$A679-(Examples!$C$6*Examples!$C$7*Examples!$C$8*EXP(-Examples!$C$9*$A679)*(1-(Examples!$C$12*(1-EXP(-Examples!$C$13*$A679))/(1+EXP(MIN(700,MAX(-700,(Examples!$C$14*$A679-Examples!$C$15)/Examples!$C$16))))))+Examples!$C$17*$A679^2)</f>
        <v>-403166.04895902949</v>
      </c>
      <c r="C679" s="33">
        <f>(Examples!$C$6*Examples!$C$7*Examples!$C$8*EXP(-Examples!$C$9*$A679)*(1-(Examples!$C$12*(1-EXP(-Examples!$C$13*$A679))/(1+EXP(MIN(700,MAX(-700,(Examples!$C$14*$A679-Examples!$C$15)/Examples!$C$16))))))+Examples!$C$17*$A679^2)</f>
        <v>766216.04895902949</v>
      </c>
      <c r="D679" s="33">
        <f>Examples!$D$18-(Examples!$D$10+Examples!$D$11)*$A679-(Examples!$D$6*Examples!$D$7*Examples!$D$8*EXP(-Examples!$D$9*$A679)*(1-(Examples!$D$12*(1-EXP(-Examples!$D$13*$A679))/(1+EXP(MIN(700,MAX(-700,(Examples!$D$14*$A679-Examples!$D$15)/Examples!$D$16))))))+Examples!$D$17*$A679^2)</f>
        <v>1684718.2959141666</v>
      </c>
      <c r="E679" s="33">
        <f>(Examples!$D$6*Examples!$D$7*Examples!$D$8*EXP(-Examples!$D$9*$A679)*(1-(Examples!$D$12*(1-EXP(-Examples!$D$13*$A679))/(1+EXP(MIN(700,MAX(-700,(Examples!$D$14*$A679-Examples!$D$15)/Examples!$D$16))))))+Examples!$D$17*$A679^2)</f>
        <v>510631.70408583351</v>
      </c>
      <c r="F679" s="33">
        <f>Examples!$E$18-(Examples!$E$10+Examples!$E$11)*$A679-(Examples!$E$6*Examples!$E$7*Examples!$E$8*EXP(-Examples!$E$9*$A679)*(1-(Examples!$E$12*(1-EXP(-Examples!$E$13*$A679))/(1+EXP(MIN(700,MAX(-700,(Examples!$E$14*$A679-Examples!$E$15)/Examples!$E$16))))))+Examples!$E$17*$A679^2)</f>
        <v>2210632.4431811045</v>
      </c>
      <c r="G679" s="33">
        <f>(Examples!$E$6*Examples!$E$7*Examples!$E$8*EXP(-Examples!$E$9*$A679)*(1-(Examples!$E$12*(1-EXP(-Examples!$E$13*$A679))/(1+EXP(MIN(700,MAX(-700,(Examples!$E$14*$A679-Examples!$E$15)/Examples!$E$16))))))+Examples!$E$17*$A679^2)</f>
        <v>213917.55681889533</v>
      </c>
      <c r="H679" s="33">
        <f>Examples!$F$18-(Examples!$F$10+Examples!$F$11)*$A679-(Examples!$F$6*Examples!$F$7*Examples!$F$8*EXP(-Examples!$F$9*$A679)*(1-(Examples!$F$12*(1-EXP(-Examples!$F$13*$A679))/(1+EXP(MIN(700,MAX(-700,(Examples!$F$14*$A679-Examples!$F$15)/Examples!$F$16))))))+Examples!$F$17*$A679^2)</f>
        <v>-904354.07439699455</v>
      </c>
      <c r="I679" s="33">
        <f>(Examples!$F$6*Examples!$F$7*Examples!$F$8*EXP(-Examples!$F$9*$A679)*(1-(Examples!$F$12*(1-EXP(-Examples!$F$13*$A679))/(1+EXP(MIN(700,MAX(-700,(Examples!$F$14*$A679-Examples!$F$15)/Examples!$F$16))))))+Examples!$F$17*$A679^2)</f>
        <v>918954.07439699455</v>
      </c>
      <c r="J679" s="33">
        <f>Examples!$G$18-(Examples!$G$10+Examples!$G$11)*$A679-(Examples!$G$6*Examples!$G$7*Examples!$G$8*EXP(-Examples!$G$9*$A679)*(1-(Examples!$G$12*(1-EXP(-Examples!$G$13*$A679))/(1+EXP(MIN(700,MAX(-700,(Examples!$G$14*$A679-Examples!$G$15)/Examples!$G$16))))))+Examples!$G$17*$A679^2)</f>
        <v>608267.18514065992</v>
      </c>
      <c r="K679" s="33">
        <f>(Examples!$G$6*Examples!$G$7*Examples!$G$8*EXP(-Examples!$G$9*$A679)*(1-(Examples!$G$12*(1-EXP(-Examples!$G$13*$A679))/(1+EXP(MIN(700,MAX(-700,(Examples!$G$14*$A679-Examples!$G$15)/Examples!$G$16))))))+Examples!$G$17*$A679^2)</f>
        <v>553232.81485934008</v>
      </c>
      <c r="L679" s="33">
        <f>Examples!$H$18-(Examples!$H$10+Examples!$H$11)*$A679-(Examples!$H$6*Examples!$H$7*Examples!$H$8*EXP(-Examples!$H$9*$A679)*(1-(Examples!$H$12*(1-EXP(-Examples!$H$13*$A679))/(1+EXP(MIN(700,MAX(-700,(Examples!$H$14*$A679-Examples!$H$15)/Examples!$H$16))))))+Examples!$H$17*$A679^2)</f>
        <v>607782.01156872045</v>
      </c>
      <c r="M679" s="33">
        <f>(Examples!$H$6*Examples!$H$7*Examples!$H$8*EXP(-Examples!$H$9*$A679)*(1-(Examples!$H$12*(1-EXP(-Examples!$H$13*$A679))/(1+EXP(MIN(700,MAX(-700,(Examples!$H$14*$A679-Examples!$H$15)/Examples!$H$16))))))+Examples!$H$17*$A679^2)</f>
        <v>553717.98843127955</v>
      </c>
    </row>
    <row r="680" spans="1:13" x14ac:dyDescent="0.25">
      <c r="A680">
        <f>(680-2)/100</f>
        <v>6.78</v>
      </c>
      <c r="B680" s="33">
        <f>Examples!$C$18-(Examples!$C$10+Examples!$C$11)*$A680-(Examples!$C$6*Examples!$C$7*Examples!$C$8*EXP(-Examples!$C$9*$A680)*(1-(Examples!$C$12*(1-EXP(-Examples!$C$13*$A680))/(1+EXP(MIN(700,MAX(-700,(Examples!$C$14*$A680-Examples!$C$15)/Examples!$C$16))))))+Examples!$C$17*$A680^2)</f>
        <v>-405312.73526813509</v>
      </c>
      <c r="C680" s="33">
        <f>(Examples!$C$6*Examples!$C$7*Examples!$C$8*EXP(-Examples!$C$9*$A680)*(1-(Examples!$C$12*(1-EXP(-Examples!$C$13*$A680))/(1+EXP(MIN(700,MAX(-700,(Examples!$C$14*$A680-Examples!$C$15)/Examples!$C$16))))))+Examples!$C$17*$A680^2)</f>
        <v>768012.73526813509</v>
      </c>
      <c r="D680" s="33">
        <f>Examples!$D$18-(Examples!$D$10+Examples!$D$11)*$A680-(Examples!$D$6*Examples!$D$7*Examples!$D$8*EXP(-Examples!$D$9*$A680)*(1-(Examples!$D$12*(1-EXP(-Examples!$D$13*$A680))/(1+EXP(MIN(700,MAX(-700,(Examples!$D$14*$A680-Examples!$D$15)/Examples!$D$16))))))+Examples!$D$17*$A680^2)</f>
        <v>1684807.2148491901</v>
      </c>
      <c r="E680" s="33">
        <f>(Examples!$D$6*Examples!$D$7*Examples!$D$8*EXP(-Examples!$D$9*$A680)*(1-(Examples!$D$12*(1-EXP(-Examples!$D$13*$A680))/(1+EXP(MIN(700,MAX(-700,(Examples!$D$14*$A680-Examples!$D$15)/Examples!$D$16))))))+Examples!$D$17*$A680^2)</f>
        <v>510092.78515080991</v>
      </c>
      <c r="F680" s="33">
        <f>Examples!$E$18-(Examples!$E$10+Examples!$E$11)*$A680-(Examples!$E$6*Examples!$E$7*Examples!$E$8*EXP(-Examples!$E$9*$A680)*(1-(Examples!$E$12*(1-EXP(-Examples!$E$13*$A680))/(1+EXP(MIN(700,MAX(-700,(Examples!$E$14*$A680-Examples!$E$15)/Examples!$E$16))))))+Examples!$E$17*$A680^2)</f>
        <v>2209661.8257974084</v>
      </c>
      <c r="G680" s="33">
        <f>(Examples!$E$6*Examples!$E$7*Examples!$E$8*EXP(-Examples!$E$9*$A680)*(1-(Examples!$E$12*(1-EXP(-Examples!$E$13*$A680))/(1+EXP(MIN(700,MAX(-700,(Examples!$E$14*$A680-Examples!$E$15)/Examples!$E$16))))))+Examples!$E$17*$A680^2)</f>
        <v>214038.17420259159</v>
      </c>
      <c r="H680" s="33">
        <f>Examples!$F$18-(Examples!$F$10+Examples!$F$11)*$A680-(Examples!$F$6*Examples!$F$7*Examples!$F$8*EXP(-Examples!$F$9*$A680)*(1-(Examples!$F$12*(1-EXP(-Examples!$F$13*$A680))/(1+EXP(MIN(700,MAX(-700,(Examples!$F$14*$A680-Examples!$F$15)/Examples!$F$16))))))+Examples!$F$17*$A680^2)</f>
        <v>-907257.19649582496</v>
      </c>
      <c r="I680" s="33">
        <f>(Examples!$F$6*Examples!$F$7*Examples!$F$8*EXP(-Examples!$F$9*$A680)*(1-(Examples!$F$12*(1-EXP(-Examples!$F$13*$A680))/(1+EXP(MIN(700,MAX(-700,(Examples!$F$14*$A680-Examples!$F$15)/Examples!$F$16))))))+Examples!$F$17*$A680^2)</f>
        <v>921657.19649582496</v>
      </c>
      <c r="J680" s="33">
        <f>Examples!$G$18-(Examples!$G$10+Examples!$G$11)*$A680-(Examples!$G$6*Examples!$G$7*Examples!$G$8*EXP(-Examples!$G$9*$A680)*(1-(Examples!$G$12*(1-EXP(-Examples!$G$13*$A680))/(1+EXP(MIN(700,MAX(-700,(Examples!$G$14*$A680-Examples!$G$15)/Examples!$G$16))))))+Examples!$G$17*$A680^2)</f>
        <v>607328.73626096116</v>
      </c>
      <c r="K680" s="33">
        <f>(Examples!$G$6*Examples!$G$7*Examples!$G$8*EXP(-Examples!$G$9*$A680)*(1-(Examples!$G$12*(1-EXP(-Examples!$G$13*$A680))/(1+EXP(MIN(700,MAX(-700,(Examples!$G$14*$A680-Examples!$G$15)/Examples!$G$16))))))+Examples!$G$17*$A680^2)</f>
        <v>553671.26373903884</v>
      </c>
      <c r="L680" s="33">
        <f>Examples!$H$18-(Examples!$H$10+Examples!$H$11)*$A680-(Examples!$H$6*Examples!$H$7*Examples!$H$8*EXP(-Examples!$H$9*$A680)*(1-(Examples!$H$12*(1-EXP(-Examples!$H$13*$A680))/(1+EXP(MIN(700,MAX(-700,(Examples!$H$14*$A680-Examples!$H$15)/Examples!$H$16))))))+Examples!$H$17*$A680^2)</f>
        <v>606851.55370206945</v>
      </c>
      <c r="M680" s="33">
        <f>(Examples!$H$6*Examples!$H$7*Examples!$H$8*EXP(-Examples!$H$9*$A680)*(1-(Examples!$H$12*(1-EXP(-Examples!$H$13*$A680))/(1+EXP(MIN(700,MAX(-700,(Examples!$H$14*$A680-Examples!$H$15)/Examples!$H$16))))))+Examples!$H$17*$A680^2)</f>
        <v>554148.44629793055</v>
      </c>
    </row>
    <row r="681" spans="1:13" x14ac:dyDescent="0.25">
      <c r="A681">
        <f>(681-2)/100</f>
        <v>6.79</v>
      </c>
      <c r="B681" s="33">
        <f>Examples!$C$18-(Examples!$C$10+Examples!$C$11)*$A681-(Examples!$C$6*Examples!$C$7*Examples!$C$8*EXP(-Examples!$C$9*$A681)*(1-(Examples!$C$12*(1-EXP(-Examples!$C$13*$A681))/(1+EXP(MIN(700,MAX(-700,(Examples!$C$14*$A681-Examples!$C$15)/Examples!$C$16))))))+Examples!$C$17*$A681^2)</f>
        <v>-407463.12795614288</v>
      </c>
      <c r="C681" s="33">
        <f>(Examples!$C$6*Examples!$C$7*Examples!$C$8*EXP(-Examples!$C$9*$A681)*(1-(Examples!$C$12*(1-EXP(-Examples!$C$13*$A681))/(1+EXP(MIN(700,MAX(-700,(Examples!$C$14*$A681-Examples!$C$15)/Examples!$C$16))))))+Examples!$C$17*$A681^2)</f>
        <v>769813.12795614288</v>
      </c>
      <c r="D681" s="33">
        <f>Examples!$D$18-(Examples!$D$10+Examples!$D$11)*$A681-(Examples!$D$6*Examples!$D$7*Examples!$D$8*EXP(-Examples!$D$9*$A681)*(1-(Examples!$D$12*(1-EXP(-Examples!$D$13*$A681))/(1+EXP(MIN(700,MAX(-700,(Examples!$D$14*$A681-Examples!$D$15)/Examples!$D$16))))))+Examples!$D$17*$A681^2)</f>
        <v>1684890.4802281698</v>
      </c>
      <c r="E681" s="33">
        <f>(Examples!$D$6*Examples!$D$7*Examples!$D$8*EXP(-Examples!$D$9*$A681)*(1-(Examples!$D$12*(1-EXP(-Examples!$D$13*$A681))/(1+EXP(MIN(700,MAX(-700,(Examples!$D$14*$A681-Examples!$D$15)/Examples!$D$16))))))+Examples!$D$17*$A681^2)</f>
        <v>509559.5197718303</v>
      </c>
      <c r="F681" s="33">
        <f>Examples!$E$18-(Examples!$E$10+Examples!$E$11)*$A681-(Examples!$E$6*Examples!$E$7*Examples!$E$8*EXP(-Examples!$E$9*$A681)*(1-(Examples!$E$12*(1-EXP(-Examples!$E$13*$A681))/(1+EXP(MIN(700,MAX(-700,(Examples!$E$14*$A681-Examples!$E$15)/Examples!$E$16))))))+Examples!$E$17*$A681^2)</f>
        <v>2208690.1069484022</v>
      </c>
      <c r="G681" s="33">
        <f>(Examples!$E$6*Examples!$E$7*Examples!$E$8*EXP(-Examples!$E$9*$A681)*(1-(Examples!$E$12*(1-EXP(-Examples!$E$13*$A681))/(1+EXP(MIN(700,MAX(-700,(Examples!$E$14*$A681-Examples!$E$15)/Examples!$E$16))))))+Examples!$E$17*$A681^2)</f>
        <v>214159.89305159761</v>
      </c>
      <c r="H681" s="33">
        <f>Examples!$F$18-(Examples!$F$10+Examples!$F$11)*$A681-(Examples!$F$6*Examples!$F$7*Examples!$F$8*EXP(-Examples!$F$9*$A681)*(1-(Examples!$F$12*(1-EXP(-Examples!$F$13*$A681))/(1+EXP(MIN(700,MAX(-700,(Examples!$F$14*$A681-Examples!$F$15)/Examples!$F$16))))))+Examples!$F$17*$A681^2)</f>
        <v>-910164.33919743868</v>
      </c>
      <c r="I681" s="33">
        <f>(Examples!$F$6*Examples!$F$7*Examples!$F$8*EXP(-Examples!$F$9*$A681)*(1-(Examples!$F$12*(1-EXP(-Examples!$F$13*$A681))/(1+EXP(MIN(700,MAX(-700,(Examples!$F$14*$A681-Examples!$F$15)/Examples!$F$16))))))+Examples!$F$17*$A681^2)</f>
        <v>924364.33919743868</v>
      </c>
      <c r="J681" s="33">
        <f>Examples!$G$18-(Examples!$G$10+Examples!$G$11)*$A681-(Examples!$G$6*Examples!$G$7*Examples!$G$8*EXP(-Examples!$G$9*$A681)*(1-(Examples!$G$12*(1-EXP(-Examples!$G$13*$A681))/(1+EXP(MIN(700,MAX(-700,(Examples!$G$14*$A681-Examples!$G$15)/Examples!$G$16))))))+Examples!$G$17*$A681^2)</f>
        <v>606386.53502444329</v>
      </c>
      <c r="K681" s="33">
        <f>(Examples!$G$6*Examples!$G$7*Examples!$G$8*EXP(-Examples!$G$9*$A681)*(1-(Examples!$G$12*(1-EXP(-Examples!$G$13*$A681))/(1+EXP(MIN(700,MAX(-700,(Examples!$G$14*$A681-Examples!$G$15)/Examples!$G$16))))))+Examples!$G$17*$A681^2)</f>
        <v>554113.46497555671</v>
      </c>
      <c r="L681" s="33">
        <f>Examples!$H$18-(Examples!$H$10+Examples!$H$11)*$A681-(Examples!$H$6*Examples!$H$7*Examples!$H$8*EXP(-Examples!$H$9*$A681)*(1-(Examples!$H$12*(1-EXP(-Examples!$H$13*$A681))/(1+EXP(MIN(700,MAX(-700,(Examples!$H$14*$A681-Examples!$H$15)/Examples!$H$16))))))+Examples!$H$17*$A681^2)</f>
        <v>605917.21261834609</v>
      </c>
      <c r="M681" s="33">
        <f>(Examples!$H$6*Examples!$H$7*Examples!$H$8*EXP(-Examples!$H$9*$A681)*(1-(Examples!$H$12*(1-EXP(-Examples!$H$13*$A681))/(1+EXP(MIN(700,MAX(-700,(Examples!$H$14*$A681-Examples!$H$15)/Examples!$H$16))))))+Examples!$H$17*$A681^2)</f>
        <v>554582.78738165391</v>
      </c>
    </row>
    <row r="682" spans="1:13" x14ac:dyDescent="0.25">
      <c r="A682">
        <f>(682-2)/100</f>
        <v>6.8</v>
      </c>
      <c r="B682" s="33">
        <f>Examples!$C$18-(Examples!$C$10+Examples!$C$11)*$A682-(Examples!$C$6*Examples!$C$7*Examples!$C$8*EXP(-Examples!$C$9*$A682)*(1-(Examples!$C$12*(1-EXP(-Examples!$C$13*$A682))/(1+EXP(MIN(700,MAX(-700,(Examples!$C$14*$A682-Examples!$C$15)/Examples!$C$16))))))+Examples!$C$17*$A682^2)</f>
        <v>-409617.22490716469</v>
      </c>
      <c r="C682" s="33">
        <f>(Examples!$C$6*Examples!$C$7*Examples!$C$8*EXP(-Examples!$C$9*$A682)*(1-(Examples!$C$12*(1-EXP(-Examples!$C$13*$A682))/(1+EXP(MIN(700,MAX(-700,(Examples!$C$14*$A682-Examples!$C$15)/Examples!$C$16))))))+Examples!$C$17*$A682^2)</f>
        <v>771617.22490716469</v>
      </c>
      <c r="D682" s="33">
        <f>Examples!$D$18-(Examples!$D$10+Examples!$D$11)*$A682-(Examples!$D$6*Examples!$D$7*Examples!$D$8*EXP(-Examples!$D$9*$A682)*(1-(Examples!$D$12*(1-EXP(-Examples!$D$13*$A682))/(1+EXP(MIN(700,MAX(-700,(Examples!$D$14*$A682-Examples!$D$15)/Examples!$D$16))))))+Examples!$D$17*$A682^2)</f>
        <v>1684968.0994722228</v>
      </c>
      <c r="E682" s="33">
        <f>(Examples!$D$6*Examples!$D$7*Examples!$D$8*EXP(-Examples!$D$9*$A682)*(1-(Examples!$D$12*(1-EXP(-Examples!$D$13*$A682))/(1+EXP(MIN(700,MAX(-700,(Examples!$D$14*$A682-Examples!$D$15)/Examples!$D$16))))))+Examples!$D$17*$A682^2)</f>
        <v>509031.90052777703</v>
      </c>
      <c r="F682" s="33">
        <f>Examples!$E$18-(Examples!$E$10+Examples!$E$11)*$A682-(Examples!$E$6*Examples!$E$7*Examples!$E$8*EXP(-Examples!$E$9*$A682)*(1-(Examples!$E$12*(1-EXP(-Examples!$E$13*$A682))/(1+EXP(MIN(700,MAX(-700,(Examples!$E$14*$A682-Examples!$E$15)/Examples!$E$16))))))+Examples!$E$17*$A682^2)</f>
        <v>2207717.2821468534</v>
      </c>
      <c r="G682" s="33">
        <f>(Examples!$E$6*Examples!$E$7*Examples!$E$8*EXP(-Examples!$E$9*$A682)*(1-(Examples!$E$12*(1-EXP(-Examples!$E$13*$A682))/(1+EXP(MIN(700,MAX(-700,(Examples!$E$14*$A682-Examples!$E$15)/Examples!$E$16))))))+Examples!$E$17*$A682^2)</f>
        <v>214282.71785314666</v>
      </c>
      <c r="H682" s="33">
        <f>Examples!$F$18-(Examples!$F$10+Examples!$F$11)*$A682-(Examples!$F$6*Examples!$F$7*Examples!$F$8*EXP(-Examples!$F$9*$A682)*(1-(Examples!$F$12*(1-EXP(-Examples!$F$13*$A682))/(1+EXP(MIN(700,MAX(-700,(Examples!$F$14*$A682-Examples!$F$15)/Examples!$F$16))))))+Examples!$F$17*$A682^2)</f>
        <v>-913075.50244011998</v>
      </c>
      <c r="I682" s="33">
        <f>(Examples!$F$6*Examples!$F$7*Examples!$F$8*EXP(-Examples!$F$9*$A682)*(1-(Examples!$F$12*(1-EXP(-Examples!$F$13*$A682))/(1+EXP(MIN(700,MAX(-700,(Examples!$F$14*$A682-Examples!$F$15)/Examples!$F$16))))))+Examples!$F$17*$A682^2)</f>
        <v>927075.50244011998</v>
      </c>
      <c r="J682" s="33">
        <f>Examples!$G$18-(Examples!$G$10+Examples!$G$11)*$A682-(Examples!$G$6*Examples!$G$7*Examples!$G$8*EXP(-Examples!$G$9*$A682)*(1-(Examples!$G$12*(1-EXP(-Examples!$G$13*$A682))/(1+EXP(MIN(700,MAX(-700,(Examples!$G$14*$A682-Examples!$G$15)/Examples!$G$16))))))+Examples!$G$17*$A682^2)</f>
        <v>605440.58727845445</v>
      </c>
      <c r="K682" s="33">
        <f>(Examples!$G$6*Examples!$G$7*Examples!$G$8*EXP(-Examples!$G$9*$A682)*(1-(Examples!$G$12*(1-EXP(-Examples!$G$13*$A682))/(1+EXP(MIN(700,MAX(-700,(Examples!$G$14*$A682-Examples!$G$15)/Examples!$G$16))))))+Examples!$G$17*$A682^2)</f>
        <v>554559.41272154555</v>
      </c>
      <c r="L682" s="33">
        <f>Examples!$H$18-(Examples!$H$10+Examples!$H$11)*$A682-(Examples!$H$6*Examples!$H$7*Examples!$H$8*EXP(-Examples!$H$9*$A682)*(1-(Examples!$H$12*(1-EXP(-Examples!$H$13*$A682))/(1+EXP(MIN(700,MAX(-700,(Examples!$H$14*$A682-Examples!$H$15)/Examples!$H$16))))))+Examples!$H$17*$A682^2)</f>
        <v>604978.99628853123</v>
      </c>
      <c r="M682" s="33">
        <f>(Examples!$H$6*Examples!$H$7*Examples!$H$8*EXP(-Examples!$H$9*$A682)*(1-(Examples!$H$12*(1-EXP(-Examples!$H$13*$A682))/(1+EXP(MIN(700,MAX(-700,(Examples!$H$14*$A682-Examples!$H$15)/Examples!$H$16))))))+Examples!$H$17*$A682^2)</f>
        <v>555021.00371146877</v>
      </c>
    </row>
    <row r="683" spans="1:13" x14ac:dyDescent="0.25">
      <c r="A683">
        <f>(683-2)/100</f>
        <v>6.81</v>
      </c>
      <c r="B683" s="33">
        <f>Examples!$C$18-(Examples!$C$10+Examples!$C$11)*$A683-(Examples!$C$6*Examples!$C$7*Examples!$C$8*EXP(-Examples!$C$9*$A683)*(1-(Examples!$C$12*(1-EXP(-Examples!$C$13*$A683))/(1+EXP(MIN(700,MAX(-700,(Examples!$C$14*$A683-Examples!$C$15)/Examples!$C$16))))))+Examples!$C$17*$A683^2)</f>
        <v>-411775.02401164849</v>
      </c>
      <c r="C683" s="33">
        <f>(Examples!$C$6*Examples!$C$7*Examples!$C$8*EXP(-Examples!$C$9*$A683)*(1-(Examples!$C$12*(1-EXP(-Examples!$C$13*$A683))/(1+EXP(MIN(700,MAX(-700,(Examples!$C$14*$A683-Examples!$C$15)/Examples!$C$16))))))+Examples!$C$17*$A683^2)</f>
        <v>773425.02401164849</v>
      </c>
      <c r="D683" s="33">
        <f>Examples!$D$18-(Examples!$D$10+Examples!$D$11)*$A683-(Examples!$D$6*Examples!$D$7*Examples!$D$8*EXP(-Examples!$D$9*$A683)*(1-(Examples!$D$12*(1-EXP(-Examples!$D$13*$A683))/(1+EXP(MIN(700,MAX(-700,(Examples!$D$14*$A683-Examples!$D$15)/Examples!$D$16))))))+Examples!$D$17*$A683^2)</f>
        <v>1685040.0801844327</v>
      </c>
      <c r="E683" s="33">
        <f>(Examples!$D$6*Examples!$D$7*Examples!$D$8*EXP(-Examples!$D$9*$A683)*(1-(Examples!$D$12*(1-EXP(-Examples!$D$13*$A683))/(1+EXP(MIN(700,MAX(-700,(Examples!$D$14*$A683-Examples!$D$15)/Examples!$D$16))))))+Examples!$D$17*$A683^2)</f>
        <v>508509.91981556721</v>
      </c>
      <c r="F683" s="33">
        <f>Examples!$E$18-(Examples!$E$10+Examples!$E$11)*$A683-(Examples!$E$6*Examples!$E$7*Examples!$E$8*EXP(-Examples!$E$9*$A683)*(1-(Examples!$E$12*(1-EXP(-Examples!$E$13*$A683))/(1+EXP(MIN(700,MAX(-700,(Examples!$E$14*$A683-Examples!$E$15)/Examples!$E$16))))))+Examples!$E$17*$A683^2)</f>
        <v>2206743.3469469319</v>
      </c>
      <c r="G683" s="33">
        <f>(Examples!$E$6*Examples!$E$7*Examples!$E$8*EXP(-Examples!$E$9*$A683)*(1-(Examples!$E$12*(1-EXP(-Examples!$E$13*$A683))/(1+EXP(MIN(700,MAX(-700,(Examples!$E$14*$A683-Examples!$E$15)/Examples!$E$16))))))+Examples!$E$17*$A683^2)</f>
        <v>214406.65305306809</v>
      </c>
      <c r="H683" s="33">
        <f>Examples!$F$18-(Examples!$F$10+Examples!$F$11)*$A683-(Examples!$F$6*Examples!$F$7*Examples!$F$8*EXP(-Examples!$F$9*$A683)*(1-(Examples!$F$12*(1-EXP(-Examples!$F$13*$A683))/(1+EXP(MIN(700,MAX(-700,(Examples!$F$14*$A683-Examples!$F$15)/Examples!$F$16))))))+Examples!$F$17*$A683^2)</f>
        <v>-915990.68616233824</v>
      </c>
      <c r="I683" s="33">
        <f>(Examples!$F$6*Examples!$F$7*Examples!$F$8*EXP(-Examples!$F$9*$A683)*(1-(Examples!$F$12*(1-EXP(-Examples!$F$13*$A683))/(1+EXP(MIN(700,MAX(-700,(Examples!$F$14*$A683-Examples!$F$15)/Examples!$F$16))))))+Examples!$F$17*$A683^2)</f>
        <v>929790.68616233824</v>
      </c>
      <c r="J683" s="33">
        <f>Examples!$G$18-(Examples!$G$10+Examples!$G$11)*$A683-(Examples!$G$6*Examples!$G$7*Examples!$G$8*EXP(-Examples!$G$9*$A683)*(1-(Examples!$G$12*(1-EXP(-Examples!$G$13*$A683))/(1+EXP(MIN(700,MAX(-700,(Examples!$G$14*$A683-Examples!$G$15)/Examples!$G$16))))))+Examples!$G$17*$A683^2)</f>
        <v>604490.89887666318</v>
      </c>
      <c r="K683" s="33">
        <f>(Examples!$G$6*Examples!$G$7*Examples!$G$8*EXP(-Examples!$G$9*$A683)*(1-(Examples!$G$12*(1-EXP(-Examples!$G$13*$A683))/(1+EXP(MIN(700,MAX(-700,(Examples!$G$14*$A683-Examples!$G$15)/Examples!$G$16))))))+Examples!$G$17*$A683^2)</f>
        <v>555009.10112333682</v>
      </c>
      <c r="L683" s="33">
        <f>Examples!$H$18-(Examples!$H$10+Examples!$H$11)*$A683-(Examples!$H$6*Examples!$H$7*Examples!$H$8*EXP(-Examples!$H$9*$A683)*(1-(Examples!$H$12*(1-EXP(-Examples!$H$13*$A683))/(1+EXP(MIN(700,MAX(-700,(Examples!$H$14*$A683-Examples!$H$15)/Examples!$H$16))))))+Examples!$H$17*$A683^2)</f>
        <v>604036.91265597381</v>
      </c>
      <c r="M683" s="33">
        <f>(Examples!$H$6*Examples!$H$7*Examples!$H$8*EXP(-Examples!$H$9*$A683)*(1-(Examples!$H$12*(1-EXP(-Examples!$H$13*$A683))/(1+EXP(MIN(700,MAX(-700,(Examples!$H$14*$A683-Examples!$H$15)/Examples!$H$16))))))+Examples!$H$17*$A683^2)</f>
        <v>555463.08734402619</v>
      </c>
    </row>
    <row r="684" spans="1:13" x14ac:dyDescent="0.25">
      <c r="A684">
        <f>(684-2)/100</f>
        <v>6.82</v>
      </c>
      <c r="B684" s="33">
        <f>Examples!$C$18-(Examples!$C$10+Examples!$C$11)*$A684-(Examples!$C$6*Examples!$C$7*Examples!$C$8*EXP(-Examples!$C$9*$A684)*(1-(Examples!$C$12*(1-EXP(-Examples!$C$13*$A684))/(1+EXP(MIN(700,MAX(-700,(Examples!$C$14*$A684-Examples!$C$15)/Examples!$C$16))))))+Examples!$C$17*$A684^2)</f>
        <v>-413936.52316635835</v>
      </c>
      <c r="C684" s="33">
        <f>(Examples!$C$6*Examples!$C$7*Examples!$C$8*EXP(-Examples!$C$9*$A684)*(1-(Examples!$C$12*(1-EXP(-Examples!$C$13*$A684))/(1+EXP(MIN(700,MAX(-700,(Examples!$C$14*$A684-Examples!$C$15)/Examples!$C$16))))))+Examples!$C$17*$A684^2)</f>
        <v>775236.52316635835</v>
      </c>
      <c r="D684" s="33">
        <f>Examples!$D$18-(Examples!$D$10+Examples!$D$11)*$A684-(Examples!$D$6*Examples!$D$7*Examples!$D$8*EXP(-Examples!$D$9*$A684)*(1-(Examples!$D$12*(1-EXP(-Examples!$D$13*$A684))/(1+EXP(MIN(700,MAX(-700,(Examples!$D$14*$A684-Examples!$D$15)/Examples!$D$16))))))+Examples!$D$17*$A684^2)</f>
        <v>1685106.4301458674</v>
      </c>
      <c r="E684" s="33">
        <f>(Examples!$D$6*Examples!$D$7*Examples!$D$8*EXP(-Examples!$D$9*$A684)*(1-(Examples!$D$12*(1-EXP(-Examples!$D$13*$A684))/(1+EXP(MIN(700,MAX(-700,(Examples!$D$14*$A684-Examples!$D$15)/Examples!$D$16))))))+Examples!$D$17*$A684^2)</f>
        <v>507993.5698541326</v>
      </c>
      <c r="F684" s="33">
        <f>Examples!$E$18-(Examples!$E$10+Examples!$E$11)*$A684-(Examples!$E$6*Examples!$E$7*Examples!$E$8*EXP(-Examples!$E$9*$A684)*(1-(Examples!$E$12*(1-EXP(-Examples!$E$13*$A684))/(1+EXP(MIN(700,MAX(-700,(Examples!$E$14*$A684-Examples!$E$15)/Examples!$E$16))))))+Examples!$E$17*$A684^2)</f>
        <v>2205768.2969445824</v>
      </c>
      <c r="G684" s="33">
        <f>(Examples!$E$6*Examples!$E$7*Examples!$E$8*EXP(-Examples!$E$9*$A684)*(1-(Examples!$E$12*(1-EXP(-Examples!$E$13*$A684))/(1+EXP(MIN(700,MAX(-700,(Examples!$E$14*$A684-Examples!$E$15)/Examples!$E$16))))))+Examples!$E$17*$A684^2)</f>
        <v>214531.70305541769</v>
      </c>
      <c r="H684" s="33">
        <f>Examples!$F$18-(Examples!$F$10+Examples!$F$11)*$A684-(Examples!$F$6*Examples!$F$7*Examples!$F$8*EXP(-Examples!$F$9*$A684)*(1-(Examples!$F$12*(1-EXP(-Examples!$F$13*$A684))/(1+EXP(MIN(700,MAX(-700,(Examples!$F$14*$A684-Examples!$F$15)/Examples!$F$16))))))+Examples!$F$17*$A684^2)</f>
        <v>-918909.89030274714</v>
      </c>
      <c r="I684" s="33">
        <f>(Examples!$F$6*Examples!$F$7*Examples!$F$8*EXP(-Examples!$F$9*$A684)*(1-(Examples!$F$12*(1-EXP(-Examples!$F$13*$A684))/(1+EXP(MIN(700,MAX(-700,(Examples!$F$14*$A684-Examples!$F$15)/Examples!$F$16))))))+Examples!$F$17*$A684^2)</f>
        <v>932509.89030274714</v>
      </c>
      <c r="J684" s="33">
        <f>Examples!$G$18-(Examples!$G$10+Examples!$G$11)*$A684-(Examples!$G$6*Examples!$G$7*Examples!$G$8*EXP(-Examples!$G$9*$A684)*(1-(Examples!$G$12*(1-EXP(-Examples!$G$13*$A684))/(1+EXP(MIN(700,MAX(-700,(Examples!$G$14*$A684-Examples!$G$15)/Examples!$G$16))))))+Examples!$G$17*$A684^2)</f>
        <v>603537.47567861946</v>
      </c>
      <c r="K684" s="33">
        <f>(Examples!$G$6*Examples!$G$7*Examples!$G$8*EXP(-Examples!$G$9*$A684)*(1-(Examples!$G$12*(1-EXP(-Examples!$G$13*$A684))/(1+EXP(MIN(700,MAX(-700,(Examples!$G$14*$A684-Examples!$G$15)/Examples!$G$16))))))+Examples!$G$17*$A684^2)</f>
        <v>555462.52432138054</v>
      </c>
      <c r="L684" s="33">
        <f>Examples!$H$18-(Examples!$H$10+Examples!$H$11)*$A684-(Examples!$H$6*Examples!$H$7*Examples!$H$8*EXP(-Examples!$H$9*$A684)*(1-(Examples!$H$12*(1-EXP(-Examples!$H$13*$A684))/(1+EXP(MIN(700,MAX(-700,(Examples!$H$14*$A684-Examples!$H$15)/Examples!$H$16))))))+Examples!$H$17*$A684^2)</f>
        <v>603090.96963648114</v>
      </c>
      <c r="M684" s="33">
        <f>(Examples!$H$6*Examples!$H$7*Examples!$H$8*EXP(-Examples!$H$9*$A684)*(1-(Examples!$H$12*(1-EXP(-Examples!$H$13*$A684))/(1+EXP(MIN(700,MAX(-700,(Examples!$H$14*$A684-Examples!$H$15)/Examples!$H$16))))))+Examples!$H$17*$A684^2)</f>
        <v>555909.03036351886</v>
      </c>
    </row>
    <row r="685" spans="1:13" x14ac:dyDescent="0.25">
      <c r="A685">
        <f>(685-2)/100</f>
        <v>6.83</v>
      </c>
      <c r="B685" s="33">
        <f>Examples!$C$18-(Examples!$C$10+Examples!$C$11)*$A685-(Examples!$C$6*Examples!$C$7*Examples!$C$8*EXP(-Examples!$C$9*$A685)*(1-(Examples!$C$12*(1-EXP(-Examples!$C$13*$A685))/(1+EXP(MIN(700,MAX(-700,(Examples!$C$14*$A685-Examples!$C$15)/Examples!$C$16))))))+Examples!$C$17*$A685^2)</f>
        <v>-416101.72027435584</v>
      </c>
      <c r="C685" s="33">
        <f>(Examples!$C$6*Examples!$C$7*Examples!$C$8*EXP(-Examples!$C$9*$A685)*(1-(Examples!$C$12*(1-EXP(-Examples!$C$13*$A685))/(1+EXP(MIN(700,MAX(-700,(Examples!$C$14*$A685-Examples!$C$15)/Examples!$C$16))))))+Examples!$C$17*$A685^2)</f>
        <v>777051.72027435584</v>
      </c>
      <c r="D685" s="33">
        <f>Examples!$D$18-(Examples!$D$10+Examples!$D$11)*$A685-(Examples!$D$6*Examples!$D$7*Examples!$D$8*EXP(-Examples!$D$9*$A685)*(1-(Examples!$D$12*(1-EXP(-Examples!$D$13*$A685))/(1+EXP(MIN(700,MAX(-700,(Examples!$D$14*$A685-Examples!$D$15)/Examples!$D$16))))))+Examples!$D$17*$A685^2)</f>
        <v>1685167.1573116549</v>
      </c>
      <c r="E685" s="33">
        <f>(Examples!$D$6*Examples!$D$7*Examples!$D$8*EXP(-Examples!$D$9*$A685)*(1-(Examples!$D$12*(1-EXP(-Examples!$D$13*$A685))/(1+EXP(MIN(700,MAX(-700,(Examples!$D$14*$A685-Examples!$D$15)/Examples!$D$16))))))+Examples!$D$17*$A685^2)</f>
        <v>507482.84268834512</v>
      </c>
      <c r="F685" s="33">
        <f>Examples!$E$18-(Examples!$E$10+Examples!$E$11)*$A685-(Examples!$E$6*Examples!$E$7*Examples!$E$8*EXP(-Examples!$E$9*$A685)*(1-(Examples!$E$12*(1-EXP(-Examples!$E$13*$A685))/(1+EXP(MIN(700,MAX(-700,(Examples!$E$14*$A685-Examples!$E$15)/Examples!$E$16))))))+Examples!$E$17*$A685^2)</f>
        <v>2204792.1277778773</v>
      </c>
      <c r="G685" s="33">
        <f>(Examples!$E$6*Examples!$E$7*Examples!$E$8*EXP(-Examples!$E$9*$A685)*(1-(Examples!$E$12*(1-EXP(-Examples!$E$13*$A685))/(1+EXP(MIN(700,MAX(-700,(Examples!$E$14*$A685-Examples!$E$15)/Examples!$E$16))))))+Examples!$E$17*$A685^2)</f>
        <v>214657.87222212268</v>
      </c>
      <c r="H685" s="33">
        <f>Examples!$F$18-(Examples!$F$10+Examples!$F$11)*$A685-(Examples!$F$6*Examples!$F$7*Examples!$F$8*EXP(-Examples!$F$9*$A685)*(1-(Examples!$F$12*(1-EXP(-Examples!$F$13*$A685))/(1+EXP(MIN(700,MAX(-700,(Examples!$F$14*$A685-Examples!$F$15)/Examples!$F$16))))))+Examples!$F$17*$A685^2)</f>
        <v>-921833.11480018322</v>
      </c>
      <c r="I685" s="33">
        <f>(Examples!$F$6*Examples!$F$7*Examples!$F$8*EXP(-Examples!$F$9*$A685)*(1-(Examples!$F$12*(1-EXP(-Examples!$F$13*$A685))/(1+EXP(MIN(700,MAX(-700,(Examples!$F$14*$A685-Examples!$F$15)/Examples!$F$16))))))+Examples!$F$17*$A685^2)</f>
        <v>935233.11480018322</v>
      </c>
      <c r="J685" s="33">
        <f>Examples!$G$18-(Examples!$G$10+Examples!$G$11)*$A685-(Examples!$G$6*Examples!$G$7*Examples!$G$8*EXP(-Examples!$G$9*$A685)*(1-(Examples!$G$12*(1-EXP(-Examples!$G$13*$A685))/(1+EXP(MIN(700,MAX(-700,(Examples!$G$14*$A685-Examples!$G$15)/Examples!$G$16))))))+Examples!$G$17*$A685^2)</f>
        <v>602580.32354932232</v>
      </c>
      <c r="K685" s="33">
        <f>(Examples!$G$6*Examples!$G$7*Examples!$G$8*EXP(-Examples!$G$9*$A685)*(1-(Examples!$G$12*(1-EXP(-Examples!$G$13*$A685))/(1+EXP(MIN(700,MAX(-700,(Examples!$G$14*$A685-Examples!$G$15)/Examples!$G$16))))))+Examples!$G$17*$A685^2)</f>
        <v>555919.67645067768</v>
      </c>
      <c r="L685" s="33">
        <f>Examples!$H$18-(Examples!$H$10+Examples!$H$11)*$A685-(Examples!$H$6*Examples!$H$7*Examples!$H$8*EXP(-Examples!$H$9*$A685)*(1-(Examples!$H$12*(1-EXP(-Examples!$H$13*$A685))/(1+EXP(MIN(700,MAX(-700,(Examples!$H$14*$A685-Examples!$H$15)/Examples!$H$16))))))+Examples!$H$17*$A685^2)</f>
        <v>602141.17511840712</v>
      </c>
      <c r="M685" s="33">
        <f>(Examples!$H$6*Examples!$H$7*Examples!$H$8*EXP(-Examples!$H$9*$A685)*(1-(Examples!$H$12*(1-EXP(-Examples!$H$13*$A685))/(1+EXP(MIN(700,MAX(-700,(Examples!$H$14*$A685-Examples!$H$15)/Examples!$H$16))))))+Examples!$H$17*$A685^2)</f>
        <v>556358.82488159288</v>
      </c>
    </row>
    <row r="686" spans="1:13" x14ac:dyDescent="0.25">
      <c r="A686">
        <f>(686-2)/100</f>
        <v>6.84</v>
      </c>
      <c r="B686" s="33">
        <f>Examples!$C$18-(Examples!$C$10+Examples!$C$11)*$A686-(Examples!$C$6*Examples!$C$7*Examples!$C$8*EXP(-Examples!$C$9*$A686)*(1-(Examples!$C$12*(1-EXP(-Examples!$C$13*$A686))/(1+EXP(MIN(700,MAX(-700,(Examples!$C$14*$A686-Examples!$C$15)/Examples!$C$16))))))+Examples!$C$17*$A686^2)</f>
        <v>-418270.61324498232</v>
      </c>
      <c r="C686" s="33">
        <f>(Examples!$C$6*Examples!$C$7*Examples!$C$8*EXP(-Examples!$C$9*$A686)*(1-(Examples!$C$12*(1-EXP(-Examples!$C$13*$A686))/(1+EXP(MIN(700,MAX(-700,(Examples!$C$14*$A686-Examples!$C$15)/Examples!$C$16))))))+Examples!$C$17*$A686^2)</f>
        <v>778870.61324498232</v>
      </c>
      <c r="D686" s="33">
        <f>Examples!$D$18-(Examples!$D$10+Examples!$D$11)*$A686-(Examples!$D$6*Examples!$D$7*Examples!$D$8*EXP(-Examples!$D$9*$A686)*(1-(Examples!$D$12*(1-EXP(-Examples!$D$13*$A686))/(1+EXP(MIN(700,MAX(-700,(Examples!$D$14*$A686-Examples!$D$15)/Examples!$D$16))))))+Examples!$D$17*$A686^2)</f>
        <v>1685222.2698071138</v>
      </c>
      <c r="E686" s="33">
        <f>(Examples!$D$6*Examples!$D$7*Examples!$D$8*EXP(-Examples!$D$9*$A686)*(1-(Examples!$D$12*(1-EXP(-Examples!$D$13*$A686))/(1+EXP(MIN(700,MAX(-700,(Examples!$D$14*$A686-Examples!$D$15)/Examples!$D$16))))))+Examples!$D$17*$A686^2)</f>
        <v>506977.73019288608</v>
      </c>
      <c r="F686" s="33">
        <f>Examples!$E$18-(Examples!$E$10+Examples!$E$11)*$A686-(Examples!$E$6*Examples!$E$7*Examples!$E$8*EXP(-Examples!$E$9*$A686)*(1-(Examples!$E$12*(1-EXP(-Examples!$E$13*$A686))/(1+EXP(MIN(700,MAX(-700,(Examples!$E$14*$A686-Examples!$E$15)/Examples!$E$16))))))+Examples!$E$17*$A686^2)</f>
        <v>2203814.8351273593</v>
      </c>
      <c r="G686" s="33">
        <f>(Examples!$E$6*Examples!$E$7*Examples!$E$8*EXP(-Examples!$E$9*$A686)*(1-(Examples!$E$12*(1-EXP(-Examples!$E$13*$A686))/(1+EXP(MIN(700,MAX(-700,(Examples!$E$14*$A686-Examples!$E$15)/Examples!$E$16))))))+Examples!$E$17*$A686^2)</f>
        <v>214785.16487264057</v>
      </c>
      <c r="H686" s="33">
        <f>Examples!$F$18-(Examples!$F$10+Examples!$F$11)*$A686-(Examples!$F$6*Examples!$F$7*Examples!$F$8*EXP(-Examples!$F$9*$A686)*(1-(Examples!$F$12*(1-EXP(-Examples!$F$13*$A686))/(1+EXP(MIN(700,MAX(-700,(Examples!$F$14*$A686-Examples!$F$15)/Examples!$F$16))))))+Examples!$F$17*$A686^2)</f>
        <v>-924760.35959366732</v>
      </c>
      <c r="I686" s="33">
        <f>(Examples!$F$6*Examples!$F$7*Examples!$F$8*EXP(-Examples!$F$9*$A686)*(1-(Examples!$F$12*(1-EXP(-Examples!$F$13*$A686))/(1+EXP(MIN(700,MAX(-700,(Examples!$F$14*$A686-Examples!$F$15)/Examples!$F$16))))))+Examples!$F$17*$A686^2)</f>
        <v>937960.35959366732</v>
      </c>
      <c r="J686" s="33">
        <f>Examples!$G$18-(Examples!$G$10+Examples!$G$11)*$A686-(Examples!$G$6*Examples!$G$7*Examples!$G$8*EXP(-Examples!$G$9*$A686)*(1-(Examples!$G$12*(1-EXP(-Examples!$G$13*$A686))/(1+EXP(MIN(700,MAX(-700,(Examples!$G$14*$A686-Examples!$G$15)/Examples!$G$16))))))+Examples!$G$17*$A686^2)</f>
        <v>601619.44835879444</v>
      </c>
      <c r="K686" s="33">
        <f>(Examples!$G$6*Examples!$G$7*Examples!$G$8*EXP(-Examples!$G$9*$A686)*(1-(Examples!$G$12*(1-EXP(-Examples!$G$13*$A686))/(1+EXP(MIN(700,MAX(-700,(Examples!$G$14*$A686-Examples!$G$15)/Examples!$G$16))))))+Examples!$G$17*$A686^2)</f>
        <v>556380.55164120556</v>
      </c>
      <c r="L686" s="33">
        <f>Examples!$H$18-(Examples!$H$10+Examples!$H$11)*$A686-(Examples!$H$6*Examples!$H$7*Examples!$H$8*EXP(-Examples!$H$9*$A686)*(1-(Examples!$H$12*(1-EXP(-Examples!$H$13*$A686))/(1+EXP(MIN(700,MAX(-700,(Examples!$H$14*$A686-Examples!$H$15)/Examples!$H$16))))))+Examples!$H$17*$A686^2)</f>
        <v>601187.53696274105</v>
      </c>
      <c r="M686" s="33">
        <f>(Examples!$H$6*Examples!$H$7*Examples!$H$8*EXP(-Examples!$H$9*$A686)*(1-(Examples!$H$12*(1-EXP(-Examples!$H$13*$A686))/(1+EXP(MIN(700,MAX(-700,(Examples!$H$14*$A686-Examples!$H$15)/Examples!$H$16))))))+Examples!$H$17*$A686^2)</f>
        <v>556812.46303725895</v>
      </c>
    </row>
    <row r="687" spans="1:13" x14ac:dyDescent="0.25">
      <c r="A687">
        <f>(687-2)/100</f>
        <v>6.85</v>
      </c>
      <c r="B687" s="33">
        <f>Examples!$C$18-(Examples!$C$10+Examples!$C$11)*$A687-(Examples!$C$6*Examples!$C$7*Examples!$C$8*EXP(-Examples!$C$9*$A687)*(1-(Examples!$C$12*(1-EXP(-Examples!$C$13*$A687))/(1+EXP(MIN(700,MAX(-700,(Examples!$C$14*$A687-Examples!$C$15)/Examples!$C$16))))))+Examples!$C$17*$A687^2)</f>
        <v>-420443.1999938396</v>
      </c>
      <c r="C687" s="33">
        <f>(Examples!$C$6*Examples!$C$7*Examples!$C$8*EXP(-Examples!$C$9*$A687)*(1-(Examples!$C$12*(1-EXP(-Examples!$C$13*$A687))/(1+EXP(MIN(700,MAX(-700,(Examples!$C$14*$A687-Examples!$C$15)/Examples!$C$16))))))+Examples!$C$17*$A687^2)</f>
        <v>780693.1999938396</v>
      </c>
      <c r="D687" s="33">
        <f>Examples!$D$18-(Examples!$D$10+Examples!$D$11)*$A687-(Examples!$D$6*Examples!$D$7*Examples!$D$8*EXP(-Examples!$D$9*$A687)*(1-(Examples!$D$12*(1-EXP(-Examples!$D$13*$A687))/(1+EXP(MIN(700,MAX(-700,(Examples!$D$14*$A687-Examples!$D$15)/Examples!$D$16))))))+Examples!$D$17*$A687^2)</f>
        <v>1685271.7759239408</v>
      </c>
      <c r="E687" s="33">
        <f>(Examples!$D$6*Examples!$D$7*Examples!$D$8*EXP(-Examples!$D$9*$A687)*(1-(Examples!$D$12*(1-EXP(-Examples!$D$13*$A687))/(1+EXP(MIN(700,MAX(-700,(Examples!$D$14*$A687-Examples!$D$15)/Examples!$D$16))))))+Examples!$D$17*$A687^2)</f>
        <v>506478.2240760593</v>
      </c>
      <c r="F687" s="33">
        <f>Examples!$E$18-(Examples!$E$10+Examples!$E$11)*$A687-(Examples!$E$6*Examples!$E$7*Examples!$E$8*EXP(-Examples!$E$9*$A687)*(1-(Examples!$E$12*(1-EXP(-Examples!$E$13*$A687))/(1+EXP(MIN(700,MAX(-700,(Examples!$E$14*$A687-Examples!$E$15)/Examples!$E$16))))))+Examples!$E$17*$A687^2)</f>
        <v>2202836.4147163681</v>
      </c>
      <c r="G687" s="33">
        <f>(Examples!$E$6*Examples!$E$7*Examples!$E$8*EXP(-Examples!$E$9*$A687)*(1-(Examples!$E$12*(1-EXP(-Examples!$E$13*$A687))/(1+EXP(MIN(700,MAX(-700,(Examples!$E$14*$A687-Examples!$E$15)/Examples!$E$16))))))+Examples!$E$17*$A687^2)</f>
        <v>214913.58528363184</v>
      </c>
      <c r="H687" s="33">
        <f>Examples!$F$18-(Examples!$F$10+Examples!$F$11)*$A687-(Examples!$F$6*Examples!$F$7*Examples!$F$8*EXP(-Examples!$F$9*$A687)*(1-(Examples!$F$12*(1-EXP(-Examples!$F$13*$A687))/(1+EXP(MIN(700,MAX(-700,(Examples!$F$14*$A687-Examples!$F$15)/Examples!$F$16))))))+Examples!$F$17*$A687^2)</f>
        <v>-927691.62462240271</v>
      </c>
      <c r="I687" s="33">
        <f>(Examples!$F$6*Examples!$F$7*Examples!$F$8*EXP(-Examples!$F$9*$A687)*(1-(Examples!$F$12*(1-EXP(-Examples!$F$13*$A687))/(1+EXP(MIN(700,MAX(-700,(Examples!$F$14*$A687-Examples!$F$15)/Examples!$F$16))))))+Examples!$F$17*$A687^2)</f>
        <v>940691.62462240271</v>
      </c>
      <c r="J687" s="33">
        <f>Examples!$G$18-(Examples!$G$10+Examples!$G$11)*$A687-(Examples!$G$6*Examples!$G$7*Examples!$G$8*EXP(-Examples!$G$9*$A687)*(1-(Examples!$G$12*(1-EXP(-Examples!$G$13*$A687))/(1+EXP(MIN(700,MAX(-700,(Examples!$G$14*$A687-Examples!$G$15)/Examples!$G$16))))))+Examples!$G$17*$A687^2)</f>
        <v>600654.85598166706</v>
      </c>
      <c r="K687" s="33">
        <f>(Examples!$G$6*Examples!$G$7*Examples!$G$8*EXP(-Examples!$G$9*$A687)*(1-(Examples!$G$12*(1-EXP(-Examples!$G$13*$A687))/(1+EXP(MIN(700,MAX(-700,(Examples!$G$14*$A687-Examples!$G$15)/Examples!$G$16))))))+Examples!$G$17*$A687^2)</f>
        <v>556845.14401833294</v>
      </c>
      <c r="L687" s="33">
        <f>Examples!$H$18-(Examples!$H$10+Examples!$H$11)*$A687-(Examples!$H$6*Examples!$H$7*Examples!$H$8*EXP(-Examples!$H$9*$A687)*(1-(Examples!$H$12*(1-EXP(-Examples!$H$13*$A687))/(1+EXP(MIN(700,MAX(-700,(Examples!$H$14*$A687-Examples!$H$15)/Examples!$H$16))))))+Examples!$H$17*$A687^2)</f>
        <v>600230.06300319685</v>
      </c>
      <c r="M687" s="33">
        <f>(Examples!$H$6*Examples!$H$7*Examples!$H$8*EXP(-Examples!$H$9*$A687)*(1-(Examples!$H$12*(1-EXP(-Examples!$H$13*$A687))/(1+EXP(MIN(700,MAX(-700,(Examples!$H$14*$A687-Examples!$H$15)/Examples!$H$16))))))+Examples!$H$17*$A687^2)</f>
        <v>557269.93699680315</v>
      </c>
    </row>
    <row r="688" spans="1:13" x14ac:dyDescent="0.25">
      <c r="A688">
        <f>(688-2)/100</f>
        <v>6.86</v>
      </c>
      <c r="B688" s="33">
        <f>Examples!$C$18-(Examples!$C$10+Examples!$C$11)*$A688-(Examples!$C$6*Examples!$C$7*Examples!$C$8*EXP(-Examples!$C$9*$A688)*(1-(Examples!$C$12*(1-EXP(-Examples!$C$13*$A688))/(1+EXP(MIN(700,MAX(-700,(Examples!$C$14*$A688-Examples!$C$15)/Examples!$C$16))))))+Examples!$C$17*$A688^2)</f>
        <v>-422619.47844277055</v>
      </c>
      <c r="C688" s="33">
        <f>(Examples!$C$6*Examples!$C$7*Examples!$C$8*EXP(-Examples!$C$9*$A688)*(1-(Examples!$C$12*(1-EXP(-Examples!$C$13*$A688))/(1+EXP(MIN(700,MAX(-700,(Examples!$C$14*$A688-Examples!$C$15)/Examples!$C$16))))))+Examples!$C$17*$A688^2)</f>
        <v>782519.47844277055</v>
      </c>
      <c r="D688" s="33">
        <f>Examples!$D$18-(Examples!$D$10+Examples!$D$11)*$A688-(Examples!$D$6*Examples!$D$7*Examples!$D$8*EXP(-Examples!$D$9*$A688)*(1-(Examples!$D$12*(1-EXP(-Examples!$D$13*$A688))/(1+EXP(MIN(700,MAX(-700,(Examples!$D$14*$A688-Examples!$D$15)/Examples!$D$16))))))+Examples!$D$17*$A688^2)</f>
        <v>1685315.6841164478</v>
      </c>
      <c r="E688" s="33">
        <f>(Examples!$D$6*Examples!$D$7*Examples!$D$8*EXP(-Examples!$D$9*$A688)*(1-(Examples!$D$12*(1-EXP(-Examples!$D$13*$A688))/(1+EXP(MIN(700,MAX(-700,(Examples!$D$14*$A688-Examples!$D$15)/Examples!$D$16))))))+Examples!$D$17*$A688^2)</f>
        <v>505984.31588355207</v>
      </c>
      <c r="F688" s="33">
        <f>Examples!$E$18-(Examples!$E$10+Examples!$E$11)*$A688-(Examples!$E$6*Examples!$E$7*Examples!$E$8*EXP(-Examples!$E$9*$A688)*(1-(Examples!$E$12*(1-EXP(-Examples!$E$13*$A688))/(1+EXP(MIN(700,MAX(-700,(Examples!$E$14*$A688-Examples!$E$15)/Examples!$E$16))))))+Examples!$E$17*$A688^2)</f>
        <v>2201856.8623113534</v>
      </c>
      <c r="G688" s="33">
        <f>(Examples!$E$6*Examples!$E$7*Examples!$E$8*EXP(-Examples!$E$9*$A688)*(1-(Examples!$E$12*(1-EXP(-Examples!$E$13*$A688))/(1+EXP(MIN(700,MAX(-700,(Examples!$E$14*$A688-Examples!$E$15)/Examples!$E$16))))))+Examples!$E$17*$A688^2)</f>
        <v>215043.13768864644</v>
      </c>
      <c r="H688" s="33">
        <f>Examples!$F$18-(Examples!$F$10+Examples!$F$11)*$A688-(Examples!$F$6*Examples!$F$7*Examples!$F$8*EXP(-Examples!$F$9*$A688)*(1-(Examples!$F$12*(1-EXP(-Examples!$F$13*$A688))/(1+EXP(MIN(700,MAX(-700,(Examples!$F$14*$A688-Examples!$F$15)/Examples!$F$16))))))+Examples!$F$17*$A688^2)</f>
        <v>-930626.90982577461</v>
      </c>
      <c r="I688" s="33">
        <f>(Examples!$F$6*Examples!$F$7*Examples!$F$8*EXP(-Examples!$F$9*$A688)*(1-(Examples!$F$12*(1-EXP(-Examples!$F$13*$A688))/(1+EXP(MIN(700,MAX(-700,(Examples!$F$14*$A688-Examples!$F$15)/Examples!$F$16))))))+Examples!$F$17*$A688^2)</f>
        <v>943426.90982577461</v>
      </c>
      <c r="J688" s="33">
        <f>Examples!$G$18-(Examples!$G$10+Examples!$G$11)*$A688-(Examples!$G$6*Examples!$G$7*Examples!$G$8*EXP(-Examples!$G$9*$A688)*(1-(Examples!$G$12*(1-EXP(-Examples!$G$13*$A688))/(1+EXP(MIN(700,MAX(-700,(Examples!$G$14*$A688-Examples!$G$15)/Examples!$G$16))))))+Examples!$G$17*$A688^2)</f>
        <v>599686.55229676922</v>
      </c>
      <c r="K688" s="33">
        <f>(Examples!$G$6*Examples!$G$7*Examples!$G$8*EXP(-Examples!$G$9*$A688)*(1-(Examples!$G$12*(1-EXP(-Examples!$G$13*$A688))/(1+EXP(MIN(700,MAX(-700,(Examples!$G$14*$A688-Examples!$G$15)/Examples!$G$16))))))+Examples!$G$17*$A688^2)</f>
        <v>557313.44770323078</v>
      </c>
      <c r="L688" s="33">
        <f>Examples!$H$18-(Examples!$H$10+Examples!$H$11)*$A688-(Examples!$H$6*Examples!$H$7*Examples!$H$8*EXP(-Examples!$H$9*$A688)*(1-(Examples!$H$12*(1-EXP(-Examples!$H$13*$A688))/(1+EXP(MIN(700,MAX(-700,(Examples!$H$14*$A688-Examples!$H$15)/Examples!$H$16))))))+Examples!$H$17*$A688^2)</f>
        <v>599268.76104630169</v>
      </c>
      <c r="M688" s="33">
        <f>(Examples!$H$6*Examples!$H$7*Examples!$H$8*EXP(-Examples!$H$9*$A688)*(1-(Examples!$H$12*(1-EXP(-Examples!$H$13*$A688))/(1+EXP(MIN(700,MAX(-700,(Examples!$H$14*$A688-Examples!$H$15)/Examples!$H$16))))))+Examples!$H$17*$A688^2)</f>
        <v>557731.23895369831</v>
      </c>
    </row>
    <row r="689" spans="1:13" x14ac:dyDescent="0.25">
      <c r="A689">
        <f>(689-2)/100</f>
        <v>6.87</v>
      </c>
      <c r="B689" s="33">
        <f>Examples!$C$18-(Examples!$C$10+Examples!$C$11)*$A689-(Examples!$C$6*Examples!$C$7*Examples!$C$8*EXP(-Examples!$C$9*$A689)*(1-(Examples!$C$12*(1-EXP(-Examples!$C$13*$A689))/(1+EXP(MIN(700,MAX(-700,(Examples!$C$14*$A689-Examples!$C$15)/Examples!$C$16))))))+Examples!$C$17*$A689^2)</f>
        <v>-424799.44651984121</v>
      </c>
      <c r="C689" s="33">
        <f>(Examples!$C$6*Examples!$C$7*Examples!$C$8*EXP(-Examples!$C$9*$A689)*(1-(Examples!$C$12*(1-EXP(-Examples!$C$13*$A689))/(1+EXP(MIN(700,MAX(-700,(Examples!$C$14*$A689-Examples!$C$15)/Examples!$C$16))))))+Examples!$C$17*$A689^2)</f>
        <v>784349.44651984121</v>
      </c>
      <c r="D689" s="33">
        <f>Examples!$D$18-(Examples!$D$10+Examples!$D$11)*$A689-(Examples!$D$6*Examples!$D$7*Examples!$D$8*EXP(-Examples!$D$9*$A689)*(1-(Examples!$D$12*(1-EXP(-Examples!$D$13*$A689))/(1+EXP(MIN(700,MAX(-700,(Examples!$D$14*$A689-Examples!$D$15)/Examples!$D$16))))))+Examples!$D$17*$A689^2)</f>
        <v>1685354.002997861</v>
      </c>
      <c r="E689" s="33">
        <f>(Examples!$D$6*Examples!$D$7*Examples!$D$8*EXP(-Examples!$D$9*$A689)*(1-(Examples!$D$12*(1-EXP(-Examples!$D$13*$A689))/(1+EXP(MIN(700,MAX(-700,(Examples!$D$14*$A689-Examples!$D$15)/Examples!$D$16))))))+Examples!$D$17*$A689^2)</f>
        <v>505495.99700213905</v>
      </c>
      <c r="F689" s="33">
        <f>Examples!$E$18-(Examples!$E$10+Examples!$E$11)*$A689-(Examples!$E$6*Examples!$E$7*Examples!$E$8*EXP(-Examples!$E$9*$A689)*(1-(Examples!$E$12*(1-EXP(-Examples!$E$13*$A689))/(1+EXP(MIN(700,MAX(-700,(Examples!$E$14*$A689-Examples!$E$15)/Examples!$E$16))))))+Examples!$E$17*$A689^2)</f>
        <v>2200876.1737221763</v>
      </c>
      <c r="G689" s="33">
        <f>(Examples!$E$6*Examples!$E$7*Examples!$E$8*EXP(-Examples!$E$9*$A689)*(1-(Examples!$E$12*(1-EXP(-Examples!$E$13*$A689))/(1+EXP(MIN(700,MAX(-700,(Examples!$E$14*$A689-Examples!$E$15)/Examples!$E$16))))))+Examples!$E$17*$A689^2)</f>
        <v>215173.82627782383</v>
      </c>
      <c r="H689" s="33">
        <f>Examples!$F$18-(Examples!$F$10+Examples!$F$11)*$A689-(Examples!$F$6*Examples!$F$7*Examples!$F$8*EXP(-Examples!$F$9*$A689)*(1-(Examples!$F$12*(1-EXP(-Examples!$F$13*$A689))/(1+EXP(MIN(700,MAX(-700,(Examples!$F$14*$A689-Examples!$F$15)/Examples!$F$16))))))+Examples!$F$17*$A689^2)</f>
        <v>-933566.21514334937</v>
      </c>
      <c r="I689" s="33">
        <f>(Examples!$F$6*Examples!$F$7*Examples!$F$8*EXP(-Examples!$F$9*$A689)*(1-(Examples!$F$12*(1-EXP(-Examples!$F$13*$A689))/(1+EXP(MIN(700,MAX(-700,(Examples!$F$14*$A689-Examples!$F$15)/Examples!$F$16))))))+Examples!$F$17*$A689^2)</f>
        <v>946166.21514334937</v>
      </c>
      <c r="J689" s="33">
        <f>Examples!$G$18-(Examples!$G$10+Examples!$G$11)*$A689-(Examples!$G$6*Examples!$G$7*Examples!$G$8*EXP(-Examples!$G$9*$A689)*(1-(Examples!$G$12*(1-EXP(-Examples!$G$13*$A689))/(1+EXP(MIN(700,MAX(-700,(Examples!$G$14*$A689-Examples!$G$15)/Examples!$G$16))))))+Examples!$G$17*$A689^2)</f>
        <v>598714.54318672663</v>
      </c>
      <c r="K689" s="33">
        <f>(Examples!$G$6*Examples!$G$7*Examples!$G$8*EXP(-Examples!$G$9*$A689)*(1-(Examples!$G$12*(1-EXP(-Examples!$G$13*$A689))/(1+EXP(MIN(700,MAX(-700,(Examples!$G$14*$A689-Examples!$G$15)/Examples!$G$16))))))+Examples!$G$17*$A689^2)</f>
        <v>557785.45681327337</v>
      </c>
      <c r="L689" s="33">
        <f>Examples!$H$18-(Examples!$H$10+Examples!$H$11)*$A689-(Examples!$H$6*Examples!$H$7*Examples!$H$8*EXP(-Examples!$H$9*$A689)*(1-(Examples!$H$12*(1-EXP(-Examples!$H$13*$A689))/(1+EXP(MIN(700,MAX(-700,(Examples!$H$14*$A689-Examples!$H$15)/Examples!$H$16))))))+Examples!$H$17*$A689^2)</f>
        <v>598303.63887148444</v>
      </c>
      <c r="M689" s="33">
        <f>(Examples!$H$6*Examples!$H$7*Examples!$H$8*EXP(-Examples!$H$9*$A689)*(1-(Examples!$H$12*(1-EXP(-Examples!$H$13*$A689))/(1+EXP(MIN(700,MAX(-700,(Examples!$H$14*$A689-Examples!$H$15)/Examples!$H$16))))))+Examples!$H$17*$A689^2)</f>
        <v>558196.36112851556</v>
      </c>
    </row>
    <row r="690" spans="1:13" x14ac:dyDescent="0.25">
      <c r="A690">
        <f>(690-2)/100</f>
        <v>6.88</v>
      </c>
      <c r="B690" s="33">
        <f>Examples!$C$18-(Examples!$C$10+Examples!$C$11)*$A690-(Examples!$C$6*Examples!$C$7*Examples!$C$8*EXP(-Examples!$C$9*$A690)*(1-(Examples!$C$12*(1-EXP(-Examples!$C$13*$A690))/(1+EXP(MIN(700,MAX(-700,(Examples!$C$14*$A690-Examples!$C$15)/Examples!$C$16))))))+Examples!$C$17*$A690^2)</f>
        <v>-426983.10215932224</v>
      </c>
      <c r="C690" s="33">
        <f>(Examples!$C$6*Examples!$C$7*Examples!$C$8*EXP(-Examples!$C$9*$A690)*(1-(Examples!$C$12*(1-EXP(-Examples!$C$13*$A690))/(1+EXP(MIN(700,MAX(-700,(Examples!$C$14*$A690-Examples!$C$15)/Examples!$C$16))))))+Examples!$C$17*$A690^2)</f>
        <v>786183.10215932224</v>
      </c>
      <c r="D690" s="33">
        <f>Examples!$D$18-(Examples!$D$10+Examples!$D$11)*$A690-(Examples!$D$6*Examples!$D$7*Examples!$D$8*EXP(-Examples!$D$9*$A690)*(1-(Examples!$D$12*(1-EXP(-Examples!$D$13*$A690))/(1+EXP(MIN(700,MAX(-700,(Examples!$D$14*$A690-Examples!$D$15)/Examples!$D$16))))))+Examples!$D$17*$A690^2)</f>
        <v>1685386.741336666</v>
      </c>
      <c r="E690" s="33">
        <f>(Examples!$D$6*Examples!$D$7*Examples!$D$8*EXP(-Examples!$D$9*$A690)*(1-(Examples!$D$12*(1-EXP(-Examples!$D$13*$A690))/(1+EXP(MIN(700,MAX(-700,(Examples!$D$14*$A690-Examples!$D$15)/Examples!$D$16))))))+Examples!$D$17*$A690^2)</f>
        <v>505013.25866333407</v>
      </c>
      <c r="F690" s="33">
        <f>Examples!$E$18-(Examples!$E$10+Examples!$E$11)*$A690-(Examples!$E$6*Examples!$E$7*Examples!$E$8*EXP(-Examples!$E$9*$A690)*(1-(Examples!$E$12*(1-EXP(-Examples!$E$13*$A690))/(1+EXP(MIN(700,MAX(-700,(Examples!$E$14*$A690-Examples!$E$15)/Examples!$E$16))))))+Examples!$E$17*$A690^2)</f>
        <v>2199894.3448023936</v>
      </c>
      <c r="G690" s="33">
        <f>(Examples!$E$6*Examples!$E$7*Examples!$E$8*EXP(-Examples!$E$9*$A690)*(1-(Examples!$E$12*(1-EXP(-Examples!$E$13*$A690))/(1+EXP(MIN(700,MAX(-700,(Examples!$E$14*$A690-Examples!$E$15)/Examples!$E$16))))))+Examples!$E$17*$A690^2)</f>
        <v>215305.65519760642</v>
      </c>
      <c r="H690" s="33">
        <f>Examples!$F$18-(Examples!$F$10+Examples!$F$11)*$A690-(Examples!$F$6*Examples!$F$7*Examples!$F$8*EXP(-Examples!$F$9*$A690)*(1-(Examples!$F$12*(1-EXP(-Examples!$F$13*$A690))/(1+EXP(MIN(700,MAX(-700,(Examples!$F$14*$A690-Examples!$F$15)/Examples!$F$16))))))+Examples!$F$17*$A690^2)</f>
        <v>-936509.5405148752</v>
      </c>
      <c r="I690" s="33">
        <f>(Examples!$F$6*Examples!$F$7*Examples!$F$8*EXP(-Examples!$F$9*$A690)*(1-(Examples!$F$12*(1-EXP(-Examples!$F$13*$A690))/(1+EXP(MIN(700,MAX(-700,(Examples!$F$14*$A690-Examples!$F$15)/Examples!$F$16))))))+Examples!$F$17*$A690^2)</f>
        <v>948909.5405148752</v>
      </c>
      <c r="J690" s="33">
        <f>Examples!$G$18-(Examples!$G$10+Examples!$G$11)*$A690-(Examples!$G$6*Examples!$G$7*Examples!$G$8*EXP(-Examples!$G$9*$A690)*(1-(Examples!$G$12*(1-EXP(-Examples!$G$13*$A690))/(1+EXP(MIN(700,MAX(-700,(Examples!$G$14*$A690-Examples!$G$15)/Examples!$G$16))))))+Examples!$G$17*$A690^2)</f>
        <v>597738.83453756594</v>
      </c>
      <c r="K690" s="33">
        <f>(Examples!$G$6*Examples!$G$7*Examples!$G$8*EXP(-Examples!$G$9*$A690)*(1-(Examples!$G$12*(1-EXP(-Examples!$G$13*$A690))/(1+EXP(MIN(700,MAX(-700,(Examples!$G$14*$A690-Examples!$G$15)/Examples!$G$16))))))+Examples!$G$17*$A690^2)</f>
        <v>558261.16546243406</v>
      </c>
      <c r="L690" s="33">
        <f>Examples!$H$18-(Examples!$H$10+Examples!$H$11)*$A690-(Examples!$H$6*Examples!$H$7*Examples!$H$8*EXP(-Examples!$H$9*$A690)*(1-(Examples!$H$12*(1-EXP(-Examples!$H$13*$A690))/(1+EXP(MIN(700,MAX(-700,(Examples!$H$14*$A690-Examples!$H$15)/Examples!$H$16))))))+Examples!$H$17*$A690^2)</f>
        <v>597334.70423116407</v>
      </c>
      <c r="M690" s="33">
        <f>(Examples!$H$6*Examples!$H$7*Examples!$H$8*EXP(-Examples!$H$9*$A690)*(1-(Examples!$H$12*(1-EXP(-Examples!$H$13*$A690))/(1+EXP(MIN(700,MAX(-700,(Examples!$H$14*$A690-Examples!$H$15)/Examples!$H$16))))))+Examples!$H$17*$A690^2)</f>
        <v>558665.29576883593</v>
      </c>
    </row>
    <row r="691" spans="1:13" x14ac:dyDescent="0.25">
      <c r="A691">
        <f>(691-2)/100</f>
        <v>6.89</v>
      </c>
      <c r="B691" s="33">
        <f>Examples!$C$18-(Examples!$C$10+Examples!$C$11)*$A691-(Examples!$C$6*Examples!$C$7*Examples!$C$8*EXP(-Examples!$C$9*$A691)*(1-(Examples!$C$12*(1-EXP(-Examples!$C$13*$A691))/(1+EXP(MIN(700,MAX(-700,(Examples!$C$14*$A691-Examples!$C$15)/Examples!$C$16))))))+Examples!$C$17*$A691^2)</f>
        <v>-429170.44330167072</v>
      </c>
      <c r="C691" s="33">
        <f>(Examples!$C$6*Examples!$C$7*Examples!$C$8*EXP(-Examples!$C$9*$A691)*(1-(Examples!$C$12*(1-EXP(-Examples!$C$13*$A691))/(1+EXP(MIN(700,MAX(-700,(Examples!$C$14*$A691-Examples!$C$15)/Examples!$C$16))))))+Examples!$C$17*$A691^2)</f>
        <v>788020.44330167072</v>
      </c>
      <c r="D691" s="33">
        <f>Examples!$D$18-(Examples!$D$10+Examples!$D$11)*$A691-(Examples!$D$6*Examples!$D$7*Examples!$D$8*EXP(-Examples!$D$9*$A691)*(1-(Examples!$D$12*(1-EXP(-Examples!$D$13*$A691))/(1+EXP(MIN(700,MAX(-700,(Examples!$D$14*$A691-Examples!$D$15)/Examples!$D$16))))))+Examples!$D$17*$A691^2)</f>
        <v>1685413.9080530112</v>
      </c>
      <c r="E691" s="33">
        <f>(Examples!$D$6*Examples!$D$7*Examples!$D$8*EXP(-Examples!$D$9*$A691)*(1-(Examples!$D$12*(1-EXP(-Examples!$D$13*$A691))/(1+EXP(MIN(700,MAX(-700,(Examples!$D$14*$A691-Examples!$D$15)/Examples!$D$16))))))+Examples!$D$17*$A691^2)</f>
        <v>504536.09194698872</v>
      </c>
      <c r="F691" s="33">
        <f>Examples!$E$18-(Examples!$E$10+Examples!$E$11)*$A691-(Examples!$E$6*Examples!$E$7*Examples!$E$8*EXP(-Examples!$E$9*$A691)*(1-(Examples!$E$12*(1-EXP(-Examples!$E$13*$A691))/(1+EXP(MIN(700,MAX(-700,(Examples!$E$14*$A691-Examples!$E$15)/Examples!$E$16))))))+Examples!$E$17*$A691^2)</f>
        <v>2198911.3714495334</v>
      </c>
      <c r="G691" s="33">
        <f>(Examples!$E$6*Examples!$E$7*Examples!$E$8*EXP(-Examples!$E$9*$A691)*(1-(Examples!$E$12*(1-EXP(-Examples!$E$13*$A691))/(1+EXP(MIN(700,MAX(-700,(Examples!$E$14*$A691-Examples!$E$15)/Examples!$E$16))))))+Examples!$E$17*$A691^2)</f>
        <v>215438.62855046644</v>
      </c>
      <c r="H691" s="33">
        <f>Examples!$F$18-(Examples!$F$10+Examples!$F$11)*$A691-(Examples!$F$6*Examples!$F$7*Examples!$F$8*EXP(-Examples!$F$9*$A691)*(1-(Examples!$F$12*(1-EXP(-Examples!$F$13*$A691))/(1+EXP(MIN(700,MAX(-700,(Examples!$F$14*$A691-Examples!$F$15)/Examples!$F$16))))))+Examples!$F$17*$A691^2)</f>
        <v>-939456.88588028052</v>
      </c>
      <c r="I691" s="33">
        <f>(Examples!$F$6*Examples!$F$7*Examples!$F$8*EXP(-Examples!$F$9*$A691)*(1-(Examples!$F$12*(1-EXP(-Examples!$F$13*$A691))/(1+EXP(MIN(700,MAX(-700,(Examples!$F$14*$A691-Examples!$F$15)/Examples!$F$16))))))+Examples!$F$17*$A691^2)</f>
        <v>951656.88588028052</v>
      </c>
      <c r="J691" s="33">
        <f>Examples!$G$18-(Examples!$G$10+Examples!$G$11)*$A691-(Examples!$G$6*Examples!$G$7*Examples!$G$8*EXP(-Examples!$G$9*$A691)*(1-(Examples!$G$12*(1-EXP(-Examples!$G$13*$A691))/(1+EXP(MIN(700,MAX(-700,(Examples!$G$14*$A691-Examples!$G$15)/Examples!$G$16))))))+Examples!$G$17*$A691^2)</f>
        <v>596759.43223832792</v>
      </c>
      <c r="K691" s="33">
        <f>(Examples!$G$6*Examples!$G$7*Examples!$G$8*EXP(-Examples!$G$9*$A691)*(1-(Examples!$G$12*(1-EXP(-Examples!$G$13*$A691))/(1+EXP(MIN(700,MAX(-700,(Examples!$G$14*$A691-Examples!$G$15)/Examples!$G$16))))))+Examples!$G$17*$A691^2)</f>
        <v>558740.56776167208</v>
      </c>
      <c r="L691" s="33">
        <f>Examples!$H$18-(Examples!$H$10+Examples!$H$11)*$A691-(Examples!$H$6*Examples!$H$7*Examples!$H$8*EXP(-Examples!$H$9*$A691)*(1-(Examples!$H$12*(1-EXP(-Examples!$H$13*$A691))/(1+EXP(MIN(700,MAX(-700,(Examples!$H$14*$A691-Examples!$H$15)/Examples!$H$16))))))+Examples!$H$17*$A691^2)</f>
        <v>596361.96485083876</v>
      </c>
      <c r="M691" s="33">
        <f>(Examples!$H$6*Examples!$H$7*Examples!$H$8*EXP(-Examples!$H$9*$A691)*(1-(Examples!$H$12*(1-EXP(-Examples!$H$13*$A691))/(1+EXP(MIN(700,MAX(-700,(Examples!$H$14*$A691-Examples!$H$15)/Examples!$H$16))))))+Examples!$H$17*$A691^2)</f>
        <v>559138.03514916124</v>
      </c>
    </row>
    <row r="692" spans="1:13" x14ac:dyDescent="0.25">
      <c r="A692">
        <f>(692-2)/100</f>
        <v>6.9</v>
      </c>
      <c r="B692" s="33">
        <f>Examples!$C$18-(Examples!$C$10+Examples!$C$11)*$A692-(Examples!$C$6*Examples!$C$7*Examples!$C$8*EXP(-Examples!$C$9*$A692)*(1-(Examples!$C$12*(1-EXP(-Examples!$C$13*$A692))/(1+EXP(MIN(700,MAX(-700,(Examples!$C$14*$A692-Examples!$C$15)/Examples!$C$16))))))+Examples!$C$17*$A692^2)</f>
        <v>-431361.46789351024</v>
      </c>
      <c r="C692" s="33">
        <f>(Examples!$C$6*Examples!$C$7*Examples!$C$8*EXP(-Examples!$C$9*$A692)*(1-(Examples!$C$12*(1-EXP(-Examples!$C$13*$A692))/(1+EXP(MIN(700,MAX(-700,(Examples!$C$14*$A692-Examples!$C$15)/Examples!$C$16))))))+Examples!$C$17*$A692^2)</f>
        <v>789861.46789351024</v>
      </c>
      <c r="D692" s="33">
        <f>Examples!$D$18-(Examples!$D$10+Examples!$D$11)*$A692-(Examples!$D$6*Examples!$D$7*Examples!$D$8*EXP(-Examples!$D$9*$A692)*(1-(Examples!$D$12*(1-EXP(-Examples!$D$13*$A692))/(1+EXP(MIN(700,MAX(-700,(Examples!$D$14*$A692-Examples!$D$15)/Examples!$D$16))))))+Examples!$D$17*$A692^2)</f>
        <v>1685435.5122151636</v>
      </c>
      <c r="E692" s="33">
        <f>(Examples!$D$6*Examples!$D$7*Examples!$D$8*EXP(-Examples!$D$9*$A692)*(1-(Examples!$D$12*(1-EXP(-Examples!$D$13*$A692))/(1+EXP(MIN(700,MAX(-700,(Examples!$D$14*$A692-Examples!$D$15)/Examples!$D$16))))))+Examples!$D$17*$A692^2)</f>
        <v>504064.48778483656</v>
      </c>
      <c r="F692" s="33">
        <f>Examples!$E$18-(Examples!$E$10+Examples!$E$11)*$A692-(Examples!$E$6*Examples!$E$7*Examples!$E$8*EXP(-Examples!$E$9*$A692)*(1-(Examples!$E$12*(1-EXP(-Examples!$E$13*$A692))/(1+EXP(MIN(700,MAX(-700,(Examples!$E$14*$A692-Examples!$E$15)/Examples!$E$16))))))+Examples!$E$17*$A692^2)</f>
        <v>2197927.2496053544</v>
      </c>
      <c r="G692" s="33">
        <f>(Examples!$E$6*Examples!$E$7*Examples!$E$8*EXP(-Examples!$E$9*$A692)*(1-(Examples!$E$12*(1-EXP(-Examples!$E$13*$A692))/(1+EXP(MIN(700,MAX(-700,(Examples!$E$14*$A692-Examples!$E$15)/Examples!$E$16))))))+Examples!$E$17*$A692^2)</f>
        <v>215572.75039464561</v>
      </c>
      <c r="H692" s="33">
        <f>Examples!$F$18-(Examples!$F$10+Examples!$F$11)*$A692-(Examples!$F$6*Examples!$F$7*Examples!$F$8*EXP(-Examples!$F$9*$A692)*(1-(Examples!$F$12*(1-EXP(-Examples!$F$13*$A692))/(1+EXP(MIN(700,MAX(-700,(Examples!$F$14*$A692-Examples!$F$15)/Examples!$F$16))))))+Examples!$F$17*$A692^2)</f>
        <v>-942408.25117967336</v>
      </c>
      <c r="I692" s="33">
        <f>(Examples!$F$6*Examples!$F$7*Examples!$F$8*EXP(-Examples!$F$9*$A692)*(1-(Examples!$F$12*(1-EXP(-Examples!$F$13*$A692))/(1+EXP(MIN(700,MAX(-700,(Examples!$F$14*$A692-Examples!$F$15)/Examples!$F$16))))))+Examples!$F$17*$A692^2)</f>
        <v>954408.25117967336</v>
      </c>
      <c r="J692" s="33">
        <f>Examples!$G$18-(Examples!$G$10+Examples!$G$11)*$A692-(Examples!$G$6*Examples!$G$7*Examples!$G$8*EXP(-Examples!$G$9*$A692)*(1-(Examples!$G$12*(1-EXP(-Examples!$G$13*$A692))/(1+EXP(MIN(700,MAX(-700,(Examples!$G$14*$A692-Examples!$G$15)/Examples!$G$16))))))+Examples!$G$17*$A692^2)</f>
        <v>595776.34218068677</v>
      </c>
      <c r="K692" s="33">
        <f>(Examples!$G$6*Examples!$G$7*Examples!$G$8*EXP(-Examples!$G$9*$A692)*(1-(Examples!$G$12*(1-EXP(-Examples!$G$13*$A692))/(1+EXP(MIN(700,MAX(-700,(Examples!$G$14*$A692-Examples!$G$15)/Examples!$G$16))))))+Examples!$G$17*$A692^2)</f>
        <v>559223.65781931323</v>
      </c>
      <c r="L692" s="33">
        <f>Examples!$H$18-(Examples!$H$10+Examples!$H$11)*$A692-(Examples!$H$6*Examples!$H$7*Examples!$H$8*EXP(-Examples!$H$9*$A692)*(1-(Examples!$H$12*(1-EXP(-Examples!$H$13*$A692))/(1+EXP(MIN(700,MAX(-700,(Examples!$H$14*$A692-Examples!$H$15)/Examples!$H$16))))))+Examples!$H$17*$A692^2)</f>
        <v>595385.42842917365</v>
      </c>
      <c r="M692" s="33">
        <f>(Examples!$H$6*Examples!$H$7*Examples!$H$8*EXP(-Examples!$H$9*$A692)*(1-(Examples!$H$12*(1-EXP(-Examples!$H$13*$A692))/(1+EXP(MIN(700,MAX(-700,(Examples!$H$14*$A692-Examples!$H$15)/Examples!$H$16))))))+Examples!$H$17*$A692^2)</f>
        <v>559614.57157082635</v>
      </c>
    </row>
    <row r="693" spans="1:13" x14ac:dyDescent="0.25">
      <c r="A693">
        <f>(693-2)/100</f>
        <v>6.91</v>
      </c>
      <c r="B693" s="33">
        <f>Examples!$C$18-(Examples!$C$10+Examples!$C$11)*$A693-(Examples!$C$6*Examples!$C$7*Examples!$C$8*EXP(-Examples!$C$9*$A693)*(1-(Examples!$C$12*(1-EXP(-Examples!$C$13*$A693))/(1+EXP(MIN(700,MAX(-700,(Examples!$C$14*$A693-Examples!$C$15)/Examples!$C$16))))))+Examples!$C$17*$A693^2)</f>
        <v>-433556.17388761404</v>
      </c>
      <c r="C693" s="33">
        <f>(Examples!$C$6*Examples!$C$7*Examples!$C$8*EXP(-Examples!$C$9*$A693)*(1-(Examples!$C$12*(1-EXP(-Examples!$C$13*$A693))/(1+EXP(MIN(700,MAX(-700,(Examples!$C$14*$A693-Examples!$C$15)/Examples!$C$16))))))+Examples!$C$17*$A693^2)</f>
        <v>791706.17388761404</v>
      </c>
      <c r="D693" s="33">
        <f>Examples!$D$18-(Examples!$D$10+Examples!$D$11)*$A693-(Examples!$D$6*Examples!$D$7*Examples!$D$8*EXP(-Examples!$D$9*$A693)*(1-(Examples!$D$12*(1-EXP(-Examples!$D$13*$A693))/(1+EXP(MIN(700,MAX(-700,(Examples!$D$14*$A693-Examples!$D$15)/Examples!$D$16))))))+Examples!$D$17*$A693^2)</f>
        <v>1685451.563036012</v>
      </c>
      <c r="E693" s="33">
        <f>(Examples!$D$6*Examples!$D$7*Examples!$D$8*EXP(-Examples!$D$9*$A693)*(1-(Examples!$D$12*(1-EXP(-Examples!$D$13*$A693))/(1+EXP(MIN(700,MAX(-700,(Examples!$D$14*$A693-Examples!$D$15)/Examples!$D$16))))))+Examples!$D$17*$A693^2)</f>
        <v>503598.43696398806</v>
      </c>
      <c r="F693" s="33">
        <f>Examples!$E$18-(Examples!$E$10+Examples!$E$11)*$A693-(Examples!$E$6*Examples!$E$7*Examples!$E$8*EXP(-Examples!$E$9*$A693)*(1-(Examples!$E$12*(1-EXP(-Examples!$E$13*$A693))/(1+EXP(MIN(700,MAX(-700,(Examples!$E$14*$A693-Examples!$E$15)/Examples!$E$16))))))+Examples!$E$17*$A693^2)</f>
        <v>2196941.9752560924</v>
      </c>
      <c r="G693" s="33">
        <f>(Examples!$E$6*Examples!$E$7*Examples!$E$8*EXP(-Examples!$E$9*$A693)*(1-(Examples!$E$12*(1-EXP(-Examples!$E$13*$A693))/(1+EXP(MIN(700,MAX(-700,(Examples!$E$14*$A693-Examples!$E$15)/Examples!$E$16))))))+Examples!$E$17*$A693^2)</f>
        <v>215708.02474390779</v>
      </c>
      <c r="H693" s="33">
        <f>Examples!$F$18-(Examples!$F$10+Examples!$F$11)*$A693-(Examples!$F$6*Examples!$F$7*Examples!$F$8*EXP(-Examples!$F$9*$A693)*(1-(Examples!$F$12*(1-EXP(-Examples!$F$13*$A693))/(1+EXP(MIN(700,MAX(-700,(Examples!$F$14*$A693-Examples!$F$15)/Examples!$F$16))))))+Examples!$F$17*$A693^2)</f>
        <v>-945363.63635334128</v>
      </c>
      <c r="I693" s="33">
        <f>(Examples!$F$6*Examples!$F$7*Examples!$F$8*EXP(-Examples!$F$9*$A693)*(1-(Examples!$F$12*(1-EXP(-Examples!$F$13*$A693))/(1+EXP(MIN(700,MAX(-700,(Examples!$F$14*$A693-Examples!$F$15)/Examples!$F$16))))))+Examples!$F$17*$A693^2)</f>
        <v>957163.63635334128</v>
      </c>
      <c r="J693" s="33">
        <f>Examples!$G$18-(Examples!$G$10+Examples!$G$11)*$A693-(Examples!$G$6*Examples!$G$7*Examples!$G$8*EXP(-Examples!$G$9*$A693)*(1-(Examples!$G$12*(1-EXP(-Examples!$G$13*$A693))/(1+EXP(MIN(700,MAX(-700,(Examples!$G$14*$A693-Examples!$G$15)/Examples!$G$16))))))+Examples!$G$17*$A693^2)</f>
        <v>594789.57025857584</v>
      </c>
      <c r="K693" s="33">
        <f>(Examples!$G$6*Examples!$G$7*Examples!$G$8*EXP(-Examples!$G$9*$A693)*(1-(Examples!$G$12*(1-EXP(-Examples!$G$13*$A693))/(1+EXP(MIN(700,MAX(-700,(Examples!$G$14*$A693-Examples!$G$15)/Examples!$G$16))))))+Examples!$G$17*$A693^2)</f>
        <v>559710.42974142416</v>
      </c>
      <c r="L693" s="33">
        <f>Examples!$H$18-(Examples!$H$10+Examples!$H$11)*$A693-(Examples!$H$6*Examples!$H$7*Examples!$H$8*EXP(-Examples!$H$9*$A693)*(1-(Examples!$H$12*(1-EXP(-Examples!$H$13*$A693))/(1+EXP(MIN(700,MAX(-700,(Examples!$H$14*$A693-Examples!$H$15)/Examples!$H$16))))))+Examples!$H$17*$A693^2)</f>
        <v>594405.10263808956</v>
      </c>
      <c r="M693" s="33">
        <f>(Examples!$H$6*Examples!$H$7*Examples!$H$8*EXP(-Examples!$H$9*$A693)*(1-(Examples!$H$12*(1-EXP(-Examples!$H$13*$A693))/(1+EXP(MIN(700,MAX(-700,(Examples!$H$14*$A693-Examples!$H$15)/Examples!$H$16))))))+Examples!$H$17*$A693^2)</f>
        <v>560094.89736191044</v>
      </c>
    </row>
    <row r="694" spans="1:13" x14ac:dyDescent="0.25">
      <c r="A694">
        <f>(694-2)/100</f>
        <v>6.92</v>
      </c>
      <c r="B694" s="33">
        <f>Examples!$C$18-(Examples!$C$10+Examples!$C$11)*$A694-(Examples!$C$6*Examples!$C$7*Examples!$C$8*EXP(-Examples!$C$9*$A694)*(1-(Examples!$C$12*(1-EXP(-Examples!$C$13*$A694))/(1+EXP(MIN(700,MAX(-700,(Examples!$C$14*$A694-Examples!$C$15)/Examples!$C$16))))))+Examples!$C$17*$A694^2)</f>
        <v>-435754.55924288626</v>
      </c>
      <c r="C694" s="33">
        <f>(Examples!$C$6*Examples!$C$7*Examples!$C$8*EXP(-Examples!$C$9*$A694)*(1-(Examples!$C$12*(1-EXP(-Examples!$C$13*$A694))/(1+EXP(MIN(700,MAX(-700,(Examples!$C$14*$A694-Examples!$C$15)/Examples!$C$16))))))+Examples!$C$17*$A694^2)</f>
        <v>793554.55924288626</v>
      </c>
      <c r="D694" s="33">
        <f>Examples!$D$18-(Examples!$D$10+Examples!$D$11)*$A694-(Examples!$D$6*Examples!$D$7*Examples!$D$8*EXP(-Examples!$D$9*$A694)*(1-(Examples!$D$12*(1-EXP(-Examples!$D$13*$A694))/(1+EXP(MIN(700,MAX(-700,(Examples!$D$14*$A694-Examples!$D$15)/Examples!$D$16))))))+Examples!$D$17*$A694^2)</f>
        <v>1685462.06986963</v>
      </c>
      <c r="E694" s="33">
        <f>(Examples!$D$6*Examples!$D$7*Examples!$D$8*EXP(-Examples!$D$9*$A694)*(1-(Examples!$D$12*(1-EXP(-Examples!$D$13*$A694))/(1+EXP(MIN(700,MAX(-700,(Examples!$D$14*$A694-Examples!$D$15)/Examples!$D$16))))))+Examples!$D$17*$A694^2)</f>
        <v>503137.93013036996</v>
      </c>
      <c r="F694" s="33">
        <f>Examples!$E$18-(Examples!$E$10+Examples!$E$11)*$A694-(Examples!$E$6*Examples!$E$7*Examples!$E$8*EXP(-Examples!$E$9*$A694)*(1-(Examples!$E$12*(1-EXP(-Examples!$E$13*$A694))/(1+EXP(MIN(700,MAX(-700,(Examples!$E$14*$A694-Examples!$E$15)/Examples!$E$16))))))+Examples!$E$17*$A694^2)</f>
        <v>2195955.544432695</v>
      </c>
      <c r="G694" s="33">
        <f>(Examples!$E$6*Examples!$E$7*Examples!$E$8*EXP(-Examples!$E$9*$A694)*(1-(Examples!$E$12*(1-EXP(-Examples!$E$13*$A694))/(1+EXP(MIN(700,MAX(-700,(Examples!$E$14*$A694-Examples!$E$15)/Examples!$E$16))))))+Examples!$E$17*$A694^2)</f>
        <v>215844.45556730509</v>
      </c>
      <c r="H694" s="33">
        <f>Examples!$F$18-(Examples!$F$10+Examples!$F$11)*$A694-(Examples!$F$6*Examples!$F$7*Examples!$F$8*EXP(-Examples!$F$9*$A694)*(1-(Examples!$F$12*(1-EXP(-Examples!$F$13*$A694))/(1+EXP(MIN(700,MAX(-700,(Examples!$F$14*$A694-Examples!$F$15)/Examples!$F$16))))))+Examples!$F$17*$A694^2)</f>
        <v>-948323.041341751</v>
      </c>
      <c r="I694" s="33">
        <f>(Examples!$F$6*Examples!$F$7*Examples!$F$8*EXP(-Examples!$F$9*$A694)*(1-(Examples!$F$12*(1-EXP(-Examples!$F$13*$A694))/(1+EXP(MIN(700,MAX(-700,(Examples!$F$14*$A694-Examples!$F$15)/Examples!$F$16))))))+Examples!$F$17*$A694^2)</f>
        <v>959923.041341751</v>
      </c>
      <c r="J694" s="33">
        <f>Examples!$G$18-(Examples!$G$10+Examples!$G$11)*$A694-(Examples!$G$6*Examples!$G$7*Examples!$G$8*EXP(-Examples!$G$9*$A694)*(1-(Examples!$G$12*(1-EXP(-Examples!$G$13*$A694))/(1+EXP(MIN(700,MAX(-700,(Examples!$G$14*$A694-Examples!$G$15)/Examples!$G$16))))))+Examples!$G$17*$A694^2)</f>
        <v>593799.12236782105</v>
      </c>
      <c r="K694" s="33">
        <f>(Examples!$G$6*Examples!$G$7*Examples!$G$8*EXP(-Examples!$G$9*$A694)*(1-(Examples!$G$12*(1-EXP(-Examples!$G$13*$A694))/(1+EXP(MIN(700,MAX(-700,(Examples!$G$14*$A694-Examples!$G$15)/Examples!$G$16))))))+Examples!$G$17*$A694^2)</f>
        <v>560200.87763217895</v>
      </c>
      <c r="L694" s="33">
        <f>Examples!$H$18-(Examples!$H$10+Examples!$H$11)*$A694-(Examples!$H$6*Examples!$H$7*Examples!$H$8*EXP(-Examples!$H$9*$A694)*(1-(Examples!$H$12*(1-EXP(-Examples!$H$13*$A694))/(1+EXP(MIN(700,MAX(-700,(Examples!$H$14*$A694-Examples!$H$15)/Examples!$H$16))))))+Examples!$H$17*$A694^2)</f>
        <v>593420.99512285041</v>
      </c>
      <c r="M694" s="33">
        <f>(Examples!$H$6*Examples!$H$7*Examples!$H$8*EXP(-Examples!$H$9*$A694)*(1-(Examples!$H$12*(1-EXP(-Examples!$H$13*$A694))/(1+EXP(MIN(700,MAX(-700,(Examples!$H$14*$A694-Examples!$H$15)/Examples!$H$16))))))+Examples!$H$17*$A694^2)</f>
        <v>560579.00487714959</v>
      </c>
    </row>
    <row r="695" spans="1:13" x14ac:dyDescent="0.25">
      <c r="A695">
        <f>(695-2)/100</f>
        <v>6.93</v>
      </c>
      <c r="B695" s="33">
        <f>Examples!$C$18-(Examples!$C$10+Examples!$C$11)*$A695-(Examples!$C$6*Examples!$C$7*Examples!$C$8*EXP(-Examples!$C$9*$A695)*(1-(Examples!$C$12*(1-EXP(-Examples!$C$13*$A695))/(1+EXP(MIN(700,MAX(-700,(Examples!$C$14*$A695-Examples!$C$15)/Examples!$C$16))))))+Examples!$C$17*$A695^2)</f>
        <v>-437956.62192434317</v>
      </c>
      <c r="C695" s="33">
        <f>(Examples!$C$6*Examples!$C$7*Examples!$C$8*EXP(-Examples!$C$9*$A695)*(1-(Examples!$C$12*(1-EXP(-Examples!$C$13*$A695))/(1+EXP(MIN(700,MAX(-700,(Examples!$C$14*$A695-Examples!$C$15)/Examples!$C$16))))))+Examples!$C$17*$A695^2)</f>
        <v>795406.62192434317</v>
      </c>
      <c r="D695" s="33">
        <f>Examples!$D$18-(Examples!$D$10+Examples!$D$11)*$A695-(Examples!$D$6*Examples!$D$7*Examples!$D$8*EXP(-Examples!$D$9*$A695)*(1-(Examples!$D$12*(1-EXP(-Examples!$D$13*$A695))/(1+EXP(MIN(700,MAX(-700,(Examples!$D$14*$A695-Examples!$D$15)/Examples!$D$16))))))+Examples!$D$17*$A695^2)</f>
        <v>1685467.0422078841</v>
      </c>
      <c r="E695" s="33">
        <f>(Examples!$D$6*Examples!$D$7*Examples!$D$8*EXP(-Examples!$D$9*$A695)*(1-(Examples!$D$12*(1-EXP(-Examples!$D$13*$A695))/(1+EXP(MIN(700,MAX(-700,(Examples!$D$14*$A695-Examples!$D$15)/Examples!$D$16))))))+Examples!$D$17*$A695^2)</f>
        <v>502682.95779211598</v>
      </c>
      <c r="F695" s="33">
        <f>Examples!$E$18-(Examples!$E$10+Examples!$E$11)*$A695-(Examples!$E$6*Examples!$E$7*Examples!$E$8*EXP(-Examples!$E$9*$A695)*(1-(Examples!$E$12*(1-EXP(-Examples!$E$13*$A695))/(1+EXP(MIN(700,MAX(-700,(Examples!$E$14*$A695-Examples!$E$15)/Examples!$E$16))))))+Examples!$E$17*$A695^2)</f>
        <v>2194967.9532110449</v>
      </c>
      <c r="G695" s="33">
        <f>(Examples!$E$6*Examples!$E$7*Examples!$E$8*EXP(-Examples!$E$9*$A695)*(1-(Examples!$E$12*(1-EXP(-Examples!$E$13*$A695))/(1+EXP(MIN(700,MAX(-700,(Examples!$E$14*$A695-Examples!$E$15)/Examples!$E$16))))))+Examples!$E$17*$A695^2)</f>
        <v>215982.04678895531</v>
      </c>
      <c r="H695" s="33">
        <f>Examples!$F$18-(Examples!$F$10+Examples!$F$11)*$A695-(Examples!$F$6*Examples!$F$7*Examples!$F$8*EXP(-Examples!$F$9*$A695)*(1-(Examples!$F$12*(1-EXP(-Examples!$F$13*$A695))/(1+EXP(MIN(700,MAX(-700,(Examples!$F$14*$A695-Examples!$F$15)/Examples!$F$16))))))+Examples!$F$17*$A695^2)</f>
        <v>-951286.46608554723</v>
      </c>
      <c r="I695" s="33">
        <f>(Examples!$F$6*Examples!$F$7*Examples!$F$8*EXP(-Examples!$F$9*$A695)*(1-(Examples!$F$12*(1-EXP(-Examples!$F$13*$A695))/(1+EXP(MIN(700,MAX(-700,(Examples!$F$14*$A695-Examples!$F$15)/Examples!$F$16))))))+Examples!$F$17*$A695^2)</f>
        <v>962686.46608554723</v>
      </c>
      <c r="J695" s="33">
        <f>Examples!$G$18-(Examples!$G$10+Examples!$G$11)*$A695-(Examples!$G$6*Examples!$G$7*Examples!$G$8*EXP(-Examples!$G$9*$A695)*(1-(Examples!$G$12*(1-EXP(-Examples!$G$13*$A695))/(1+EXP(MIN(700,MAX(-700,(Examples!$G$14*$A695-Examples!$G$15)/Examples!$G$16))))))+Examples!$G$17*$A695^2)</f>
        <v>592805.00440578116</v>
      </c>
      <c r="K695" s="33">
        <f>(Examples!$G$6*Examples!$G$7*Examples!$G$8*EXP(-Examples!$G$9*$A695)*(1-(Examples!$G$12*(1-EXP(-Examples!$G$13*$A695))/(1+EXP(MIN(700,MAX(-700,(Examples!$G$14*$A695-Examples!$G$15)/Examples!$G$16))))))+Examples!$G$17*$A695^2)</f>
        <v>560694.99559421884</v>
      </c>
      <c r="L695" s="33">
        <f>Examples!$H$18-(Examples!$H$10+Examples!$H$11)*$A695-(Examples!$H$6*Examples!$H$7*Examples!$H$8*EXP(-Examples!$H$9*$A695)*(1-(Examples!$H$12*(1-EXP(-Examples!$H$13*$A695))/(1+EXP(MIN(700,MAX(-700,(Examples!$H$14*$A695-Examples!$H$15)/Examples!$H$16))))))+Examples!$H$17*$A695^2)</f>
        <v>592433.11350215215</v>
      </c>
      <c r="M695" s="33">
        <f>(Examples!$H$6*Examples!$H$7*Examples!$H$8*EXP(-Examples!$H$9*$A695)*(1-(Examples!$H$12*(1-EXP(-Examples!$H$13*$A695))/(1+EXP(MIN(700,MAX(-700,(Examples!$H$14*$A695-Examples!$H$15)/Examples!$H$16))))))+Examples!$H$17*$A695^2)</f>
        <v>561066.88649784785</v>
      </c>
    </row>
    <row r="696" spans="1:13" x14ac:dyDescent="0.25">
      <c r="A696">
        <f>(696-2)/100</f>
        <v>6.94</v>
      </c>
      <c r="B696" s="33">
        <f>Examples!$C$18-(Examples!$C$10+Examples!$C$11)*$A696-(Examples!$C$6*Examples!$C$7*Examples!$C$8*EXP(-Examples!$C$9*$A696)*(1-(Examples!$C$12*(1-EXP(-Examples!$C$13*$A696))/(1+EXP(MIN(700,MAX(-700,(Examples!$C$14*$A696-Examples!$C$15)/Examples!$C$16))))))+Examples!$C$17*$A696^2)</f>
        <v>-440162.35990309564</v>
      </c>
      <c r="C696" s="33">
        <f>(Examples!$C$6*Examples!$C$7*Examples!$C$8*EXP(-Examples!$C$9*$A696)*(1-(Examples!$C$12*(1-EXP(-Examples!$C$13*$A696))/(1+EXP(MIN(700,MAX(-700,(Examples!$C$14*$A696-Examples!$C$15)/Examples!$C$16))))))+Examples!$C$17*$A696^2)</f>
        <v>797262.35990309564</v>
      </c>
      <c r="D696" s="33">
        <f>Examples!$D$18-(Examples!$D$10+Examples!$D$11)*$A696-(Examples!$D$6*Examples!$D$7*Examples!$D$8*EXP(-Examples!$D$9*$A696)*(1-(Examples!$D$12*(1-EXP(-Examples!$D$13*$A696))/(1+EXP(MIN(700,MAX(-700,(Examples!$D$14*$A696-Examples!$D$15)/Examples!$D$16))))))+Examples!$D$17*$A696^2)</f>
        <v>1685466.4896770935</v>
      </c>
      <c r="E696" s="33">
        <f>(Examples!$D$6*Examples!$D$7*Examples!$D$8*EXP(-Examples!$D$9*$A696)*(1-(Examples!$D$12*(1-EXP(-Examples!$D$13*$A696))/(1+EXP(MIN(700,MAX(-700,(Examples!$D$14*$A696-Examples!$D$15)/Examples!$D$16))))))+Examples!$D$17*$A696^2)</f>
        <v>502233.51032290648</v>
      </c>
      <c r="F696" s="33">
        <f>Examples!$E$18-(Examples!$E$10+Examples!$E$11)*$A696-(Examples!$E$6*Examples!$E$7*Examples!$E$8*EXP(-Examples!$E$9*$A696)*(1-(Examples!$E$12*(1-EXP(-Examples!$E$13*$A696))/(1+EXP(MIN(700,MAX(-700,(Examples!$E$14*$A696-Examples!$E$15)/Examples!$E$16))))))+Examples!$E$17*$A696^2)</f>
        <v>2193979.1977121667</v>
      </c>
      <c r="G696" s="33">
        <f>(Examples!$E$6*Examples!$E$7*Examples!$E$8*EXP(-Examples!$E$9*$A696)*(1-(Examples!$E$12*(1-EXP(-Examples!$E$13*$A696))/(1+EXP(MIN(700,MAX(-700,(Examples!$E$14*$A696-Examples!$E$15)/Examples!$E$16))))))+Examples!$E$17*$A696^2)</f>
        <v>216120.80228783318</v>
      </c>
      <c r="H696" s="33">
        <f>Examples!$F$18-(Examples!$F$10+Examples!$F$11)*$A696-(Examples!$F$6*Examples!$F$7*Examples!$F$8*EXP(-Examples!$F$9*$A696)*(1-(Examples!$F$12*(1-EXP(-Examples!$F$13*$A696))/(1+EXP(MIN(700,MAX(-700,(Examples!$F$14*$A696-Examples!$F$15)/Examples!$F$16))))))+Examples!$F$17*$A696^2)</f>
        <v>-954253.91052555304</v>
      </c>
      <c r="I696" s="33">
        <f>(Examples!$F$6*Examples!$F$7*Examples!$F$8*EXP(-Examples!$F$9*$A696)*(1-(Examples!$F$12*(1-EXP(-Examples!$F$13*$A696))/(1+EXP(MIN(700,MAX(-700,(Examples!$F$14*$A696-Examples!$F$15)/Examples!$F$16))))))+Examples!$F$17*$A696^2)</f>
        <v>965453.91052555304</v>
      </c>
      <c r="J696" s="33">
        <f>Examples!$G$18-(Examples!$G$10+Examples!$G$11)*$A696-(Examples!$G$6*Examples!$G$7*Examples!$G$8*EXP(-Examples!$G$9*$A696)*(1-(Examples!$G$12*(1-EXP(-Examples!$G$13*$A696))/(1+EXP(MIN(700,MAX(-700,(Examples!$G$14*$A696-Examples!$G$15)/Examples!$G$16))))))+Examples!$G$17*$A696^2)</f>
        <v>591807.22227099352</v>
      </c>
      <c r="K696" s="33">
        <f>(Examples!$G$6*Examples!$G$7*Examples!$G$8*EXP(-Examples!$G$9*$A696)*(1-(Examples!$G$12*(1-EXP(-Examples!$G$13*$A696))/(1+EXP(MIN(700,MAX(-700,(Examples!$G$14*$A696-Examples!$G$15)/Examples!$G$16))))))+Examples!$G$17*$A696^2)</f>
        <v>561192.77772900648</v>
      </c>
      <c r="L696" s="33">
        <f>Examples!$H$18-(Examples!$H$10+Examples!$H$11)*$A696-(Examples!$H$6*Examples!$H$7*Examples!$H$8*EXP(-Examples!$H$9*$A696)*(1-(Examples!$H$12*(1-EXP(-Examples!$H$13*$A696))/(1+EXP(MIN(700,MAX(-700,(Examples!$H$14*$A696-Examples!$H$15)/Examples!$H$16))))))+Examples!$H$17*$A696^2)</f>
        <v>591441.46536820987</v>
      </c>
      <c r="M696" s="33">
        <f>(Examples!$H$6*Examples!$H$7*Examples!$H$8*EXP(-Examples!$H$9*$A696)*(1-(Examples!$H$12*(1-EXP(-Examples!$H$13*$A696))/(1+EXP(MIN(700,MAX(-700,(Examples!$H$14*$A696-Examples!$H$15)/Examples!$H$16))))))+Examples!$H$17*$A696^2)</f>
        <v>561558.53463179013</v>
      </c>
    </row>
    <row r="697" spans="1:13" x14ac:dyDescent="0.25">
      <c r="A697">
        <f>(697-2)/100</f>
        <v>6.95</v>
      </c>
      <c r="B697" s="33">
        <f>Examples!$C$18-(Examples!$C$10+Examples!$C$11)*$A697-(Examples!$C$6*Examples!$C$7*Examples!$C$8*EXP(-Examples!$C$9*$A697)*(1-(Examples!$C$12*(1-EXP(-Examples!$C$13*$A697))/(1+EXP(MIN(700,MAX(-700,(Examples!$C$14*$A697-Examples!$C$15)/Examples!$C$16))))))+Examples!$C$17*$A697^2)</f>
        <v>-442371.77115632989</v>
      </c>
      <c r="C697" s="33">
        <f>(Examples!$C$6*Examples!$C$7*Examples!$C$8*EXP(-Examples!$C$9*$A697)*(1-(Examples!$C$12*(1-EXP(-Examples!$C$13*$A697))/(1+EXP(MIN(700,MAX(-700,(Examples!$C$14*$A697-Examples!$C$15)/Examples!$C$16))))))+Examples!$C$17*$A697^2)</f>
        <v>799121.77115632989</v>
      </c>
      <c r="D697" s="33">
        <f>Examples!$D$18-(Examples!$D$10+Examples!$D$11)*$A697-(Examples!$D$6*Examples!$D$7*Examples!$D$8*EXP(-Examples!$D$9*$A697)*(1-(Examples!$D$12*(1-EXP(-Examples!$D$13*$A697))/(1+EXP(MIN(700,MAX(-700,(Examples!$D$14*$A697-Examples!$D$15)/Examples!$D$16))))))+Examples!$D$17*$A697^2)</f>
        <v>1685460.4220347437</v>
      </c>
      <c r="E697" s="33">
        <f>(Examples!$D$6*Examples!$D$7*Examples!$D$8*EXP(-Examples!$D$9*$A697)*(1-(Examples!$D$12*(1-EXP(-Examples!$D$13*$A697))/(1+EXP(MIN(700,MAX(-700,(Examples!$D$14*$A697-Examples!$D$15)/Examples!$D$16))))))+Examples!$D$17*$A697^2)</f>
        <v>501789.57796525635</v>
      </c>
      <c r="F697" s="33">
        <f>Examples!$E$18-(Examples!$E$10+Examples!$E$11)*$A697-(Examples!$E$6*Examples!$E$7*Examples!$E$8*EXP(-Examples!$E$9*$A697)*(1-(Examples!$E$12*(1-EXP(-Examples!$E$13*$A697))/(1+EXP(MIN(700,MAX(-700,(Examples!$E$14*$A697-Examples!$E$15)/Examples!$E$16))))))+Examples!$E$17*$A697^2)</f>
        <v>2192989.2741024271</v>
      </c>
      <c r="G697" s="33">
        <f>(Examples!$E$6*Examples!$E$7*Examples!$E$8*EXP(-Examples!$E$9*$A697)*(1-(Examples!$E$12*(1-EXP(-Examples!$E$13*$A697))/(1+EXP(MIN(700,MAX(-700,(Examples!$E$14*$A697-Examples!$E$15)/Examples!$E$16))))))+Examples!$E$17*$A697^2)</f>
        <v>216260.72589757305</v>
      </c>
      <c r="H697" s="33">
        <f>Examples!$F$18-(Examples!$F$10+Examples!$F$11)*$A697-(Examples!$F$6*Examples!$F$7*Examples!$F$8*EXP(-Examples!$F$9*$A697)*(1-(Examples!$F$12*(1-EXP(-Examples!$F$13*$A697))/(1+EXP(MIN(700,MAX(-700,(Examples!$F$14*$A697-Examples!$F$15)/Examples!$F$16))))))+Examples!$F$17*$A697^2)</f>
        <v>-957225.37460276787</v>
      </c>
      <c r="I697" s="33">
        <f>(Examples!$F$6*Examples!$F$7*Examples!$F$8*EXP(-Examples!$F$9*$A697)*(1-(Examples!$F$12*(1-EXP(-Examples!$F$13*$A697))/(1+EXP(MIN(700,MAX(-700,(Examples!$F$14*$A697-Examples!$F$15)/Examples!$F$16))))))+Examples!$F$17*$A697^2)</f>
        <v>968225.37460276787</v>
      </c>
      <c r="J697" s="33">
        <f>Examples!$G$18-(Examples!$G$10+Examples!$G$11)*$A697-(Examples!$G$6*Examples!$G$7*Examples!$G$8*EXP(-Examples!$G$9*$A697)*(1-(Examples!$G$12*(1-EXP(-Examples!$G$13*$A697))/(1+EXP(MIN(700,MAX(-700,(Examples!$G$14*$A697-Examples!$G$15)/Examples!$G$16))))))+Examples!$G$17*$A697^2)</f>
        <v>590805.78186282725</v>
      </c>
      <c r="K697" s="33">
        <f>(Examples!$G$6*Examples!$G$7*Examples!$G$8*EXP(-Examples!$G$9*$A697)*(1-(Examples!$G$12*(1-EXP(-Examples!$G$13*$A697))/(1+EXP(MIN(700,MAX(-700,(Examples!$G$14*$A697-Examples!$G$15)/Examples!$G$16))))))+Examples!$G$17*$A697^2)</f>
        <v>561694.21813717275</v>
      </c>
      <c r="L697" s="33">
        <f>Examples!$H$18-(Examples!$H$10+Examples!$H$11)*$A697-(Examples!$H$6*Examples!$H$7*Examples!$H$8*EXP(-Examples!$H$9*$A697)*(1-(Examples!$H$12*(1-EXP(-Examples!$H$13*$A697))/(1+EXP(MIN(700,MAX(-700,(Examples!$H$14*$A697-Examples!$H$15)/Examples!$H$16))))))+Examples!$H$17*$A697^2)</f>
        <v>590446.05828684592</v>
      </c>
      <c r="M697" s="33">
        <f>(Examples!$H$6*Examples!$H$7*Examples!$H$8*EXP(-Examples!$H$9*$A697)*(1-(Examples!$H$12*(1-EXP(-Examples!$H$13*$A697))/(1+EXP(MIN(700,MAX(-700,(Examples!$H$14*$A697-Examples!$H$15)/Examples!$H$16))))))+Examples!$H$17*$A697^2)</f>
        <v>562053.94171315408</v>
      </c>
    </row>
    <row r="698" spans="1:13" x14ac:dyDescent="0.25">
      <c r="A698">
        <f>(698-2)/100</f>
        <v>6.96</v>
      </c>
      <c r="B698" s="33">
        <f>Examples!$C$18-(Examples!$C$10+Examples!$C$11)*$A698-(Examples!$C$6*Examples!$C$7*Examples!$C$8*EXP(-Examples!$C$9*$A698)*(1-(Examples!$C$12*(1-EXP(-Examples!$C$13*$A698))/(1+EXP(MIN(700,MAX(-700,(Examples!$C$14*$A698-Examples!$C$15)/Examples!$C$16))))))+Examples!$C$17*$A698^2)</f>
        <v>-444584.85366729042</v>
      </c>
      <c r="C698" s="33">
        <f>(Examples!$C$6*Examples!$C$7*Examples!$C$8*EXP(-Examples!$C$9*$A698)*(1-(Examples!$C$12*(1-EXP(-Examples!$C$13*$A698))/(1+EXP(MIN(700,MAX(-700,(Examples!$C$14*$A698-Examples!$C$15)/Examples!$C$16))))))+Examples!$C$17*$A698^2)</f>
        <v>800984.85366729042</v>
      </c>
      <c r="D698" s="33">
        <f>Examples!$D$18-(Examples!$D$10+Examples!$D$11)*$A698-(Examples!$D$6*Examples!$D$7*Examples!$D$8*EXP(-Examples!$D$9*$A698)*(1-(Examples!$D$12*(1-EXP(-Examples!$D$13*$A698))/(1+EXP(MIN(700,MAX(-700,(Examples!$D$14*$A698-Examples!$D$15)/Examples!$D$16))))))+Examples!$D$17*$A698^2)</f>
        <v>1685448.8491662457</v>
      </c>
      <c r="E698" s="33">
        <f>(Examples!$D$6*Examples!$D$7*Examples!$D$8*EXP(-Examples!$D$9*$A698)*(1-(Examples!$D$12*(1-EXP(-Examples!$D$13*$A698))/(1+EXP(MIN(700,MAX(-700,(Examples!$D$14*$A698-Examples!$D$15)/Examples!$D$16))))))+Examples!$D$17*$A698^2)</f>
        <v>501351.15083375433</v>
      </c>
      <c r="F698" s="33">
        <f>Examples!$E$18-(Examples!$E$10+Examples!$E$11)*$A698-(Examples!$E$6*Examples!$E$7*Examples!$E$8*EXP(-Examples!$E$9*$A698)*(1-(Examples!$E$12*(1-EXP(-Examples!$E$13*$A698))/(1+EXP(MIN(700,MAX(-700,(Examples!$E$14*$A698-Examples!$E$15)/Examples!$E$16))))))+Examples!$E$17*$A698^2)</f>
        <v>2191998.1785937161</v>
      </c>
      <c r="G698" s="33">
        <f>(Examples!$E$6*Examples!$E$7*Examples!$E$8*EXP(-Examples!$E$9*$A698)*(1-(Examples!$E$12*(1-EXP(-Examples!$E$13*$A698))/(1+EXP(MIN(700,MAX(-700,(Examples!$E$14*$A698-Examples!$E$15)/Examples!$E$16))))))+Examples!$E$17*$A698^2)</f>
        <v>216401.82140628394</v>
      </c>
      <c r="H698" s="33">
        <f>Examples!$F$18-(Examples!$F$10+Examples!$F$11)*$A698-(Examples!$F$6*Examples!$F$7*Examples!$F$8*EXP(-Examples!$F$9*$A698)*(1-(Examples!$F$12*(1-EXP(-Examples!$F$13*$A698))/(1+EXP(MIN(700,MAX(-700,(Examples!$F$14*$A698-Examples!$F$15)/Examples!$F$16))))))+Examples!$F$17*$A698^2)</f>
        <v>-960200.85825836856</v>
      </c>
      <c r="I698" s="33">
        <f>(Examples!$F$6*Examples!$F$7*Examples!$F$8*EXP(-Examples!$F$9*$A698)*(1-(Examples!$F$12*(1-EXP(-Examples!$F$13*$A698))/(1+EXP(MIN(700,MAX(-700,(Examples!$F$14*$A698-Examples!$F$15)/Examples!$F$16))))))+Examples!$F$17*$A698^2)</f>
        <v>971000.85825836856</v>
      </c>
      <c r="J698" s="33">
        <f>Examples!$G$18-(Examples!$G$10+Examples!$G$11)*$A698-(Examples!$G$6*Examples!$G$7*Examples!$G$8*EXP(-Examples!$G$9*$A698)*(1-(Examples!$G$12*(1-EXP(-Examples!$G$13*$A698))/(1+EXP(MIN(700,MAX(-700,(Examples!$G$14*$A698-Examples!$G$15)/Examples!$G$16))))))+Examples!$G$17*$A698^2)</f>
        <v>589800.68908114289</v>
      </c>
      <c r="K698" s="33">
        <f>(Examples!$G$6*Examples!$G$7*Examples!$G$8*EXP(-Examples!$G$9*$A698)*(1-(Examples!$G$12*(1-EXP(-Examples!$G$13*$A698))/(1+EXP(MIN(700,MAX(-700,(Examples!$G$14*$A698-Examples!$G$15)/Examples!$G$16))))))+Examples!$G$17*$A698^2)</f>
        <v>562199.31091885711</v>
      </c>
      <c r="L698" s="33">
        <f>Examples!$H$18-(Examples!$H$10+Examples!$H$11)*$A698-(Examples!$H$6*Examples!$H$7*Examples!$H$8*EXP(-Examples!$H$9*$A698)*(1-(Examples!$H$12*(1-EXP(-Examples!$H$13*$A698))/(1+EXP(MIN(700,MAX(-700,(Examples!$H$14*$A698-Examples!$H$15)/Examples!$H$16))))))+Examples!$H$17*$A698^2)</f>
        <v>589446.89979757718</v>
      </c>
      <c r="M698" s="33">
        <f>(Examples!$H$6*Examples!$H$7*Examples!$H$8*EXP(-Examples!$H$9*$A698)*(1-(Examples!$H$12*(1-EXP(-Examples!$H$13*$A698))/(1+EXP(MIN(700,MAX(-700,(Examples!$H$14*$A698-Examples!$H$15)/Examples!$H$16))))))+Examples!$H$17*$A698^2)</f>
        <v>562553.10020242282</v>
      </c>
    </row>
    <row r="699" spans="1:13" x14ac:dyDescent="0.25">
      <c r="A699">
        <f>(699-2)/100</f>
        <v>6.97</v>
      </c>
      <c r="B699" s="33">
        <f>Examples!$C$18-(Examples!$C$10+Examples!$C$11)*$A699-(Examples!$C$6*Examples!$C$7*Examples!$C$8*EXP(-Examples!$C$9*$A699)*(1-(Examples!$C$12*(1-EXP(-Examples!$C$13*$A699))/(1+EXP(MIN(700,MAX(-700,(Examples!$C$14*$A699-Examples!$C$15)/Examples!$C$16))))))+Examples!$C$17*$A699^2)</f>
        <v>-446801.60542526143</v>
      </c>
      <c r="C699" s="33">
        <f>(Examples!$C$6*Examples!$C$7*Examples!$C$8*EXP(-Examples!$C$9*$A699)*(1-(Examples!$C$12*(1-EXP(-Examples!$C$13*$A699))/(1+EXP(MIN(700,MAX(-700,(Examples!$C$14*$A699-Examples!$C$15)/Examples!$C$16))))))+Examples!$C$17*$A699^2)</f>
        <v>802851.60542526143</v>
      </c>
      <c r="D699" s="33">
        <f>Examples!$D$18-(Examples!$D$10+Examples!$D$11)*$A699-(Examples!$D$6*Examples!$D$7*Examples!$D$8*EXP(-Examples!$D$9*$A699)*(1-(Examples!$D$12*(1-EXP(-Examples!$D$13*$A699))/(1+EXP(MIN(700,MAX(-700,(Examples!$D$14*$A699-Examples!$D$15)/Examples!$D$16))))))+Examples!$D$17*$A699^2)</f>
        <v>1685431.7810817468</v>
      </c>
      <c r="E699" s="33">
        <f>(Examples!$D$6*Examples!$D$7*Examples!$D$8*EXP(-Examples!$D$9*$A699)*(1-(Examples!$D$12*(1-EXP(-Examples!$D$13*$A699))/(1+EXP(MIN(700,MAX(-700,(Examples!$D$14*$A699-Examples!$D$15)/Examples!$D$16))))))+Examples!$D$17*$A699^2)</f>
        <v>500918.21891825332</v>
      </c>
      <c r="F699" s="33">
        <f>Examples!$E$18-(Examples!$E$10+Examples!$E$11)*$A699-(Examples!$E$6*Examples!$E$7*Examples!$E$8*EXP(-Examples!$E$9*$A699)*(1-(Examples!$E$12*(1-EXP(-Examples!$E$13*$A699))/(1+EXP(MIN(700,MAX(-700,(Examples!$E$14*$A699-Examples!$E$15)/Examples!$E$16))))))+Examples!$E$17*$A699^2)</f>
        <v>2191005.9074436231</v>
      </c>
      <c r="G699" s="33">
        <f>(Examples!$E$6*Examples!$E$7*Examples!$E$8*EXP(-Examples!$E$9*$A699)*(1-(Examples!$E$12*(1-EXP(-Examples!$E$13*$A699))/(1+EXP(MIN(700,MAX(-700,(Examples!$E$14*$A699-Examples!$E$15)/Examples!$E$16))))))+Examples!$E$17*$A699^2)</f>
        <v>216544.09255637671</v>
      </c>
      <c r="H699" s="33">
        <f>Examples!$F$18-(Examples!$F$10+Examples!$F$11)*$A699-(Examples!$F$6*Examples!$F$7*Examples!$F$8*EXP(-Examples!$F$9*$A699)*(1-(Examples!$F$12*(1-EXP(-Examples!$F$13*$A699))/(1+EXP(MIN(700,MAX(-700,(Examples!$F$14*$A699-Examples!$F$15)/Examples!$F$16))))))+Examples!$F$17*$A699^2)</f>
        <v>-963180.36143370799</v>
      </c>
      <c r="I699" s="33">
        <f>(Examples!$F$6*Examples!$F$7*Examples!$F$8*EXP(-Examples!$F$9*$A699)*(1-(Examples!$F$12*(1-EXP(-Examples!$F$13*$A699))/(1+EXP(MIN(700,MAX(-700,(Examples!$F$14*$A699-Examples!$F$15)/Examples!$F$16))))))+Examples!$F$17*$A699^2)</f>
        <v>973780.36143370799</v>
      </c>
      <c r="J699" s="33">
        <f>Examples!$G$18-(Examples!$G$10+Examples!$G$11)*$A699-(Examples!$G$6*Examples!$G$7*Examples!$G$8*EXP(-Examples!$G$9*$A699)*(1-(Examples!$G$12*(1-EXP(-Examples!$G$13*$A699))/(1+EXP(MIN(700,MAX(-700,(Examples!$G$14*$A699-Examples!$G$15)/Examples!$G$16))))))+Examples!$G$17*$A699^2)</f>
        <v>588791.94982595788</v>
      </c>
      <c r="K699" s="33">
        <f>(Examples!$G$6*Examples!$G$7*Examples!$G$8*EXP(-Examples!$G$9*$A699)*(1-(Examples!$G$12*(1-EXP(-Examples!$G$13*$A699))/(1+EXP(MIN(700,MAX(-700,(Examples!$G$14*$A699-Examples!$G$15)/Examples!$G$16))))))+Examples!$G$17*$A699^2)</f>
        <v>562708.05017404212</v>
      </c>
      <c r="L699" s="33">
        <f>Examples!$H$18-(Examples!$H$10+Examples!$H$11)*$A699-(Examples!$H$6*Examples!$H$7*Examples!$H$8*EXP(-Examples!$H$9*$A699)*(1-(Examples!$H$12*(1-EXP(-Examples!$H$13*$A699))/(1+EXP(MIN(700,MAX(-700,(Examples!$H$14*$A699-Examples!$H$15)/Examples!$H$16))))))+Examples!$H$17*$A699^2)</f>
        <v>588443.99741370324</v>
      </c>
      <c r="M699" s="33">
        <f>(Examples!$H$6*Examples!$H$7*Examples!$H$8*EXP(-Examples!$H$9*$A699)*(1-(Examples!$H$12*(1-EXP(-Examples!$H$13*$A699))/(1+EXP(MIN(700,MAX(-700,(Examples!$H$14*$A699-Examples!$H$15)/Examples!$H$16))))))+Examples!$H$17*$A699^2)</f>
        <v>563056.00258629676</v>
      </c>
    </row>
    <row r="700" spans="1:13" x14ac:dyDescent="0.25">
      <c r="A700">
        <f>(700-2)/100</f>
        <v>6.98</v>
      </c>
      <c r="B700" s="33">
        <f>Examples!$C$18-(Examples!$C$10+Examples!$C$11)*$A700-(Examples!$C$6*Examples!$C$7*Examples!$C$8*EXP(-Examples!$C$9*$A700)*(1-(Examples!$C$12*(1-EXP(-Examples!$C$13*$A700))/(1+EXP(MIN(700,MAX(-700,(Examples!$C$14*$A700-Examples!$C$15)/Examples!$C$16))))))+Examples!$C$17*$A700^2)</f>
        <v>-449022.02442554873</v>
      </c>
      <c r="C700" s="33">
        <f>(Examples!$C$6*Examples!$C$7*Examples!$C$8*EXP(-Examples!$C$9*$A700)*(1-(Examples!$C$12*(1-EXP(-Examples!$C$13*$A700))/(1+EXP(MIN(700,MAX(-700,(Examples!$C$14*$A700-Examples!$C$15)/Examples!$C$16))))))+Examples!$C$17*$A700^2)</f>
        <v>804722.02442554873</v>
      </c>
      <c r="D700" s="33">
        <f>Examples!$D$18-(Examples!$D$10+Examples!$D$11)*$A700-(Examples!$D$6*Examples!$D$7*Examples!$D$8*EXP(-Examples!$D$9*$A700)*(1-(Examples!$D$12*(1-EXP(-Examples!$D$13*$A700))/(1+EXP(MIN(700,MAX(-700,(Examples!$D$14*$A700-Examples!$D$15)/Examples!$D$16))))))+Examples!$D$17*$A700^2)</f>
        <v>1685409.2279129904</v>
      </c>
      <c r="E700" s="33">
        <f>(Examples!$D$6*Examples!$D$7*Examples!$D$8*EXP(-Examples!$D$9*$A700)*(1-(Examples!$D$12*(1-EXP(-Examples!$D$13*$A700))/(1+EXP(MIN(700,MAX(-700,(Examples!$D$14*$A700-Examples!$D$15)/Examples!$D$16))))))+Examples!$D$17*$A700^2)</f>
        <v>500490.77208700974</v>
      </c>
      <c r="F700" s="33">
        <f>Examples!$E$18-(Examples!$E$10+Examples!$E$11)*$A700-(Examples!$E$6*Examples!$E$7*Examples!$E$8*EXP(-Examples!$E$9*$A700)*(1-(Examples!$E$12*(1-EXP(-Examples!$E$13*$A700))/(1+EXP(MIN(700,MAX(-700,(Examples!$E$14*$A700-Examples!$E$15)/Examples!$E$16))))))+Examples!$E$17*$A700^2)</f>
        <v>2190012.4569555973</v>
      </c>
      <c r="G700" s="33">
        <f>(Examples!$E$6*Examples!$E$7*Examples!$E$8*EXP(-Examples!$E$9*$A700)*(1-(Examples!$E$12*(1-EXP(-Examples!$E$13*$A700))/(1+EXP(MIN(700,MAX(-700,(Examples!$E$14*$A700-Examples!$E$15)/Examples!$E$16))))))+Examples!$E$17*$A700^2)</f>
        <v>216687.54304440282</v>
      </c>
      <c r="H700" s="33">
        <f>Examples!$F$18-(Examples!$F$10+Examples!$F$11)*$A700-(Examples!$F$6*Examples!$F$7*Examples!$F$8*EXP(-Examples!$F$9*$A700)*(1-(Examples!$F$12*(1-EXP(-Examples!$F$13*$A700))/(1+EXP(MIN(700,MAX(-700,(Examples!$F$14*$A700-Examples!$F$15)/Examples!$F$16))))))+Examples!$F$17*$A700^2)</f>
        <v>-966163.88407031482</v>
      </c>
      <c r="I700" s="33">
        <f>(Examples!$F$6*Examples!$F$7*Examples!$F$8*EXP(-Examples!$F$9*$A700)*(1-(Examples!$F$12*(1-EXP(-Examples!$F$13*$A700))/(1+EXP(MIN(700,MAX(-700,(Examples!$F$14*$A700-Examples!$F$15)/Examples!$F$16))))))+Examples!$F$17*$A700^2)</f>
        <v>976563.88407031482</v>
      </c>
      <c r="J700" s="33">
        <f>Examples!$G$18-(Examples!$G$10+Examples!$G$11)*$A700-(Examples!$G$6*Examples!$G$7*Examples!$G$8*EXP(-Examples!$G$9*$A700)*(1-(Examples!$G$12*(1-EXP(-Examples!$G$13*$A700))/(1+EXP(MIN(700,MAX(-700,(Examples!$G$14*$A700-Examples!$G$15)/Examples!$G$16))))))+Examples!$G$17*$A700^2)</f>
        <v>587779.56999711855</v>
      </c>
      <c r="K700" s="33">
        <f>(Examples!$G$6*Examples!$G$7*Examples!$G$8*EXP(-Examples!$G$9*$A700)*(1-(Examples!$G$12*(1-EXP(-Examples!$G$13*$A700))/(1+EXP(MIN(700,MAX(-700,(Examples!$G$14*$A700-Examples!$G$15)/Examples!$G$16))))))+Examples!$G$17*$A700^2)</f>
        <v>563220.43000288145</v>
      </c>
      <c r="L700" s="33">
        <f>Examples!$H$18-(Examples!$H$10+Examples!$H$11)*$A700-(Examples!$H$6*Examples!$H$7*Examples!$H$8*EXP(-Examples!$H$9*$A700)*(1-(Examples!$H$12*(1-EXP(-Examples!$H$13*$A700))/(1+EXP(MIN(700,MAX(-700,(Examples!$H$14*$A700-Examples!$H$15)/Examples!$H$16))))))+Examples!$H$17*$A700^2)</f>
        <v>587437.35862239264</v>
      </c>
      <c r="M700" s="33">
        <f>(Examples!$H$6*Examples!$H$7*Examples!$H$8*EXP(-Examples!$H$9*$A700)*(1-(Examples!$H$12*(1-EXP(-Examples!$H$13*$A700))/(1+EXP(MIN(700,MAX(-700,(Examples!$H$14*$A700-Examples!$H$15)/Examples!$H$16))))))+Examples!$H$17*$A700^2)</f>
        <v>563562.64137760736</v>
      </c>
    </row>
    <row r="701" spans="1:13" x14ac:dyDescent="0.25">
      <c r="A701">
        <f>(701-2)/100</f>
        <v>6.99</v>
      </c>
      <c r="B701" s="33">
        <f>Examples!$C$18-(Examples!$C$10+Examples!$C$11)*$A701-(Examples!$C$6*Examples!$C$7*Examples!$C$8*EXP(-Examples!$C$9*$A701)*(1-(Examples!$C$12*(1-EXP(-Examples!$C$13*$A701))/(1+EXP(MIN(700,MAX(-700,(Examples!$C$14*$A701-Examples!$C$15)/Examples!$C$16))))))+Examples!$C$17*$A701^2)</f>
        <v>-451246.1086694618</v>
      </c>
      <c r="C701" s="33">
        <f>(Examples!$C$6*Examples!$C$7*Examples!$C$8*EXP(-Examples!$C$9*$A701)*(1-(Examples!$C$12*(1-EXP(-Examples!$C$13*$A701))/(1+EXP(MIN(700,MAX(-700,(Examples!$C$14*$A701-Examples!$C$15)/Examples!$C$16))))))+Examples!$C$17*$A701^2)</f>
        <v>806596.1086694618</v>
      </c>
      <c r="D701" s="33">
        <f>Examples!$D$18-(Examples!$D$10+Examples!$D$11)*$A701-(Examples!$D$6*Examples!$D$7*Examples!$D$8*EXP(-Examples!$D$9*$A701)*(1-(Examples!$D$12*(1-EXP(-Examples!$D$13*$A701))/(1+EXP(MIN(700,MAX(-700,(Examples!$D$14*$A701-Examples!$D$15)/Examples!$D$16))))))+Examples!$D$17*$A701^2)</f>
        <v>1685381.1999102219</v>
      </c>
      <c r="E701" s="33">
        <f>(Examples!$D$6*Examples!$D$7*Examples!$D$8*EXP(-Examples!$D$9*$A701)*(1-(Examples!$D$12*(1-EXP(-Examples!$D$13*$A701))/(1+EXP(MIN(700,MAX(-700,(Examples!$D$14*$A701-Examples!$D$15)/Examples!$D$16))))))+Examples!$D$17*$A701^2)</f>
        <v>500068.80008977815</v>
      </c>
      <c r="F701" s="33">
        <f>Examples!$E$18-(Examples!$E$10+Examples!$E$11)*$A701-(Examples!$E$6*Examples!$E$7*Examples!$E$8*EXP(-Examples!$E$9*$A701)*(1-(Examples!$E$12*(1-EXP(-Examples!$E$13*$A701))/(1+EXP(MIN(700,MAX(-700,(Examples!$E$14*$A701-Examples!$E$15)/Examples!$E$16))))))+Examples!$E$17*$A701^2)</f>
        <v>2189017.823479095</v>
      </c>
      <c r="G701" s="33">
        <f>(Examples!$E$6*Examples!$E$7*Examples!$E$8*EXP(-Examples!$E$9*$A701)*(1-(Examples!$E$12*(1-EXP(-Examples!$E$13*$A701))/(1+EXP(MIN(700,MAX(-700,(Examples!$E$14*$A701-Examples!$E$15)/Examples!$E$16))))))+Examples!$E$17*$A701^2)</f>
        <v>216832.17652090511</v>
      </c>
      <c r="H701" s="33">
        <f>Examples!$F$18-(Examples!$F$10+Examples!$F$11)*$A701-(Examples!$F$6*Examples!$F$7*Examples!$F$8*EXP(-Examples!$F$9*$A701)*(1-(Examples!$F$12*(1-EXP(-Examples!$F$13*$A701))/(1+EXP(MIN(700,MAX(-700,(Examples!$F$14*$A701-Examples!$F$15)/Examples!$F$16))))))+Examples!$F$17*$A701^2)</f>
        <v>-969151.42610989243</v>
      </c>
      <c r="I701" s="33">
        <f>(Examples!$F$6*Examples!$F$7*Examples!$F$8*EXP(-Examples!$F$9*$A701)*(1-(Examples!$F$12*(1-EXP(-Examples!$F$13*$A701))/(1+EXP(MIN(700,MAX(-700,(Examples!$F$14*$A701-Examples!$F$15)/Examples!$F$16))))))+Examples!$F$17*$A701^2)</f>
        <v>979351.42610989243</v>
      </c>
      <c r="J701" s="33">
        <f>Examples!$G$18-(Examples!$G$10+Examples!$G$11)*$A701-(Examples!$G$6*Examples!$G$7*Examples!$G$8*EXP(-Examples!$G$9*$A701)*(1-(Examples!$G$12*(1-EXP(-Examples!$G$13*$A701))/(1+EXP(MIN(700,MAX(-700,(Examples!$G$14*$A701-Examples!$G$15)/Examples!$G$16))))))+Examples!$G$17*$A701^2)</f>
        <v>586763.55549397832</v>
      </c>
      <c r="K701" s="33">
        <f>(Examples!$G$6*Examples!$G$7*Examples!$G$8*EXP(-Examples!$G$9*$A701)*(1-(Examples!$G$12*(1-EXP(-Examples!$G$13*$A701))/(1+EXP(MIN(700,MAX(-700,(Examples!$G$14*$A701-Examples!$G$15)/Examples!$G$16))))))+Examples!$G$17*$A701^2)</f>
        <v>563736.44450602168</v>
      </c>
      <c r="L701" s="33">
        <f>Examples!$H$18-(Examples!$H$10+Examples!$H$11)*$A701-(Examples!$H$6*Examples!$H$7*Examples!$H$8*EXP(-Examples!$H$9*$A701)*(1-(Examples!$H$12*(1-EXP(-Examples!$H$13*$A701))/(1+EXP(MIN(700,MAX(-700,(Examples!$H$14*$A701-Examples!$H$15)/Examples!$H$16))))))+Examples!$H$17*$A701^2)</f>
        <v>586426.99088477099</v>
      </c>
      <c r="M701" s="33">
        <f>(Examples!$H$6*Examples!$H$7*Examples!$H$8*EXP(-Examples!$H$9*$A701)*(1-(Examples!$H$12*(1-EXP(-Examples!$H$13*$A701))/(1+EXP(MIN(700,MAX(-700,(Examples!$H$14*$A701-Examples!$H$15)/Examples!$H$16))))))+Examples!$H$17*$A701^2)</f>
        <v>564073.00911522901</v>
      </c>
    </row>
    <row r="702" spans="1:13" x14ac:dyDescent="0.25">
      <c r="A702">
        <f>(702-2)/100</f>
        <v>7</v>
      </c>
      <c r="B702" s="33">
        <f>Examples!$C$18-(Examples!$C$10+Examples!$C$11)*$A702-(Examples!$C$6*Examples!$C$7*Examples!$C$8*EXP(-Examples!$C$9*$A702)*(1-(Examples!$C$12*(1-EXP(-Examples!$C$13*$A702))/(1+EXP(MIN(700,MAX(-700,(Examples!$C$14*$A702-Examples!$C$15)/Examples!$C$16))))))+Examples!$C$17*$A702^2)</f>
        <v>-453473.85616429616</v>
      </c>
      <c r="C702" s="33">
        <f>(Examples!$C$6*Examples!$C$7*Examples!$C$8*EXP(-Examples!$C$9*$A702)*(1-(Examples!$C$12*(1-EXP(-Examples!$C$13*$A702))/(1+EXP(MIN(700,MAX(-700,(Examples!$C$14*$A702-Examples!$C$15)/Examples!$C$16))))))+Examples!$C$17*$A702^2)</f>
        <v>808473.85616429616</v>
      </c>
      <c r="D702" s="33">
        <f>Examples!$D$18-(Examples!$D$10+Examples!$D$11)*$A702-(Examples!$D$6*Examples!$D$7*Examples!$D$8*EXP(-Examples!$D$9*$A702)*(1-(Examples!$D$12*(1-EXP(-Examples!$D$13*$A702))/(1+EXP(MIN(700,MAX(-700,(Examples!$D$14*$A702-Examples!$D$15)/Examples!$D$16))))))+Examples!$D$17*$A702^2)</f>
        <v>1685347.7074391458</v>
      </c>
      <c r="E702" s="33">
        <f>(Examples!$D$6*Examples!$D$7*Examples!$D$8*EXP(-Examples!$D$9*$A702)*(1-(Examples!$D$12*(1-EXP(-Examples!$D$13*$A702))/(1+EXP(MIN(700,MAX(-700,(Examples!$D$14*$A702-Examples!$D$15)/Examples!$D$16))))))+Examples!$D$17*$A702^2)</f>
        <v>499652.29256085423</v>
      </c>
      <c r="F702" s="33">
        <f>Examples!$E$18-(Examples!$E$10+Examples!$E$11)*$A702-(Examples!$E$6*Examples!$E$7*Examples!$E$8*EXP(-Examples!$E$9*$A702)*(1-(Examples!$E$12*(1-EXP(-Examples!$E$13*$A702))/(1+EXP(MIN(700,MAX(-700,(Examples!$E$14*$A702-Examples!$E$15)/Examples!$E$16))))))+Examples!$E$17*$A702^2)</f>
        <v>2188022.0034097205</v>
      </c>
      <c r="G702" s="33">
        <f>(Examples!$E$6*Examples!$E$7*Examples!$E$8*EXP(-Examples!$E$9*$A702)*(1-(Examples!$E$12*(1-EXP(-Examples!$E$13*$A702))/(1+EXP(MIN(700,MAX(-700,(Examples!$E$14*$A702-Examples!$E$15)/Examples!$E$16))))))+Examples!$E$17*$A702^2)</f>
        <v>216977.99659027939</v>
      </c>
      <c r="H702" s="33">
        <f>Examples!$F$18-(Examples!$F$10+Examples!$F$11)*$A702-(Examples!$F$6*Examples!$F$7*Examples!$F$8*EXP(-Examples!$F$9*$A702)*(1-(Examples!$F$12*(1-EXP(-Examples!$F$13*$A702))/(1+EXP(MIN(700,MAX(-700,(Examples!$F$14*$A702-Examples!$F$15)/Examples!$F$16))))))+Examples!$F$17*$A702^2)</f>
        <v>-972142.98749431944</v>
      </c>
      <c r="I702" s="33">
        <f>(Examples!$F$6*Examples!$F$7*Examples!$F$8*EXP(-Examples!$F$9*$A702)*(1-(Examples!$F$12*(1-EXP(-Examples!$F$13*$A702))/(1+EXP(MIN(700,MAX(-700,(Examples!$F$14*$A702-Examples!$F$15)/Examples!$F$16))))))+Examples!$F$17*$A702^2)</f>
        <v>982142.98749431944</v>
      </c>
      <c r="J702" s="33">
        <f>Examples!$G$18-(Examples!$G$10+Examples!$G$11)*$A702-(Examples!$G$6*Examples!$G$7*Examples!$G$8*EXP(-Examples!$G$9*$A702)*(1-(Examples!$G$12*(1-EXP(-Examples!$G$13*$A702))/(1+EXP(MIN(700,MAX(-700,(Examples!$G$14*$A702-Examples!$G$15)/Examples!$G$16))))))+Examples!$G$17*$A702^2)</f>
        <v>585743.91221508151</v>
      </c>
      <c r="K702" s="33">
        <f>(Examples!$G$6*Examples!$G$7*Examples!$G$8*EXP(-Examples!$G$9*$A702)*(1-(Examples!$G$12*(1-EXP(-Examples!$G$13*$A702))/(1+EXP(MIN(700,MAX(-700,(Examples!$G$14*$A702-Examples!$G$15)/Examples!$G$16))))))+Examples!$G$17*$A702^2)</f>
        <v>564256.08778491849</v>
      </c>
      <c r="L702" s="33">
        <f>Examples!$H$18-(Examples!$H$10+Examples!$H$11)*$A702-(Examples!$H$6*Examples!$H$7*Examples!$H$8*EXP(-Examples!$H$9*$A702)*(1-(Examples!$H$12*(1-EXP(-Examples!$H$13*$A702))/(1+EXP(MIN(700,MAX(-700,(Examples!$H$14*$A702-Examples!$H$15)/Examples!$H$16))))))+Examples!$H$17*$A702^2)</f>
        <v>585412.90163600713</v>
      </c>
      <c r="M702" s="33">
        <f>(Examples!$H$6*Examples!$H$7*Examples!$H$8*EXP(-Examples!$H$9*$A702)*(1-(Examples!$H$12*(1-EXP(-Examples!$H$13*$A702))/(1+EXP(MIN(700,MAX(-700,(Examples!$H$14*$A702-Examples!$H$15)/Examples!$H$16))))))+Examples!$H$17*$A702^2)</f>
        <v>564587.09836399287</v>
      </c>
    </row>
    <row r="703" spans="1:13" x14ac:dyDescent="0.25">
      <c r="A703">
        <f>(703-2)/100</f>
        <v>7.01</v>
      </c>
      <c r="B703" s="33">
        <f>Examples!$C$18-(Examples!$C$10+Examples!$C$11)*$A703-(Examples!$C$6*Examples!$C$7*Examples!$C$8*EXP(-Examples!$C$9*$A703)*(1-(Examples!$C$12*(1-EXP(-Examples!$C$13*$A703))/(1+EXP(MIN(700,MAX(-700,(Examples!$C$14*$A703-Examples!$C$15)/Examples!$C$16))))))+Examples!$C$17*$A703^2)</f>
        <v>-455705.26492331491</v>
      </c>
      <c r="C703" s="33">
        <f>(Examples!$C$6*Examples!$C$7*Examples!$C$8*EXP(-Examples!$C$9*$A703)*(1-(Examples!$C$12*(1-EXP(-Examples!$C$13*$A703))/(1+EXP(MIN(700,MAX(-700,(Examples!$C$14*$A703-Examples!$C$15)/Examples!$C$16))))))+Examples!$C$17*$A703^2)</f>
        <v>810355.26492331491</v>
      </c>
      <c r="D703" s="33">
        <f>Examples!$D$18-(Examples!$D$10+Examples!$D$11)*$A703-(Examples!$D$6*Examples!$D$7*Examples!$D$8*EXP(-Examples!$D$9*$A703)*(1-(Examples!$D$12*(1-EXP(-Examples!$D$13*$A703))/(1+EXP(MIN(700,MAX(-700,(Examples!$D$14*$A703-Examples!$D$15)/Examples!$D$16))))))+Examples!$D$17*$A703^2)</f>
        <v>1685308.7609779271</v>
      </c>
      <c r="E703" s="33">
        <f>(Examples!$D$6*Examples!$D$7*Examples!$D$8*EXP(-Examples!$D$9*$A703)*(1-(Examples!$D$12*(1-EXP(-Examples!$D$13*$A703))/(1+EXP(MIN(700,MAX(-700,(Examples!$D$14*$A703-Examples!$D$15)/Examples!$D$16))))))+Examples!$D$17*$A703^2)</f>
        <v>499241.23902207275</v>
      </c>
      <c r="F703" s="33">
        <f>Examples!$E$18-(Examples!$E$10+Examples!$E$11)*$A703-(Examples!$E$6*Examples!$E$7*Examples!$E$8*EXP(-Examples!$E$9*$A703)*(1-(Examples!$E$12*(1-EXP(-Examples!$E$13*$A703))/(1+EXP(MIN(700,MAX(-700,(Examples!$E$14*$A703-Examples!$E$15)/Examples!$E$16))))))+Examples!$E$17*$A703^2)</f>
        <v>2187024.9931893516</v>
      </c>
      <c r="G703" s="33">
        <f>(Examples!$E$6*Examples!$E$7*Examples!$E$8*EXP(-Examples!$E$9*$A703)*(1-(Examples!$E$12*(1-EXP(-Examples!$E$13*$A703))/(1+EXP(MIN(700,MAX(-700,(Examples!$E$14*$A703-Examples!$E$15)/Examples!$E$16))))))+Examples!$E$17*$A703^2)</f>
        <v>217125.00681064819</v>
      </c>
      <c r="H703" s="33">
        <f>Examples!$F$18-(Examples!$F$10+Examples!$F$11)*$A703-(Examples!$F$6*Examples!$F$7*Examples!$F$8*EXP(-Examples!$F$9*$A703)*(1-(Examples!$F$12*(1-EXP(-Examples!$F$13*$A703))/(1+EXP(MIN(700,MAX(-700,(Examples!$F$14*$A703-Examples!$F$15)/Examples!$F$16))))))+Examples!$F$17*$A703^2)</f>
        <v>-975138.56816564803</v>
      </c>
      <c r="I703" s="33">
        <f>(Examples!$F$6*Examples!$F$7*Examples!$F$8*EXP(-Examples!$F$9*$A703)*(1-(Examples!$F$12*(1-EXP(-Examples!$F$13*$A703))/(1+EXP(MIN(700,MAX(-700,(Examples!$F$14*$A703-Examples!$F$15)/Examples!$F$16))))))+Examples!$F$17*$A703^2)</f>
        <v>984938.56816564803</v>
      </c>
      <c r="J703" s="33">
        <f>Examples!$G$18-(Examples!$G$10+Examples!$G$11)*$A703-(Examples!$G$6*Examples!$G$7*Examples!$G$8*EXP(-Examples!$G$9*$A703)*(1-(Examples!$G$12*(1-EXP(-Examples!$G$13*$A703))/(1+EXP(MIN(700,MAX(-700,(Examples!$G$14*$A703-Examples!$G$15)/Examples!$G$16))))))+Examples!$G$17*$A703^2)</f>
        <v>584720.64605785371</v>
      </c>
      <c r="K703" s="33">
        <f>(Examples!$G$6*Examples!$G$7*Examples!$G$8*EXP(-Examples!$G$9*$A703)*(1-(Examples!$G$12*(1-EXP(-Examples!$G$13*$A703))/(1+EXP(MIN(700,MAX(-700,(Examples!$G$14*$A703-Examples!$G$15)/Examples!$G$16))))))+Examples!$G$17*$A703^2)</f>
        <v>564779.35394214629</v>
      </c>
      <c r="L703" s="33">
        <f>Examples!$H$18-(Examples!$H$10+Examples!$H$11)*$A703-(Examples!$H$6*Examples!$H$7*Examples!$H$8*EXP(-Examples!$H$9*$A703)*(1-(Examples!$H$12*(1-EXP(-Examples!$H$13*$A703))/(1+EXP(MIN(700,MAX(-700,(Examples!$H$14*$A703-Examples!$H$15)/Examples!$H$16))))))+Examples!$H$17*$A703^2)</f>
        <v>584395.09828540077</v>
      </c>
      <c r="M703" s="33">
        <f>(Examples!$H$6*Examples!$H$7*Examples!$H$8*EXP(-Examples!$H$9*$A703)*(1-(Examples!$H$12*(1-EXP(-Examples!$H$13*$A703))/(1+EXP(MIN(700,MAX(-700,(Examples!$H$14*$A703-Examples!$H$15)/Examples!$H$16))))))+Examples!$H$17*$A703^2)</f>
        <v>565104.90171459923</v>
      </c>
    </row>
    <row r="704" spans="1:13" x14ac:dyDescent="0.25">
      <c r="A704">
        <f>(704-2)/100</f>
        <v>7.02</v>
      </c>
      <c r="B704" s="33">
        <f>Examples!$C$18-(Examples!$C$10+Examples!$C$11)*$A704-(Examples!$C$6*Examples!$C$7*Examples!$C$8*EXP(-Examples!$C$9*$A704)*(1-(Examples!$C$12*(1-EXP(-Examples!$C$13*$A704))/(1+EXP(MIN(700,MAX(-700,(Examples!$C$14*$A704-Examples!$C$15)/Examples!$C$16))))))+Examples!$C$17*$A704^2)</f>
        <v>-457940.33296573139</v>
      </c>
      <c r="C704" s="33">
        <f>(Examples!$C$6*Examples!$C$7*Examples!$C$8*EXP(-Examples!$C$9*$A704)*(1-(Examples!$C$12*(1-EXP(-Examples!$C$13*$A704))/(1+EXP(MIN(700,MAX(-700,(Examples!$C$14*$A704-Examples!$C$15)/Examples!$C$16))))))+Examples!$C$17*$A704^2)</f>
        <v>812240.33296573139</v>
      </c>
      <c r="D704" s="33">
        <f>Examples!$D$18-(Examples!$D$10+Examples!$D$11)*$A704-(Examples!$D$6*Examples!$D$7*Examples!$D$8*EXP(-Examples!$D$9*$A704)*(1-(Examples!$D$12*(1-EXP(-Examples!$D$13*$A704))/(1+EXP(MIN(700,MAX(-700,(Examples!$D$14*$A704-Examples!$D$15)/Examples!$D$16))))))+Examples!$D$17*$A704^2)</f>
        <v>1685264.3711142407</v>
      </c>
      <c r="E704" s="33">
        <f>(Examples!$D$6*Examples!$D$7*Examples!$D$8*EXP(-Examples!$D$9*$A704)*(1-(Examples!$D$12*(1-EXP(-Examples!$D$13*$A704))/(1+EXP(MIN(700,MAX(-700,(Examples!$D$14*$A704-Examples!$D$15)/Examples!$D$16))))))+Examples!$D$17*$A704^2)</f>
        <v>498835.62888575933</v>
      </c>
      <c r="F704" s="33">
        <f>Examples!$E$18-(Examples!$E$10+Examples!$E$11)*$A704-(Examples!$E$6*Examples!$E$7*Examples!$E$8*EXP(-Examples!$E$9*$A704)*(1-(Examples!$E$12*(1-EXP(-Examples!$E$13*$A704))/(1+EXP(MIN(700,MAX(-700,(Examples!$E$14*$A704-Examples!$E$15)/Examples!$E$16))))))+Examples!$E$17*$A704^2)</f>
        <v>2186026.7893062551</v>
      </c>
      <c r="G704" s="33">
        <f>(Examples!$E$6*Examples!$E$7*Examples!$E$8*EXP(-Examples!$E$9*$A704)*(1-(Examples!$E$12*(1-EXP(-Examples!$E$13*$A704))/(1+EXP(MIN(700,MAX(-700,(Examples!$E$14*$A704-Examples!$E$15)/Examples!$E$16))))))+Examples!$E$17*$A704^2)</f>
        <v>217273.21069374494</v>
      </c>
      <c r="H704" s="33">
        <f>Examples!$F$18-(Examples!$F$10+Examples!$F$11)*$A704-(Examples!$F$6*Examples!$F$7*Examples!$F$8*EXP(-Examples!$F$9*$A704)*(1-(Examples!$F$12*(1-EXP(-Examples!$F$13*$A704))/(1+EXP(MIN(700,MAX(-700,(Examples!$F$14*$A704-Examples!$F$15)/Examples!$F$16))))))+Examples!$F$17*$A704^2)</f>
        <v>-978138.16806610452</v>
      </c>
      <c r="I704" s="33">
        <f>(Examples!$F$6*Examples!$F$7*Examples!$F$8*EXP(-Examples!$F$9*$A704)*(1-(Examples!$F$12*(1-EXP(-Examples!$F$13*$A704))/(1+EXP(MIN(700,MAX(-700,(Examples!$F$14*$A704-Examples!$F$15)/Examples!$F$16))))))+Examples!$F$17*$A704^2)</f>
        <v>987738.16806610452</v>
      </c>
      <c r="J704" s="33">
        <f>Examples!$G$18-(Examples!$G$10+Examples!$G$11)*$A704-(Examples!$G$6*Examples!$G$7*Examples!$G$8*EXP(-Examples!$G$9*$A704)*(1-(Examples!$G$12*(1-EXP(-Examples!$G$13*$A704))/(1+EXP(MIN(700,MAX(-700,(Examples!$G$14*$A704-Examples!$G$15)/Examples!$G$16))))))+Examples!$G$17*$A704^2)</f>
        <v>583693.7629182979</v>
      </c>
      <c r="K704" s="33">
        <f>(Examples!$G$6*Examples!$G$7*Examples!$G$8*EXP(-Examples!$G$9*$A704)*(1-(Examples!$G$12*(1-EXP(-Examples!$G$13*$A704))/(1+EXP(MIN(700,MAX(-700,(Examples!$G$14*$A704-Examples!$G$15)/Examples!$G$16))))))+Examples!$G$17*$A704^2)</f>
        <v>565306.2370817021</v>
      </c>
      <c r="L704" s="33">
        <f>Examples!$H$18-(Examples!$H$10+Examples!$H$11)*$A704-(Examples!$H$6*Examples!$H$7*Examples!$H$8*EXP(-Examples!$H$9*$A704)*(1-(Examples!$H$12*(1-EXP(-Examples!$H$13*$A704))/(1+EXP(MIN(700,MAX(-700,(Examples!$H$14*$A704-Examples!$H$15)/Examples!$H$16))))))+Examples!$H$17*$A704^2)</f>
        <v>583373.58821646834</v>
      </c>
      <c r="M704" s="33">
        <f>(Examples!$H$6*Examples!$H$7*Examples!$H$8*EXP(-Examples!$H$9*$A704)*(1-(Examples!$H$12*(1-EXP(-Examples!$H$13*$A704))/(1+EXP(MIN(700,MAX(-700,(Examples!$H$14*$A704-Examples!$H$15)/Examples!$H$16))))))+Examples!$H$17*$A704^2)</f>
        <v>565626.41178353166</v>
      </c>
    </row>
    <row r="705" spans="1:13" x14ac:dyDescent="0.25">
      <c r="A705">
        <f>(705-2)/100</f>
        <v>7.03</v>
      </c>
      <c r="B705" s="33">
        <f>Examples!$C$18-(Examples!$C$10+Examples!$C$11)*$A705-(Examples!$C$6*Examples!$C$7*Examples!$C$8*EXP(-Examples!$C$9*$A705)*(1-(Examples!$C$12*(1-EXP(-Examples!$C$13*$A705))/(1+EXP(MIN(700,MAX(-700,(Examples!$C$14*$A705-Examples!$C$15)/Examples!$C$16))))))+Examples!$C$17*$A705^2)</f>
        <v>-460179.05831669143</v>
      </c>
      <c r="C705" s="33">
        <f>(Examples!$C$6*Examples!$C$7*Examples!$C$8*EXP(-Examples!$C$9*$A705)*(1-(Examples!$C$12*(1-EXP(-Examples!$C$13*$A705))/(1+EXP(MIN(700,MAX(-700,(Examples!$C$14*$A705-Examples!$C$15)/Examples!$C$16))))))+Examples!$C$17*$A705^2)</f>
        <v>814129.05831669143</v>
      </c>
      <c r="D705" s="33">
        <f>Examples!$D$18-(Examples!$D$10+Examples!$D$11)*$A705-(Examples!$D$6*Examples!$D$7*Examples!$D$8*EXP(-Examples!$D$9*$A705)*(1-(Examples!$D$12*(1-EXP(-Examples!$D$13*$A705))/(1+EXP(MIN(700,MAX(-700,(Examples!$D$14*$A705-Examples!$D$15)/Examples!$D$16))))))+Examples!$D$17*$A705^2)</f>
        <v>1685214.5485423666</v>
      </c>
      <c r="E705" s="33">
        <f>(Examples!$D$6*Examples!$D$7*Examples!$D$8*EXP(-Examples!$D$9*$A705)*(1-(Examples!$D$12*(1-EXP(-Examples!$D$13*$A705))/(1+EXP(MIN(700,MAX(-700,(Examples!$D$14*$A705-Examples!$D$15)/Examples!$D$16))))))+Examples!$D$17*$A705^2)</f>
        <v>498435.45145763335</v>
      </c>
      <c r="F705" s="33">
        <f>Examples!$E$18-(Examples!$E$10+Examples!$E$11)*$A705-(Examples!$E$6*Examples!$E$7*Examples!$E$8*EXP(-Examples!$E$9*$A705)*(1-(Examples!$E$12*(1-EXP(-Examples!$E$13*$A705))/(1+EXP(MIN(700,MAX(-700,(Examples!$E$14*$A705-Examples!$E$15)/Examples!$E$16))))))+Examples!$E$17*$A705^2)</f>
        <v>2185027.3882951904</v>
      </c>
      <c r="G705" s="33">
        <f>(Examples!$E$6*Examples!$E$7*Examples!$E$8*EXP(-Examples!$E$9*$A705)*(1-(Examples!$E$12*(1-EXP(-Examples!$E$13*$A705))/(1+EXP(MIN(700,MAX(-700,(Examples!$E$14*$A705-Examples!$E$15)/Examples!$E$16))))))+Examples!$E$17*$A705^2)</f>
        <v>217422.61170480947</v>
      </c>
      <c r="H705" s="33">
        <f>Examples!$F$18-(Examples!$F$10+Examples!$F$11)*$A705-(Examples!$F$6*Examples!$F$7*Examples!$F$8*EXP(-Examples!$F$9*$A705)*(1-(Examples!$F$12*(1-EXP(-Examples!$F$13*$A705))/(1+EXP(MIN(700,MAX(-700,(Examples!$F$14*$A705-Examples!$F$15)/Examples!$F$16))))))+Examples!$F$17*$A705^2)</f>
        <v>-981141.78713808802</v>
      </c>
      <c r="I705" s="33">
        <f>(Examples!$F$6*Examples!$F$7*Examples!$F$8*EXP(-Examples!$F$9*$A705)*(1-(Examples!$F$12*(1-EXP(-Examples!$F$13*$A705))/(1+EXP(MIN(700,MAX(-700,(Examples!$F$14*$A705-Examples!$F$15)/Examples!$F$16))))))+Examples!$F$17*$A705^2)</f>
        <v>990541.78713808802</v>
      </c>
      <c r="J705" s="33">
        <f>Examples!$G$18-(Examples!$G$10+Examples!$G$11)*$A705-(Examples!$G$6*Examples!$G$7*Examples!$G$8*EXP(-Examples!$G$9*$A705)*(1-(Examples!$G$12*(1-EXP(-Examples!$G$13*$A705))/(1+EXP(MIN(700,MAX(-700,(Examples!$G$14*$A705-Examples!$G$15)/Examples!$G$16))))))+Examples!$G$17*$A705^2)</f>
        <v>582663.26869069529</v>
      </c>
      <c r="K705" s="33">
        <f>(Examples!$G$6*Examples!$G$7*Examples!$G$8*EXP(-Examples!$G$9*$A705)*(1-(Examples!$G$12*(1-EXP(-Examples!$G$13*$A705))/(1+EXP(MIN(700,MAX(-700,(Examples!$G$14*$A705-Examples!$G$15)/Examples!$G$16))))))+Examples!$G$17*$A705^2)</f>
        <v>565836.73130930471</v>
      </c>
      <c r="L705" s="33">
        <f>Examples!$H$18-(Examples!$H$10+Examples!$H$11)*$A705-(Examples!$H$6*Examples!$H$7*Examples!$H$8*EXP(-Examples!$H$9*$A705)*(1-(Examples!$H$12*(1-EXP(-Examples!$H$13*$A705))/(1+EXP(MIN(700,MAX(-700,(Examples!$H$14*$A705-Examples!$H$15)/Examples!$H$16))))))+Examples!$H$17*$A705^2)</f>
        <v>582348.37878703</v>
      </c>
      <c r="M705" s="33">
        <f>(Examples!$H$6*Examples!$H$7*Examples!$H$8*EXP(-Examples!$H$9*$A705)*(1-(Examples!$H$12*(1-EXP(-Examples!$H$13*$A705))/(1+EXP(MIN(700,MAX(-700,(Examples!$H$14*$A705-Examples!$H$15)/Examples!$H$16))))))+Examples!$H$17*$A705^2)</f>
        <v>566151.62121297</v>
      </c>
    </row>
    <row r="706" spans="1:13" x14ac:dyDescent="0.25">
      <c r="A706">
        <f>(706-2)/100</f>
        <v>7.04</v>
      </c>
      <c r="B706" s="33">
        <f>Examples!$C$18-(Examples!$C$10+Examples!$C$11)*$A706-(Examples!$C$6*Examples!$C$7*Examples!$C$8*EXP(-Examples!$C$9*$A706)*(1-(Examples!$C$12*(1-EXP(-Examples!$C$13*$A706))/(1+EXP(MIN(700,MAX(-700,(Examples!$C$14*$A706-Examples!$C$15)/Examples!$C$16))))))+Examples!$C$17*$A706^2)</f>
        <v>-462421.4390072549</v>
      </c>
      <c r="C706" s="33">
        <f>(Examples!$C$6*Examples!$C$7*Examples!$C$8*EXP(-Examples!$C$9*$A706)*(1-(Examples!$C$12*(1-EXP(-Examples!$C$13*$A706))/(1+EXP(MIN(700,MAX(-700,(Examples!$C$14*$A706-Examples!$C$15)/Examples!$C$16))))))+Examples!$C$17*$A706^2)</f>
        <v>816021.4390072549</v>
      </c>
      <c r="D706" s="33">
        <f>Examples!$D$18-(Examples!$D$10+Examples!$D$11)*$A706-(Examples!$D$6*Examples!$D$7*Examples!$D$8*EXP(-Examples!$D$9*$A706)*(1-(Examples!$D$12*(1-EXP(-Examples!$D$13*$A706))/(1+EXP(MIN(700,MAX(-700,(Examples!$D$14*$A706-Examples!$D$15)/Examples!$D$16))))))+Examples!$D$17*$A706^2)</f>
        <v>1685159.3040603325</v>
      </c>
      <c r="E706" s="33">
        <f>(Examples!$D$6*Examples!$D$7*Examples!$D$8*EXP(-Examples!$D$9*$A706)*(1-(Examples!$D$12*(1-EXP(-Examples!$D$13*$A706))/(1+EXP(MIN(700,MAX(-700,(Examples!$D$14*$A706-Examples!$D$15)/Examples!$D$16))))))+Examples!$D$17*$A706^2)</f>
        <v>498040.69593966764</v>
      </c>
      <c r="F706" s="33">
        <f>Examples!$E$18-(Examples!$E$10+Examples!$E$11)*$A706-(Examples!$E$6*Examples!$E$7*Examples!$E$8*EXP(-Examples!$E$9*$A706)*(1-(Examples!$E$12*(1-EXP(-Examples!$E$13*$A706))/(1+EXP(MIN(700,MAX(-700,(Examples!$E$14*$A706-Examples!$E$15)/Examples!$E$16))))))+Examples!$E$17*$A706^2)</f>
        <v>2184026.7867375053</v>
      </c>
      <c r="G706" s="33">
        <f>(Examples!$E$6*Examples!$E$7*Examples!$E$8*EXP(-Examples!$E$9*$A706)*(1-(Examples!$E$12*(1-EXP(-Examples!$E$13*$A706))/(1+EXP(MIN(700,MAX(-700,(Examples!$E$14*$A706-Examples!$E$15)/Examples!$E$16))))))+Examples!$E$17*$A706^2)</f>
        <v>217573.2132624946</v>
      </c>
      <c r="H706" s="33">
        <f>Examples!$F$18-(Examples!$F$10+Examples!$F$11)*$A706-(Examples!$F$6*Examples!$F$7*Examples!$F$8*EXP(-Examples!$F$9*$A706)*(1-(Examples!$F$12*(1-EXP(-Examples!$F$13*$A706))/(1+EXP(MIN(700,MAX(-700,(Examples!$F$14*$A706-Examples!$F$15)/Examples!$F$16))))))+Examples!$F$17*$A706^2)</f>
        <v>-984149.42532416945</v>
      </c>
      <c r="I706" s="33">
        <f>(Examples!$F$6*Examples!$F$7*Examples!$F$8*EXP(-Examples!$F$9*$A706)*(1-(Examples!$F$12*(1-EXP(-Examples!$F$13*$A706))/(1+EXP(MIN(700,MAX(-700,(Examples!$F$14*$A706-Examples!$F$15)/Examples!$F$16))))))+Examples!$F$17*$A706^2)</f>
        <v>993349.42532416945</v>
      </c>
      <c r="J706" s="33">
        <f>Examples!$G$18-(Examples!$G$10+Examples!$G$11)*$A706-(Examples!$G$6*Examples!$G$7*Examples!$G$8*EXP(-Examples!$G$9*$A706)*(1-(Examples!$G$12*(1-EXP(-Examples!$G$13*$A706))/(1+EXP(MIN(700,MAX(-700,(Examples!$G$14*$A706-Examples!$G$15)/Examples!$G$16))))))+Examples!$G$17*$A706^2)</f>
        <v>581629.1692673139</v>
      </c>
      <c r="K706" s="33">
        <f>(Examples!$G$6*Examples!$G$7*Examples!$G$8*EXP(-Examples!$G$9*$A706)*(1-(Examples!$G$12*(1-EXP(-Examples!$G$13*$A706))/(1+EXP(MIN(700,MAX(-700,(Examples!$G$14*$A706-Examples!$G$15)/Examples!$G$16))))))+Examples!$G$17*$A706^2)</f>
        <v>566370.8307326861</v>
      </c>
      <c r="L706" s="33">
        <f>Examples!$H$18-(Examples!$H$10+Examples!$H$11)*$A706-(Examples!$H$6*Examples!$H$7*Examples!$H$8*EXP(-Examples!$H$9*$A706)*(1-(Examples!$H$12*(1-EXP(-Examples!$H$13*$A706))/(1+EXP(MIN(700,MAX(-700,(Examples!$H$14*$A706-Examples!$H$15)/Examples!$H$16))))))+Examples!$H$17*$A706^2)</f>
        <v>581319.47732929571</v>
      </c>
      <c r="M706" s="33">
        <f>(Examples!$H$6*Examples!$H$7*Examples!$H$8*EXP(-Examples!$H$9*$A706)*(1-(Examples!$H$12*(1-EXP(-Examples!$H$13*$A706))/(1+EXP(MIN(700,MAX(-700,(Examples!$H$14*$A706-Examples!$H$15)/Examples!$H$16))))))+Examples!$H$17*$A706^2)</f>
        <v>566680.52267070429</v>
      </c>
    </row>
    <row r="707" spans="1:13" x14ac:dyDescent="0.25">
      <c r="A707">
        <f>(707-2)/100</f>
        <v>7.05</v>
      </c>
      <c r="B707" s="33">
        <f>Examples!$C$18-(Examples!$C$10+Examples!$C$11)*$A707-(Examples!$C$6*Examples!$C$7*Examples!$C$8*EXP(-Examples!$C$9*$A707)*(1-(Examples!$C$12*(1-EXP(-Examples!$C$13*$A707))/(1+EXP(MIN(700,MAX(-700,(Examples!$C$14*$A707-Examples!$C$15)/Examples!$C$16))))))+Examples!$C$17*$A707^2)</f>
        <v>-464667.47307437891</v>
      </c>
      <c r="C707" s="33">
        <f>(Examples!$C$6*Examples!$C$7*Examples!$C$8*EXP(-Examples!$C$9*$A707)*(1-(Examples!$C$12*(1-EXP(-Examples!$C$13*$A707))/(1+EXP(MIN(700,MAX(-700,(Examples!$C$14*$A707-Examples!$C$15)/Examples!$C$16))))))+Examples!$C$17*$A707^2)</f>
        <v>817917.47307437891</v>
      </c>
      <c r="D707" s="33">
        <f>Examples!$D$18-(Examples!$D$10+Examples!$D$11)*$A707-(Examples!$D$6*Examples!$D$7*Examples!$D$8*EXP(-Examples!$D$9*$A707)*(1-(Examples!$D$12*(1-EXP(-Examples!$D$13*$A707))/(1+EXP(MIN(700,MAX(-700,(Examples!$D$14*$A707-Examples!$D$15)/Examples!$D$16))))))+Examples!$D$17*$A707^2)</f>
        <v>1685098.648567098</v>
      </c>
      <c r="E707" s="33">
        <f>(Examples!$D$6*Examples!$D$7*Examples!$D$8*EXP(-Examples!$D$9*$A707)*(1-(Examples!$D$12*(1-EXP(-Examples!$D$13*$A707))/(1+EXP(MIN(700,MAX(-700,(Examples!$D$14*$A707-Examples!$D$15)/Examples!$D$16))))))+Examples!$D$17*$A707^2)</f>
        <v>497651.35143290204</v>
      </c>
      <c r="F707" s="33">
        <f>Examples!$E$18-(Examples!$E$10+Examples!$E$11)*$A707-(Examples!$E$6*Examples!$E$7*Examples!$E$8*EXP(-Examples!$E$9*$A707)*(1-(Examples!$E$12*(1-EXP(-Examples!$E$13*$A707))/(1+EXP(MIN(700,MAX(-700,(Examples!$E$14*$A707-Examples!$E$15)/Examples!$E$16))))))+Examples!$E$17*$A707^2)</f>
        <v>2183024.9812612175</v>
      </c>
      <c r="G707" s="33">
        <f>(Examples!$E$6*Examples!$E$7*Examples!$E$8*EXP(-Examples!$E$9*$A707)*(1-(Examples!$E$12*(1-EXP(-Examples!$E$13*$A707))/(1+EXP(MIN(700,MAX(-700,(Examples!$E$14*$A707-Examples!$E$15)/Examples!$E$16))))))+Examples!$E$17*$A707^2)</f>
        <v>217725.01873878267</v>
      </c>
      <c r="H707" s="33">
        <f>Examples!$F$18-(Examples!$F$10+Examples!$F$11)*$A707-(Examples!$F$6*Examples!$F$7*Examples!$F$8*EXP(-Examples!$F$9*$A707)*(1-(Examples!$F$12*(1-EXP(-Examples!$F$13*$A707))/(1+EXP(MIN(700,MAX(-700,(Examples!$F$14*$A707-Examples!$F$15)/Examples!$F$16))))))+Examples!$F$17*$A707^2)</f>
        <v>-987161.0825670932</v>
      </c>
      <c r="I707" s="33">
        <f>(Examples!$F$6*Examples!$F$7*Examples!$F$8*EXP(-Examples!$F$9*$A707)*(1-(Examples!$F$12*(1-EXP(-Examples!$F$13*$A707))/(1+EXP(MIN(700,MAX(-700,(Examples!$F$14*$A707-Examples!$F$15)/Examples!$F$16))))))+Examples!$F$17*$A707^2)</f>
        <v>996161.0825670932</v>
      </c>
      <c r="J707" s="33">
        <f>Examples!$G$18-(Examples!$G$10+Examples!$G$11)*$A707-(Examples!$G$6*Examples!$G$7*Examples!$G$8*EXP(-Examples!$G$9*$A707)*(1-(Examples!$G$12*(1-EXP(-Examples!$G$13*$A707))/(1+EXP(MIN(700,MAX(-700,(Examples!$G$14*$A707-Examples!$G$15)/Examples!$G$16))))))+Examples!$G$17*$A707^2)</f>
        <v>580591.4705381206</v>
      </c>
      <c r="K707" s="33">
        <f>(Examples!$G$6*Examples!$G$7*Examples!$G$8*EXP(-Examples!$G$9*$A707)*(1-(Examples!$G$12*(1-EXP(-Examples!$G$13*$A707))/(1+EXP(MIN(700,MAX(-700,(Examples!$G$14*$A707-Examples!$G$15)/Examples!$G$16))))))+Examples!$G$17*$A707^2)</f>
        <v>566908.5294618794</v>
      </c>
      <c r="L707" s="33">
        <f>Examples!$H$18-(Examples!$H$10+Examples!$H$11)*$A707-(Examples!$H$6*Examples!$H$7*Examples!$H$8*EXP(-Examples!$H$9*$A707)*(1-(Examples!$H$12*(1-EXP(-Examples!$H$13*$A707))/(1+EXP(MIN(700,MAX(-700,(Examples!$H$14*$A707-Examples!$H$15)/Examples!$H$16))))))+Examples!$H$17*$A707^2)</f>
        <v>580286.89114995138</v>
      </c>
      <c r="M707" s="33">
        <f>(Examples!$H$6*Examples!$H$7*Examples!$H$8*EXP(-Examples!$H$9*$A707)*(1-(Examples!$H$12*(1-EXP(-Examples!$H$13*$A707))/(1+EXP(MIN(700,MAX(-700,(Examples!$H$14*$A707-Examples!$H$15)/Examples!$H$16))))))+Examples!$H$17*$A707^2)</f>
        <v>567213.10885004862</v>
      </c>
    </row>
    <row r="708" spans="1:13" x14ac:dyDescent="0.25">
      <c r="A708">
        <f>(708-2)/100</f>
        <v>7.06</v>
      </c>
      <c r="B708" s="33">
        <f>Examples!$C$18-(Examples!$C$10+Examples!$C$11)*$A708-(Examples!$C$6*Examples!$C$7*Examples!$C$8*EXP(-Examples!$C$9*$A708)*(1-(Examples!$C$12*(1-EXP(-Examples!$C$13*$A708))/(1+EXP(MIN(700,MAX(-700,(Examples!$C$14*$A708-Examples!$C$15)/Examples!$C$16))))))+Examples!$C$17*$A708^2)</f>
        <v>-466917.15856089978</v>
      </c>
      <c r="C708" s="33">
        <f>(Examples!$C$6*Examples!$C$7*Examples!$C$8*EXP(-Examples!$C$9*$A708)*(1-(Examples!$C$12*(1-EXP(-Examples!$C$13*$A708))/(1+EXP(MIN(700,MAX(-700,(Examples!$C$14*$A708-Examples!$C$15)/Examples!$C$16))))))+Examples!$C$17*$A708^2)</f>
        <v>819817.15856089978</v>
      </c>
      <c r="D708" s="33">
        <f>Examples!$D$18-(Examples!$D$10+Examples!$D$11)*$A708-(Examples!$D$6*Examples!$D$7*Examples!$D$8*EXP(-Examples!$D$9*$A708)*(1-(Examples!$D$12*(1-EXP(-Examples!$D$13*$A708))/(1+EXP(MIN(700,MAX(-700,(Examples!$D$14*$A708-Examples!$D$15)/Examples!$D$16))))))+Examples!$D$17*$A708^2)</f>
        <v>1685032.5930597889</v>
      </c>
      <c r="E708" s="33">
        <f>(Examples!$D$6*Examples!$D$7*Examples!$D$8*EXP(-Examples!$D$9*$A708)*(1-(Examples!$D$12*(1-EXP(-Examples!$D$13*$A708))/(1+EXP(MIN(700,MAX(-700,(Examples!$D$14*$A708-Examples!$D$15)/Examples!$D$16))))))+Examples!$D$17*$A708^2)</f>
        <v>497267.40694021119</v>
      </c>
      <c r="F708" s="33">
        <f>Examples!$E$18-(Examples!$E$10+Examples!$E$11)*$A708-(Examples!$E$6*Examples!$E$7*Examples!$E$8*EXP(-Examples!$E$9*$A708)*(1-(Examples!$E$12*(1-EXP(-Examples!$E$13*$A708))/(1+EXP(MIN(700,MAX(-700,(Examples!$E$14*$A708-Examples!$E$15)/Examples!$E$16))))))+Examples!$E$17*$A708^2)</f>
        <v>2182021.9685410867</v>
      </c>
      <c r="G708" s="33">
        <f>(Examples!$E$6*Examples!$E$7*Examples!$E$8*EXP(-Examples!$E$9*$A708)*(1-(Examples!$E$12*(1-EXP(-Examples!$E$13*$A708))/(1+EXP(MIN(700,MAX(-700,(Examples!$E$14*$A708-Examples!$E$15)/Examples!$E$16))))))+Examples!$E$17*$A708^2)</f>
        <v>217878.03145891335</v>
      </c>
      <c r="H708" s="33">
        <f>Examples!$F$18-(Examples!$F$10+Examples!$F$11)*$A708-(Examples!$F$6*Examples!$F$7*Examples!$F$8*EXP(-Examples!$F$9*$A708)*(1-(Examples!$F$12*(1-EXP(-Examples!$F$13*$A708))/(1+EXP(MIN(700,MAX(-700,(Examples!$F$14*$A708-Examples!$F$15)/Examples!$F$16))))))+Examples!$F$17*$A708^2)</f>
        <v>-990176.75880977395</v>
      </c>
      <c r="I708" s="33">
        <f>(Examples!$F$6*Examples!$F$7*Examples!$F$8*EXP(-Examples!$F$9*$A708)*(1-(Examples!$F$12*(1-EXP(-Examples!$F$13*$A708))/(1+EXP(MIN(700,MAX(-700,(Examples!$F$14*$A708-Examples!$F$15)/Examples!$F$16))))))+Examples!$F$17*$A708^2)</f>
        <v>998976.75880977395</v>
      </c>
      <c r="J708" s="33">
        <f>Examples!$G$18-(Examples!$G$10+Examples!$G$11)*$A708-(Examples!$G$6*Examples!$G$7*Examples!$G$8*EXP(-Examples!$G$9*$A708)*(1-(Examples!$G$12*(1-EXP(-Examples!$G$13*$A708))/(1+EXP(MIN(700,MAX(-700,(Examples!$G$14*$A708-Examples!$G$15)/Examples!$G$16))))))+Examples!$G$17*$A708^2)</f>
        <v>579550.17839050014</v>
      </c>
      <c r="K708" s="33">
        <f>(Examples!$G$6*Examples!$G$7*Examples!$G$8*EXP(-Examples!$G$9*$A708)*(1-(Examples!$G$12*(1-EXP(-Examples!$G$13*$A708))/(1+EXP(MIN(700,MAX(-700,(Examples!$G$14*$A708-Examples!$G$15)/Examples!$G$16))))))+Examples!$G$17*$A708^2)</f>
        <v>567449.82160949986</v>
      </c>
      <c r="L708" s="33">
        <f>Examples!$H$18-(Examples!$H$10+Examples!$H$11)*$A708-(Examples!$H$6*Examples!$H$7*Examples!$H$8*EXP(-Examples!$H$9*$A708)*(1-(Examples!$H$12*(1-EXP(-Examples!$H$13*$A708))/(1+EXP(MIN(700,MAX(-700,(Examples!$H$14*$A708-Examples!$H$15)/Examples!$H$16))))))+Examples!$H$17*$A708^2)</f>
        <v>579250.62753024488</v>
      </c>
      <c r="M708" s="33">
        <f>(Examples!$H$6*Examples!$H$7*Examples!$H$8*EXP(-Examples!$H$9*$A708)*(1-(Examples!$H$12*(1-EXP(-Examples!$H$13*$A708))/(1+EXP(MIN(700,MAX(-700,(Examples!$H$14*$A708-Examples!$H$15)/Examples!$H$16))))))+Examples!$H$17*$A708^2)</f>
        <v>567749.37246975512</v>
      </c>
    </row>
    <row r="709" spans="1:13" x14ac:dyDescent="0.25">
      <c r="A709">
        <f>(709-2)/100</f>
        <v>7.07</v>
      </c>
      <c r="B709" s="33">
        <f>Examples!$C$18-(Examples!$C$10+Examples!$C$11)*$A709-(Examples!$C$6*Examples!$C$7*Examples!$C$8*EXP(-Examples!$C$9*$A709)*(1-(Examples!$C$12*(1-EXP(-Examples!$C$13*$A709))/(1+EXP(MIN(700,MAX(-700,(Examples!$C$14*$A709-Examples!$C$15)/Examples!$C$16))))))+Examples!$C$17*$A709^2)</f>
        <v>-469170.49351551558</v>
      </c>
      <c r="C709" s="33">
        <f>(Examples!$C$6*Examples!$C$7*Examples!$C$8*EXP(-Examples!$C$9*$A709)*(1-(Examples!$C$12*(1-EXP(-Examples!$C$13*$A709))/(1+EXP(MIN(700,MAX(-700,(Examples!$C$14*$A709-Examples!$C$15)/Examples!$C$16))))))+Examples!$C$17*$A709^2)</f>
        <v>821720.49351551558</v>
      </c>
      <c r="D709" s="33">
        <f>Examples!$D$18-(Examples!$D$10+Examples!$D$11)*$A709-(Examples!$D$6*Examples!$D$7*Examples!$D$8*EXP(-Examples!$D$9*$A709)*(1-(Examples!$D$12*(1-EXP(-Examples!$D$13*$A709))/(1+EXP(MIN(700,MAX(-700,(Examples!$D$14*$A709-Examples!$D$15)/Examples!$D$16))))))+Examples!$D$17*$A709^2)</f>
        <v>1684961.1486309697</v>
      </c>
      <c r="E709" s="33">
        <f>(Examples!$D$6*Examples!$D$7*Examples!$D$8*EXP(-Examples!$D$9*$A709)*(1-(Examples!$D$12*(1-EXP(-Examples!$D$13*$A709))/(1+EXP(MIN(700,MAX(-700,(Examples!$D$14*$A709-Examples!$D$15)/Examples!$D$16))))))+Examples!$D$17*$A709^2)</f>
        <v>496888.85136903019</v>
      </c>
      <c r="F709" s="33">
        <f>Examples!$E$18-(Examples!$E$10+Examples!$E$11)*$A709-(Examples!$E$6*Examples!$E$7*Examples!$E$8*EXP(-Examples!$E$9*$A709)*(1-(Examples!$E$12*(1-EXP(-Examples!$E$13*$A709))/(1+EXP(MIN(700,MAX(-700,(Examples!$E$14*$A709-Examples!$E$15)/Examples!$E$16))))))+Examples!$E$17*$A709^2)</f>
        <v>2181017.745298679</v>
      </c>
      <c r="G709" s="33">
        <f>(Examples!$E$6*Examples!$E$7*Examples!$E$8*EXP(-Examples!$E$9*$A709)*(1-(Examples!$E$12*(1-EXP(-Examples!$E$13*$A709))/(1+EXP(MIN(700,MAX(-700,(Examples!$E$14*$A709-Examples!$E$15)/Examples!$E$16))))))+Examples!$E$17*$A709^2)</f>
        <v>218032.25470132125</v>
      </c>
      <c r="H709" s="33">
        <f>Examples!$F$18-(Examples!$F$10+Examples!$F$11)*$A709-(Examples!$F$6*Examples!$F$7*Examples!$F$8*EXP(-Examples!$F$9*$A709)*(1-(Examples!$F$12*(1-EXP(-Examples!$F$13*$A709))/(1+EXP(MIN(700,MAX(-700,(Examples!$F$14*$A709-Examples!$F$15)/Examples!$F$16))))))+Examples!$F$17*$A709^2)</f>
        <v>-993196.45399529848</v>
      </c>
      <c r="I709" s="33">
        <f>(Examples!$F$6*Examples!$F$7*Examples!$F$8*EXP(-Examples!$F$9*$A709)*(1-(Examples!$F$12*(1-EXP(-Examples!$F$13*$A709))/(1+EXP(MIN(700,MAX(-700,(Examples!$F$14*$A709-Examples!$F$15)/Examples!$F$16))))))+Examples!$F$17*$A709^2)</f>
        <v>1001796.4539952985</v>
      </c>
      <c r="J709" s="33">
        <f>Examples!$G$18-(Examples!$G$10+Examples!$G$11)*$A709-(Examples!$G$6*Examples!$G$7*Examples!$G$8*EXP(-Examples!$G$9*$A709)*(1-(Examples!$G$12*(1-EXP(-Examples!$G$13*$A709))/(1+EXP(MIN(700,MAX(-700,(Examples!$G$14*$A709-Examples!$G$15)/Examples!$G$16))))))+Examples!$G$17*$A709^2)</f>
        <v>578505.29870897904</v>
      </c>
      <c r="K709" s="33">
        <f>(Examples!$G$6*Examples!$G$7*Examples!$G$8*EXP(-Examples!$G$9*$A709)*(1-(Examples!$G$12*(1-EXP(-Examples!$G$13*$A709))/(1+EXP(MIN(700,MAX(-700,(Examples!$G$14*$A709-Examples!$G$15)/Examples!$G$16))))))+Examples!$G$17*$A709^2)</f>
        <v>567994.70129102096</v>
      </c>
      <c r="L709" s="33">
        <f>Examples!$H$18-(Examples!$H$10+Examples!$H$11)*$A709-(Examples!$H$6*Examples!$H$7*Examples!$H$8*EXP(-Examples!$H$9*$A709)*(1-(Examples!$H$12*(1-EXP(-Examples!$H$13*$A709))/(1+EXP(MIN(700,MAX(-700,(Examples!$H$14*$A709-Examples!$H$15)/Examples!$H$16))))))+Examples!$H$17*$A709^2)</f>
        <v>578210.69372607186</v>
      </c>
      <c r="M709" s="33">
        <f>(Examples!$H$6*Examples!$H$7*Examples!$H$8*EXP(-Examples!$H$9*$A709)*(1-(Examples!$H$12*(1-EXP(-Examples!$H$13*$A709))/(1+EXP(MIN(700,MAX(-700,(Examples!$H$14*$A709-Examples!$H$15)/Examples!$H$16))))))+Examples!$H$17*$A709^2)</f>
        <v>568289.30627392814</v>
      </c>
    </row>
    <row r="710" spans="1:13" x14ac:dyDescent="0.25">
      <c r="A710">
        <f>(710-2)/100</f>
        <v>7.08</v>
      </c>
      <c r="B710" s="33">
        <f>Examples!$C$18-(Examples!$C$10+Examples!$C$11)*$A710-(Examples!$C$6*Examples!$C$7*Examples!$C$8*EXP(-Examples!$C$9*$A710)*(1-(Examples!$C$12*(1-EXP(-Examples!$C$13*$A710))/(1+EXP(MIN(700,MAX(-700,(Examples!$C$14*$A710-Examples!$C$15)/Examples!$C$16))))))+Examples!$C$17*$A710^2)</f>
        <v>-471427.47599276819</v>
      </c>
      <c r="C710" s="33">
        <f>(Examples!$C$6*Examples!$C$7*Examples!$C$8*EXP(-Examples!$C$9*$A710)*(1-(Examples!$C$12*(1-EXP(-Examples!$C$13*$A710))/(1+EXP(MIN(700,MAX(-700,(Examples!$C$14*$A710-Examples!$C$15)/Examples!$C$16))))))+Examples!$C$17*$A710^2)</f>
        <v>823627.47599276819</v>
      </c>
      <c r="D710" s="33">
        <f>Examples!$D$18-(Examples!$D$10+Examples!$D$11)*$A710-(Examples!$D$6*Examples!$D$7*Examples!$D$8*EXP(-Examples!$D$9*$A710)*(1-(Examples!$D$12*(1-EXP(-Examples!$D$13*$A710))/(1+EXP(MIN(700,MAX(-700,(Examples!$D$14*$A710-Examples!$D$15)/Examples!$D$16))))))+Examples!$D$17*$A710^2)</f>
        <v>1684884.3264659655</v>
      </c>
      <c r="E710" s="33">
        <f>(Examples!$D$6*Examples!$D$7*Examples!$D$8*EXP(-Examples!$D$9*$A710)*(1-(Examples!$D$12*(1-EXP(-Examples!$D$13*$A710))/(1+EXP(MIN(700,MAX(-700,(Examples!$D$14*$A710-Examples!$D$15)/Examples!$D$16))))))+Examples!$D$17*$A710^2)</f>
        <v>496515.67353403452</v>
      </c>
      <c r="F710" s="33">
        <f>Examples!$E$18-(Examples!$E$10+Examples!$E$11)*$A710-(Examples!$E$6*Examples!$E$7*Examples!$E$8*EXP(-Examples!$E$9*$A710)*(1-(Examples!$E$12*(1-EXP(-Examples!$E$13*$A710))/(1+EXP(MIN(700,MAX(-700,(Examples!$E$14*$A710-Examples!$E$15)/Examples!$E$16))))))+Examples!$E$17*$A710^2)</f>
        <v>2180012.308302416</v>
      </c>
      <c r="G710" s="33">
        <f>(Examples!$E$6*Examples!$E$7*Examples!$E$8*EXP(-Examples!$E$9*$A710)*(1-(Examples!$E$12*(1-EXP(-Examples!$E$13*$A710))/(1+EXP(MIN(700,MAX(-700,(Examples!$E$14*$A710-Examples!$E$15)/Examples!$E$16))))))+Examples!$E$17*$A710^2)</f>
        <v>218187.69169758394</v>
      </c>
      <c r="H710" s="33">
        <f>Examples!$F$18-(Examples!$F$10+Examples!$F$11)*$A710-(Examples!$F$6*Examples!$F$7*Examples!$F$8*EXP(-Examples!$F$9*$A710)*(1-(Examples!$F$12*(1-EXP(-Examples!$F$13*$A710))/(1+EXP(MIN(700,MAX(-700,(Examples!$F$14*$A710-Examples!$F$15)/Examples!$F$16))))))+Examples!$F$17*$A710^2)</f>
        <v>-996220.16806692269</v>
      </c>
      <c r="I710" s="33">
        <f>(Examples!$F$6*Examples!$F$7*Examples!$F$8*EXP(-Examples!$F$9*$A710)*(1-(Examples!$F$12*(1-EXP(-Examples!$F$13*$A710))/(1+EXP(MIN(700,MAX(-700,(Examples!$F$14*$A710-Examples!$F$15)/Examples!$F$16))))))+Examples!$F$17*$A710^2)</f>
        <v>1004620.1680669227</v>
      </c>
      <c r="J710" s="33">
        <f>Examples!$G$18-(Examples!$G$10+Examples!$G$11)*$A710-(Examples!$G$6*Examples!$G$7*Examples!$G$8*EXP(-Examples!$G$9*$A710)*(1-(Examples!$G$12*(1-EXP(-Examples!$G$13*$A710))/(1+EXP(MIN(700,MAX(-700,(Examples!$G$14*$A710-Examples!$G$15)/Examples!$G$16))))))+Examples!$G$17*$A710^2)</f>
        <v>577456.83737495448</v>
      </c>
      <c r="K710" s="33">
        <f>(Examples!$G$6*Examples!$G$7*Examples!$G$8*EXP(-Examples!$G$9*$A710)*(1-(Examples!$G$12*(1-EXP(-Examples!$G$13*$A710))/(1+EXP(MIN(700,MAX(-700,(Examples!$G$14*$A710-Examples!$G$15)/Examples!$G$16))))))+Examples!$G$17*$A710^2)</f>
        <v>568543.16262504552</v>
      </c>
      <c r="L710" s="33">
        <f>Examples!$H$18-(Examples!$H$10+Examples!$H$11)*$A710-(Examples!$H$6*Examples!$H$7*Examples!$H$8*EXP(-Examples!$H$9*$A710)*(1-(Examples!$H$12*(1-EXP(-Examples!$H$13*$A710))/(1+EXP(MIN(700,MAX(-700,(Examples!$H$14*$A710-Examples!$H$15)/Examples!$H$16))))))+Examples!$H$17*$A710^2)</f>
        <v>577167.09696806071</v>
      </c>
      <c r="M710" s="33">
        <f>(Examples!$H$6*Examples!$H$7*Examples!$H$8*EXP(-Examples!$H$9*$A710)*(1-(Examples!$H$12*(1-EXP(-Examples!$H$13*$A710))/(1+EXP(MIN(700,MAX(-700,(Examples!$H$14*$A710-Examples!$H$15)/Examples!$H$16))))))+Examples!$H$17*$A710^2)</f>
        <v>568832.90303193929</v>
      </c>
    </row>
    <row r="711" spans="1:13" x14ac:dyDescent="0.25">
      <c r="A711">
        <f>(711-2)/100</f>
        <v>7.09</v>
      </c>
      <c r="B711" s="33">
        <f>Examples!$C$18-(Examples!$C$10+Examples!$C$11)*$A711-(Examples!$C$6*Examples!$C$7*Examples!$C$8*EXP(-Examples!$C$9*$A711)*(1-(Examples!$C$12*(1-EXP(-Examples!$C$13*$A711))/(1+EXP(MIN(700,MAX(-700,(Examples!$C$14*$A711-Examples!$C$15)/Examples!$C$16))))))+Examples!$C$17*$A711^2)</f>
        <v>-473688.10405302653</v>
      </c>
      <c r="C711" s="33">
        <f>(Examples!$C$6*Examples!$C$7*Examples!$C$8*EXP(-Examples!$C$9*$A711)*(1-(Examples!$C$12*(1-EXP(-Examples!$C$13*$A711))/(1+EXP(MIN(700,MAX(-700,(Examples!$C$14*$A711-Examples!$C$15)/Examples!$C$16))))))+Examples!$C$17*$A711^2)</f>
        <v>825538.10405302653</v>
      </c>
      <c r="D711" s="33">
        <f>Examples!$D$18-(Examples!$D$10+Examples!$D$11)*$A711-(Examples!$D$6*Examples!$D$7*Examples!$D$8*EXP(-Examples!$D$9*$A711)*(1-(Examples!$D$12*(1-EXP(-Examples!$D$13*$A711))/(1+EXP(MIN(700,MAX(-700,(Examples!$D$14*$A711-Examples!$D$15)/Examples!$D$16))))))+Examples!$D$17*$A711^2)</f>
        <v>1684802.1378402221</v>
      </c>
      <c r="E711" s="33">
        <f>(Examples!$D$6*Examples!$D$7*Examples!$D$8*EXP(-Examples!$D$9*$A711)*(1-(Examples!$D$12*(1-EXP(-Examples!$D$13*$A711))/(1+EXP(MIN(700,MAX(-700,(Examples!$D$14*$A711-Examples!$D$15)/Examples!$D$16))))))+Examples!$D$17*$A711^2)</f>
        <v>496147.8621597779</v>
      </c>
      <c r="F711" s="33">
        <f>Examples!$E$18-(Examples!$E$10+Examples!$E$11)*$A711-(Examples!$E$6*Examples!$E$7*Examples!$E$8*EXP(-Examples!$E$9*$A711)*(1-(Examples!$E$12*(1-EXP(-Examples!$E$13*$A711))/(1+EXP(MIN(700,MAX(-700,(Examples!$E$14*$A711-Examples!$E$15)/Examples!$E$16))))))+Examples!$E$17*$A711^2)</f>
        <v>2179005.6543676201</v>
      </c>
      <c r="G711" s="33">
        <f>(Examples!$E$6*Examples!$E$7*Examples!$E$8*EXP(-Examples!$E$9*$A711)*(1-(Examples!$E$12*(1-EXP(-Examples!$E$13*$A711))/(1+EXP(MIN(700,MAX(-700,(Examples!$E$14*$A711-Examples!$E$15)/Examples!$E$16))))))+Examples!$E$17*$A711^2)</f>
        <v>218344.34563237987</v>
      </c>
      <c r="H711" s="33">
        <f>Examples!$F$18-(Examples!$F$10+Examples!$F$11)*$A711-(Examples!$F$6*Examples!$F$7*Examples!$F$8*EXP(-Examples!$F$9*$A711)*(1-(Examples!$F$12*(1-EXP(-Examples!$F$13*$A711))/(1+EXP(MIN(700,MAX(-700,(Examples!$F$14*$A711-Examples!$F$15)/Examples!$F$16))))))+Examples!$F$17*$A711^2)</f>
        <v>-999247.90096807317</v>
      </c>
      <c r="I711" s="33">
        <f>(Examples!$F$6*Examples!$F$7*Examples!$F$8*EXP(-Examples!$F$9*$A711)*(1-(Examples!$F$12*(1-EXP(-Examples!$F$13*$A711))/(1+EXP(MIN(700,MAX(-700,(Examples!$F$14*$A711-Examples!$F$15)/Examples!$F$16))))))+Examples!$F$17*$A711^2)</f>
        <v>1007447.9009680732</v>
      </c>
      <c r="J711" s="33">
        <f>Examples!$G$18-(Examples!$G$10+Examples!$G$11)*$A711-(Examples!$G$6*Examples!$G$7*Examples!$G$8*EXP(-Examples!$G$9*$A711)*(1-(Examples!$G$12*(1-EXP(-Examples!$G$13*$A711))/(1+EXP(MIN(700,MAX(-700,(Examples!$G$14*$A711-Examples!$G$15)/Examples!$G$16))))))+Examples!$G$17*$A711^2)</f>
        <v>576404.8002664292</v>
      </c>
      <c r="K711" s="33">
        <f>(Examples!$G$6*Examples!$G$7*Examples!$G$8*EXP(-Examples!$G$9*$A711)*(1-(Examples!$G$12*(1-EXP(-Examples!$G$13*$A711))/(1+EXP(MIN(700,MAX(-700,(Examples!$G$14*$A711-Examples!$G$15)/Examples!$G$16))))))+Examples!$G$17*$A711^2)</f>
        <v>569095.1997335708</v>
      </c>
      <c r="L711" s="33">
        <f>Examples!$H$18-(Examples!$H$10+Examples!$H$11)*$A711-(Examples!$H$6*Examples!$H$7*Examples!$H$8*EXP(-Examples!$H$9*$A711)*(1-(Examples!$H$12*(1-EXP(-Examples!$H$13*$A711))/(1+EXP(MIN(700,MAX(-700,(Examples!$H$14*$A711-Examples!$H$15)/Examples!$H$16))))))+Examples!$H$17*$A711^2)</f>
        <v>576119.84446165862</v>
      </c>
      <c r="M711" s="33">
        <f>(Examples!$H$6*Examples!$H$7*Examples!$H$8*EXP(-Examples!$H$9*$A711)*(1-(Examples!$H$12*(1-EXP(-Examples!$H$13*$A711))/(1+EXP(MIN(700,MAX(-700,(Examples!$H$14*$A711-Examples!$H$15)/Examples!$H$16))))))+Examples!$H$17*$A711^2)</f>
        <v>569380.15553834138</v>
      </c>
    </row>
    <row r="712" spans="1:13" x14ac:dyDescent="0.25">
      <c r="A712">
        <f>(712-2)/100</f>
        <v>7.1</v>
      </c>
      <c r="B712" s="33">
        <f>Examples!$C$18-(Examples!$C$10+Examples!$C$11)*$A712-(Examples!$C$6*Examples!$C$7*Examples!$C$8*EXP(-Examples!$C$9*$A712)*(1-(Examples!$C$12*(1-EXP(-Examples!$C$13*$A712))/(1+EXP(MIN(700,MAX(-700,(Examples!$C$14*$A712-Examples!$C$15)/Examples!$C$16))))))+Examples!$C$17*$A712^2)</f>
        <v>-475952.37576246867</v>
      </c>
      <c r="C712" s="33">
        <f>(Examples!$C$6*Examples!$C$7*Examples!$C$8*EXP(-Examples!$C$9*$A712)*(1-(Examples!$C$12*(1-EXP(-Examples!$C$13*$A712))/(1+EXP(MIN(700,MAX(-700,(Examples!$C$14*$A712-Examples!$C$15)/Examples!$C$16))))))+Examples!$C$17*$A712^2)</f>
        <v>827452.37576246867</v>
      </c>
      <c r="D712" s="33">
        <f>Examples!$D$18-(Examples!$D$10+Examples!$D$11)*$A712-(Examples!$D$6*Examples!$D$7*Examples!$D$8*EXP(-Examples!$D$9*$A712)*(1-(Examples!$D$12*(1-EXP(-Examples!$D$13*$A712))/(1+EXP(MIN(700,MAX(-700,(Examples!$D$14*$A712-Examples!$D$15)/Examples!$D$16))))))+Examples!$D$17*$A712^2)</f>
        <v>1684714.5941167122</v>
      </c>
      <c r="E712" s="33">
        <f>(Examples!$D$6*Examples!$D$7*Examples!$D$8*EXP(-Examples!$D$9*$A712)*(1-(Examples!$D$12*(1-EXP(-Examples!$D$13*$A712))/(1+EXP(MIN(700,MAX(-700,(Examples!$D$14*$A712-Examples!$D$15)/Examples!$D$16))))))+Examples!$D$17*$A712^2)</f>
        <v>495785.40588328778</v>
      </c>
      <c r="F712" s="33">
        <f>Examples!$E$18-(Examples!$E$10+Examples!$E$11)*$A712-(Examples!$E$6*Examples!$E$7*Examples!$E$8*EXP(-Examples!$E$9*$A712)*(1-(Examples!$E$12*(1-EXP(-Examples!$E$13*$A712))/(1+EXP(MIN(700,MAX(-700,(Examples!$E$14*$A712-Examples!$E$15)/Examples!$E$16))))))+Examples!$E$17*$A712^2)</f>
        <v>2177997.7803565436</v>
      </c>
      <c r="G712" s="33">
        <f>(Examples!$E$6*Examples!$E$7*Examples!$E$8*EXP(-Examples!$E$9*$A712)*(1-(Examples!$E$12*(1-EXP(-Examples!$E$13*$A712))/(1+EXP(MIN(700,MAX(-700,(Examples!$E$14*$A712-Examples!$E$15)/Examples!$E$16))))))+Examples!$E$17*$A712^2)</f>
        <v>218502.21964345634</v>
      </c>
      <c r="H712" s="33">
        <f>Examples!$F$18-(Examples!$F$10+Examples!$F$11)*$A712-(Examples!$F$6*Examples!$F$7*Examples!$F$8*EXP(-Examples!$F$9*$A712)*(1-(Examples!$F$12*(1-EXP(-Examples!$F$13*$A712))/(1+EXP(MIN(700,MAX(-700,(Examples!$F$14*$A712-Examples!$F$15)/Examples!$F$16))))))+Examples!$F$17*$A712^2)</f>
        <v>-1002279.6526423467</v>
      </c>
      <c r="I712" s="33">
        <f>(Examples!$F$6*Examples!$F$7*Examples!$F$8*EXP(-Examples!$F$9*$A712)*(1-(Examples!$F$12*(1-EXP(-Examples!$F$13*$A712))/(1+EXP(MIN(700,MAX(-700,(Examples!$F$14*$A712-Examples!$F$15)/Examples!$F$16))))))+Examples!$F$17*$A712^2)</f>
        <v>1010279.6526423467</v>
      </c>
      <c r="J712" s="33">
        <f>Examples!$G$18-(Examples!$G$10+Examples!$G$11)*$A712-(Examples!$G$6*Examples!$G$7*Examples!$G$8*EXP(-Examples!$G$9*$A712)*(1-(Examples!$G$12*(1-EXP(-Examples!$G$13*$A712))/(1+EXP(MIN(700,MAX(-700,(Examples!$G$14*$A712-Examples!$G$15)/Examples!$G$16))))))+Examples!$G$17*$A712^2)</f>
        <v>575349.19325775129</v>
      </c>
      <c r="K712" s="33">
        <f>(Examples!$G$6*Examples!$G$7*Examples!$G$8*EXP(-Examples!$G$9*$A712)*(1-(Examples!$G$12*(1-EXP(-Examples!$G$13*$A712))/(1+EXP(MIN(700,MAX(-700,(Examples!$G$14*$A712-Examples!$G$15)/Examples!$G$16))))))+Examples!$G$17*$A712^2)</f>
        <v>569650.80674224871</v>
      </c>
      <c r="L712" s="33">
        <f>Examples!$H$18-(Examples!$H$10+Examples!$H$11)*$A712-(Examples!$H$6*Examples!$H$7*Examples!$H$8*EXP(-Examples!$H$9*$A712)*(1-(Examples!$H$12*(1-EXP(-Examples!$H$13*$A712))/(1+EXP(MIN(700,MAX(-700,(Examples!$H$14*$A712-Examples!$H$15)/Examples!$H$16))))))+Examples!$H$17*$A712^2)</f>
        <v>575068.94338721666</v>
      </c>
      <c r="M712" s="33">
        <f>(Examples!$H$6*Examples!$H$7*Examples!$H$8*EXP(-Examples!$H$9*$A712)*(1-(Examples!$H$12*(1-EXP(-Examples!$H$13*$A712))/(1+EXP(MIN(700,MAX(-700,(Examples!$H$14*$A712-Examples!$H$15)/Examples!$H$16))))))+Examples!$H$17*$A712^2)</f>
        <v>569931.05661278334</v>
      </c>
    </row>
    <row r="713" spans="1:13" x14ac:dyDescent="0.25">
      <c r="A713">
        <f>(713-2)/100</f>
        <v>7.11</v>
      </c>
      <c r="B713" s="33">
        <f>Examples!$C$18-(Examples!$C$10+Examples!$C$11)*$A713-(Examples!$C$6*Examples!$C$7*Examples!$C$8*EXP(-Examples!$C$9*$A713)*(1-(Examples!$C$12*(1-EXP(-Examples!$C$13*$A713))/(1+EXP(MIN(700,MAX(-700,(Examples!$C$14*$A713-Examples!$C$15)/Examples!$C$16))))))+Examples!$C$17*$A713^2)</f>
        <v>-478220.28919306456</v>
      </c>
      <c r="C713" s="33">
        <f>(Examples!$C$6*Examples!$C$7*Examples!$C$8*EXP(-Examples!$C$9*$A713)*(1-(Examples!$C$12*(1-EXP(-Examples!$C$13*$A713))/(1+EXP(MIN(700,MAX(-700,(Examples!$C$14*$A713-Examples!$C$15)/Examples!$C$16))))))+Examples!$C$17*$A713^2)</f>
        <v>829370.28919306456</v>
      </c>
      <c r="D713" s="33">
        <f>Examples!$D$18-(Examples!$D$10+Examples!$D$11)*$A713-(Examples!$D$6*Examples!$D$7*Examples!$D$8*EXP(-Examples!$D$9*$A713)*(1-(Examples!$D$12*(1-EXP(-Examples!$D$13*$A713))/(1+EXP(MIN(700,MAX(-700,(Examples!$D$14*$A713-Examples!$D$15)/Examples!$D$16))))))+Examples!$D$17*$A713^2)</f>
        <v>1684621.7067433833</v>
      </c>
      <c r="E713" s="33">
        <f>(Examples!$D$6*Examples!$D$7*Examples!$D$8*EXP(-Examples!$D$9*$A713)*(1-(Examples!$D$12*(1-EXP(-Examples!$D$13*$A713))/(1+EXP(MIN(700,MAX(-700,(Examples!$D$14*$A713-Examples!$D$15)/Examples!$D$16))))))+Examples!$D$17*$A713^2)</f>
        <v>495428.2932566168</v>
      </c>
      <c r="F713" s="33">
        <f>Examples!$E$18-(Examples!$E$10+Examples!$E$11)*$A713-(Examples!$E$6*Examples!$E$7*Examples!$E$8*EXP(-Examples!$E$9*$A713)*(1-(Examples!$E$12*(1-EXP(-Examples!$E$13*$A713))/(1+EXP(MIN(700,MAX(-700,(Examples!$E$14*$A713-Examples!$E$15)/Examples!$E$16))))))+Examples!$E$17*$A713^2)</f>
        <v>2176988.6831783932</v>
      </c>
      <c r="G713" s="33">
        <f>(Examples!$E$6*Examples!$E$7*Examples!$E$8*EXP(-Examples!$E$9*$A713)*(1-(Examples!$E$12*(1-EXP(-Examples!$E$13*$A713))/(1+EXP(MIN(700,MAX(-700,(Examples!$E$14*$A713-Examples!$E$15)/Examples!$E$16))))))+Examples!$E$17*$A713^2)</f>
        <v>218661.31682160671</v>
      </c>
      <c r="H713" s="33">
        <f>Examples!$F$18-(Examples!$F$10+Examples!$F$11)*$A713-(Examples!$F$6*Examples!$F$7*Examples!$F$8*EXP(-Examples!$F$9*$A713)*(1-(Examples!$F$12*(1-EXP(-Examples!$F$13*$A713))/(1+EXP(MIN(700,MAX(-700,(Examples!$F$14*$A713-Examples!$F$15)/Examples!$F$16))))))+Examples!$F$17*$A713^2)</f>
        <v>-1005315.4230335081</v>
      </c>
      <c r="I713" s="33">
        <f>(Examples!$F$6*Examples!$F$7*Examples!$F$8*EXP(-Examples!$F$9*$A713)*(1-(Examples!$F$12*(1-EXP(-Examples!$F$13*$A713))/(1+EXP(MIN(700,MAX(-700,(Examples!$F$14*$A713-Examples!$F$15)/Examples!$F$16))))))+Examples!$F$17*$A713^2)</f>
        <v>1013115.4230335081</v>
      </c>
      <c r="J713" s="33">
        <f>Examples!$G$18-(Examples!$G$10+Examples!$G$11)*$A713-(Examples!$G$6*Examples!$G$7*Examples!$G$8*EXP(-Examples!$G$9*$A713)*(1-(Examples!$G$12*(1-EXP(-Examples!$G$13*$A713))/(1+EXP(MIN(700,MAX(-700,(Examples!$G$14*$A713-Examples!$G$15)/Examples!$G$16))))))+Examples!$G$17*$A713^2)</f>
        <v>574290.02221935871</v>
      </c>
      <c r="K713" s="33">
        <f>(Examples!$G$6*Examples!$G$7*Examples!$G$8*EXP(-Examples!$G$9*$A713)*(1-(Examples!$G$12*(1-EXP(-Examples!$G$13*$A713))/(1+EXP(MIN(700,MAX(-700,(Examples!$G$14*$A713-Examples!$G$15)/Examples!$G$16))))))+Examples!$G$17*$A713^2)</f>
        <v>570209.97778064129</v>
      </c>
      <c r="L713" s="33">
        <f>Examples!$H$18-(Examples!$H$10+Examples!$H$11)*$A713-(Examples!$H$6*Examples!$H$7*Examples!$H$8*EXP(-Examples!$H$9*$A713)*(1-(Examples!$H$12*(1-EXP(-Examples!$H$13*$A713))/(1+EXP(MIN(700,MAX(-700,(Examples!$H$14*$A713-Examples!$H$15)/Examples!$H$16))))))+Examples!$H$17*$A713^2)</f>
        <v>574014.4009000744</v>
      </c>
      <c r="M713" s="33">
        <f>(Examples!$H$6*Examples!$H$7*Examples!$H$8*EXP(-Examples!$H$9*$A713)*(1-(Examples!$H$12*(1-EXP(-Examples!$H$13*$A713))/(1+EXP(MIN(700,MAX(-700,(Examples!$H$14*$A713-Examples!$H$15)/Examples!$H$16))))))+Examples!$H$17*$A713^2)</f>
        <v>570485.5990999256</v>
      </c>
    </row>
    <row r="714" spans="1:13" x14ac:dyDescent="0.25">
      <c r="A714">
        <f>(714-2)/100</f>
        <v>7.12</v>
      </c>
      <c r="B714" s="33">
        <f>Examples!$C$18-(Examples!$C$10+Examples!$C$11)*$A714-(Examples!$C$6*Examples!$C$7*Examples!$C$8*EXP(-Examples!$C$9*$A714)*(1-(Examples!$C$12*(1-EXP(-Examples!$C$13*$A714))/(1+EXP(MIN(700,MAX(-700,(Examples!$C$14*$A714-Examples!$C$15)/Examples!$C$16))))))+Examples!$C$17*$A714^2)</f>
        <v>-480491.84242255869</v>
      </c>
      <c r="C714" s="33">
        <f>(Examples!$C$6*Examples!$C$7*Examples!$C$8*EXP(-Examples!$C$9*$A714)*(1-(Examples!$C$12*(1-EXP(-Examples!$C$13*$A714))/(1+EXP(MIN(700,MAX(-700,(Examples!$C$14*$A714-Examples!$C$15)/Examples!$C$16))))))+Examples!$C$17*$A714^2)</f>
        <v>831291.84242255869</v>
      </c>
      <c r="D714" s="33">
        <f>Examples!$D$18-(Examples!$D$10+Examples!$D$11)*$A714-(Examples!$D$6*Examples!$D$7*Examples!$D$8*EXP(-Examples!$D$9*$A714)*(1-(Examples!$D$12*(1-EXP(-Examples!$D$13*$A714))/(1+EXP(MIN(700,MAX(-700,(Examples!$D$14*$A714-Examples!$D$15)/Examples!$D$16))))))+Examples!$D$17*$A714^2)</f>
        <v>1684523.4872506452</v>
      </c>
      <c r="E714" s="33">
        <f>(Examples!$D$6*Examples!$D$7*Examples!$D$8*EXP(-Examples!$D$9*$A714)*(1-(Examples!$D$12*(1-EXP(-Examples!$D$13*$A714))/(1+EXP(MIN(700,MAX(-700,(Examples!$D$14*$A714-Examples!$D$15)/Examples!$D$16))))))+Examples!$D$17*$A714^2)</f>
        <v>495076.51274935482</v>
      </c>
      <c r="F714" s="33">
        <f>Examples!$E$18-(Examples!$E$10+Examples!$E$11)*$A714-(Examples!$E$6*Examples!$E$7*Examples!$E$8*EXP(-Examples!$E$9*$A714)*(1-(Examples!$E$12*(1-EXP(-Examples!$E$13*$A714))/(1+EXP(MIN(700,MAX(-700,(Examples!$E$14*$A714-Examples!$E$15)/Examples!$E$16))))))+Examples!$E$17*$A714^2)</f>
        <v>2175978.3597893422</v>
      </c>
      <c r="G714" s="33">
        <f>(Examples!$E$6*Examples!$E$7*Examples!$E$8*EXP(-Examples!$E$9*$A714)*(1-(Examples!$E$12*(1-EXP(-Examples!$E$13*$A714))/(1+EXP(MIN(700,MAX(-700,(Examples!$E$14*$A714-Examples!$E$15)/Examples!$E$16))))))+Examples!$E$17*$A714^2)</f>
        <v>218821.6402106577</v>
      </c>
      <c r="H714" s="33">
        <f>Examples!$F$18-(Examples!$F$10+Examples!$F$11)*$A714-(Examples!$F$6*Examples!$F$7*Examples!$F$8*EXP(-Examples!$F$9*$A714)*(1-(Examples!$F$12*(1-EXP(-Examples!$F$13*$A714))/(1+EXP(MIN(700,MAX(-700,(Examples!$F$14*$A714-Examples!$F$15)/Examples!$F$16))))))+Examples!$F$17*$A714^2)</f>
        <v>-1008355.2120854902</v>
      </c>
      <c r="I714" s="33">
        <f>(Examples!$F$6*Examples!$F$7*Examples!$F$8*EXP(-Examples!$F$9*$A714)*(1-(Examples!$F$12*(1-EXP(-Examples!$F$13*$A714))/(1+EXP(MIN(700,MAX(-700,(Examples!$F$14*$A714-Examples!$F$15)/Examples!$F$16))))))+Examples!$F$17*$A714^2)</f>
        <v>1015955.2120854902</v>
      </c>
      <c r="J714" s="33">
        <f>Examples!$G$18-(Examples!$G$10+Examples!$G$11)*$A714-(Examples!$G$6*Examples!$G$7*Examples!$G$8*EXP(-Examples!$G$9*$A714)*(1-(Examples!$G$12*(1-EXP(-Examples!$G$13*$A714))/(1+EXP(MIN(700,MAX(-700,(Examples!$G$14*$A714-Examples!$G$15)/Examples!$G$16))))))+Examples!$G$17*$A714^2)</f>
        <v>573227.29301752918</v>
      </c>
      <c r="K714" s="33">
        <f>(Examples!$G$6*Examples!$G$7*Examples!$G$8*EXP(-Examples!$G$9*$A714)*(1-(Examples!$G$12*(1-EXP(-Examples!$G$13*$A714))/(1+EXP(MIN(700,MAX(-700,(Examples!$G$14*$A714-Examples!$G$15)/Examples!$G$16))))))+Examples!$G$17*$A714^2)</f>
        <v>570772.70698247082</v>
      </c>
      <c r="L714" s="33">
        <f>Examples!$H$18-(Examples!$H$10+Examples!$H$11)*$A714-(Examples!$H$6*Examples!$H$7*Examples!$H$8*EXP(-Examples!$H$9*$A714)*(1-(Examples!$H$12*(1-EXP(-Examples!$H$13*$A714))/(1+EXP(MIN(700,MAX(-700,(Examples!$H$14*$A714-Examples!$H$15)/Examples!$H$16))))))+Examples!$H$17*$A714^2)</f>
        <v>572956.22413064458</v>
      </c>
      <c r="M714" s="33">
        <f>(Examples!$H$6*Examples!$H$7*Examples!$H$8*EXP(-Examples!$H$9*$A714)*(1-(Examples!$H$12*(1-EXP(-Examples!$H$13*$A714))/(1+EXP(MIN(700,MAX(-700,(Examples!$H$14*$A714-Examples!$H$15)/Examples!$H$16))))))+Examples!$H$17*$A714^2)</f>
        <v>571043.77586935542</v>
      </c>
    </row>
    <row r="715" spans="1:13" x14ac:dyDescent="0.25">
      <c r="A715">
        <f>(715-2)/100</f>
        <v>7.13</v>
      </c>
      <c r="B715" s="33">
        <f>Examples!$C$18-(Examples!$C$10+Examples!$C$11)*$A715-(Examples!$C$6*Examples!$C$7*Examples!$C$8*EXP(-Examples!$C$9*$A715)*(1-(Examples!$C$12*(1-EXP(-Examples!$C$13*$A715))/(1+EXP(MIN(700,MAX(-700,(Examples!$C$14*$A715-Examples!$C$15)/Examples!$C$16))))))+Examples!$C$17*$A715^2)</f>
        <v>-482767.03353445302</v>
      </c>
      <c r="C715" s="33">
        <f>(Examples!$C$6*Examples!$C$7*Examples!$C$8*EXP(-Examples!$C$9*$A715)*(1-(Examples!$C$12*(1-EXP(-Examples!$C$13*$A715))/(1+EXP(MIN(700,MAX(-700,(Examples!$C$14*$A715-Examples!$C$15)/Examples!$C$16))))))+Examples!$C$17*$A715^2)</f>
        <v>833217.03353445302</v>
      </c>
      <c r="D715" s="33">
        <f>Examples!$D$18-(Examples!$D$10+Examples!$D$11)*$A715-(Examples!$D$6*Examples!$D$7*Examples!$D$8*EXP(-Examples!$D$9*$A715)*(1-(Examples!$D$12*(1-EXP(-Examples!$D$13*$A715))/(1+EXP(MIN(700,MAX(-700,(Examples!$D$14*$A715-Examples!$D$15)/Examples!$D$16))))))+Examples!$D$17*$A715^2)</f>
        <v>1684419.9472489015</v>
      </c>
      <c r="E715" s="33">
        <f>(Examples!$D$6*Examples!$D$7*Examples!$D$8*EXP(-Examples!$D$9*$A715)*(1-(Examples!$D$12*(1-EXP(-Examples!$D$13*$A715))/(1+EXP(MIN(700,MAX(-700,(Examples!$D$14*$A715-Examples!$D$15)/Examples!$D$16))))))+Examples!$D$17*$A715^2)</f>
        <v>494730.05275109853</v>
      </c>
      <c r="F715" s="33">
        <f>Examples!$E$18-(Examples!$E$10+Examples!$E$11)*$A715-(Examples!$E$6*Examples!$E$7*Examples!$E$8*EXP(-Examples!$E$9*$A715)*(1-(Examples!$E$12*(1-EXP(-Examples!$E$13*$A715))/(1+EXP(MIN(700,MAX(-700,(Examples!$E$14*$A715-Examples!$E$15)/Examples!$E$16))))))+Examples!$E$17*$A715^2)</f>
        <v>2174966.8071925347</v>
      </c>
      <c r="G715" s="33">
        <f>(Examples!$E$6*Examples!$E$7*Examples!$E$8*EXP(-Examples!$E$9*$A715)*(1-(Examples!$E$12*(1-EXP(-Examples!$E$13*$A715))/(1+EXP(MIN(700,MAX(-700,(Examples!$E$14*$A715-Examples!$E$15)/Examples!$E$16))))))+Examples!$E$17*$A715^2)</f>
        <v>218983.1928074655</v>
      </c>
      <c r="H715" s="33">
        <f>Examples!$F$18-(Examples!$F$10+Examples!$F$11)*$A715-(Examples!$F$6*Examples!$F$7*Examples!$F$8*EXP(-Examples!$F$9*$A715)*(1-(Examples!$F$12*(1-EXP(-Examples!$F$13*$A715))/(1+EXP(MIN(700,MAX(-700,(Examples!$F$14*$A715-Examples!$F$15)/Examples!$F$16))))))+Examples!$F$17*$A715^2)</f>
        <v>-1011399.0197423953</v>
      </c>
      <c r="I715" s="33">
        <f>(Examples!$F$6*Examples!$F$7*Examples!$F$8*EXP(-Examples!$F$9*$A715)*(1-(Examples!$F$12*(1-EXP(-Examples!$F$13*$A715))/(1+EXP(MIN(700,MAX(-700,(Examples!$F$14*$A715-Examples!$F$15)/Examples!$F$16))))))+Examples!$F$17*$A715^2)</f>
        <v>1018799.0197423953</v>
      </c>
      <c r="J715" s="33">
        <f>Examples!$G$18-(Examples!$G$10+Examples!$G$11)*$A715-(Examples!$G$6*Examples!$G$7*Examples!$G$8*EXP(-Examples!$G$9*$A715)*(1-(Examples!$G$12*(1-EXP(-Examples!$G$13*$A715))/(1+EXP(MIN(700,MAX(-700,(Examples!$G$14*$A715-Examples!$G$15)/Examples!$G$16))))))+Examples!$G$17*$A715^2)</f>
        <v>572161.0115141354</v>
      </c>
      <c r="K715" s="33">
        <f>(Examples!$G$6*Examples!$G$7*Examples!$G$8*EXP(-Examples!$G$9*$A715)*(1-(Examples!$G$12*(1-EXP(-Examples!$G$13*$A715))/(1+EXP(MIN(700,MAX(-700,(Examples!$G$14*$A715-Examples!$G$15)/Examples!$G$16))))))+Examples!$G$17*$A715^2)</f>
        <v>571338.9884858646</v>
      </c>
      <c r="L715" s="33">
        <f>Examples!$H$18-(Examples!$H$10+Examples!$H$11)*$A715-(Examples!$H$6*Examples!$H$7*Examples!$H$8*EXP(-Examples!$H$9*$A715)*(1-(Examples!$H$12*(1-EXP(-Examples!$H$13*$A715))/(1+EXP(MIN(700,MAX(-700,(Examples!$H$14*$A715-Examples!$H$15)/Examples!$H$16))))))+Examples!$H$17*$A715^2)</f>
        <v>571894.4201844983</v>
      </c>
      <c r="M715" s="33">
        <f>(Examples!$H$6*Examples!$H$7*Examples!$H$8*EXP(-Examples!$H$9*$A715)*(1-(Examples!$H$12*(1-EXP(-Examples!$H$13*$A715))/(1+EXP(MIN(700,MAX(-700,(Examples!$H$14*$A715-Examples!$H$15)/Examples!$H$16))))))+Examples!$H$17*$A715^2)</f>
        <v>571605.5798155017</v>
      </c>
    </row>
    <row r="716" spans="1:13" x14ac:dyDescent="0.25">
      <c r="A716">
        <f>(716-2)/100</f>
        <v>7.14</v>
      </c>
      <c r="B716" s="33">
        <f>Examples!$C$18-(Examples!$C$10+Examples!$C$11)*$A716-(Examples!$C$6*Examples!$C$7*Examples!$C$8*EXP(-Examples!$C$9*$A716)*(1-(Examples!$C$12*(1-EXP(-Examples!$C$13*$A716))/(1+EXP(MIN(700,MAX(-700,(Examples!$C$14*$A716-Examples!$C$15)/Examples!$C$16))))))+Examples!$C$17*$A716^2)</f>
        <v>-485045.86061798944</v>
      </c>
      <c r="C716" s="33">
        <f>(Examples!$C$6*Examples!$C$7*Examples!$C$8*EXP(-Examples!$C$9*$A716)*(1-(Examples!$C$12*(1-EXP(-Examples!$C$13*$A716))/(1+EXP(MIN(700,MAX(-700,(Examples!$C$14*$A716-Examples!$C$15)/Examples!$C$16))))))+Examples!$C$17*$A716^2)</f>
        <v>835145.86061798944</v>
      </c>
      <c r="D716" s="33">
        <f>Examples!$D$18-(Examples!$D$10+Examples!$D$11)*$A716-(Examples!$D$6*Examples!$D$7*Examples!$D$8*EXP(-Examples!$D$9*$A716)*(1-(Examples!$D$12*(1-EXP(-Examples!$D$13*$A716))/(1+EXP(MIN(700,MAX(-700,(Examples!$D$14*$A716-Examples!$D$15)/Examples!$D$16))))))+Examples!$D$17*$A716^2)</f>
        <v>1684311.0984261199</v>
      </c>
      <c r="E716" s="33">
        <f>(Examples!$D$6*Examples!$D$7*Examples!$D$8*EXP(-Examples!$D$9*$A716)*(1-(Examples!$D$12*(1-EXP(-Examples!$D$13*$A716))/(1+EXP(MIN(700,MAX(-700,(Examples!$D$14*$A716-Examples!$D$15)/Examples!$D$16))))))+Examples!$D$17*$A716^2)</f>
        <v>494388.90157387999</v>
      </c>
      <c r="F716" s="33">
        <f>Examples!$E$18-(Examples!$E$10+Examples!$E$11)*$A716-(Examples!$E$6*Examples!$E$7*Examples!$E$8*EXP(-Examples!$E$9*$A716)*(1-(Examples!$E$12*(1-EXP(-Examples!$E$13*$A716))/(1+EXP(MIN(700,MAX(-700,(Examples!$E$14*$A716-Examples!$E$15)/Examples!$E$16))))))+Examples!$E$17*$A716^2)</f>
        <v>2173954.0224380787</v>
      </c>
      <c r="G716" s="33">
        <f>(Examples!$E$6*Examples!$E$7*Examples!$E$8*EXP(-Examples!$E$9*$A716)*(1-(Examples!$E$12*(1-EXP(-Examples!$E$13*$A716))/(1+EXP(MIN(700,MAX(-700,(Examples!$E$14*$A716-Examples!$E$15)/Examples!$E$16))))))+Examples!$E$17*$A716^2)</f>
        <v>219145.97756192141</v>
      </c>
      <c r="H716" s="33">
        <f>Examples!$F$18-(Examples!$F$10+Examples!$F$11)*$A716-(Examples!$F$6*Examples!$F$7*Examples!$F$8*EXP(-Examples!$F$9*$A716)*(1-(Examples!$F$12*(1-EXP(-Examples!$F$13*$A716))/(1+EXP(MIN(700,MAX(-700,(Examples!$F$14*$A716-Examples!$F$15)/Examples!$F$16))))))+Examples!$F$17*$A716^2)</f>
        <v>-1014446.8459484916</v>
      </c>
      <c r="I716" s="33">
        <f>(Examples!$F$6*Examples!$F$7*Examples!$F$8*EXP(-Examples!$F$9*$A716)*(1-(Examples!$F$12*(1-EXP(-Examples!$F$13*$A716))/(1+EXP(MIN(700,MAX(-700,(Examples!$F$14*$A716-Examples!$F$15)/Examples!$F$16))))))+Examples!$F$17*$A716^2)</f>
        <v>1021646.8459484916</v>
      </c>
      <c r="J716" s="33">
        <f>Examples!$G$18-(Examples!$G$10+Examples!$G$11)*$A716-(Examples!$G$6*Examples!$G$7*Examples!$G$8*EXP(-Examples!$G$9*$A716)*(1-(Examples!$G$12*(1-EXP(-Examples!$G$13*$A716))/(1+EXP(MIN(700,MAX(-700,(Examples!$G$14*$A716-Examples!$G$15)/Examples!$G$16))))))+Examples!$G$17*$A716^2)</f>
        <v>571091.18356640392</v>
      </c>
      <c r="K716" s="33">
        <f>(Examples!$G$6*Examples!$G$7*Examples!$G$8*EXP(-Examples!$G$9*$A716)*(1-(Examples!$G$12*(1-EXP(-Examples!$G$13*$A716))/(1+EXP(MIN(700,MAX(-700,(Examples!$G$14*$A716-Examples!$G$15)/Examples!$G$16))))))+Examples!$G$17*$A716^2)</f>
        <v>571908.81643359608</v>
      </c>
      <c r="L716" s="33">
        <f>Examples!$H$18-(Examples!$H$10+Examples!$H$11)*$A716-(Examples!$H$6*Examples!$H$7*Examples!$H$8*EXP(-Examples!$H$9*$A716)*(1-(Examples!$H$12*(1-EXP(-Examples!$H$13*$A716))/(1+EXP(MIN(700,MAX(-700,(Examples!$H$14*$A716-Examples!$H$15)/Examples!$H$16))))))+Examples!$H$17*$A716^2)</f>
        <v>570828.99614244886</v>
      </c>
      <c r="M716" s="33">
        <f>(Examples!$H$6*Examples!$H$7*Examples!$H$8*EXP(-Examples!$H$9*$A716)*(1-(Examples!$H$12*(1-EXP(-Examples!$H$13*$A716))/(1+EXP(MIN(700,MAX(-700,(Examples!$H$14*$A716-Examples!$H$15)/Examples!$H$16))))))+Examples!$H$17*$A716^2)</f>
        <v>572171.00385755114</v>
      </c>
    </row>
    <row r="717" spans="1:13" x14ac:dyDescent="0.25">
      <c r="A717">
        <f>(717-2)/100</f>
        <v>7.15</v>
      </c>
      <c r="B717" s="33">
        <f>Examples!$C$18-(Examples!$C$10+Examples!$C$11)*$A717-(Examples!$C$6*Examples!$C$7*Examples!$C$8*EXP(-Examples!$C$9*$A717)*(1-(Examples!$C$12*(1-EXP(-Examples!$C$13*$A717))/(1+EXP(MIN(700,MAX(-700,(Examples!$C$14*$A717-Examples!$C$15)/Examples!$C$16))))))+Examples!$C$17*$A717^2)</f>
        <v>-487328.32176813274</v>
      </c>
      <c r="C717" s="33">
        <f>(Examples!$C$6*Examples!$C$7*Examples!$C$8*EXP(-Examples!$C$9*$A717)*(1-(Examples!$C$12*(1-EXP(-Examples!$C$13*$A717))/(1+EXP(MIN(700,MAX(-700,(Examples!$C$14*$A717-Examples!$C$15)/Examples!$C$16))))))+Examples!$C$17*$A717^2)</f>
        <v>837078.32176813274</v>
      </c>
      <c r="D717" s="33">
        <f>Examples!$D$18-(Examples!$D$10+Examples!$D$11)*$A717-(Examples!$D$6*Examples!$D$7*Examples!$D$8*EXP(-Examples!$D$9*$A717)*(1-(Examples!$D$12*(1-EXP(-Examples!$D$13*$A717))/(1+EXP(MIN(700,MAX(-700,(Examples!$D$14*$A717-Examples!$D$15)/Examples!$D$16))))))+Examples!$D$17*$A717^2)</f>
        <v>1684196.9525454438</v>
      </c>
      <c r="E717" s="33">
        <f>(Examples!$D$6*Examples!$D$7*Examples!$D$8*EXP(-Examples!$D$9*$A717)*(1-(Examples!$D$12*(1-EXP(-Examples!$D$13*$A717))/(1+EXP(MIN(700,MAX(-700,(Examples!$D$14*$A717-Examples!$D$15)/Examples!$D$16))))))+Examples!$D$17*$A717^2)</f>
        <v>494053.04745455628</v>
      </c>
      <c r="F717" s="33">
        <f>Examples!$E$18-(Examples!$E$10+Examples!$E$11)*$A717-(Examples!$E$6*Examples!$E$7*Examples!$E$8*EXP(-Examples!$E$9*$A717)*(1-(Examples!$E$12*(1-EXP(-Examples!$E$13*$A717))/(1+EXP(MIN(700,MAX(-700,(Examples!$E$14*$A717-Examples!$E$15)/Examples!$E$16))))))+Examples!$E$17*$A717^2)</f>
        <v>2172940.0026230337</v>
      </c>
      <c r="G717" s="33">
        <f>(Examples!$E$6*Examples!$E$7*Examples!$E$8*EXP(-Examples!$E$9*$A717)*(1-(Examples!$E$12*(1-EXP(-Examples!$E$13*$A717))/(1+EXP(MIN(700,MAX(-700,(Examples!$E$14*$A717-Examples!$E$15)/Examples!$E$16))))))+Examples!$E$17*$A717^2)</f>
        <v>219309.99737696652</v>
      </c>
      <c r="H717" s="33">
        <f>Examples!$F$18-(Examples!$F$10+Examples!$F$11)*$A717-(Examples!$F$6*Examples!$F$7*Examples!$F$8*EXP(-Examples!$F$9*$A717)*(1-(Examples!$F$12*(1-EXP(-Examples!$F$13*$A717))/(1+EXP(MIN(700,MAX(-700,(Examples!$F$14*$A717-Examples!$F$15)/Examples!$F$16))))))+Examples!$F$17*$A717^2)</f>
        <v>-1017498.6906482154</v>
      </c>
      <c r="I717" s="33">
        <f>(Examples!$F$6*Examples!$F$7*Examples!$F$8*EXP(-Examples!$F$9*$A717)*(1-(Examples!$F$12*(1-EXP(-Examples!$F$13*$A717))/(1+EXP(MIN(700,MAX(-700,(Examples!$F$14*$A717-Examples!$F$15)/Examples!$F$16))))))+Examples!$F$17*$A717^2)</f>
        <v>1024498.6906482154</v>
      </c>
      <c r="J717" s="33">
        <f>Examples!$G$18-(Examples!$G$10+Examples!$G$11)*$A717-(Examples!$G$6*Examples!$G$7*Examples!$G$8*EXP(-Examples!$G$9*$A717)*(1-(Examples!$G$12*(1-EXP(-Examples!$G$13*$A717))/(1+EXP(MIN(700,MAX(-700,(Examples!$G$14*$A717-Examples!$G$15)/Examples!$G$16))))))+Examples!$G$17*$A717^2)</f>
        <v>570017.81502668059</v>
      </c>
      <c r="K717" s="33">
        <f>(Examples!$G$6*Examples!$G$7*Examples!$G$8*EXP(-Examples!$G$9*$A717)*(1-(Examples!$G$12*(1-EXP(-Examples!$G$13*$A717))/(1+EXP(MIN(700,MAX(-700,(Examples!$G$14*$A717-Examples!$G$15)/Examples!$G$16))))))+Examples!$G$17*$A717^2)</f>
        <v>572482.18497331941</v>
      </c>
      <c r="L717" s="33">
        <f>Examples!$H$18-(Examples!$H$10+Examples!$H$11)*$A717-(Examples!$H$6*Examples!$H$7*Examples!$H$8*EXP(-Examples!$H$9*$A717)*(1-(Examples!$H$12*(1-EXP(-Examples!$H$13*$A717))/(1+EXP(MIN(700,MAX(-700,(Examples!$H$14*$A717-Examples!$H$15)/Examples!$H$16))))))+Examples!$H$17*$A717^2)</f>
        <v>569759.95906063588</v>
      </c>
      <c r="M717" s="33">
        <f>(Examples!$H$6*Examples!$H$7*Examples!$H$8*EXP(-Examples!$H$9*$A717)*(1-(Examples!$H$12*(1-EXP(-Examples!$H$13*$A717))/(1+EXP(MIN(700,MAX(-700,(Examples!$H$14*$A717-Examples!$H$15)/Examples!$H$16))))))+Examples!$H$17*$A717^2)</f>
        <v>572740.04093936412</v>
      </c>
    </row>
    <row r="718" spans="1:13" x14ac:dyDescent="0.25">
      <c r="A718">
        <f>(718-2)/100</f>
        <v>7.16</v>
      </c>
      <c r="B718" s="33">
        <f>Examples!$C$18-(Examples!$C$10+Examples!$C$11)*$A718-(Examples!$C$6*Examples!$C$7*Examples!$C$8*EXP(-Examples!$C$9*$A718)*(1-(Examples!$C$12*(1-EXP(-Examples!$C$13*$A718))/(1+EXP(MIN(700,MAX(-700,(Examples!$C$14*$A718-Examples!$C$15)/Examples!$C$16))))))+Examples!$C$17*$A718^2)</f>
        <v>-489614.41508555354</v>
      </c>
      <c r="C718" s="33">
        <f>(Examples!$C$6*Examples!$C$7*Examples!$C$8*EXP(-Examples!$C$9*$A718)*(1-(Examples!$C$12*(1-EXP(-Examples!$C$13*$A718))/(1+EXP(MIN(700,MAX(-700,(Examples!$C$14*$A718-Examples!$C$15)/Examples!$C$16))))))+Examples!$C$17*$A718^2)</f>
        <v>839014.41508555354</v>
      </c>
      <c r="D718" s="33">
        <f>Examples!$D$18-(Examples!$D$10+Examples!$D$11)*$A718-(Examples!$D$6*Examples!$D$7*Examples!$D$8*EXP(-Examples!$D$9*$A718)*(1-(Examples!$D$12*(1-EXP(-Examples!$D$13*$A718))/(1+EXP(MIN(700,MAX(-700,(Examples!$D$14*$A718-Examples!$D$15)/Examples!$D$16))))))+Examples!$D$17*$A718^2)</f>
        <v>1684077.5214428417</v>
      </c>
      <c r="E718" s="33">
        <f>(Examples!$D$6*Examples!$D$7*Examples!$D$8*EXP(-Examples!$D$9*$A718)*(1-(Examples!$D$12*(1-EXP(-Examples!$D$13*$A718))/(1+EXP(MIN(700,MAX(-700,(Examples!$D$14*$A718-Examples!$D$15)/Examples!$D$16))))))+Examples!$D$17*$A718^2)</f>
        <v>493722.47855715838</v>
      </c>
      <c r="F718" s="33">
        <f>Examples!$E$18-(Examples!$E$10+Examples!$E$11)*$A718-(Examples!$E$6*Examples!$E$7*Examples!$E$8*EXP(-Examples!$E$9*$A718)*(1-(Examples!$E$12*(1-EXP(-Examples!$E$13*$A718))/(1+EXP(MIN(700,MAX(-700,(Examples!$E$14*$A718-Examples!$E$15)/Examples!$E$16))))))+Examples!$E$17*$A718^2)</f>
        <v>2171924.7448913851</v>
      </c>
      <c r="G718" s="33">
        <f>(Examples!$E$6*Examples!$E$7*Examples!$E$8*EXP(-Examples!$E$9*$A718)*(1-(Examples!$E$12*(1-EXP(-Examples!$E$13*$A718))/(1+EXP(MIN(700,MAX(-700,(Examples!$E$14*$A718-Examples!$E$15)/Examples!$E$16))))))+Examples!$E$17*$A718^2)</f>
        <v>219475.25510861498</v>
      </c>
      <c r="H718" s="33">
        <f>Examples!$F$18-(Examples!$F$10+Examples!$F$11)*$A718-(Examples!$F$6*Examples!$F$7*Examples!$F$8*EXP(-Examples!$F$9*$A718)*(1-(Examples!$F$12*(1-EXP(-Examples!$F$13*$A718))/(1+EXP(MIN(700,MAX(-700,(Examples!$F$14*$A718-Examples!$F$15)/Examples!$F$16))))))+Examples!$F$17*$A718^2)</f>
        <v>-1020554.5537861686</v>
      </c>
      <c r="I718" s="33">
        <f>(Examples!$F$6*Examples!$F$7*Examples!$F$8*EXP(-Examples!$F$9*$A718)*(1-(Examples!$F$12*(1-EXP(-Examples!$F$13*$A718))/(1+EXP(MIN(700,MAX(-700,(Examples!$F$14*$A718-Examples!$F$15)/Examples!$F$16))))))+Examples!$F$17*$A718^2)</f>
        <v>1027354.5537861686</v>
      </c>
      <c r="J718" s="33">
        <f>Examples!$G$18-(Examples!$G$10+Examples!$G$11)*$A718-(Examples!$G$6*Examples!$G$7*Examples!$G$8*EXP(-Examples!$G$9*$A718)*(1-(Examples!$G$12*(1-EXP(-Examples!$G$13*$A718))/(1+EXP(MIN(700,MAX(-700,(Examples!$G$14*$A718-Examples!$G$15)/Examples!$G$16))))))+Examples!$G$17*$A718^2)</f>
        <v>568940.91174219851</v>
      </c>
      <c r="K718" s="33">
        <f>(Examples!$G$6*Examples!$G$7*Examples!$G$8*EXP(-Examples!$G$9*$A718)*(1-(Examples!$G$12*(1-EXP(-Examples!$G$13*$A718))/(1+EXP(MIN(700,MAX(-700,(Examples!$G$14*$A718-Examples!$G$15)/Examples!$G$16))))))+Examples!$G$17*$A718^2)</f>
        <v>573059.08825780149</v>
      </c>
      <c r="L718" s="33">
        <f>Examples!$H$18-(Examples!$H$10+Examples!$H$11)*$A718-(Examples!$H$6*Examples!$H$7*Examples!$H$8*EXP(-Examples!$H$9*$A718)*(1-(Examples!$H$12*(1-EXP(-Examples!$H$13*$A718))/(1+EXP(MIN(700,MAX(-700,(Examples!$H$14*$A718-Examples!$H$15)/Examples!$H$16))))))+Examples!$H$17*$A718^2)</f>
        <v>568687.31597060931</v>
      </c>
      <c r="M718" s="33">
        <f>(Examples!$H$6*Examples!$H$7*Examples!$H$8*EXP(-Examples!$H$9*$A718)*(1-(Examples!$H$12*(1-EXP(-Examples!$H$13*$A718))/(1+EXP(MIN(700,MAX(-700,(Examples!$H$14*$A718-Examples!$H$15)/Examples!$H$16))))))+Examples!$H$17*$A718^2)</f>
        <v>573312.68402939069</v>
      </c>
    </row>
    <row r="719" spans="1:13" x14ac:dyDescent="0.25">
      <c r="A719">
        <f>(719-2)/100</f>
        <v>7.17</v>
      </c>
      <c r="B719" s="33">
        <f>Examples!$C$18-(Examples!$C$10+Examples!$C$11)*$A719-(Examples!$C$6*Examples!$C$7*Examples!$C$8*EXP(-Examples!$C$9*$A719)*(1-(Examples!$C$12*(1-EXP(-Examples!$C$13*$A719))/(1+EXP(MIN(700,MAX(-700,(Examples!$C$14*$A719-Examples!$C$15)/Examples!$C$16))))))+Examples!$C$17*$A719^2)</f>
        <v>-491904.13867661124</v>
      </c>
      <c r="C719" s="33">
        <f>(Examples!$C$6*Examples!$C$7*Examples!$C$8*EXP(-Examples!$C$9*$A719)*(1-(Examples!$C$12*(1-EXP(-Examples!$C$13*$A719))/(1+EXP(MIN(700,MAX(-700,(Examples!$C$14*$A719-Examples!$C$15)/Examples!$C$16))))))+Examples!$C$17*$A719^2)</f>
        <v>840954.13867661124</v>
      </c>
      <c r="D719" s="33">
        <f>Examples!$D$18-(Examples!$D$10+Examples!$D$11)*$A719-(Examples!$D$6*Examples!$D$7*Examples!$D$8*EXP(-Examples!$D$9*$A719)*(1-(Examples!$D$12*(1-EXP(-Examples!$D$13*$A719))/(1+EXP(MIN(700,MAX(-700,(Examples!$D$14*$A719-Examples!$D$15)/Examples!$D$16))))))+Examples!$D$17*$A719^2)</f>
        <v>1683952.8170247993</v>
      </c>
      <c r="E719" s="33">
        <f>(Examples!$D$6*Examples!$D$7*Examples!$D$8*EXP(-Examples!$D$9*$A719)*(1-(Examples!$D$12*(1-EXP(-Examples!$D$13*$A719))/(1+EXP(MIN(700,MAX(-700,(Examples!$D$14*$A719-Examples!$D$15)/Examples!$D$16))))))+Examples!$D$17*$A719^2)</f>
        <v>493397.1829752007</v>
      </c>
      <c r="F719" s="33">
        <f>Examples!$E$18-(Examples!$E$10+Examples!$E$11)*$A719-(Examples!$E$6*Examples!$E$7*Examples!$E$8*EXP(-Examples!$E$9*$A719)*(1-(Examples!$E$12*(1-EXP(-Examples!$E$13*$A719))/(1+EXP(MIN(700,MAX(-700,(Examples!$E$14*$A719-Examples!$E$15)/Examples!$E$16))))))+Examples!$E$17*$A719^2)</f>
        <v>2170908.2464340138</v>
      </c>
      <c r="G719" s="33">
        <f>(Examples!$E$6*Examples!$E$7*Examples!$E$8*EXP(-Examples!$E$9*$A719)*(1-(Examples!$E$12*(1-EXP(-Examples!$E$13*$A719))/(1+EXP(MIN(700,MAX(-700,(Examples!$E$14*$A719-Examples!$E$15)/Examples!$E$16))))))+Examples!$E$17*$A719^2)</f>
        <v>219641.75356598626</v>
      </c>
      <c r="H719" s="33">
        <f>Examples!$F$18-(Examples!$F$10+Examples!$F$11)*$A719-(Examples!$F$6*Examples!$F$7*Examples!$F$8*EXP(-Examples!$F$9*$A719)*(1-(Examples!$F$12*(1-EXP(-Examples!$F$13*$A719))/(1+EXP(MIN(700,MAX(-700,(Examples!$F$14*$A719-Examples!$F$15)/Examples!$F$16))))))+Examples!$F$17*$A719^2)</f>
        <v>-1023614.4353071195</v>
      </c>
      <c r="I719" s="33">
        <f>(Examples!$F$6*Examples!$F$7*Examples!$F$8*EXP(-Examples!$F$9*$A719)*(1-(Examples!$F$12*(1-EXP(-Examples!$F$13*$A719))/(1+EXP(MIN(700,MAX(-700,(Examples!$F$14*$A719-Examples!$F$15)/Examples!$F$16))))))+Examples!$F$17*$A719^2)</f>
        <v>1030214.4353071195</v>
      </c>
      <c r="J719" s="33">
        <f>Examples!$G$18-(Examples!$G$10+Examples!$G$11)*$A719-(Examples!$G$6*Examples!$G$7*Examples!$G$8*EXP(-Examples!$G$9*$A719)*(1-(Examples!$G$12*(1-EXP(-Examples!$G$13*$A719))/(1+EXP(MIN(700,MAX(-700,(Examples!$G$14*$A719-Examples!$G$15)/Examples!$G$16))))))+Examples!$G$17*$A719^2)</f>
        <v>567860.47955485305</v>
      </c>
      <c r="K719" s="33">
        <f>(Examples!$G$6*Examples!$G$7*Examples!$G$8*EXP(-Examples!$G$9*$A719)*(1-(Examples!$G$12*(1-EXP(-Examples!$G$13*$A719))/(1+EXP(MIN(700,MAX(-700,(Examples!$G$14*$A719-Examples!$G$15)/Examples!$G$16))))))+Examples!$G$17*$A719^2)</f>
        <v>573639.52044514695</v>
      </c>
      <c r="L719" s="33">
        <f>Examples!$H$18-(Examples!$H$10+Examples!$H$11)*$A719-(Examples!$H$6*Examples!$H$7*Examples!$H$8*EXP(-Examples!$H$9*$A719)*(1-(Examples!$H$12*(1-EXP(-Examples!$H$13*$A719))/(1+EXP(MIN(700,MAX(-700,(Examples!$H$14*$A719-Examples!$H$15)/Examples!$H$16))))))+Examples!$H$17*$A719^2)</f>
        <v>567611.07387941354</v>
      </c>
      <c r="M719" s="33">
        <f>(Examples!$H$6*Examples!$H$7*Examples!$H$8*EXP(-Examples!$H$9*$A719)*(1-(Examples!$H$12*(1-EXP(-Examples!$H$13*$A719))/(1+EXP(MIN(700,MAX(-700,(Examples!$H$14*$A719-Examples!$H$15)/Examples!$H$16))))))+Examples!$H$17*$A719^2)</f>
        <v>573888.92612058646</v>
      </c>
    </row>
    <row r="720" spans="1:13" x14ac:dyDescent="0.25">
      <c r="A720">
        <f>(720-2)/100</f>
        <v>7.18</v>
      </c>
      <c r="B720" s="33">
        <f>Examples!$C$18-(Examples!$C$10+Examples!$C$11)*$A720-(Examples!$C$6*Examples!$C$7*Examples!$C$8*EXP(-Examples!$C$9*$A720)*(1-(Examples!$C$12*(1-EXP(-Examples!$C$13*$A720))/(1+EXP(MIN(700,MAX(-700,(Examples!$C$14*$A720-Examples!$C$15)/Examples!$C$16))))))+Examples!$C$17*$A720^2)</f>
        <v>-494197.49065333733</v>
      </c>
      <c r="C720" s="33">
        <f>(Examples!$C$6*Examples!$C$7*Examples!$C$8*EXP(-Examples!$C$9*$A720)*(1-(Examples!$C$12*(1-EXP(-Examples!$C$13*$A720))/(1+EXP(MIN(700,MAX(-700,(Examples!$C$14*$A720-Examples!$C$15)/Examples!$C$16))))))+Examples!$C$17*$A720^2)</f>
        <v>842897.49065333733</v>
      </c>
      <c r="D720" s="33">
        <f>Examples!$D$18-(Examples!$D$10+Examples!$D$11)*$A720-(Examples!$D$6*Examples!$D$7*Examples!$D$8*EXP(-Examples!$D$9*$A720)*(1-(Examples!$D$12*(1-EXP(-Examples!$D$13*$A720))/(1+EXP(MIN(700,MAX(-700,(Examples!$D$14*$A720-Examples!$D$15)/Examples!$D$16))))))+Examples!$D$17*$A720^2)</f>
        <v>1683822.8512660465</v>
      </c>
      <c r="E720" s="33">
        <f>(Examples!$D$6*Examples!$D$7*Examples!$D$8*EXP(-Examples!$D$9*$A720)*(1-(Examples!$D$12*(1-EXP(-Examples!$D$13*$A720))/(1+EXP(MIN(700,MAX(-700,(Examples!$D$14*$A720-Examples!$D$15)/Examples!$D$16))))))+Examples!$D$17*$A720^2)</f>
        <v>493077.1487339536</v>
      </c>
      <c r="F720" s="33">
        <f>Examples!$E$18-(Examples!$E$10+Examples!$E$11)*$A720-(Examples!$E$6*Examples!$E$7*Examples!$E$8*EXP(-Examples!$E$9*$A720)*(1-(Examples!$E$12*(1-EXP(-Examples!$E$13*$A720))/(1+EXP(MIN(700,MAX(-700,(Examples!$E$14*$A720-Examples!$E$15)/Examples!$E$16))))))+Examples!$E$17*$A720^2)</f>
        <v>2169890.5044886544</v>
      </c>
      <c r="G720" s="33">
        <f>(Examples!$E$6*Examples!$E$7*Examples!$E$8*EXP(-Examples!$E$9*$A720)*(1-(Examples!$E$12*(1-EXP(-Examples!$E$13*$A720))/(1+EXP(MIN(700,MAX(-700,(Examples!$E$14*$A720-Examples!$E$15)/Examples!$E$16))))))+Examples!$E$17*$A720^2)</f>
        <v>219809.49551134574</v>
      </c>
      <c r="H720" s="33">
        <f>Examples!$F$18-(Examples!$F$10+Examples!$F$11)*$A720-(Examples!$F$6*Examples!$F$7*Examples!$F$8*EXP(-Examples!$F$9*$A720)*(1-(Examples!$F$12*(1-EXP(-Examples!$F$13*$A720))/(1+EXP(MIN(700,MAX(-700,(Examples!$F$14*$A720-Examples!$F$15)/Examples!$F$16))))))+Examples!$F$17*$A720^2)</f>
        <v>-1026678.3351560021</v>
      </c>
      <c r="I720" s="33">
        <f>(Examples!$F$6*Examples!$F$7*Examples!$F$8*EXP(-Examples!$F$9*$A720)*(1-(Examples!$F$12*(1-EXP(-Examples!$F$13*$A720))/(1+EXP(MIN(700,MAX(-700,(Examples!$F$14*$A720-Examples!$F$15)/Examples!$F$16))))))+Examples!$F$17*$A720^2)</f>
        <v>1033078.3351560021</v>
      </c>
      <c r="J720" s="33">
        <f>Examples!$G$18-(Examples!$G$10+Examples!$G$11)*$A720-(Examples!$G$6*Examples!$G$7*Examples!$G$8*EXP(-Examples!$G$9*$A720)*(1-(Examples!$G$12*(1-EXP(-Examples!$G$13*$A720))/(1+EXP(MIN(700,MAX(-700,(Examples!$G$14*$A720-Examples!$G$15)/Examples!$G$16))))))+Examples!$G$17*$A720^2)</f>
        <v>566776.52430097945</v>
      </c>
      <c r="K720" s="33">
        <f>(Examples!$G$6*Examples!$G$7*Examples!$G$8*EXP(-Examples!$G$9*$A720)*(1-(Examples!$G$12*(1-EXP(-Examples!$G$13*$A720))/(1+EXP(MIN(700,MAX(-700,(Examples!$G$14*$A720-Examples!$G$15)/Examples!$G$16))))))+Examples!$G$17*$A720^2)</f>
        <v>574223.47569902055</v>
      </c>
      <c r="L720" s="33">
        <f>Examples!$H$18-(Examples!$H$10+Examples!$H$11)*$A720-(Examples!$H$6*Examples!$H$7*Examples!$H$8*EXP(-Examples!$H$9*$A720)*(1-(Examples!$H$12*(1-EXP(-Examples!$H$13*$A720))/(1+EXP(MIN(700,MAX(-700,(Examples!$H$14*$A720-Examples!$H$15)/Examples!$H$16))))))+Examples!$H$17*$A720^2)</f>
        <v>566531.23976967006</v>
      </c>
      <c r="M720" s="33">
        <f>(Examples!$H$6*Examples!$H$7*Examples!$H$8*EXP(-Examples!$H$9*$A720)*(1-(Examples!$H$12*(1-EXP(-Examples!$H$13*$A720))/(1+EXP(MIN(700,MAX(-700,(Examples!$H$14*$A720-Examples!$H$15)/Examples!$H$16))))))+Examples!$H$17*$A720^2)</f>
        <v>574468.76023032994</v>
      </c>
    </row>
    <row r="721" spans="1:13" x14ac:dyDescent="0.25">
      <c r="A721">
        <f>(721-2)/100</f>
        <v>7.19</v>
      </c>
      <c r="B721" s="33">
        <f>Examples!$C$18-(Examples!$C$10+Examples!$C$11)*$A721-(Examples!$C$6*Examples!$C$7*Examples!$C$8*EXP(-Examples!$C$9*$A721)*(1-(Examples!$C$12*(1-EXP(-Examples!$C$13*$A721))/(1+EXP(MIN(700,MAX(-700,(Examples!$C$14*$A721-Examples!$C$15)/Examples!$C$16))))))+Examples!$C$17*$A721^2)</f>
        <v>-496494.46913341735</v>
      </c>
      <c r="C721" s="33">
        <f>(Examples!$C$6*Examples!$C$7*Examples!$C$8*EXP(-Examples!$C$9*$A721)*(1-(Examples!$C$12*(1-EXP(-Examples!$C$13*$A721))/(1+EXP(MIN(700,MAX(-700,(Examples!$C$14*$A721-Examples!$C$15)/Examples!$C$16))))))+Examples!$C$17*$A721^2)</f>
        <v>844844.46913341735</v>
      </c>
      <c r="D721" s="33">
        <f>Examples!$D$18-(Examples!$D$10+Examples!$D$11)*$A721-(Examples!$D$6*Examples!$D$7*Examples!$D$8*EXP(-Examples!$D$9*$A721)*(1-(Examples!$D$12*(1-EXP(-Examples!$D$13*$A721))/(1+EXP(MIN(700,MAX(-700,(Examples!$D$14*$A721-Examples!$D$15)/Examples!$D$16))))))+Examples!$D$17*$A721^2)</f>
        <v>1683687.6362073249</v>
      </c>
      <c r="E721" s="33">
        <f>(Examples!$D$6*Examples!$D$7*Examples!$D$8*EXP(-Examples!$D$9*$A721)*(1-(Examples!$D$12*(1-EXP(-Examples!$D$13*$A721))/(1+EXP(MIN(700,MAX(-700,(Examples!$D$14*$A721-Examples!$D$15)/Examples!$D$16))))))+Examples!$D$17*$A721^2)</f>
        <v>492762.36379267502</v>
      </c>
      <c r="F721" s="33">
        <f>Examples!$E$18-(Examples!$E$10+Examples!$E$11)*$A721-(Examples!$E$6*Examples!$E$7*Examples!$E$8*EXP(-Examples!$E$9*$A721)*(1-(Examples!$E$12*(1-EXP(-Examples!$E$13*$A721))/(1+EXP(MIN(700,MAX(-700,(Examples!$E$14*$A721-Examples!$E$15)/Examples!$E$16))))))+Examples!$E$17*$A721^2)</f>
        <v>2168871.516339846</v>
      </c>
      <c r="G721" s="33">
        <f>(Examples!$E$6*Examples!$E$7*Examples!$E$8*EXP(-Examples!$E$9*$A721)*(1-(Examples!$E$12*(1-EXP(-Examples!$E$13*$A721))/(1+EXP(MIN(700,MAX(-700,(Examples!$E$14*$A721-Examples!$E$15)/Examples!$E$16))))))+Examples!$E$17*$A721^2)</f>
        <v>219978.4836601539</v>
      </c>
      <c r="H721" s="33">
        <f>Examples!$F$18-(Examples!$F$10+Examples!$F$11)*$A721-(Examples!$F$6*Examples!$F$7*Examples!$F$8*EXP(-Examples!$F$9*$A721)*(1-(Examples!$F$12*(1-EXP(-Examples!$F$13*$A721))/(1+EXP(MIN(700,MAX(-700,(Examples!$F$14*$A721-Examples!$F$15)/Examples!$F$16))))))+Examples!$F$17*$A721^2)</f>
        <v>-1029746.2532779147</v>
      </c>
      <c r="I721" s="33">
        <f>(Examples!$F$6*Examples!$F$7*Examples!$F$8*EXP(-Examples!$F$9*$A721)*(1-(Examples!$F$12*(1-EXP(-Examples!$F$13*$A721))/(1+EXP(MIN(700,MAX(-700,(Examples!$F$14*$A721-Examples!$F$15)/Examples!$F$16))))))+Examples!$F$17*$A721^2)</f>
        <v>1035946.2532779147</v>
      </c>
      <c r="J721" s="33">
        <f>Examples!$G$18-(Examples!$G$10+Examples!$G$11)*$A721-(Examples!$G$6*Examples!$G$7*Examples!$G$8*EXP(-Examples!$G$9*$A721)*(1-(Examples!$G$12*(1-EXP(-Examples!$G$13*$A721))/(1+EXP(MIN(700,MAX(-700,(Examples!$G$14*$A721-Examples!$G$15)/Examples!$G$16))))))+Examples!$G$17*$A721^2)</f>
        <v>565689.05181113596</v>
      </c>
      <c r="K721" s="33">
        <f>(Examples!$G$6*Examples!$G$7*Examples!$G$8*EXP(-Examples!$G$9*$A721)*(1-(Examples!$G$12*(1-EXP(-Examples!$G$13*$A721))/(1+EXP(MIN(700,MAX(-700,(Examples!$G$14*$A721-Examples!$G$15)/Examples!$G$16))))))+Examples!$G$17*$A721^2)</f>
        <v>574810.94818886404</v>
      </c>
      <c r="L721" s="33">
        <f>Examples!$H$18-(Examples!$H$10+Examples!$H$11)*$A721-(Examples!$H$6*Examples!$H$7*Examples!$H$8*EXP(-Examples!$H$9*$A721)*(1-(Examples!$H$12*(1-EXP(-Examples!$H$13*$A721))/(1+EXP(MIN(700,MAX(-700,(Examples!$H$14*$A721-Examples!$H$15)/Examples!$H$16))))))+Examples!$H$17*$A721^2)</f>
        <v>565447.82059966156</v>
      </c>
      <c r="M721" s="33">
        <f>(Examples!$H$6*Examples!$H$7*Examples!$H$8*EXP(-Examples!$H$9*$A721)*(1-(Examples!$H$12*(1-EXP(-Examples!$H$13*$A721))/(1+EXP(MIN(700,MAX(-700,(Examples!$H$14*$A721-Examples!$H$15)/Examples!$H$16))))))+Examples!$H$17*$A721^2)</f>
        <v>575052.17940033844</v>
      </c>
    </row>
    <row r="722" spans="1:13" x14ac:dyDescent="0.25">
      <c r="A722">
        <f>(722-2)/100</f>
        <v>7.2</v>
      </c>
      <c r="B722" s="33">
        <f>Examples!$C$18-(Examples!$C$10+Examples!$C$11)*$A722-(Examples!$C$6*Examples!$C$7*Examples!$C$8*EXP(-Examples!$C$9*$A722)*(1-(Examples!$C$12*(1-EXP(-Examples!$C$13*$A722))/(1+EXP(MIN(700,MAX(-700,(Examples!$C$14*$A722-Examples!$C$15)/Examples!$C$16))))))+Examples!$C$17*$A722^2)</f>
        <v>-498795.07224017498</v>
      </c>
      <c r="C722" s="33">
        <f>(Examples!$C$6*Examples!$C$7*Examples!$C$8*EXP(-Examples!$C$9*$A722)*(1-(Examples!$C$12*(1-EXP(-Examples!$C$13*$A722))/(1+EXP(MIN(700,MAX(-700,(Examples!$C$14*$A722-Examples!$C$15)/Examples!$C$16))))))+Examples!$C$17*$A722^2)</f>
        <v>846795.07224017498</v>
      </c>
      <c r="D722" s="33">
        <f>Examples!$D$18-(Examples!$D$10+Examples!$D$11)*$A722-(Examples!$D$6*Examples!$D$7*Examples!$D$8*EXP(-Examples!$D$9*$A722)*(1-(Examples!$D$12*(1-EXP(-Examples!$D$13*$A722))/(1+EXP(MIN(700,MAX(-700,(Examples!$D$14*$A722-Examples!$D$15)/Examples!$D$16))))))+Examples!$D$17*$A722^2)</f>
        <v>1683547.1839531932</v>
      </c>
      <c r="E722" s="33">
        <f>(Examples!$D$6*Examples!$D$7*Examples!$D$8*EXP(-Examples!$D$9*$A722)*(1-(Examples!$D$12*(1-EXP(-Examples!$D$13*$A722))/(1+EXP(MIN(700,MAX(-700,(Examples!$D$14*$A722-Examples!$D$15)/Examples!$D$16))))))+Examples!$D$17*$A722^2)</f>
        <v>492452.81604680669</v>
      </c>
      <c r="F722" s="33">
        <f>Examples!$E$18-(Examples!$E$10+Examples!$E$11)*$A722-(Examples!$E$6*Examples!$E$7*Examples!$E$8*EXP(-Examples!$E$9*$A722)*(1-(Examples!$E$12*(1-EXP(-Examples!$E$13*$A722))/(1+EXP(MIN(700,MAX(-700,(Examples!$E$14*$A722-Examples!$E$15)/Examples!$E$16))))))+Examples!$E$17*$A722^2)</f>
        <v>2167851.2793188766</v>
      </c>
      <c r="G722" s="33">
        <f>(Examples!$E$6*Examples!$E$7*Examples!$E$8*EXP(-Examples!$E$9*$A722)*(1-(Examples!$E$12*(1-EXP(-Examples!$E$13*$A722))/(1+EXP(MIN(700,MAX(-700,(Examples!$E$14*$A722-Examples!$E$15)/Examples!$E$16))))))+Examples!$E$17*$A722^2)</f>
        <v>220148.72068112355</v>
      </c>
      <c r="H722" s="33">
        <f>Examples!$F$18-(Examples!$F$10+Examples!$F$11)*$A722-(Examples!$F$6*Examples!$F$7*Examples!$F$8*EXP(-Examples!$F$9*$A722)*(1-(Examples!$F$12*(1-EXP(-Examples!$F$13*$A722))/(1+EXP(MIN(700,MAX(-700,(Examples!$F$14*$A722-Examples!$F$15)/Examples!$F$16))))))+Examples!$F$17*$A722^2)</f>
        <v>-1032818.1896181202</v>
      </c>
      <c r="I722" s="33">
        <f>(Examples!$F$6*Examples!$F$7*Examples!$F$8*EXP(-Examples!$F$9*$A722)*(1-(Examples!$F$12*(1-EXP(-Examples!$F$13*$A722))/(1+EXP(MIN(700,MAX(-700,(Examples!$F$14*$A722-Examples!$F$15)/Examples!$F$16))))))+Examples!$F$17*$A722^2)</f>
        <v>1038818.1896181202</v>
      </c>
      <c r="J722" s="33">
        <f>Examples!$G$18-(Examples!$G$10+Examples!$G$11)*$A722-(Examples!$G$6*Examples!$G$7*Examples!$G$8*EXP(-Examples!$G$9*$A722)*(1-(Examples!$G$12*(1-EXP(-Examples!$G$13*$A722))/(1+EXP(MIN(700,MAX(-700,(Examples!$G$14*$A722-Examples!$G$15)/Examples!$G$16))))))+Examples!$G$17*$A722^2)</f>
        <v>564598.06790989102</v>
      </c>
      <c r="K722" s="33">
        <f>(Examples!$G$6*Examples!$G$7*Examples!$G$8*EXP(-Examples!$G$9*$A722)*(1-(Examples!$G$12*(1-EXP(-Examples!$G$13*$A722))/(1+EXP(MIN(700,MAX(-700,(Examples!$G$14*$A722-Examples!$G$15)/Examples!$G$16))))))+Examples!$G$17*$A722^2)</f>
        <v>575401.93209010898</v>
      </c>
      <c r="L722" s="33">
        <f>Examples!$H$18-(Examples!$H$10+Examples!$H$11)*$A722-(Examples!$H$6*Examples!$H$7*Examples!$H$8*EXP(-Examples!$H$9*$A722)*(1-(Examples!$H$12*(1-EXP(-Examples!$H$13*$A722))/(1+EXP(MIN(700,MAX(-700,(Examples!$H$14*$A722-Examples!$H$15)/Examples!$H$16))))))+Examples!$H$17*$A722^2)</f>
        <v>564360.82330341439</v>
      </c>
      <c r="M722" s="33">
        <f>(Examples!$H$6*Examples!$H$7*Examples!$H$8*EXP(-Examples!$H$9*$A722)*(1-(Examples!$H$12*(1-EXP(-Examples!$H$13*$A722))/(1+EXP(MIN(700,MAX(-700,(Examples!$H$14*$A722-Examples!$H$15)/Examples!$H$16))))))+Examples!$H$17*$A722^2)</f>
        <v>575639.17669658561</v>
      </c>
    </row>
    <row r="723" spans="1:13" x14ac:dyDescent="0.25">
      <c r="A723">
        <f>(723-2)/100</f>
        <v>7.21</v>
      </c>
      <c r="B723" s="33">
        <f>Examples!$C$18-(Examples!$C$10+Examples!$C$11)*$A723-(Examples!$C$6*Examples!$C$7*Examples!$C$8*EXP(-Examples!$C$9*$A723)*(1-(Examples!$C$12*(1-EXP(-Examples!$C$13*$A723))/(1+EXP(MIN(700,MAX(-700,(Examples!$C$14*$A723-Examples!$C$15)/Examples!$C$16))))))+Examples!$C$17*$A723^2)</f>
        <v>-501099.2981025551</v>
      </c>
      <c r="C723" s="33">
        <f>(Examples!$C$6*Examples!$C$7*Examples!$C$8*EXP(-Examples!$C$9*$A723)*(1-(Examples!$C$12*(1-EXP(-Examples!$C$13*$A723))/(1+EXP(MIN(700,MAX(-700,(Examples!$C$14*$A723-Examples!$C$15)/Examples!$C$16))))))+Examples!$C$17*$A723^2)</f>
        <v>848749.2981025551</v>
      </c>
      <c r="D723" s="33">
        <f>Examples!$D$18-(Examples!$D$10+Examples!$D$11)*$A723-(Examples!$D$6*Examples!$D$7*Examples!$D$8*EXP(-Examples!$D$9*$A723)*(1-(Examples!$D$12*(1-EXP(-Examples!$D$13*$A723))/(1+EXP(MIN(700,MAX(-700,(Examples!$D$14*$A723-Examples!$D$15)/Examples!$D$16))))))+Examples!$D$17*$A723^2)</f>
        <v>1683401.5066698678</v>
      </c>
      <c r="E723" s="33">
        <f>(Examples!$D$6*Examples!$D$7*Examples!$D$8*EXP(-Examples!$D$9*$A723)*(1-(Examples!$D$12*(1-EXP(-Examples!$D$13*$A723))/(1+EXP(MIN(700,MAX(-700,(Examples!$D$14*$A723-Examples!$D$15)/Examples!$D$16))))))+Examples!$D$17*$A723^2)</f>
        <v>492148.49333013216</v>
      </c>
      <c r="F723" s="33">
        <f>Examples!$E$18-(Examples!$E$10+Examples!$E$11)*$A723-(Examples!$E$6*Examples!$E$7*Examples!$E$8*EXP(-Examples!$E$9*$A723)*(1-(Examples!$E$12*(1-EXP(-Examples!$E$13*$A723))/(1+EXP(MIN(700,MAX(-700,(Examples!$E$14*$A723-Examples!$E$15)/Examples!$E$16))))))+Examples!$E$17*$A723^2)</f>
        <v>2166829.7908037147</v>
      </c>
      <c r="G723" s="33">
        <f>(Examples!$E$6*Examples!$E$7*Examples!$E$8*EXP(-Examples!$E$9*$A723)*(1-(Examples!$E$12*(1-EXP(-Examples!$E$13*$A723))/(1+EXP(MIN(700,MAX(-700,(Examples!$E$14*$A723-Examples!$E$15)/Examples!$E$16))))))+Examples!$E$17*$A723^2)</f>
        <v>220320.20919628529</v>
      </c>
      <c r="H723" s="33">
        <f>Examples!$F$18-(Examples!$F$10+Examples!$F$11)*$A723-(Examples!$F$6*Examples!$F$7*Examples!$F$8*EXP(-Examples!$F$9*$A723)*(1-(Examples!$F$12*(1-EXP(-Examples!$F$13*$A723))/(1+EXP(MIN(700,MAX(-700,(Examples!$F$14*$A723-Examples!$F$15)/Examples!$F$16))))))+Examples!$F$17*$A723^2)</f>
        <v>-1035894.1441220458</v>
      </c>
      <c r="I723" s="33">
        <f>(Examples!$F$6*Examples!$F$7*Examples!$F$8*EXP(-Examples!$F$9*$A723)*(1-(Examples!$F$12*(1-EXP(-Examples!$F$13*$A723))/(1+EXP(MIN(700,MAX(-700,(Examples!$F$14*$A723-Examples!$F$15)/Examples!$F$16))))))+Examples!$F$17*$A723^2)</f>
        <v>1041694.1441220458</v>
      </c>
      <c r="J723" s="33">
        <f>Examples!$G$18-(Examples!$G$10+Examples!$G$11)*$A723-(Examples!$G$6*Examples!$G$7*Examples!$G$8*EXP(-Examples!$G$9*$A723)*(1-(Examples!$G$12*(1-EXP(-Examples!$G$13*$A723))/(1+EXP(MIN(700,MAX(-700,(Examples!$G$14*$A723-Examples!$G$15)/Examples!$G$16))))))+Examples!$G$17*$A723^2)</f>
        <v>563503.57841561525</v>
      </c>
      <c r="K723" s="33">
        <f>(Examples!$G$6*Examples!$G$7*Examples!$G$8*EXP(-Examples!$G$9*$A723)*(1-(Examples!$G$12*(1-EXP(-Examples!$G$13*$A723))/(1+EXP(MIN(700,MAX(-700,(Examples!$G$14*$A723-Examples!$G$15)/Examples!$G$16))))))+Examples!$G$17*$A723^2)</f>
        <v>575996.42158438475</v>
      </c>
      <c r="L723" s="33">
        <f>Examples!$H$18-(Examples!$H$10+Examples!$H$11)*$A723-(Examples!$H$6*Examples!$H$7*Examples!$H$8*EXP(-Examples!$H$9*$A723)*(1-(Examples!$H$12*(1-EXP(-Examples!$H$13*$A723))/(1+EXP(MIN(700,MAX(-700,(Examples!$H$14*$A723-Examples!$H$15)/Examples!$H$16))))))+Examples!$H$17*$A723^2)</f>
        <v>563270.25479078176</v>
      </c>
      <c r="M723" s="33">
        <f>(Examples!$H$6*Examples!$H$7*Examples!$H$8*EXP(-Examples!$H$9*$A723)*(1-(Examples!$H$12*(1-EXP(-Examples!$H$13*$A723))/(1+EXP(MIN(700,MAX(-700,(Examples!$H$14*$A723-Examples!$H$15)/Examples!$H$16))))))+Examples!$H$17*$A723^2)</f>
        <v>576229.74520921824</v>
      </c>
    </row>
    <row r="724" spans="1:13" x14ac:dyDescent="0.25">
      <c r="A724">
        <f>(724-2)/100</f>
        <v>7.22</v>
      </c>
      <c r="B724" s="33">
        <f>Examples!$C$18-(Examples!$C$10+Examples!$C$11)*$A724-(Examples!$C$6*Examples!$C$7*Examples!$C$8*EXP(-Examples!$C$9*$A724)*(1-(Examples!$C$12*(1-EXP(-Examples!$C$13*$A724))/(1+EXP(MIN(700,MAX(-700,(Examples!$C$14*$A724-Examples!$C$15)/Examples!$C$16))))))+Examples!$C$17*$A724^2)</f>
        <v>-503407.14485510648</v>
      </c>
      <c r="C724" s="33">
        <f>(Examples!$C$6*Examples!$C$7*Examples!$C$8*EXP(-Examples!$C$9*$A724)*(1-(Examples!$C$12*(1-EXP(-Examples!$C$13*$A724))/(1+EXP(MIN(700,MAX(-700,(Examples!$C$14*$A724-Examples!$C$15)/Examples!$C$16))))))+Examples!$C$17*$A724^2)</f>
        <v>850707.14485510648</v>
      </c>
      <c r="D724" s="33">
        <f>Examples!$D$18-(Examples!$D$10+Examples!$D$11)*$A724-(Examples!$D$6*Examples!$D$7*Examples!$D$8*EXP(-Examples!$D$9*$A724)*(1-(Examples!$D$12*(1-EXP(-Examples!$D$13*$A724))/(1+EXP(MIN(700,MAX(-700,(Examples!$D$14*$A724-Examples!$D$15)/Examples!$D$16))))))+Examples!$D$17*$A724^2)</f>
        <v>1683250.6165831024</v>
      </c>
      <c r="E724" s="33">
        <f>(Examples!$D$6*Examples!$D$7*Examples!$D$8*EXP(-Examples!$D$9*$A724)*(1-(Examples!$D$12*(1-EXP(-Examples!$D$13*$A724))/(1+EXP(MIN(700,MAX(-700,(Examples!$D$14*$A724-Examples!$D$15)/Examples!$D$16))))))+Examples!$D$17*$A724^2)</f>
        <v>491849.3834168975</v>
      </c>
      <c r="F724" s="33">
        <f>Examples!$E$18-(Examples!$E$10+Examples!$E$11)*$A724-(Examples!$E$6*Examples!$E$7*Examples!$E$8*EXP(-Examples!$E$9*$A724)*(1-(Examples!$E$12*(1-EXP(-Examples!$E$13*$A724))/(1+EXP(MIN(700,MAX(-700,(Examples!$E$14*$A724-Examples!$E$15)/Examples!$E$16))))))+Examples!$E$17*$A724^2)</f>
        <v>2165807.0482189395</v>
      </c>
      <c r="G724" s="33">
        <f>(Examples!$E$6*Examples!$E$7*Examples!$E$8*EXP(-Examples!$E$9*$A724)*(1-(Examples!$E$12*(1-EXP(-Examples!$E$13*$A724))/(1+EXP(MIN(700,MAX(-700,(Examples!$E$14*$A724-Examples!$E$15)/Examples!$E$16))))))+Examples!$E$17*$A724^2)</f>
        <v>220492.95178106069</v>
      </c>
      <c r="H724" s="33">
        <f>Examples!$F$18-(Examples!$F$10+Examples!$F$11)*$A724-(Examples!$F$6*Examples!$F$7*Examples!$F$8*EXP(-Examples!$F$9*$A724)*(1-(Examples!$F$12*(1-EXP(-Examples!$F$13*$A724))/(1+EXP(MIN(700,MAX(-700,(Examples!$F$14*$A724-Examples!$F$15)/Examples!$F$16))))))+Examples!$F$17*$A724^2)</f>
        <v>-1038974.116735282</v>
      </c>
      <c r="I724" s="33">
        <f>(Examples!$F$6*Examples!$F$7*Examples!$F$8*EXP(-Examples!$F$9*$A724)*(1-(Examples!$F$12*(1-EXP(-Examples!$F$13*$A724))/(1+EXP(MIN(700,MAX(-700,(Examples!$F$14*$A724-Examples!$F$15)/Examples!$F$16))))))+Examples!$F$17*$A724^2)</f>
        <v>1044574.116735282</v>
      </c>
      <c r="J724" s="33">
        <f>Examples!$G$18-(Examples!$G$10+Examples!$G$11)*$A724-(Examples!$G$6*Examples!$G$7*Examples!$G$8*EXP(-Examples!$G$9*$A724)*(1-(Examples!$G$12*(1-EXP(-Examples!$G$13*$A724))/(1+EXP(MIN(700,MAX(-700,(Examples!$G$14*$A724-Examples!$G$15)/Examples!$G$16))))))+Examples!$G$17*$A724^2)</f>
        <v>562405.58914027666</v>
      </c>
      <c r="K724" s="33">
        <f>(Examples!$G$6*Examples!$G$7*Examples!$G$8*EXP(-Examples!$G$9*$A724)*(1-(Examples!$G$12*(1-EXP(-Examples!$G$13*$A724))/(1+EXP(MIN(700,MAX(-700,(Examples!$G$14*$A724-Examples!$G$15)/Examples!$G$16))))))+Examples!$G$17*$A724^2)</f>
        <v>576594.41085972334</v>
      </c>
      <c r="L724" s="33">
        <f>Examples!$H$18-(Examples!$H$10+Examples!$H$11)*$A724-(Examples!$H$6*Examples!$H$7*Examples!$H$8*EXP(-Examples!$H$9*$A724)*(1-(Examples!$H$12*(1-EXP(-Examples!$H$13*$A724))/(1+EXP(MIN(700,MAX(-700,(Examples!$H$14*$A724-Examples!$H$15)/Examples!$H$16))))))+Examples!$H$17*$A724^2)</f>
        <v>562176.121947526</v>
      </c>
      <c r="M724" s="33">
        <f>(Examples!$H$6*Examples!$H$7*Examples!$H$8*EXP(-Examples!$H$9*$A724)*(1-(Examples!$H$12*(1-EXP(-Examples!$H$13*$A724))/(1+EXP(MIN(700,MAX(-700,(Examples!$H$14*$A724-Examples!$H$15)/Examples!$H$16))))))+Examples!$H$17*$A724^2)</f>
        <v>576823.878052474</v>
      </c>
    </row>
    <row r="725" spans="1:13" x14ac:dyDescent="0.25">
      <c r="A725">
        <f>(725-2)/100</f>
        <v>7.23</v>
      </c>
      <c r="B725" s="33">
        <f>Examples!$C$18-(Examples!$C$10+Examples!$C$11)*$A725-(Examples!$C$6*Examples!$C$7*Examples!$C$8*EXP(-Examples!$C$9*$A725)*(1-(Examples!$C$12*(1-EXP(-Examples!$C$13*$A725))/(1+EXP(MIN(700,MAX(-700,(Examples!$C$14*$A725-Examples!$C$15)/Examples!$C$16))))))+Examples!$C$17*$A725^2)</f>
        <v>-505718.61063796561</v>
      </c>
      <c r="C725" s="33">
        <f>(Examples!$C$6*Examples!$C$7*Examples!$C$8*EXP(-Examples!$C$9*$A725)*(1-(Examples!$C$12*(1-EXP(-Examples!$C$13*$A725))/(1+EXP(MIN(700,MAX(-700,(Examples!$C$14*$A725-Examples!$C$15)/Examples!$C$16))))))+Examples!$C$17*$A725^2)</f>
        <v>852668.61063796561</v>
      </c>
      <c r="D725" s="33">
        <f>Examples!$D$18-(Examples!$D$10+Examples!$D$11)*$A725-(Examples!$D$6*Examples!$D$7*Examples!$D$8*EXP(-Examples!$D$9*$A725)*(1-(Examples!$D$12*(1-EXP(-Examples!$D$13*$A725))/(1+EXP(MIN(700,MAX(-700,(Examples!$D$14*$A725-Examples!$D$15)/Examples!$D$16))))))+Examples!$D$17*$A725^2)</f>
        <v>1683094.5259761033</v>
      </c>
      <c r="E725" s="33">
        <f>(Examples!$D$6*Examples!$D$7*Examples!$D$8*EXP(-Examples!$D$9*$A725)*(1-(Examples!$D$12*(1-EXP(-Examples!$D$13*$A725))/(1+EXP(MIN(700,MAX(-700,(Examples!$D$14*$A725-Examples!$D$15)/Examples!$D$16))))))+Examples!$D$17*$A725^2)</f>
        <v>491555.47402389685</v>
      </c>
      <c r="F725" s="33">
        <f>Examples!$E$18-(Examples!$E$10+Examples!$E$11)*$A725-(Examples!$E$6*Examples!$E$7*Examples!$E$8*EXP(-Examples!$E$9*$A725)*(1-(Examples!$E$12*(1-EXP(-Examples!$E$13*$A725))/(1+EXP(MIN(700,MAX(-700,(Examples!$E$14*$A725-Examples!$E$15)/Examples!$E$16))))))+Examples!$E$17*$A725^2)</f>
        <v>2164783.0490356567</v>
      </c>
      <c r="G725" s="33">
        <f>(Examples!$E$6*Examples!$E$7*Examples!$E$8*EXP(-Examples!$E$9*$A725)*(1-(Examples!$E$12*(1-EXP(-Examples!$E$13*$A725))/(1+EXP(MIN(700,MAX(-700,(Examples!$E$14*$A725-Examples!$E$15)/Examples!$E$16))))))+Examples!$E$17*$A725^2)</f>
        <v>220666.95096434344</v>
      </c>
      <c r="H725" s="33">
        <f>Examples!$F$18-(Examples!$F$10+Examples!$F$11)*$A725-(Examples!$F$6*Examples!$F$7*Examples!$F$8*EXP(-Examples!$F$9*$A725)*(1-(Examples!$F$12*(1-EXP(-Examples!$F$13*$A725))/(1+EXP(MIN(700,MAX(-700,(Examples!$F$14*$A725-Examples!$F$15)/Examples!$F$16))))))+Examples!$F$17*$A725^2)</f>
        <v>-1042058.1074035825</v>
      </c>
      <c r="I725" s="33">
        <f>(Examples!$F$6*Examples!$F$7*Examples!$F$8*EXP(-Examples!$F$9*$A725)*(1-(Examples!$F$12*(1-EXP(-Examples!$F$13*$A725))/(1+EXP(MIN(700,MAX(-700,(Examples!$F$14*$A725-Examples!$F$15)/Examples!$F$16))))))+Examples!$F$17*$A725^2)</f>
        <v>1047458.1074035825</v>
      </c>
      <c r="J725" s="33">
        <f>Examples!$G$18-(Examples!$G$10+Examples!$G$11)*$A725-(Examples!$G$6*Examples!$G$7*Examples!$G$8*EXP(-Examples!$G$9*$A725)*(1-(Examples!$G$12*(1-EXP(-Examples!$G$13*$A725))/(1+EXP(MIN(700,MAX(-700,(Examples!$G$14*$A725-Examples!$G$15)/Examples!$G$16))))))+Examples!$G$17*$A725^2)</f>
        <v>561304.10588924191</v>
      </c>
      <c r="K725" s="33">
        <f>(Examples!$G$6*Examples!$G$7*Examples!$G$8*EXP(-Examples!$G$9*$A725)*(1-(Examples!$G$12*(1-EXP(-Examples!$G$13*$A725))/(1+EXP(MIN(700,MAX(-700,(Examples!$G$14*$A725-Examples!$G$15)/Examples!$G$16))))))+Examples!$G$17*$A725^2)</f>
        <v>577195.89411075809</v>
      </c>
      <c r="L725" s="33">
        <f>Examples!$H$18-(Examples!$H$10+Examples!$H$11)*$A725-(Examples!$H$6*Examples!$H$7*Examples!$H$8*EXP(-Examples!$H$9*$A725)*(1-(Examples!$H$12*(1-EXP(-Examples!$H$13*$A725))/(1+EXP(MIN(700,MAX(-700,(Examples!$H$14*$A725-Examples!$H$15)/Examples!$H$16))))))+Examples!$H$17*$A725^2)</f>
        <v>561078.43163540168</v>
      </c>
      <c r="M725" s="33">
        <f>(Examples!$H$6*Examples!$H$7*Examples!$H$8*EXP(-Examples!$H$9*$A725)*(1-(Examples!$H$12*(1-EXP(-Examples!$H$13*$A725))/(1+EXP(MIN(700,MAX(-700,(Examples!$H$14*$A725-Examples!$H$15)/Examples!$H$16))))))+Examples!$H$17*$A725^2)</f>
        <v>577421.56836459832</v>
      </c>
    </row>
    <row r="726" spans="1:13" x14ac:dyDescent="0.25">
      <c r="A726">
        <f>(726-2)/100</f>
        <v>7.24</v>
      </c>
      <c r="B726" s="33">
        <f>Examples!$C$18-(Examples!$C$10+Examples!$C$11)*$A726-(Examples!$C$6*Examples!$C$7*Examples!$C$8*EXP(-Examples!$C$9*$A726)*(1-(Examples!$C$12*(1-EXP(-Examples!$C$13*$A726))/(1+EXP(MIN(700,MAX(-700,(Examples!$C$14*$A726-Examples!$C$15)/Examples!$C$16))))))+Examples!$C$17*$A726^2)</f>
        <v>-508033.69359683909</v>
      </c>
      <c r="C726" s="33">
        <f>(Examples!$C$6*Examples!$C$7*Examples!$C$8*EXP(-Examples!$C$9*$A726)*(1-(Examples!$C$12*(1-EXP(-Examples!$C$13*$A726))/(1+EXP(MIN(700,MAX(-700,(Examples!$C$14*$A726-Examples!$C$15)/Examples!$C$16))))))+Examples!$C$17*$A726^2)</f>
        <v>854633.69359683909</v>
      </c>
      <c r="D726" s="33">
        <f>Examples!$D$18-(Examples!$D$10+Examples!$D$11)*$A726-(Examples!$D$6*Examples!$D$7*Examples!$D$8*EXP(-Examples!$D$9*$A726)*(1-(Examples!$D$12*(1-EXP(-Examples!$D$13*$A726))/(1+EXP(MIN(700,MAX(-700,(Examples!$D$14*$A726-Examples!$D$15)/Examples!$D$16))))))+Examples!$D$17*$A726^2)</f>
        <v>1682933.2471874785</v>
      </c>
      <c r="E726" s="33">
        <f>(Examples!$D$6*Examples!$D$7*Examples!$D$8*EXP(-Examples!$D$9*$A726)*(1-(Examples!$D$12*(1-EXP(-Examples!$D$13*$A726))/(1+EXP(MIN(700,MAX(-700,(Examples!$D$14*$A726-Examples!$D$15)/Examples!$D$16))))))+Examples!$D$17*$A726^2)</f>
        <v>491266.75281252142</v>
      </c>
      <c r="F726" s="33">
        <f>Examples!$E$18-(Examples!$E$10+Examples!$E$11)*$A726-(Examples!$E$6*Examples!$E$7*Examples!$E$8*EXP(-Examples!$E$9*$A726)*(1-(Examples!$E$12*(1-EXP(-Examples!$E$13*$A726))/(1+EXP(MIN(700,MAX(-700,(Examples!$E$14*$A726-Examples!$E$15)/Examples!$E$16))))))+Examples!$E$17*$A726^2)</f>
        <v>2163757.7907714117</v>
      </c>
      <c r="G726" s="33">
        <f>(Examples!$E$6*Examples!$E$7*Examples!$E$8*EXP(-Examples!$E$9*$A726)*(1-(Examples!$E$12*(1-EXP(-Examples!$E$13*$A726))/(1+EXP(MIN(700,MAX(-700,(Examples!$E$14*$A726-Examples!$E$15)/Examples!$E$16))))))+Examples!$E$17*$A726^2)</f>
        <v>220842.20922858804</v>
      </c>
      <c r="H726" s="33">
        <f>Examples!$F$18-(Examples!$F$10+Examples!$F$11)*$A726-(Examples!$F$6*Examples!$F$7*Examples!$F$8*EXP(-Examples!$F$9*$A726)*(1-(Examples!$F$12*(1-EXP(-Examples!$F$13*$A726))/(1+EXP(MIN(700,MAX(-700,(Examples!$F$14*$A726-Examples!$F$15)/Examples!$F$16))))))+Examples!$F$17*$A726^2)</f>
        <v>-1045146.1160728629</v>
      </c>
      <c r="I726" s="33">
        <f>(Examples!$F$6*Examples!$F$7*Examples!$F$8*EXP(-Examples!$F$9*$A726)*(1-(Examples!$F$12*(1-EXP(-Examples!$F$13*$A726))/(1+EXP(MIN(700,MAX(-700,(Examples!$F$14*$A726-Examples!$F$15)/Examples!$F$16))))))+Examples!$F$17*$A726^2)</f>
        <v>1050346.1160728629</v>
      </c>
      <c r="J726" s="33">
        <f>Examples!$G$18-(Examples!$G$10+Examples!$G$11)*$A726-(Examples!$G$6*Examples!$G$7*Examples!$G$8*EXP(-Examples!$G$9*$A726)*(1-(Examples!$G$12*(1-EXP(-Examples!$G$13*$A726))/(1+EXP(MIN(700,MAX(-700,(Examples!$G$14*$A726-Examples!$G$15)/Examples!$G$16))))))+Examples!$G$17*$A726^2)</f>
        <v>560199.13446107972</v>
      </c>
      <c r="K726" s="33">
        <f>(Examples!$G$6*Examples!$G$7*Examples!$G$8*EXP(-Examples!$G$9*$A726)*(1-(Examples!$G$12*(1-EXP(-Examples!$G$13*$A726))/(1+EXP(MIN(700,MAX(-700,(Examples!$G$14*$A726-Examples!$G$15)/Examples!$G$16))))))+Examples!$G$17*$A726^2)</f>
        <v>577800.86553892028</v>
      </c>
      <c r="L726" s="33">
        <f>Examples!$H$18-(Examples!$H$10+Examples!$H$11)*$A726-(Examples!$H$6*Examples!$H$7*Examples!$H$8*EXP(-Examples!$H$9*$A726)*(1-(Examples!$H$12*(1-EXP(-Examples!$H$13*$A726))/(1+EXP(MIN(700,MAX(-700,(Examples!$H$14*$A726-Examples!$H$15)/Examples!$H$16))))))+Examples!$H$17*$A726^2)</f>
        <v>559977.19069223665</v>
      </c>
      <c r="M726" s="33">
        <f>(Examples!$H$6*Examples!$H$7*Examples!$H$8*EXP(-Examples!$H$9*$A726)*(1-(Examples!$H$12*(1-EXP(-Examples!$H$13*$A726))/(1+EXP(MIN(700,MAX(-700,(Examples!$H$14*$A726-Examples!$H$15)/Examples!$H$16))))))+Examples!$H$17*$A726^2)</f>
        <v>578022.80930776335</v>
      </c>
    </row>
    <row r="727" spans="1:13" x14ac:dyDescent="0.25">
      <c r="A727">
        <f>(727-2)/100</f>
        <v>7.25</v>
      </c>
      <c r="B727" s="33">
        <f>Examples!$C$18-(Examples!$C$10+Examples!$C$11)*$A727-(Examples!$C$6*Examples!$C$7*Examples!$C$8*EXP(-Examples!$C$9*$A727)*(1-(Examples!$C$12*(1-EXP(-Examples!$C$13*$A727))/(1+EXP(MIN(700,MAX(-700,(Examples!$C$14*$A727-Examples!$C$15)/Examples!$C$16))))))+Examples!$C$17*$A727^2)</f>
        <v>-510352.39188298816</v>
      </c>
      <c r="C727" s="33">
        <f>(Examples!$C$6*Examples!$C$7*Examples!$C$8*EXP(-Examples!$C$9*$A727)*(1-(Examples!$C$12*(1-EXP(-Examples!$C$13*$A727))/(1+EXP(MIN(700,MAX(-700,(Examples!$C$14*$A727-Examples!$C$15)/Examples!$C$16))))))+Examples!$C$17*$A727^2)</f>
        <v>856602.39188298816</v>
      </c>
      <c r="D727" s="33">
        <f>Examples!$D$18-(Examples!$D$10+Examples!$D$11)*$A727-(Examples!$D$6*Examples!$D$7*Examples!$D$8*EXP(-Examples!$D$9*$A727)*(1-(Examples!$D$12*(1-EXP(-Examples!$D$13*$A727))/(1+EXP(MIN(700,MAX(-700,(Examples!$D$14*$A727-Examples!$D$15)/Examples!$D$16))))))+Examples!$D$17*$A727^2)</f>
        <v>1682766.7926092274</v>
      </c>
      <c r="E727" s="33">
        <f>(Examples!$D$6*Examples!$D$7*Examples!$D$8*EXP(-Examples!$D$9*$A727)*(1-(Examples!$D$12*(1-EXP(-Examples!$D$13*$A727))/(1+EXP(MIN(700,MAX(-700,(Examples!$D$14*$A727-Examples!$D$15)/Examples!$D$16))))))+Examples!$D$17*$A727^2)</f>
        <v>490983.20739077276</v>
      </c>
      <c r="F727" s="33">
        <f>Examples!$E$18-(Examples!$E$10+Examples!$E$11)*$A727-(Examples!$E$6*Examples!$E$7*Examples!$E$8*EXP(-Examples!$E$9*$A727)*(1-(Examples!$E$12*(1-EXP(-Examples!$E$13*$A727))/(1+EXP(MIN(700,MAX(-700,(Examples!$E$14*$A727-Examples!$E$15)/Examples!$E$16))))))+Examples!$E$17*$A727^2)</f>
        <v>2162731.2709900942</v>
      </c>
      <c r="G727" s="33">
        <f>(Examples!$E$6*Examples!$E$7*Examples!$E$8*EXP(-Examples!$E$9*$A727)*(1-(Examples!$E$12*(1-EXP(-Examples!$E$13*$A727))/(1+EXP(MIN(700,MAX(-700,(Examples!$E$14*$A727-Examples!$E$15)/Examples!$E$16))))))+Examples!$E$17*$A727^2)</f>
        <v>221018.72900990577</v>
      </c>
      <c r="H727" s="33">
        <f>Examples!$F$18-(Examples!$F$10+Examples!$F$11)*$A727-(Examples!$F$6*Examples!$F$7*Examples!$F$8*EXP(-Examples!$F$9*$A727)*(1-(Examples!$F$12*(1-EXP(-Examples!$F$13*$A727))/(1+EXP(MIN(700,MAX(-700,(Examples!$F$14*$A727-Examples!$F$15)/Examples!$F$16))))))+Examples!$F$17*$A727^2)</f>
        <v>-1048238.1426892013</v>
      </c>
      <c r="I727" s="33">
        <f>(Examples!$F$6*Examples!$F$7*Examples!$F$8*EXP(-Examples!$F$9*$A727)*(1-(Examples!$F$12*(1-EXP(-Examples!$F$13*$A727))/(1+EXP(MIN(700,MAX(-700,(Examples!$F$14*$A727-Examples!$F$15)/Examples!$F$16))))))+Examples!$F$17*$A727^2)</f>
        <v>1053238.1426892013</v>
      </c>
      <c r="J727" s="33">
        <f>Examples!$G$18-(Examples!$G$10+Examples!$G$11)*$A727-(Examples!$G$6*Examples!$G$7*Examples!$G$8*EXP(-Examples!$G$9*$A727)*(1-(Examples!$G$12*(1-EXP(-Examples!$G$13*$A727))/(1+EXP(MIN(700,MAX(-700,(Examples!$G$14*$A727-Examples!$G$15)/Examples!$G$16))))))+Examples!$G$17*$A727^2)</f>
        <v>559090.68064736959</v>
      </c>
      <c r="K727" s="33">
        <f>(Examples!$G$6*Examples!$G$7*Examples!$G$8*EXP(-Examples!$G$9*$A727)*(1-(Examples!$G$12*(1-EXP(-Examples!$G$13*$A727))/(1+EXP(MIN(700,MAX(-700,(Examples!$G$14*$A727-Examples!$G$15)/Examples!$G$16))))))+Examples!$G$17*$A727^2)</f>
        <v>578409.31935263041</v>
      </c>
      <c r="L727" s="33">
        <f>Examples!$H$18-(Examples!$H$10+Examples!$H$11)*$A727-(Examples!$H$6*Examples!$H$7*Examples!$H$8*EXP(-Examples!$H$9*$A727)*(1-(Examples!$H$12*(1-EXP(-Examples!$H$13*$A727))/(1+EXP(MIN(700,MAX(-700,(Examples!$H$14*$A727-Examples!$H$15)/Examples!$H$16))))))+Examples!$H$17*$A727^2)</f>
        <v>558872.40593201469</v>
      </c>
      <c r="M727" s="33">
        <f>(Examples!$H$6*Examples!$H$7*Examples!$H$8*EXP(-Examples!$H$9*$A727)*(1-(Examples!$H$12*(1-EXP(-Examples!$H$13*$A727))/(1+EXP(MIN(700,MAX(-700,(Examples!$H$14*$A727-Examples!$H$15)/Examples!$H$16))))))+Examples!$H$17*$A727^2)</f>
        <v>578627.59406798531</v>
      </c>
    </row>
    <row r="728" spans="1:13" x14ac:dyDescent="0.25">
      <c r="A728">
        <f>(728-2)/100</f>
        <v>7.26</v>
      </c>
      <c r="B728" s="33">
        <f>Examples!$C$18-(Examples!$C$10+Examples!$C$11)*$A728-(Examples!$C$6*Examples!$C$7*Examples!$C$8*EXP(-Examples!$C$9*$A728)*(1-(Examples!$C$12*(1-EXP(-Examples!$C$13*$A728))/(1+EXP(MIN(700,MAX(-700,(Examples!$C$14*$A728-Examples!$C$15)/Examples!$C$16))))))+Examples!$C$17*$A728^2)</f>
        <v>-512674.70365321101</v>
      </c>
      <c r="C728" s="33">
        <f>(Examples!$C$6*Examples!$C$7*Examples!$C$8*EXP(-Examples!$C$9*$A728)*(1-(Examples!$C$12*(1-EXP(-Examples!$C$13*$A728))/(1+EXP(MIN(700,MAX(-700,(Examples!$C$14*$A728-Examples!$C$15)/Examples!$C$16))))))+Examples!$C$17*$A728^2)</f>
        <v>858574.70365321101</v>
      </c>
      <c r="D728" s="33">
        <f>Examples!$D$18-(Examples!$D$10+Examples!$D$11)*$A728-(Examples!$D$6*Examples!$D$7*Examples!$D$8*EXP(-Examples!$D$9*$A728)*(1-(Examples!$D$12*(1-EXP(-Examples!$D$13*$A728))/(1+EXP(MIN(700,MAX(-700,(Examples!$D$14*$A728-Examples!$D$15)/Examples!$D$16))))))+Examples!$D$17*$A728^2)</f>
        <v>1682595.1746847574</v>
      </c>
      <c r="E728" s="33">
        <f>(Examples!$D$6*Examples!$D$7*Examples!$D$8*EXP(-Examples!$D$9*$A728)*(1-(Examples!$D$12*(1-EXP(-Examples!$D$13*$A728))/(1+EXP(MIN(700,MAX(-700,(Examples!$D$14*$A728-Examples!$D$15)/Examples!$D$16))))))+Examples!$D$17*$A728^2)</f>
        <v>490704.82531524258</v>
      </c>
      <c r="F728" s="33">
        <f>Examples!$E$18-(Examples!$E$10+Examples!$E$11)*$A728-(Examples!$E$6*Examples!$E$7*Examples!$E$8*EXP(-Examples!$E$9*$A728)*(1-(Examples!$E$12*(1-EXP(-Examples!$E$13*$A728))/(1+EXP(MIN(700,MAX(-700,(Examples!$E$14*$A728-Examples!$E$15)/Examples!$E$16))))))+Examples!$E$17*$A728^2)</f>
        <v>2161703.4873018321</v>
      </c>
      <c r="G728" s="33">
        <f>(Examples!$E$6*Examples!$E$7*Examples!$E$8*EXP(-Examples!$E$9*$A728)*(1-(Examples!$E$12*(1-EXP(-Examples!$E$13*$A728))/(1+EXP(MIN(700,MAX(-700,(Examples!$E$14*$A728-Examples!$E$15)/Examples!$E$16))))))+Examples!$E$17*$A728^2)</f>
        <v>221196.51269816811</v>
      </c>
      <c r="H728" s="33">
        <f>Examples!$F$18-(Examples!$F$10+Examples!$F$11)*$A728-(Examples!$F$6*Examples!$F$7*Examples!$F$8*EXP(-Examples!$F$9*$A728)*(1-(Examples!$F$12*(1-EXP(-Examples!$F$13*$A728))/(1+EXP(MIN(700,MAX(-700,(Examples!$F$14*$A728-Examples!$F$15)/Examples!$F$16))))))+Examples!$F$17*$A728^2)</f>
        <v>-1051334.1871988373</v>
      </c>
      <c r="I728" s="33">
        <f>(Examples!$F$6*Examples!$F$7*Examples!$F$8*EXP(-Examples!$F$9*$A728)*(1-(Examples!$F$12*(1-EXP(-Examples!$F$13*$A728))/(1+EXP(MIN(700,MAX(-700,(Examples!$F$14*$A728-Examples!$F$15)/Examples!$F$16))))))+Examples!$F$17*$A728^2)</f>
        <v>1056134.1871988373</v>
      </c>
      <c r="J728" s="33">
        <f>Examples!$G$18-(Examples!$G$10+Examples!$G$11)*$A728-(Examples!$G$6*Examples!$G$7*Examples!$G$8*EXP(-Examples!$G$9*$A728)*(1-(Examples!$G$12*(1-EXP(-Examples!$G$13*$A728))/(1+EXP(MIN(700,MAX(-700,(Examples!$G$14*$A728-Examples!$G$15)/Examples!$G$16))))))+Examples!$G$17*$A728^2)</f>
        <v>557978.75023251446</v>
      </c>
      <c r="K728" s="33">
        <f>(Examples!$G$6*Examples!$G$7*Examples!$G$8*EXP(-Examples!$G$9*$A728)*(1-(Examples!$G$12*(1-EXP(-Examples!$G$13*$A728))/(1+EXP(MIN(700,MAX(-700,(Examples!$G$14*$A728-Examples!$G$15)/Examples!$G$16))))))+Examples!$G$17*$A728^2)</f>
        <v>579021.24976748554</v>
      </c>
      <c r="L728" s="33">
        <f>Examples!$H$18-(Examples!$H$10+Examples!$H$11)*$A728-(Examples!$H$6*Examples!$H$7*Examples!$H$8*EXP(-Examples!$H$9*$A728)*(1-(Examples!$H$12*(1-EXP(-Examples!$H$13*$A728))/(1+EXP(MIN(700,MAX(-700,(Examples!$H$14*$A728-Examples!$H$15)/Examples!$H$16))))))+Examples!$H$17*$A728^2)</f>
        <v>557764.08414495748</v>
      </c>
      <c r="M728" s="33">
        <f>(Examples!$H$6*Examples!$H$7*Examples!$H$8*EXP(-Examples!$H$9*$A728)*(1-(Examples!$H$12*(1-EXP(-Examples!$H$13*$A728))/(1+EXP(MIN(700,MAX(-700,(Examples!$H$14*$A728-Examples!$H$15)/Examples!$H$16))))))+Examples!$H$17*$A728^2)</f>
        <v>579235.91585504252</v>
      </c>
    </row>
    <row r="729" spans="1:13" x14ac:dyDescent="0.25">
      <c r="A729">
        <f>(729-2)/100</f>
        <v>7.27</v>
      </c>
      <c r="B729" s="33">
        <f>Examples!$C$18-(Examples!$C$10+Examples!$C$11)*$A729-(Examples!$C$6*Examples!$C$7*Examples!$C$8*EXP(-Examples!$C$9*$A729)*(1-(Examples!$C$12*(1-EXP(-Examples!$C$13*$A729))/(1+EXP(MIN(700,MAX(-700,(Examples!$C$14*$A729-Examples!$C$15)/Examples!$C$16))))))+Examples!$C$17*$A729^2)</f>
        <v>-515000.62706982694</v>
      </c>
      <c r="C729" s="33">
        <f>(Examples!$C$6*Examples!$C$7*Examples!$C$8*EXP(-Examples!$C$9*$A729)*(1-(Examples!$C$12*(1-EXP(-Examples!$C$13*$A729))/(1+EXP(MIN(700,MAX(-700,(Examples!$C$14*$A729-Examples!$C$15)/Examples!$C$16))))))+Examples!$C$17*$A729^2)</f>
        <v>860550.62706982694</v>
      </c>
      <c r="D729" s="33">
        <f>Examples!$D$18-(Examples!$D$10+Examples!$D$11)*$A729-(Examples!$D$6*Examples!$D$7*Examples!$D$8*EXP(-Examples!$D$9*$A729)*(1-(Examples!$D$12*(1-EXP(-Examples!$D$13*$A729))/(1+EXP(MIN(700,MAX(-700,(Examples!$D$14*$A729-Examples!$D$15)/Examples!$D$16))))))+Examples!$D$17*$A729^2)</f>
        <v>1682418.4059069436</v>
      </c>
      <c r="E729" s="33">
        <f>(Examples!$D$6*Examples!$D$7*Examples!$D$8*EXP(-Examples!$D$9*$A729)*(1-(Examples!$D$12*(1-EXP(-Examples!$D$13*$A729))/(1+EXP(MIN(700,MAX(-700,(Examples!$D$14*$A729-Examples!$D$15)/Examples!$D$16))))))+Examples!$D$17*$A729^2)</f>
        <v>490431.59409305628</v>
      </c>
      <c r="F729" s="33">
        <f>Examples!$E$18-(Examples!$E$10+Examples!$E$11)*$A729-(Examples!$E$6*Examples!$E$7*Examples!$E$8*EXP(-Examples!$E$9*$A729)*(1-(Examples!$E$12*(1-EXP(-Examples!$E$13*$A729))/(1+EXP(MIN(700,MAX(-700,(Examples!$E$14*$A729-Examples!$E$15)/Examples!$E$16))))))+Examples!$E$17*$A729^2)</f>
        <v>2160674.4373628823</v>
      </c>
      <c r="G729" s="33">
        <f>(Examples!$E$6*Examples!$E$7*Examples!$E$8*EXP(-Examples!$E$9*$A729)*(1-(Examples!$E$12*(1-EXP(-Examples!$E$13*$A729))/(1+EXP(MIN(700,MAX(-700,(Examples!$E$14*$A729-Examples!$E$15)/Examples!$E$16))))))+Examples!$E$17*$A729^2)</f>
        <v>221375.56263711746</v>
      </c>
      <c r="H729" s="33">
        <f>Examples!$F$18-(Examples!$F$10+Examples!$F$11)*$A729-(Examples!$F$6*Examples!$F$7*Examples!$F$8*EXP(-Examples!$F$9*$A729)*(1-(Examples!$F$12*(1-EXP(-Examples!$F$13*$A729))/(1+EXP(MIN(700,MAX(-700,(Examples!$F$14*$A729-Examples!$F$15)/Examples!$F$16))))))+Examples!$F$17*$A729^2)</f>
        <v>-1054434.2495481712</v>
      </c>
      <c r="I729" s="33">
        <f>(Examples!$F$6*Examples!$F$7*Examples!$F$8*EXP(-Examples!$F$9*$A729)*(1-(Examples!$F$12*(1-EXP(-Examples!$F$13*$A729))/(1+EXP(MIN(700,MAX(-700,(Examples!$F$14*$A729-Examples!$F$15)/Examples!$F$16))))))+Examples!$F$17*$A729^2)</f>
        <v>1059034.2495481712</v>
      </c>
      <c r="J729" s="33">
        <f>Examples!$G$18-(Examples!$G$10+Examples!$G$11)*$A729-(Examples!$G$6*Examples!$G$7*Examples!$G$8*EXP(-Examples!$G$9*$A729)*(1-(Examples!$G$12*(1-EXP(-Examples!$G$13*$A729))/(1+EXP(MIN(700,MAX(-700,(Examples!$G$14*$A729-Examples!$G$15)/Examples!$G$16))))))+Examples!$G$17*$A729^2)</f>
        <v>556863.34899355681</v>
      </c>
      <c r="K729" s="33">
        <f>(Examples!$G$6*Examples!$G$7*Examples!$G$8*EXP(-Examples!$G$9*$A729)*(1-(Examples!$G$12*(1-EXP(-Examples!$G$13*$A729))/(1+EXP(MIN(700,MAX(-700,(Examples!$G$14*$A729-Examples!$G$15)/Examples!$G$16))))))+Examples!$G$17*$A729^2)</f>
        <v>579636.65100644319</v>
      </c>
      <c r="L729" s="33">
        <f>Examples!$H$18-(Examples!$H$10+Examples!$H$11)*$A729-(Examples!$H$6*Examples!$H$7*Examples!$H$8*EXP(-Examples!$H$9*$A729)*(1-(Examples!$H$12*(1-EXP(-Examples!$H$13*$A729))/(1+EXP(MIN(700,MAX(-700,(Examples!$H$14*$A729-Examples!$H$15)/Examples!$H$16))))))+Examples!$H$17*$A729^2)</f>
        <v>556652.23209760536</v>
      </c>
      <c r="M729" s="33">
        <f>(Examples!$H$6*Examples!$H$7*Examples!$H$8*EXP(-Examples!$H$9*$A729)*(1-(Examples!$H$12*(1-EXP(-Examples!$H$13*$A729))/(1+EXP(MIN(700,MAX(-700,(Examples!$H$14*$A729-Examples!$H$15)/Examples!$H$16))))))+Examples!$H$17*$A729^2)</f>
        <v>579847.76790239464</v>
      </c>
    </row>
    <row r="730" spans="1:13" x14ac:dyDescent="0.25">
      <c r="A730">
        <f>(730-2)/100</f>
        <v>7.28</v>
      </c>
      <c r="B730" s="33">
        <f>Examples!$C$18-(Examples!$C$10+Examples!$C$11)*$A730-(Examples!$C$6*Examples!$C$7*Examples!$C$8*EXP(-Examples!$C$9*$A730)*(1-(Examples!$C$12*(1-EXP(-Examples!$C$13*$A730))/(1+EXP(MIN(700,MAX(-700,(Examples!$C$14*$A730-Examples!$C$15)/Examples!$C$16))))))+Examples!$C$17*$A730^2)</f>
        <v>-517330.16030065948</v>
      </c>
      <c r="C730" s="33">
        <f>(Examples!$C$6*Examples!$C$7*Examples!$C$8*EXP(-Examples!$C$9*$A730)*(1-(Examples!$C$12*(1-EXP(-Examples!$C$13*$A730))/(1+EXP(MIN(700,MAX(-700,(Examples!$C$14*$A730-Examples!$C$15)/Examples!$C$16))))))+Examples!$C$17*$A730^2)</f>
        <v>862530.16030065948</v>
      </c>
      <c r="D730" s="33">
        <f>Examples!$D$18-(Examples!$D$10+Examples!$D$11)*$A730-(Examples!$D$6*Examples!$D$7*Examples!$D$8*EXP(-Examples!$D$9*$A730)*(1-(Examples!$D$12*(1-EXP(-Examples!$D$13*$A730))/(1+EXP(MIN(700,MAX(-700,(Examples!$D$14*$A730-Examples!$D$15)/Examples!$D$16))))))+Examples!$D$17*$A730^2)</f>
        <v>1682236.4988162159</v>
      </c>
      <c r="E730" s="33">
        <f>(Examples!$D$6*Examples!$D$7*Examples!$D$8*EXP(-Examples!$D$9*$A730)*(1-(Examples!$D$12*(1-EXP(-Examples!$D$13*$A730))/(1+EXP(MIN(700,MAX(-700,(Examples!$D$14*$A730-Examples!$D$15)/Examples!$D$16))))))+Examples!$D$17*$A730^2)</f>
        <v>490163.5011837841</v>
      </c>
      <c r="F730" s="33">
        <f>Examples!$E$18-(Examples!$E$10+Examples!$E$11)*$A730-(Examples!$E$6*Examples!$E$7*Examples!$E$8*EXP(-Examples!$E$9*$A730)*(1-(Examples!$E$12*(1-EXP(-Examples!$E$13*$A730))/(1+EXP(MIN(700,MAX(-700,(Examples!$E$14*$A730-Examples!$E$15)/Examples!$E$16))))))+Examples!$E$17*$A730^2)</f>
        <v>2159644.1188755156</v>
      </c>
      <c r="G730" s="33">
        <f>(Examples!$E$6*Examples!$E$7*Examples!$E$8*EXP(-Examples!$E$9*$A730)*(1-(Examples!$E$12*(1-EXP(-Examples!$E$13*$A730))/(1+EXP(MIN(700,MAX(-700,(Examples!$E$14*$A730-Examples!$E$15)/Examples!$E$16))))))+Examples!$E$17*$A730^2)</f>
        <v>221555.88112448432</v>
      </c>
      <c r="H730" s="33">
        <f>Examples!$F$18-(Examples!$F$10+Examples!$F$11)*$A730-(Examples!$F$6*Examples!$F$7*Examples!$F$8*EXP(-Examples!$F$9*$A730)*(1-(Examples!$F$12*(1-EXP(-Examples!$F$13*$A730))/(1+EXP(MIN(700,MAX(-700,(Examples!$F$14*$A730-Examples!$F$15)/Examples!$F$16))))))+Examples!$F$17*$A730^2)</f>
        <v>-1057538.3296837646</v>
      </c>
      <c r="I730" s="33">
        <f>(Examples!$F$6*Examples!$F$7*Examples!$F$8*EXP(-Examples!$F$9*$A730)*(1-(Examples!$F$12*(1-EXP(-Examples!$F$13*$A730))/(1+EXP(MIN(700,MAX(-700,(Examples!$F$14*$A730-Examples!$F$15)/Examples!$F$16))))))+Examples!$F$17*$A730^2)</f>
        <v>1061938.3296837646</v>
      </c>
      <c r="J730" s="33">
        <f>Examples!$G$18-(Examples!$G$10+Examples!$G$11)*$A730-(Examples!$G$6*Examples!$G$7*Examples!$G$8*EXP(-Examples!$G$9*$A730)*(1-(Examples!$G$12*(1-EXP(-Examples!$G$13*$A730))/(1+EXP(MIN(700,MAX(-700,(Examples!$G$14*$A730-Examples!$G$15)/Examples!$G$16))))))+Examples!$G$17*$A730^2)</f>
        <v>555744.48269999912</v>
      </c>
      <c r="K730" s="33">
        <f>(Examples!$G$6*Examples!$G$7*Examples!$G$8*EXP(-Examples!$G$9*$A730)*(1-(Examples!$G$12*(1-EXP(-Examples!$G$13*$A730))/(1+EXP(MIN(700,MAX(-700,(Examples!$G$14*$A730-Examples!$G$15)/Examples!$G$16))))))+Examples!$G$17*$A730^2)</f>
        <v>580255.51730000088</v>
      </c>
      <c r="L730" s="33">
        <f>Examples!$H$18-(Examples!$H$10+Examples!$H$11)*$A730-(Examples!$H$6*Examples!$H$7*Examples!$H$8*EXP(-Examples!$H$9*$A730)*(1-(Examples!$H$12*(1-EXP(-Examples!$H$13*$A730))/(1+EXP(MIN(700,MAX(-700,(Examples!$H$14*$A730-Examples!$H$15)/Examples!$H$16))))))+Examples!$H$17*$A730^2)</f>
        <v>555536.85653289873</v>
      </c>
      <c r="M730" s="33">
        <f>(Examples!$H$6*Examples!$H$7*Examples!$H$8*EXP(-Examples!$H$9*$A730)*(1-(Examples!$H$12*(1-EXP(-Examples!$H$13*$A730))/(1+EXP(MIN(700,MAX(-700,(Examples!$H$14*$A730-Examples!$H$15)/Examples!$H$16))))))+Examples!$H$17*$A730^2)</f>
        <v>580463.14346710127</v>
      </c>
    </row>
    <row r="731" spans="1:13" x14ac:dyDescent="0.25">
      <c r="A731">
        <f>(731-2)/100</f>
        <v>7.29</v>
      </c>
      <c r="B731" s="33">
        <f>Examples!$C$18-(Examples!$C$10+Examples!$C$11)*$A731-(Examples!$C$6*Examples!$C$7*Examples!$C$8*EXP(-Examples!$C$9*$A731)*(1-(Examples!$C$12*(1-EXP(-Examples!$C$13*$A731))/(1+EXP(MIN(700,MAX(-700,(Examples!$C$14*$A731-Examples!$C$15)/Examples!$C$16))))))+Examples!$C$17*$A731^2)</f>
        <v>-519663.30151901976</v>
      </c>
      <c r="C731" s="33">
        <f>(Examples!$C$6*Examples!$C$7*Examples!$C$8*EXP(-Examples!$C$9*$A731)*(1-(Examples!$C$12*(1-EXP(-Examples!$C$13*$A731))/(1+EXP(MIN(700,MAX(-700,(Examples!$C$14*$A731-Examples!$C$15)/Examples!$C$16))))))+Examples!$C$17*$A731^2)</f>
        <v>864513.30151901976</v>
      </c>
      <c r="D731" s="33">
        <f>Examples!$D$18-(Examples!$D$10+Examples!$D$11)*$A731-(Examples!$D$6*Examples!$D$7*Examples!$D$8*EXP(-Examples!$D$9*$A731)*(1-(Examples!$D$12*(1-EXP(-Examples!$D$13*$A731))/(1+EXP(MIN(700,MAX(-700,(Examples!$D$14*$A731-Examples!$D$15)/Examples!$D$16))))))+Examples!$D$17*$A731^2)</f>
        <v>1682049.4659986822</v>
      </c>
      <c r="E731" s="33">
        <f>(Examples!$D$6*Examples!$D$7*Examples!$D$8*EXP(-Examples!$D$9*$A731)*(1-(Examples!$D$12*(1-EXP(-Examples!$D$13*$A731))/(1+EXP(MIN(700,MAX(-700,(Examples!$D$14*$A731-Examples!$D$15)/Examples!$D$16))))))+Examples!$D$17*$A731^2)</f>
        <v>489900.53400131792</v>
      </c>
      <c r="F731" s="33">
        <f>Examples!$E$18-(Examples!$E$10+Examples!$E$11)*$A731-(Examples!$E$6*Examples!$E$7*Examples!$E$8*EXP(-Examples!$E$9*$A731)*(1-(Examples!$E$12*(1-EXP(-Examples!$E$13*$A731))/(1+EXP(MIN(700,MAX(-700,(Examples!$E$14*$A731-Examples!$E$15)/Examples!$E$16))))))+Examples!$E$17*$A731^2)</f>
        <v>2158612.5295878877</v>
      </c>
      <c r="G731" s="33">
        <f>(Examples!$E$6*Examples!$E$7*Examples!$E$8*EXP(-Examples!$E$9*$A731)*(1-(Examples!$E$12*(1-EXP(-Examples!$E$13*$A731))/(1+EXP(MIN(700,MAX(-700,(Examples!$E$14*$A731-Examples!$E$15)/Examples!$E$16))))))+Examples!$E$17*$A731^2)</f>
        <v>221737.4704121121</v>
      </c>
      <c r="H731" s="33">
        <f>Examples!$F$18-(Examples!$F$10+Examples!$F$11)*$A731-(Examples!$F$6*Examples!$F$7*Examples!$F$8*EXP(-Examples!$F$9*$A731)*(1-(Examples!$F$12*(1-EXP(-Examples!$F$13*$A731))/(1+EXP(MIN(700,MAX(-700,(Examples!$F$14*$A731-Examples!$F$15)/Examples!$F$16))))))+Examples!$F$17*$A731^2)</f>
        <v>-1060646.4275523385</v>
      </c>
      <c r="I731" s="33">
        <f>(Examples!$F$6*Examples!$F$7*Examples!$F$8*EXP(-Examples!$F$9*$A731)*(1-(Examples!$F$12*(1-EXP(-Examples!$F$13*$A731))/(1+EXP(MIN(700,MAX(-700,(Examples!$F$14*$A731-Examples!$F$15)/Examples!$F$16))))))+Examples!$F$17*$A731^2)</f>
        <v>1064846.4275523385</v>
      </c>
      <c r="J731" s="33">
        <f>Examples!$G$18-(Examples!$G$10+Examples!$G$11)*$A731-(Examples!$G$6*Examples!$G$7*Examples!$G$8*EXP(-Examples!$G$9*$A731)*(1-(Examples!$G$12*(1-EXP(-Examples!$G$13*$A731))/(1+EXP(MIN(700,MAX(-700,(Examples!$G$14*$A731-Examples!$G$15)/Examples!$G$16))))))+Examples!$G$17*$A731^2)</f>
        <v>554622.15711362765</v>
      </c>
      <c r="K731" s="33">
        <f>(Examples!$G$6*Examples!$G$7*Examples!$G$8*EXP(-Examples!$G$9*$A731)*(1-(Examples!$G$12*(1-EXP(-Examples!$G$13*$A731))/(1+EXP(MIN(700,MAX(-700,(Examples!$G$14*$A731-Examples!$G$15)/Examples!$G$16))))))+Examples!$G$17*$A731^2)</f>
        <v>580877.84288637235</v>
      </c>
      <c r="L731" s="33">
        <f>Examples!$H$18-(Examples!$H$10+Examples!$H$11)*$A731-(Examples!$H$6*Examples!$H$7*Examples!$H$8*EXP(-Examples!$H$9*$A731)*(1-(Examples!$H$12*(1-EXP(-Examples!$H$13*$A731))/(1+EXP(MIN(700,MAX(-700,(Examples!$H$14*$A731-Examples!$H$15)/Examples!$H$16))))))+Examples!$H$17*$A731^2)</f>
        <v>554417.96417025966</v>
      </c>
      <c r="M731" s="33">
        <f>(Examples!$H$6*Examples!$H$7*Examples!$H$8*EXP(-Examples!$H$9*$A731)*(1-(Examples!$H$12*(1-EXP(-Examples!$H$13*$A731))/(1+EXP(MIN(700,MAX(-700,(Examples!$H$14*$A731-Examples!$H$15)/Examples!$H$16))))))+Examples!$H$17*$A731^2)</f>
        <v>581082.03582974034</v>
      </c>
    </row>
    <row r="732" spans="1:13" x14ac:dyDescent="0.25">
      <c r="A732">
        <f>(732-2)/100</f>
        <v>7.3</v>
      </c>
      <c r="B732" s="33">
        <f>Examples!$C$18-(Examples!$C$10+Examples!$C$11)*$A732-(Examples!$C$6*Examples!$C$7*Examples!$C$8*EXP(-Examples!$C$9*$A732)*(1-(Examples!$C$12*(1-EXP(-Examples!$C$13*$A732))/(1+EXP(MIN(700,MAX(-700,(Examples!$C$14*$A732-Examples!$C$15)/Examples!$C$16))))))+Examples!$C$17*$A732^2)</f>
        <v>-522000.04890369065</v>
      </c>
      <c r="C732" s="33">
        <f>(Examples!$C$6*Examples!$C$7*Examples!$C$8*EXP(-Examples!$C$9*$A732)*(1-(Examples!$C$12*(1-EXP(-Examples!$C$13*$A732))/(1+EXP(MIN(700,MAX(-700,(Examples!$C$14*$A732-Examples!$C$15)/Examples!$C$16))))))+Examples!$C$17*$A732^2)</f>
        <v>866500.04890369065</v>
      </c>
      <c r="D732" s="33">
        <f>Examples!$D$18-(Examples!$D$10+Examples!$D$11)*$A732-(Examples!$D$6*Examples!$D$7*Examples!$D$8*EXP(-Examples!$D$9*$A732)*(1-(Examples!$D$12*(1-EXP(-Examples!$D$13*$A732))/(1+EXP(MIN(700,MAX(-700,(Examples!$D$14*$A732-Examples!$D$15)/Examples!$D$16))))))+Examples!$D$17*$A732^2)</f>
        <v>1681857.3200842855</v>
      </c>
      <c r="E732" s="33">
        <f>(Examples!$D$6*Examples!$D$7*Examples!$D$8*EXP(-Examples!$D$9*$A732)*(1-(Examples!$D$12*(1-EXP(-Examples!$D$13*$A732))/(1+EXP(MIN(700,MAX(-700,(Examples!$D$14*$A732-Examples!$D$15)/Examples!$D$16))))))+Examples!$D$17*$A732^2)</f>
        <v>489642.67991571454</v>
      </c>
      <c r="F732" s="33">
        <f>Examples!$E$18-(Examples!$E$10+Examples!$E$11)*$A732-(Examples!$E$6*Examples!$E$7*Examples!$E$8*EXP(-Examples!$E$9*$A732)*(1-(Examples!$E$12*(1-EXP(-Examples!$E$13*$A732))/(1+EXP(MIN(700,MAX(-700,(Examples!$E$14*$A732-Examples!$E$15)/Examples!$E$16))))))+Examples!$E$17*$A732^2)</f>
        <v>2157579.6672939123</v>
      </c>
      <c r="G732" s="33">
        <f>(Examples!$E$6*Examples!$E$7*Examples!$E$8*EXP(-Examples!$E$9*$A732)*(1-(Examples!$E$12*(1-EXP(-Examples!$E$13*$A732))/(1+EXP(MIN(700,MAX(-700,(Examples!$E$14*$A732-Examples!$E$15)/Examples!$E$16))))))+Examples!$E$17*$A732^2)</f>
        <v>221920.33270608776</v>
      </c>
      <c r="H732" s="33">
        <f>Examples!$F$18-(Examples!$F$10+Examples!$F$11)*$A732-(Examples!$F$6*Examples!$F$7*Examples!$F$8*EXP(-Examples!$F$9*$A732)*(1-(Examples!$F$12*(1-EXP(-Examples!$F$13*$A732))/(1+EXP(MIN(700,MAX(-700,(Examples!$F$14*$A732-Examples!$F$15)/Examples!$F$16))))))+Examples!$F$17*$A732^2)</f>
        <v>-1063758.5431007734</v>
      </c>
      <c r="I732" s="33">
        <f>(Examples!$F$6*Examples!$F$7*Examples!$F$8*EXP(-Examples!$F$9*$A732)*(1-(Examples!$F$12*(1-EXP(-Examples!$F$13*$A732))/(1+EXP(MIN(700,MAX(-700,(Examples!$F$14*$A732-Examples!$F$15)/Examples!$F$16))))))+Examples!$F$17*$A732^2)</f>
        <v>1067758.5431007734</v>
      </c>
      <c r="J732" s="33">
        <f>Examples!$G$18-(Examples!$G$10+Examples!$G$11)*$A732-(Examples!$G$6*Examples!$G$7*Examples!$G$8*EXP(-Examples!$G$9*$A732)*(1-(Examples!$G$12*(1-EXP(-Examples!$G$13*$A732))/(1+EXP(MIN(700,MAX(-700,(Examples!$G$14*$A732-Examples!$G$15)/Examples!$G$16))))))+Examples!$G$17*$A732^2)</f>
        <v>553496.37798834115</v>
      </c>
      <c r="K732" s="33">
        <f>(Examples!$G$6*Examples!$G$7*Examples!$G$8*EXP(-Examples!$G$9*$A732)*(1-(Examples!$G$12*(1-EXP(-Examples!$G$13*$A732))/(1+EXP(MIN(700,MAX(-700,(Examples!$G$14*$A732-Examples!$G$15)/Examples!$G$16))))))+Examples!$G$17*$A732^2)</f>
        <v>581503.62201165885</v>
      </c>
      <c r="L732" s="33">
        <f>Examples!$H$18-(Examples!$H$10+Examples!$H$11)*$A732-(Examples!$H$6*Examples!$H$7*Examples!$H$8*EXP(-Examples!$H$9*$A732)*(1-(Examples!$H$12*(1-EXP(-Examples!$H$13*$A732))/(1+EXP(MIN(700,MAX(-700,(Examples!$H$14*$A732-Examples!$H$15)/Examples!$H$16))))))+Examples!$H$17*$A732^2)</f>
        <v>553295.56170567183</v>
      </c>
      <c r="M732" s="33">
        <f>(Examples!$H$6*Examples!$H$7*Examples!$H$8*EXP(-Examples!$H$9*$A732)*(1-(Examples!$H$12*(1-EXP(-Examples!$H$13*$A732))/(1+EXP(MIN(700,MAX(-700,(Examples!$H$14*$A732-Examples!$H$15)/Examples!$H$16))))))+Examples!$H$17*$A732^2)</f>
        <v>581704.43829432817</v>
      </c>
    </row>
    <row r="733" spans="1:13" x14ac:dyDescent="0.25">
      <c r="A733">
        <f>(733-2)/100</f>
        <v>7.31</v>
      </c>
      <c r="B733" s="33">
        <f>Examples!$C$18-(Examples!$C$10+Examples!$C$11)*$A733-(Examples!$C$6*Examples!$C$7*Examples!$C$8*EXP(-Examples!$C$9*$A733)*(1-(Examples!$C$12*(1-EXP(-Examples!$C$13*$A733))/(1+EXP(MIN(700,MAX(-700,(Examples!$C$14*$A733-Examples!$C$15)/Examples!$C$16))))))+Examples!$C$17*$A733^2)</f>
        <v>-524340.40063890989</v>
      </c>
      <c r="C733" s="33">
        <f>(Examples!$C$6*Examples!$C$7*Examples!$C$8*EXP(-Examples!$C$9*$A733)*(1-(Examples!$C$12*(1-EXP(-Examples!$C$13*$A733))/(1+EXP(MIN(700,MAX(-700,(Examples!$C$14*$A733-Examples!$C$15)/Examples!$C$16))))))+Examples!$C$17*$A733^2)</f>
        <v>868490.40063890989</v>
      </c>
      <c r="D733" s="33">
        <f>Examples!$D$18-(Examples!$D$10+Examples!$D$11)*$A733-(Examples!$D$6*Examples!$D$7*Examples!$D$8*EXP(-Examples!$D$9*$A733)*(1-(Examples!$D$12*(1-EXP(-Examples!$D$13*$A733))/(1+EXP(MIN(700,MAX(-700,(Examples!$D$14*$A733-Examples!$D$15)/Examples!$D$16))))))+Examples!$D$17*$A733^2)</f>
        <v>1681660.0737449918</v>
      </c>
      <c r="E733" s="33">
        <f>(Examples!$D$6*Examples!$D$7*Examples!$D$8*EXP(-Examples!$D$9*$A733)*(1-(Examples!$D$12*(1-EXP(-Examples!$D$13*$A733))/(1+EXP(MIN(700,MAX(-700,(Examples!$D$14*$A733-Examples!$D$15)/Examples!$D$16))))))+Examples!$D$17*$A733^2)</f>
        <v>489389.92625500832</v>
      </c>
      <c r="F733" s="33">
        <f>Examples!$E$18-(Examples!$E$10+Examples!$E$11)*$A733-(Examples!$E$6*Examples!$E$7*Examples!$E$8*EXP(-Examples!$E$9*$A733)*(1-(Examples!$E$12*(1-EXP(-Examples!$E$13*$A733))/(1+EXP(MIN(700,MAX(-700,(Examples!$E$14*$A733-Examples!$E$15)/Examples!$E$16))))))+Examples!$E$17*$A733^2)</f>
        <v>2156545.5298331203</v>
      </c>
      <c r="G733" s="33">
        <f>(Examples!$E$6*Examples!$E$7*Examples!$E$8*EXP(-Examples!$E$9*$A733)*(1-(Examples!$E$12*(1-EXP(-Examples!$E$13*$A733))/(1+EXP(MIN(700,MAX(-700,(Examples!$E$14*$A733-Examples!$E$15)/Examples!$E$16))))))+Examples!$E$17*$A733^2)</f>
        <v>222104.47016687965</v>
      </c>
      <c r="H733" s="33">
        <f>Examples!$F$18-(Examples!$F$10+Examples!$F$11)*$A733-(Examples!$F$6*Examples!$F$7*Examples!$F$8*EXP(-Examples!$F$9*$A733)*(1-(Examples!$F$12*(1-EXP(-Examples!$F$13*$A733))/(1+EXP(MIN(700,MAX(-700,(Examples!$F$14*$A733-Examples!$F$15)/Examples!$F$16))))))+Examples!$F$17*$A733^2)</f>
        <v>-1066874.6762761092</v>
      </c>
      <c r="I733" s="33">
        <f>(Examples!$F$6*Examples!$F$7*Examples!$F$8*EXP(-Examples!$F$9*$A733)*(1-(Examples!$F$12*(1-EXP(-Examples!$F$13*$A733))/(1+EXP(MIN(700,MAX(-700,(Examples!$F$14*$A733-Examples!$F$15)/Examples!$F$16))))))+Examples!$F$17*$A733^2)</f>
        <v>1070674.6762761092</v>
      </c>
      <c r="J733" s="33">
        <f>Examples!$G$18-(Examples!$G$10+Examples!$G$11)*$A733-(Examples!$G$6*Examples!$G$7*Examples!$G$8*EXP(-Examples!$G$9*$A733)*(1-(Examples!$G$12*(1-EXP(-Examples!$G$13*$A733))/(1+EXP(MIN(700,MAX(-700,(Examples!$G$14*$A733-Examples!$G$15)/Examples!$G$16))))))+Examples!$G$17*$A733^2)</f>
        <v>552367.15106998163</v>
      </c>
      <c r="K733" s="33">
        <f>(Examples!$G$6*Examples!$G$7*Examples!$G$8*EXP(-Examples!$G$9*$A733)*(1-(Examples!$G$12*(1-EXP(-Examples!$G$13*$A733))/(1+EXP(MIN(700,MAX(-700,(Examples!$G$14*$A733-Examples!$G$15)/Examples!$G$16))))))+Examples!$G$17*$A733^2)</f>
        <v>582132.84893001837</v>
      </c>
      <c r="L733" s="33">
        <f>Examples!$H$18-(Examples!$H$10+Examples!$H$11)*$A733-(Examples!$H$6*Examples!$H$7*Examples!$H$8*EXP(-Examples!$H$9*$A733)*(1-(Examples!$H$12*(1-EXP(-Examples!$H$13*$A733))/(1+EXP(MIN(700,MAX(-700,(Examples!$H$14*$A733-Examples!$H$15)/Examples!$H$16))))))+Examples!$H$17*$A733^2)</f>
        <v>552169.65581176186</v>
      </c>
      <c r="M733" s="33">
        <f>(Examples!$H$6*Examples!$H$7*Examples!$H$8*EXP(-Examples!$H$9*$A733)*(1-(Examples!$H$12*(1-EXP(-Examples!$H$13*$A733))/(1+EXP(MIN(700,MAX(-700,(Examples!$H$14*$A733-Examples!$H$15)/Examples!$H$16))))))+Examples!$H$17*$A733^2)</f>
        <v>582330.34418823814</v>
      </c>
    </row>
    <row r="734" spans="1:13" x14ac:dyDescent="0.25">
      <c r="A734">
        <f>(734-2)/100</f>
        <v>7.32</v>
      </c>
      <c r="B734" s="33">
        <f>Examples!$C$18-(Examples!$C$10+Examples!$C$11)*$A734-(Examples!$C$6*Examples!$C$7*Examples!$C$8*EXP(-Examples!$C$9*$A734)*(1-(Examples!$C$12*(1-EXP(-Examples!$C$13*$A734))/(1+EXP(MIN(700,MAX(-700,(Examples!$C$14*$A734-Examples!$C$15)/Examples!$C$16))))))+Examples!$C$17*$A734^2)</f>
        <v>-526684.35491435404</v>
      </c>
      <c r="C734" s="33">
        <f>(Examples!$C$6*Examples!$C$7*Examples!$C$8*EXP(-Examples!$C$9*$A734)*(1-(Examples!$C$12*(1-EXP(-Examples!$C$13*$A734))/(1+EXP(MIN(700,MAX(-700,(Examples!$C$14*$A734-Examples!$C$15)/Examples!$C$16))))))+Examples!$C$17*$A734^2)</f>
        <v>870484.35491435404</v>
      </c>
      <c r="D734" s="33">
        <f>Examples!$D$18-(Examples!$D$10+Examples!$D$11)*$A734-(Examples!$D$6*Examples!$D$7*Examples!$D$8*EXP(-Examples!$D$9*$A734)*(1-(Examples!$D$12*(1-EXP(-Examples!$D$13*$A734))/(1+EXP(MIN(700,MAX(-700,(Examples!$D$14*$A734-Examples!$D$15)/Examples!$D$16))))))+Examples!$D$17*$A734^2)</f>
        <v>1681457.7396930112</v>
      </c>
      <c r="E734" s="33">
        <f>(Examples!$D$6*Examples!$D$7*Examples!$D$8*EXP(-Examples!$D$9*$A734)*(1-(Examples!$D$12*(1-EXP(-Examples!$D$13*$A734))/(1+EXP(MIN(700,MAX(-700,(Examples!$D$14*$A734-Examples!$D$15)/Examples!$D$16))))))+Examples!$D$17*$A734^2)</f>
        <v>489142.26030698884</v>
      </c>
      <c r="F734" s="33">
        <f>Examples!$E$18-(Examples!$E$10+Examples!$E$11)*$A734-(Examples!$E$6*Examples!$E$7*Examples!$E$8*EXP(-Examples!$E$9*$A734)*(1-(Examples!$E$12*(1-EXP(-Examples!$E$13*$A734))/(1+EXP(MIN(700,MAX(-700,(Examples!$E$14*$A734-Examples!$E$15)/Examples!$E$16))))))+Examples!$E$17*$A734^2)</f>
        <v>2155510.1150905183</v>
      </c>
      <c r="G734" s="33">
        <f>(Examples!$E$6*Examples!$E$7*Examples!$E$8*EXP(-Examples!$E$9*$A734)*(1-(Examples!$E$12*(1-EXP(-Examples!$E$13*$A734))/(1+EXP(MIN(700,MAX(-700,(Examples!$E$14*$A734-Examples!$E$15)/Examples!$E$16))))))+Examples!$E$17*$A734^2)</f>
        <v>222289.88490948151</v>
      </c>
      <c r="H734" s="33">
        <f>Examples!$F$18-(Examples!$F$10+Examples!$F$11)*$A734-(Examples!$F$6*Examples!$F$7*Examples!$F$8*EXP(-Examples!$F$9*$A734)*(1-(Examples!$F$12*(1-EXP(-Examples!$F$13*$A734))/(1+EXP(MIN(700,MAX(-700,(Examples!$F$14*$A734-Examples!$F$15)/Examples!$F$16))))))+Examples!$F$17*$A734^2)</f>
        <v>-1069994.8270255451</v>
      </c>
      <c r="I734" s="33">
        <f>(Examples!$F$6*Examples!$F$7*Examples!$F$8*EXP(-Examples!$F$9*$A734)*(1-(Examples!$F$12*(1-EXP(-Examples!$F$13*$A734))/(1+EXP(MIN(700,MAX(-700,(Examples!$F$14*$A734-Examples!$F$15)/Examples!$F$16))))))+Examples!$F$17*$A734^2)</f>
        <v>1073594.8270255451</v>
      </c>
      <c r="J734" s="33">
        <f>Examples!$G$18-(Examples!$G$10+Examples!$G$11)*$A734-(Examples!$G$6*Examples!$G$7*Examples!$G$8*EXP(-Examples!$G$9*$A734)*(1-(Examples!$G$12*(1-EXP(-Examples!$G$13*$A734))/(1+EXP(MIN(700,MAX(-700,(Examples!$G$14*$A734-Examples!$G$15)/Examples!$G$16))))))+Examples!$G$17*$A734^2)</f>
        <v>551234.48209617008</v>
      </c>
      <c r="K734" s="33">
        <f>(Examples!$G$6*Examples!$G$7*Examples!$G$8*EXP(-Examples!$G$9*$A734)*(1-(Examples!$G$12*(1-EXP(-Examples!$G$13*$A734))/(1+EXP(MIN(700,MAX(-700,(Examples!$G$14*$A734-Examples!$G$15)/Examples!$G$16))))))+Examples!$G$17*$A734^2)</f>
        <v>582765.51790382992</v>
      </c>
      <c r="L734" s="33">
        <f>Examples!$H$18-(Examples!$H$10+Examples!$H$11)*$A734-(Examples!$H$6*Examples!$H$7*Examples!$H$8*EXP(-Examples!$H$9*$A734)*(1-(Examples!$H$12*(1-EXP(-Examples!$H$13*$A734))/(1+EXP(MIN(700,MAX(-700,(Examples!$H$14*$A734-Examples!$H$15)/Examples!$H$16))))))+Examples!$H$17*$A734^2)</f>
        <v>551040.25313787884</v>
      </c>
      <c r="M734" s="33">
        <f>(Examples!$H$6*Examples!$H$7*Examples!$H$8*EXP(-Examples!$H$9*$A734)*(1-(Examples!$H$12*(1-EXP(-Examples!$H$13*$A734))/(1+EXP(MIN(700,MAX(-700,(Examples!$H$14*$A734-Examples!$H$15)/Examples!$H$16))))))+Examples!$H$17*$A734^2)</f>
        <v>582959.74686212116</v>
      </c>
    </row>
    <row r="735" spans="1:13" x14ac:dyDescent="0.25">
      <c r="A735">
        <f>(735-2)/100</f>
        <v>7.33</v>
      </c>
      <c r="B735" s="33">
        <f>Examples!$C$18-(Examples!$C$10+Examples!$C$11)*$A735-(Examples!$C$6*Examples!$C$7*Examples!$C$8*EXP(-Examples!$C$9*$A735)*(1-(Examples!$C$12*(1-EXP(-Examples!$C$13*$A735))/(1+EXP(MIN(700,MAX(-700,(Examples!$C$14*$A735-Examples!$C$15)/Examples!$C$16))))))+Examples!$C$17*$A735^2)</f>
        <v>-529031.9099251217</v>
      </c>
      <c r="C735" s="33">
        <f>(Examples!$C$6*Examples!$C$7*Examples!$C$8*EXP(-Examples!$C$9*$A735)*(1-(Examples!$C$12*(1-EXP(-Examples!$C$13*$A735))/(1+EXP(MIN(700,MAX(-700,(Examples!$C$14*$A735-Examples!$C$15)/Examples!$C$16))))))+Examples!$C$17*$A735^2)</f>
        <v>872481.9099251217</v>
      </c>
      <c r="D735" s="33">
        <f>Examples!$D$18-(Examples!$D$10+Examples!$D$11)*$A735-(Examples!$D$6*Examples!$D$7*Examples!$D$8*EXP(-Examples!$D$9*$A735)*(1-(Examples!$D$12*(1-EXP(-Examples!$D$13*$A735))/(1+EXP(MIN(700,MAX(-700,(Examples!$D$14*$A735-Examples!$D$15)/Examples!$D$16))))))+Examples!$D$17*$A735^2)</f>
        <v>1681250.3306790506</v>
      </c>
      <c r="E735" s="33">
        <f>(Examples!$D$6*Examples!$D$7*Examples!$D$8*EXP(-Examples!$D$9*$A735)*(1-(Examples!$D$12*(1-EXP(-Examples!$D$13*$A735))/(1+EXP(MIN(700,MAX(-700,(Examples!$D$14*$A735-Examples!$D$15)/Examples!$D$16))))))+Examples!$D$17*$A735^2)</f>
        <v>488899.66932094947</v>
      </c>
      <c r="F735" s="33">
        <f>Examples!$E$18-(Examples!$E$10+Examples!$E$11)*$A735-(Examples!$E$6*Examples!$E$7*Examples!$E$8*EXP(-Examples!$E$9*$A735)*(1-(Examples!$E$12*(1-EXP(-Examples!$E$13*$A735))/(1+EXP(MIN(700,MAX(-700,(Examples!$E$14*$A735-Examples!$E$15)/Examples!$E$16))))))+Examples!$E$17*$A735^2)</f>
        <v>2154473.4209964373</v>
      </c>
      <c r="G735" s="33">
        <f>(Examples!$E$6*Examples!$E$7*Examples!$E$8*EXP(-Examples!$E$9*$A735)*(1-(Examples!$E$12*(1-EXP(-Examples!$E$13*$A735))/(1+EXP(MIN(700,MAX(-700,(Examples!$E$14*$A735-Examples!$E$15)/Examples!$E$16))))))+Examples!$E$17*$A735^2)</f>
        <v>222476.57900356254</v>
      </c>
      <c r="H735" s="33">
        <f>Examples!$F$18-(Examples!$F$10+Examples!$F$11)*$A735-(Examples!$F$6*Examples!$F$7*Examples!$F$8*EXP(-Examples!$F$9*$A735)*(1-(Examples!$F$12*(1-EXP(-Examples!$F$13*$A735))/(1+EXP(MIN(700,MAX(-700,(Examples!$F$14*$A735-Examples!$F$15)/Examples!$F$16))))))+Examples!$F$17*$A735^2)</f>
        <v>-1073118.9952964366</v>
      </c>
      <c r="I735" s="33">
        <f>(Examples!$F$6*Examples!$F$7*Examples!$F$8*EXP(-Examples!$F$9*$A735)*(1-(Examples!$F$12*(1-EXP(-Examples!$F$13*$A735))/(1+EXP(MIN(700,MAX(-700,(Examples!$F$14*$A735-Examples!$F$15)/Examples!$F$16))))))+Examples!$F$17*$A735^2)</f>
        <v>1076518.9952964366</v>
      </c>
      <c r="J735" s="33">
        <f>Examples!$G$18-(Examples!$G$10+Examples!$G$11)*$A735-(Examples!$G$6*Examples!$G$7*Examples!$G$8*EXP(-Examples!$G$9*$A735)*(1-(Examples!$G$12*(1-EXP(-Examples!$G$13*$A735))/(1+EXP(MIN(700,MAX(-700,(Examples!$G$14*$A735-Examples!$G$15)/Examples!$G$16))))))+Examples!$G$17*$A735^2)</f>
        <v>550098.37679614534</v>
      </c>
      <c r="K735" s="33">
        <f>(Examples!$G$6*Examples!$G$7*Examples!$G$8*EXP(-Examples!$G$9*$A735)*(1-(Examples!$G$12*(1-EXP(-Examples!$G$13*$A735))/(1+EXP(MIN(700,MAX(-700,(Examples!$G$14*$A735-Examples!$G$15)/Examples!$G$16))))))+Examples!$G$17*$A735^2)</f>
        <v>583401.62320385466</v>
      </c>
      <c r="L735" s="33">
        <f>Examples!$H$18-(Examples!$H$10+Examples!$H$11)*$A735-(Examples!$H$6*Examples!$H$7*Examples!$H$8*EXP(-Examples!$H$9*$A735)*(1-(Examples!$H$12*(1-EXP(-Examples!$H$13*$A735))/(1+EXP(MIN(700,MAX(-700,(Examples!$H$14*$A735-Examples!$H$15)/Examples!$H$16))))))+Examples!$H$17*$A735^2)</f>
        <v>549907.36031017522</v>
      </c>
      <c r="M735" s="33">
        <f>(Examples!$H$6*Examples!$H$7*Examples!$H$8*EXP(-Examples!$H$9*$A735)*(1-(Examples!$H$12*(1-EXP(-Examples!$H$13*$A735))/(1+EXP(MIN(700,MAX(-700,(Examples!$H$14*$A735-Examples!$H$15)/Examples!$H$16))))))+Examples!$H$17*$A735^2)</f>
        <v>583592.63968982478</v>
      </c>
    </row>
    <row r="736" spans="1:13" x14ac:dyDescent="0.25">
      <c r="A736">
        <f>(736-2)/100</f>
        <v>7.34</v>
      </c>
      <c r="B736" s="33">
        <f>Examples!$C$18-(Examples!$C$10+Examples!$C$11)*$A736-(Examples!$C$6*Examples!$C$7*Examples!$C$8*EXP(-Examples!$C$9*$A736)*(1-(Examples!$C$12*(1-EXP(-Examples!$C$13*$A736))/(1+EXP(MIN(700,MAX(-700,(Examples!$C$14*$A736-Examples!$C$15)/Examples!$C$16))))))+Examples!$C$17*$A736^2)</f>
        <v>-531383.06387171836</v>
      </c>
      <c r="C736" s="33">
        <f>(Examples!$C$6*Examples!$C$7*Examples!$C$8*EXP(-Examples!$C$9*$A736)*(1-(Examples!$C$12*(1-EXP(-Examples!$C$13*$A736))/(1+EXP(MIN(700,MAX(-700,(Examples!$C$14*$A736-Examples!$C$15)/Examples!$C$16))))))+Examples!$C$17*$A736^2)</f>
        <v>874483.06387171836</v>
      </c>
      <c r="D736" s="33">
        <f>Examples!$D$18-(Examples!$D$10+Examples!$D$11)*$A736-(Examples!$D$6*Examples!$D$7*Examples!$D$8*EXP(-Examples!$D$9*$A736)*(1-(Examples!$D$12*(1-EXP(-Examples!$D$13*$A736))/(1+EXP(MIN(700,MAX(-700,(Examples!$D$14*$A736-Examples!$D$15)/Examples!$D$16))))))+Examples!$D$17*$A736^2)</f>
        <v>1681037.8594905972</v>
      </c>
      <c r="E736" s="33">
        <f>(Examples!$D$6*Examples!$D$7*Examples!$D$8*EXP(-Examples!$D$9*$A736)*(1-(Examples!$D$12*(1-EXP(-Examples!$D$13*$A736))/(1+EXP(MIN(700,MAX(-700,(Examples!$D$14*$A736-Examples!$D$15)/Examples!$D$16))))))+Examples!$D$17*$A736^2)</f>
        <v>488662.14050940296</v>
      </c>
      <c r="F736" s="33">
        <f>Examples!$E$18-(Examples!$E$10+Examples!$E$11)*$A736-(Examples!$E$6*Examples!$E$7*Examples!$E$8*EXP(-Examples!$E$9*$A736)*(1-(Examples!$E$12*(1-EXP(-Examples!$E$13*$A736))/(1+EXP(MIN(700,MAX(-700,(Examples!$E$14*$A736-Examples!$E$15)/Examples!$E$16))))))+Examples!$E$17*$A736^2)</f>
        <v>2153435.4455263764</v>
      </c>
      <c r="G736" s="33">
        <f>(Examples!$E$6*Examples!$E$7*Examples!$E$8*EXP(-Examples!$E$9*$A736)*(1-(Examples!$E$12*(1-EXP(-Examples!$E$13*$A736))/(1+EXP(MIN(700,MAX(-700,(Examples!$E$14*$A736-Examples!$E$15)/Examples!$E$16))))))+Examples!$E$17*$A736^2)</f>
        <v>222664.55447362384</v>
      </c>
      <c r="H736" s="33">
        <f>Examples!$F$18-(Examples!$F$10+Examples!$F$11)*$A736-(Examples!$F$6*Examples!$F$7*Examples!$F$8*EXP(-Examples!$F$9*$A736)*(1-(Examples!$F$12*(1-EXP(-Examples!$F$13*$A736))/(1+EXP(MIN(700,MAX(-700,(Examples!$F$14*$A736-Examples!$F$15)/Examples!$F$16))))))+Examples!$F$17*$A736^2)</f>
        <v>-1076247.1810362993</v>
      </c>
      <c r="I736" s="33">
        <f>(Examples!$F$6*Examples!$F$7*Examples!$F$8*EXP(-Examples!$F$9*$A736)*(1-(Examples!$F$12*(1-EXP(-Examples!$F$13*$A736))/(1+EXP(MIN(700,MAX(-700,(Examples!$F$14*$A736-Examples!$F$15)/Examples!$F$16))))))+Examples!$F$17*$A736^2)</f>
        <v>1079447.1810362993</v>
      </c>
      <c r="J736" s="33">
        <f>Examples!$G$18-(Examples!$G$10+Examples!$G$11)*$A736-(Examples!$G$6*Examples!$G$7*Examples!$G$8*EXP(-Examples!$G$9*$A736)*(1-(Examples!$G$12*(1-EXP(-Examples!$G$13*$A736))/(1+EXP(MIN(700,MAX(-700,(Examples!$G$14*$A736-Examples!$G$15)/Examples!$G$16))))))+Examples!$G$17*$A736^2)</f>
        <v>548958.84089060617</v>
      </c>
      <c r="K736" s="33">
        <f>(Examples!$G$6*Examples!$G$7*Examples!$G$8*EXP(-Examples!$G$9*$A736)*(1-(Examples!$G$12*(1-EXP(-Examples!$G$13*$A736))/(1+EXP(MIN(700,MAX(-700,(Examples!$G$14*$A736-Examples!$G$15)/Examples!$G$16))))))+Examples!$G$17*$A736^2)</f>
        <v>584041.15910939383</v>
      </c>
      <c r="L736" s="33">
        <f>Examples!$H$18-(Examples!$H$10+Examples!$H$11)*$A736-(Examples!$H$6*Examples!$H$7*Examples!$H$8*EXP(-Examples!$H$9*$A736)*(1-(Examples!$H$12*(1-EXP(-Examples!$H$13*$A736))/(1+EXP(MIN(700,MAX(-700,(Examples!$H$14*$A736-Examples!$H$15)/Examples!$H$16))))))+Examples!$H$17*$A736^2)</f>
        <v>548770.9839316858</v>
      </c>
      <c r="M736" s="33">
        <f>(Examples!$H$6*Examples!$H$7*Examples!$H$8*EXP(-Examples!$H$9*$A736)*(1-(Examples!$H$12*(1-EXP(-Examples!$H$13*$A736))/(1+EXP(MIN(700,MAX(-700,(Examples!$H$14*$A736-Examples!$H$15)/Examples!$H$16))))))+Examples!$H$17*$A736^2)</f>
        <v>584229.0160683142</v>
      </c>
    </row>
    <row r="737" spans="1:13" x14ac:dyDescent="0.25">
      <c r="A737">
        <f>(737-2)/100</f>
        <v>7.35</v>
      </c>
      <c r="B737" s="33">
        <f>Examples!$C$18-(Examples!$C$10+Examples!$C$11)*$A737-(Examples!$C$6*Examples!$C$7*Examples!$C$8*EXP(-Examples!$C$9*$A737)*(1-(Examples!$C$12*(1-EXP(-Examples!$C$13*$A737))/(1+EXP(MIN(700,MAX(-700,(Examples!$C$14*$A737-Examples!$C$15)/Examples!$C$16))))))+Examples!$C$17*$A737^2)</f>
        <v>-533737.81496003887</v>
      </c>
      <c r="C737" s="33">
        <f>(Examples!$C$6*Examples!$C$7*Examples!$C$8*EXP(-Examples!$C$9*$A737)*(1-(Examples!$C$12*(1-EXP(-Examples!$C$13*$A737))/(1+EXP(MIN(700,MAX(-700,(Examples!$C$14*$A737-Examples!$C$15)/Examples!$C$16))))))+Examples!$C$17*$A737^2)</f>
        <v>876487.81496003887</v>
      </c>
      <c r="D737" s="33">
        <f>Examples!$D$18-(Examples!$D$10+Examples!$D$11)*$A737-(Examples!$D$6*Examples!$D$7*Examples!$D$8*EXP(-Examples!$D$9*$A737)*(1-(Examples!$D$12*(1-EXP(-Examples!$D$13*$A737))/(1+EXP(MIN(700,MAX(-700,(Examples!$D$14*$A737-Examples!$D$15)/Examples!$D$16))))))+Examples!$D$17*$A737^2)</f>
        <v>1680820.3389502331</v>
      </c>
      <c r="E737" s="33">
        <f>(Examples!$D$6*Examples!$D$7*Examples!$D$8*EXP(-Examples!$D$9*$A737)*(1-(Examples!$D$12*(1-EXP(-Examples!$D$13*$A737))/(1+EXP(MIN(700,MAX(-700,(Examples!$D$14*$A737-Examples!$D$15)/Examples!$D$16))))))+Examples!$D$17*$A737^2)</f>
        <v>488429.66104976682</v>
      </c>
      <c r="F737" s="33">
        <f>Examples!$E$18-(Examples!$E$10+Examples!$E$11)*$A737-(Examples!$E$6*Examples!$E$7*Examples!$E$8*EXP(-Examples!$E$9*$A737)*(1-(Examples!$E$12*(1-EXP(-Examples!$E$13*$A737))/(1+EXP(MIN(700,MAX(-700,(Examples!$E$14*$A737-Examples!$E$15)/Examples!$E$16))))))+Examples!$E$17*$A737^2)</f>
        <v>2152396.1867008391</v>
      </c>
      <c r="G737" s="33">
        <f>(Examples!$E$6*Examples!$E$7*Examples!$E$8*EXP(-Examples!$E$9*$A737)*(1-(Examples!$E$12*(1-EXP(-Examples!$E$13*$A737))/(1+EXP(MIN(700,MAX(-700,(Examples!$E$14*$A737-Examples!$E$15)/Examples!$E$16))))))+Examples!$E$17*$A737^2)</f>
        <v>222853.81329916074</v>
      </c>
      <c r="H737" s="33">
        <f>Examples!$F$18-(Examples!$F$10+Examples!$F$11)*$A737-(Examples!$F$6*Examples!$F$7*Examples!$F$8*EXP(-Examples!$F$9*$A737)*(1-(Examples!$F$12*(1-EXP(-Examples!$F$13*$A737))/(1+EXP(MIN(700,MAX(-700,(Examples!$F$14*$A737-Examples!$F$15)/Examples!$F$16))))))+Examples!$F$17*$A737^2)</f>
        <v>-1079379.3841928041</v>
      </c>
      <c r="I737" s="33">
        <f>(Examples!$F$6*Examples!$F$7*Examples!$F$8*EXP(-Examples!$F$9*$A737)*(1-(Examples!$F$12*(1-EXP(-Examples!$F$13*$A737))/(1+EXP(MIN(700,MAX(-700,(Examples!$F$14*$A737-Examples!$F$15)/Examples!$F$16))))))+Examples!$F$17*$A737^2)</f>
        <v>1082379.3841928041</v>
      </c>
      <c r="J737" s="33">
        <f>Examples!$G$18-(Examples!$G$10+Examples!$G$11)*$A737-(Examples!$G$6*Examples!$G$7*Examples!$G$8*EXP(-Examples!$G$9*$A737)*(1-(Examples!$G$12*(1-EXP(-Examples!$G$13*$A737))/(1+EXP(MIN(700,MAX(-700,(Examples!$G$14*$A737-Examples!$G$15)/Examples!$G$16))))))+Examples!$G$17*$A737^2)</f>
        <v>547815.88009155728</v>
      </c>
      <c r="K737" s="33">
        <f>(Examples!$G$6*Examples!$G$7*Examples!$G$8*EXP(-Examples!$G$9*$A737)*(1-(Examples!$G$12*(1-EXP(-Examples!$G$13*$A737))/(1+EXP(MIN(700,MAX(-700,(Examples!$G$14*$A737-Examples!$G$15)/Examples!$G$16))))))+Examples!$G$17*$A737^2)</f>
        <v>584684.11990844272</v>
      </c>
      <c r="L737" s="33">
        <f>Examples!$H$18-(Examples!$H$10+Examples!$H$11)*$A737-(Examples!$H$6*Examples!$H$7*Examples!$H$8*EXP(-Examples!$H$9*$A737)*(1-(Examples!$H$12*(1-EXP(-Examples!$H$13*$A737))/(1+EXP(MIN(700,MAX(-700,(Examples!$H$14*$A737-Examples!$H$15)/Examples!$H$16))))))+Examples!$H$17*$A737^2)</f>
        <v>547631.13058240782</v>
      </c>
      <c r="M737" s="33">
        <f>(Examples!$H$6*Examples!$H$7*Examples!$H$8*EXP(-Examples!$H$9*$A737)*(1-(Examples!$H$12*(1-EXP(-Examples!$H$13*$A737))/(1+EXP(MIN(700,MAX(-700,(Examples!$H$14*$A737-Examples!$H$15)/Examples!$H$16))))))+Examples!$H$17*$A737^2)</f>
        <v>584868.86941759218</v>
      </c>
    </row>
    <row r="738" spans="1:13" x14ac:dyDescent="0.25">
      <c r="A738">
        <f>(738-2)/100</f>
        <v>7.36</v>
      </c>
      <c r="B738" s="33">
        <f>Examples!$C$18-(Examples!$C$10+Examples!$C$11)*$A738-(Examples!$C$6*Examples!$C$7*Examples!$C$8*EXP(-Examples!$C$9*$A738)*(1-(Examples!$C$12*(1-EXP(-Examples!$C$13*$A738))/(1+EXP(MIN(700,MAX(-700,(Examples!$C$14*$A738-Examples!$C$15)/Examples!$C$16))))))+Examples!$C$17*$A738^2)</f>
        <v>-536096.1614013525</v>
      </c>
      <c r="C738" s="33">
        <f>(Examples!$C$6*Examples!$C$7*Examples!$C$8*EXP(-Examples!$C$9*$A738)*(1-(Examples!$C$12*(1-EXP(-Examples!$C$13*$A738))/(1+EXP(MIN(700,MAX(-700,(Examples!$C$14*$A738-Examples!$C$15)/Examples!$C$16))))))+Examples!$C$17*$A738^2)</f>
        <v>878496.1614013525</v>
      </c>
      <c r="D738" s="33">
        <f>Examples!$D$18-(Examples!$D$10+Examples!$D$11)*$A738-(Examples!$D$6*Examples!$D$7*Examples!$D$8*EXP(-Examples!$D$9*$A738)*(1-(Examples!$D$12*(1-EXP(-Examples!$D$13*$A738))/(1+EXP(MIN(700,MAX(-700,(Examples!$D$14*$A738-Examples!$D$15)/Examples!$D$16))))))+Examples!$D$17*$A738^2)</f>
        <v>1680597.7819139815</v>
      </c>
      <c r="E738" s="33">
        <f>(Examples!$D$6*Examples!$D$7*Examples!$D$8*EXP(-Examples!$D$9*$A738)*(1-(Examples!$D$12*(1-EXP(-Examples!$D$13*$A738))/(1+EXP(MIN(700,MAX(-700,(Examples!$D$14*$A738-Examples!$D$15)/Examples!$D$16))))))+Examples!$D$17*$A738^2)</f>
        <v>488202.21808601846</v>
      </c>
      <c r="F738" s="33">
        <f>Examples!$E$18-(Examples!$E$10+Examples!$E$11)*$A738-(Examples!$E$6*Examples!$E$7*Examples!$E$8*EXP(-Examples!$E$9*$A738)*(1-(Examples!$E$12*(1-EXP(-Examples!$E$13*$A738))/(1+EXP(MIN(700,MAX(-700,(Examples!$E$14*$A738-Examples!$E$15)/Examples!$E$16))))))+Examples!$E$17*$A738^2)</f>
        <v>2151355.6425851691</v>
      </c>
      <c r="G738" s="33">
        <f>(Examples!$E$6*Examples!$E$7*Examples!$E$8*EXP(-Examples!$E$9*$A738)*(1-(Examples!$E$12*(1-EXP(-Examples!$E$13*$A738))/(1+EXP(MIN(700,MAX(-700,(Examples!$E$14*$A738-Examples!$E$15)/Examples!$E$16))))))+Examples!$E$17*$A738^2)</f>
        <v>223044.357414831</v>
      </c>
      <c r="H738" s="33">
        <f>Examples!$F$18-(Examples!$F$10+Examples!$F$11)*$A738-(Examples!$F$6*Examples!$F$7*Examples!$F$8*EXP(-Examples!$F$9*$A738)*(1-(Examples!$F$12*(1-EXP(-Examples!$F$13*$A738))/(1+EXP(MIN(700,MAX(-700,(Examples!$F$14*$A738-Examples!$F$15)/Examples!$F$16))))))+Examples!$F$17*$A738^2)</f>
        <v>-1082515.6047137799</v>
      </c>
      <c r="I738" s="33">
        <f>(Examples!$F$6*Examples!$F$7*Examples!$F$8*EXP(-Examples!$F$9*$A738)*(1-(Examples!$F$12*(1-EXP(-Examples!$F$13*$A738))/(1+EXP(MIN(700,MAX(-700,(Examples!$F$14*$A738-Examples!$F$15)/Examples!$F$16))))))+Examples!$F$17*$A738^2)</f>
        <v>1085315.6047137799</v>
      </c>
      <c r="J738" s="33">
        <f>Examples!$G$18-(Examples!$G$10+Examples!$G$11)*$A738-(Examples!$G$6*Examples!$G$7*Examples!$G$8*EXP(-Examples!$G$9*$A738)*(1-(Examples!$G$12*(1-EXP(-Examples!$G$13*$A738))/(1+EXP(MIN(700,MAX(-700,(Examples!$G$14*$A738-Examples!$G$15)/Examples!$G$16))))))+Examples!$G$17*$A738^2)</f>
        <v>546669.5001021591</v>
      </c>
      <c r="K738" s="33">
        <f>(Examples!$G$6*Examples!$G$7*Examples!$G$8*EXP(-Examples!$G$9*$A738)*(1-(Examples!$G$12*(1-EXP(-Examples!$G$13*$A738))/(1+EXP(MIN(700,MAX(-700,(Examples!$G$14*$A738-Examples!$G$15)/Examples!$G$16))))))+Examples!$G$17*$A738^2)</f>
        <v>585330.4998978409</v>
      </c>
      <c r="L738" s="33">
        <f>Examples!$H$18-(Examples!$H$10+Examples!$H$11)*$A738-(Examples!$H$6*Examples!$H$7*Examples!$H$8*EXP(-Examples!$H$9*$A738)*(1-(Examples!$H$12*(1-EXP(-Examples!$H$13*$A738))/(1+EXP(MIN(700,MAX(-700,(Examples!$H$14*$A738-Examples!$H$15)/Examples!$H$16))))))+Examples!$H$17*$A738^2)</f>
        <v>546487.80681938026</v>
      </c>
      <c r="M738" s="33">
        <f>(Examples!$H$6*Examples!$H$7*Examples!$H$8*EXP(-Examples!$H$9*$A738)*(1-(Examples!$H$12*(1-EXP(-Examples!$H$13*$A738))/(1+EXP(MIN(700,MAX(-700,(Examples!$H$14*$A738-Examples!$H$15)/Examples!$H$16))))))+Examples!$H$17*$A738^2)</f>
        <v>585512.19318061974</v>
      </c>
    </row>
    <row r="739" spans="1:13" x14ac:dyDescent="0.25">
      <c r="A739">
        <f>(739-2)/100</f>
        <v>7.37</v>
      </c>
      <c r="B739" s="33">
        <f>Examples!$C$18-(Examples!$C$10+Examples!$C$11)*$A739-(Examples!$C$6*Examples!$C$7*Examples!$C$8*EXP(-Examples!$C$9*$A739)*(1-(Examples!$C$12*(1-EXP(-Examples!$C$13*$A739))/(1+EXP(MIN(700,MAX(-700,(Examples!$C$14*$A739-Examples!$C$15)/Examples!$C$16))))))+Examples!$C$17*$A739^2)</f>
        <v>-538458.10141228605</v>
      </c>
      <c r="C739" s="33">
        <f>(Examples!$C$6*Examples!$C$7*Examples!$C$8*EXP(-Examples!$C$9*$A739)*(1-(Examples!$C$12*(1-EXP(-Examples!$C$13*$A739))/(1+EXP(MIN(700,MAX(-700,(Examples!$C$14*$A739-Examples!$C$15)/Examples!$C$16))))))+Examples!$C$17*$A739^2)</f>
        <v>880508.10141228605</v>
      </c>
      <c r="D739" s="33">
        <f>Examples!$D$18-(Examples!$D$10+Examples!$D$11)*$A739-(Examples!$D$6*Examples!$D$7*Examples!$D$8*EXP(-Examples!$D$9*$A739)*(1-(Examples!$D$12*(1-EXP(-Examples!$D$13*$A739))/(1+EXP(MIN(700,MAX(-700,(Examples!$D$14*$A739-Examples!$D$15)/Examples!$D$16))))))+Examples!$D$17*$A739^2)</f>
        <v>1680370.2012696804</v>
      </c>
      <c r="E739" s="33">
        <f>(Examples!$D$6*Examples!$D$7*Examples!$D$8*EXP(-Examples!$D$9*$A739)*(1-(Examples!$D$12*(1-EXP(-Examples!$D$13*$A739))/(1+EXP(MIN(700,MAX(-700,(Examples!$D$14*$A739-Examples!$D$15)/Examples!$D$16))))))+Examples!$D$17*$A739^2)</f>
        <v>487979.7987303196</v>
      </c>
      <c r="F739" s="33">
        <f>Examples!$E$18-(Examples!$E$10+Examples!$E$11)*$A739-(Examples!$E$6*Examples!$E$7*Examples!$E$8*EXP(-Examples!$E$9*$A739)*(1-(Examples!$E$12*(1-EXP(-Examples!$E$13*$A739))/(1+EXP(MIN(700,MAX(-700,(Examples!$E$14*$A739-Examples!$E$15)/Examples!$E$16))))))+Examples!$E$17*$A739^2)</f>
        <v>2150313.8112893719</v>
      </c>
      <c r="G739" s="33">
        <f>(Examples!$E$6*Examples!$E$7*Examples!$E$8*EXP(-Examples!$E$9*$A739)*(1-(Examples!$E$12*(1-EXP(-Examples!$E$13*$A739))/(1+EXP(MIN(700,MAX(-700,(Examples!$E$14*$A739-Examples!$E$15)/Examples!$E$16))))))+Examples!$E$17*$A739^2)</f>
        <v>223236.18871062819</v>
      </c>
      <c r="H739" s="33">
        <f>Examples!$F$18-(Examples!$F$10+Examples!$F$11)*$A739-(Examples!$F$6*Examples!$F$7*Examples!$F$8*EXP(-Examples!$F$9*$A739)*(1-(Examples!$F$12*(1-EXP(-Examples!$F$13*$A739))/(1+EXP(MIN(700,MAX(-700,(Examples!$F$14*$A739-Examples!$F$15)/Examples!$F$16))))))+Examples!$F$17*$A739^2)</f>
        <v>-1085655.8425472109</v>
      </c>
      <c r="I739" s="33">
        <f>(Examples!$F$6*Examples!$F$7*Examples!$F$8*EXP(-Examples!$F$9*$A739)*(1-(Examples!$F$12*(1-EXP(-Examples!$F$13*$A739))/(1+EXP(MIN(700,MAX(-700,(Examples!$F$14*$A739-Examples!$F$15)/Examples!$F$16))))))+Examples!$F$17*$A739^2)</f>
        <v>1088255.8425472109</v>
      </c>
      <c r="J739" s="33">
        <f>Examples!$G$18-(Examples!$G$10+Examples!$G$11)*$A739-(Examples!$G$6*Examples!$G$7*Examples!$G$8*EXP(-Examples!$G$9*$A739)*(1-(Examples!$G$12*(1-EXP(-Examples!$G$13*$A739))/(1+EXP(MIN(700,MAX(-700,(Examples!$G$14*$A739-Examples!$G$15)/Examples!$G$16))))))+Examples!$G$17*$A739^2)</f>
        <v>545519.70661657979</v>
      </c>
      <c r="K739" s="33">
        <f>(Examples!$G$6*Examples!$G$7*Examples!$G$8*EXP(-Examples!$G$9*$A739)*(1-(Examples!$G$12*(1-EXP(-Examples!$G$13*$A739))/(1+EXP(MIN(700,MAX(-700,(Examples!$G$14*$A739-Examples!$G$15)/Examples!$G$16))))))+Examples!$G$17*$A739^2)</f>
        <v>585980.29338342021</v>
      </c>
      <c r="L739" s="33">
        <f>Examples!$H$18-(Examples!$H$10+Examples!$H$11)*$A739-(Examples!$H$6*Examples!$H$7*Examples!$H$8*EXP(-Examples!$H$9*$A739)*(1-(Examples!$H$12*(1-EXP(-Examples!$H$13*$A739))/(1+EXP(MIN(700,MAX(-700,(Examples!$H$14*$A739-Examples!$H$15)/Examples!$H$16))))))+Examples!$H$17*$A739^2)</f>
        <v>545341.01917676348</v>
      </c>
      <c r="M739" s="33">
        <f>(Examples!$H$6*Examples!$H$7*Examples!$H$8*EXP(-Examples!$H$9*$A739)*(1-(Examples!$H$12*(1-EXP(-Examples!$H$13*$A739))/(1+EXP(MIN(700,MAX(-700,(Examples!$H$14*$A739-Examples!$H$15)/Examples!$H$16))))))+Examples!$H$17*$A739^2)</f>
        <v>586158.98082323652</v>
      </c>
    </row>
    <row r="740" spans="1:13" x14ac:dyDescent="0.25">
      <c r="A740">
        <f>(740-2)/100</f>
        <v>7.38</v>
      </c>
      <c r="B740" s="33">
        <f>Examples!$C$18-(Examples!$C$10+Examples!$C$11)*$A740-(Examples!$C$6*Examples!$C$7*Examples!$C$8*EXP(-Examples!$C$9*$A740)*(1-(Examples!$C$12*(1-EXP(-Examples!$C$13*$A740))/(1+EXP(MIN(700,MAX(-700,(Examples!$C$14*$A740-Examples!$C$15)/Examples!$C$16))))))+Examples!$C$17*$A740^2)</f>
        <v>-540823.63321480795</v>
      </c>
      <c r="C740" s="33">
        <f>(Examples!$C$6*Examples!$C$7*Examples!$C$8*EXP(-Examples!$C$9*$A740)*(1-(Examples!$C$12*(1-EXP(-Examples!$C$13*$A740))/(1+EXP(MIN(700,MAX(-700,(Examples!$C$14*$A740-Examples!$C$15)/Examples!$C$16))))))+Examples!$C$17*$A740^2)</f>
        <v>882523.63321480795</v>
      </c>
      <c r="D740" s="33">
        <f>Examples!$D$18-(Examples!$D$10+Examples!$D$11)*$A740-(Examples!$D$6*Examples!$D$7*Examples!$D$8*EXP(-Examples!$D$9*$A740)*(1-(Examples!$D$12*(1-EXP(-Examples!$D$13*$A740))/(1+EXP(MIN(700,MAX(-700,(Examples!$D$14*$A740-Examples!$D$15)/Examples!$D$16))))))+Examples!$D$17*$A740^2)</f>
        <v>1680137.609935388</v>
      </c>
      <c r="E740" s="33">
        <f>(Examples!$D$6*Examples!$D$7*Examples!$D$8*EXP(-Examples!$D$9*$A740)*(1-(Examples!$D$12*(1-EXP(-Examples!$D$13*$A740))/(1+EXP(MIN(700,MAX(-700,(Examples!$D$14*$A740-Examples!$D$15)/Examples!$D$16))))))+Examples!$D$17*$A740^2)</f>
        <v>487762.39006461191</v>
      </c>
      <c r="F740" s="33">
        <f>Examples!$E$18-(Examples!$E$10+Examples!$E$11)*$A740-(Examples!$E$6*Examples!$E$7*Examples!$E$8*EXP(-Examples!$E$9*$A740)*(1-(Examples!$E$12*(1-EXP(-Examples!$E$13*$A740))/(1+EXP(MIN(700,MAX(-700,(Examples!$E$14*$A740-Examples!$E$15)/Examples!$E$16))))))+Examples!$E$17*$A740^2)</f>
        <v>2149270.6909679384</v>
      </c>
      <c r="G740" s="33">
        <f>(Examples!$E$6*Examples!$E$7*Examples!$E$8*EXP(-Examples!$E$9*$A740)*(1-(Examples!$E$12*(1-EXP(-Examples!$E$13*$A740))/(1+EXP(MIN(700,MAX(-700,(Examples!$E$14*$A740-Examples!$E$15)/Examples!$E$16))))))+Examples!$E$17*$A740^2)</f>
        <v>223429.30903206152</v>
      </c>
      <c r="H740" s="33">
        <f>Examples!$F$18-(Examples!$F$10+Examples!$F$11)*$A740-(Examples!$F$6*Examples!$F$7*Examples!$F$8*EXP(-Examples!$F$9*$A740)*(1-(Examples!$F$12*(1-EXP(-Examples!$F$13*$A740))/(1+EXP(MIN(700,MAX(-700,(Examples!$F$14*$A740-Examples!$F$15)/Examples!$F$16))))))+Examples!$F$17*$A740^2)</f>
        <v>-1088800.0976412378</v>
      </c>
      <c r="I740" s="33">
        <f>(Examples!$F$6*Examples!$F$7*Examples!$F$8*EXP(-Examples!$F$9*$A740)*(1-(Examples!$F$12*(1-EXP(-Examples!$F$13*$A740))/(1+EXP(MIN(700,MAX(-700,(Examples!$F$14*$A740-Examples!$F$15)/Examples!$F$16))))))+Examples!$F$17*$A740^2)</f>
        <v>1091200.0976412378</v>
      </c>
      <c r="J740" s="33">
        <f>Examples!$G$18-(Examples!$G$10+Examples!$G$11)*$A740-(Examples!$G$6*Examples!$G$7*Examples!$G$8*EXP(-Examples!$G$9*$A740)*(1-(Examples!$G$12*(1-EXP(-Examples!$G$13*$A740))/(1+EXP(MIN(700,MAX(-700,(Examples!$G$14*$A740-Examples!$G$15)/Examples!$G$16))))))+Examples!$G$17*$A740^2)</f>
        <v>544366.50531985157</v>
      </c>
      <c r="K740" s="33">
        <f>(Examples!$G$6*Examples!$G$7*Examples!$G$8*EXP(-Examples!$G$9*$A740)*(1-(Examples!$G$12*(1-EXP(-Examples!$G$13*$A740))/(1+EXP(MIN(700,MAX(-700,(Examples!$G$14*$A740-Examples!$G$15)/Examples!$G$16))))))+Examples!$G$17*$A740^2)</f>
        <v>586633.49468014843</v>
      </c>
      <c r="L740" s="33">
        <f>Examples!$H$18-(Examples!$H$10+Examples!$H$11)*$A740-(Examples!$H$6*Examples!$H$7*Examples!$H$8*EXP(-Examples!$H$9*$A740)*(1-(Examples!$H$12*(1-EXP(-Examples!$H$13*$A740))/(1+EXP(MIN(700,MAX(-700,(Examples!$H$14*$A740-Examples!$H$15)/Examples!$H$16))))))+Examples!$H$17*$A740^2)</f>
        <v>544190.77416591684</v>
      </c>
      <c r="M740" s="33">
        <f>(Examples!$H$6*Examples!$H$7*Examples!$H$8*EXP(-Examples!$H$9*$A740)*(1-(Examples!$H$12*(1-EXP(-Examples!$H$13*$A740))/(1+EXP(MIN(700,MAX(-700,(Examples!$H$14*$A740-Examples!$H$15)/Examples!$H$16))))))+Examples!$H$17*$A740^2)</f>
        <v>586809.22583408316</v>
      </c>
    </row>
    <row r="741" spans="1:13" x14ac:dyDescent="0.25">
      <c r="A741">
        <f>(741-2)/100</f>
        <v>7.39</v>
      </c>
      <c r="B741" s="33">
        <f>Examples!$C$18-(Examples!$C$10+Examples!$C$11)*$A741-(Examples!$C$6*Examples!$C$7*Examples!$C$8*EXP(-Examples!$C$9*$A741)*(1-(Examples!$C$12*(1-EXP(-Examples!$C$13*$A741))/(1+EXP(MIN(700,MAX(-700,(Examples!$C$14*$A741-Examples!$C$15)/Examples!$C$16))))))+Examples!$C$17*$A741^2)</f>
        <v>-543192.75503621274</v>
      </c>
      <c r="C741" s="33">
        <f>(Examples!$C$6*Examples!$C$7*Examples!$C$8*EXP(-Examples!$C$9*$A741)*(1-(Examples!$C$12*(1-EXP(-Examples!$C$13*$A741))/(1+EXP(MIN(700,MAX(-700,(Examples!$C$14*$A741-Examples!$C$15)/Examples!$C$16))))))+Examples!$C$17*$A741^2)</f>
        <v>884542.75503621274</v>
      </c>
      <c r="D741" s="33">
        <f>Examples!$D$18-(Examples!$D$10+Examples!$D$11)*$A741-(Examples!$D$6*Examples!$D$7*Examples!$D$8*EXP(-Examples!$D$9*$A741)*(1-(Examples!$D$12*(1-EXP(-Examples!$D$13*$A741))/(1+EXP(MIN(700,MAX(-700,(Examples!$D$14*$A741-Examples!$D$15)/Examples!$D$16))))))+Examples!$D$17*$A741^2)</f>
        <v>1679900.0208578166</v>
      </c>
      <c r="E741" s="33">
        <f>(Examples!$D$6*Examples!$D$7*Examples!$D$8*EXP(-Examples!$D$9*$A741)*(1-(Examples!$D$12*(1-EXP(-Examples!$D$13*$A741))/(1+EXP(MIN(700,MAX(-700,(Examples!$D$14*$A741-Examples!$D$15)/Examples!$D$16))))))+Examples!$D$17*$A741^2)</f>
        <v>487549.97914218344</v>
      </c>
      <c r="F741" s="33">
        <f>Examples!$E$18-(Examples!$E$10+Examples!$E$11)*$A741-(Examples!$E$6*Examples!$E$7*Examples!$E$8*EXP(-Examples!$E$9*$A741)*(1-(Examples!$E$12*(1-EXP(-Examples!$E$13*$A741))/(1+EXP(MIN(700,MAX(-700,(Examples!$E$14*$A741-Examples!$E$15)/Examples!$E$16))))))+Examples!$E$17*$A741^2)</f>
        <v>2148226.2798196599</v>
      </c>
      <c r="G741" s="33">
        <f>(Examples!$E$6*Examples!$E$7*Examples!$E$8*EXP(-Examples!$E$9*$A741)*(1-(Examples!$E$12*(1-EXP(-Examples!$E$13*$A741))/(1+EXP(MIN(700,MAX(-700,(Examples!$E$14*$A741-Examples!$E$15)/Examples!$E$16))))))+Examples!$E$17*$A741^2)</f>
        <v>223623.72018034034</v>
      </c>
      <c r="H741" s="33">
        <f>Examples!$F$18-(Examples!$F$10+Examples!$F$11)*$A741-(Examples!$F$6*Examples!$F$7*Examples!$F$8*EXP(-Examples!$F$9*$A741)*(1-(Examples!$F$12*(1-EXP(-Examples!$F$13*$A741))/(1+EXP(MIN(700,MAX(-700,(Examples!$F$14*$A741-Examples!$F$15)/Examples!$F$16))))))+Examples!$F$17*$A741^2)</f>
        <v>-1091948.3699441564</v>
      </c>
      <c r="I741" s="33">
        <f>(Examples!$F$6*Examples!$F$7*Examples!$F$8*EXP(-Examples!$F$9*$A741)*(1-(Examples!$F$12*(1-EXP(-Examples!$F$13*$A741))/(1+EXP(MIN(700,MAX(-700,(Examples!$F$14*$A741-Examples!$F$15)/Examples!$F$16))))))+Examples!$F$17*$A741^2)</f>
        <v>1094148.3699441564</v>
      </c>
      <c r="J741" s="33">
        <f>Examples!$G$18-(Examples!$G$10+Examples!$G$11)*$A741-(Examples!$G$6*Examples!$G$7*Examples!$G$8*EXP(-Examples!$G$9*$A741)*(1-(Examples!$G$12*(1-EXP(-Examples!$G$13*$A741))/(1+EXP(MIN(700,MAX(-700,(Examples!$G$14*$A741-Examples!$G$15)/Examples!$G$16))))))+Examples!$G$17*$A741^2)</f>
        <v>543209.90188772976</v>
      </c>
      <c r="K741" s="33">
        <f>(Examples!$G$6*Examples!$G$7*Examples!$G$8*EXP(-Examples!$G$9*$A741)*(1-(Examples!$G$12*(1-EXP(-Examples!$G$13*$A741))/(1+EXP(MIN(700,MAX(-700,(Examples!$G$14*$A741-Examples!$G$15)/Examples!$G$16))))))+Examples!$G$17*$A741^2)</f>
        <v>587290.09811227024</v>
      </c>
      <c r="L741" s="33">
        <f>Examples!$H$18-(Examples!$H$10+Examples!$H$11)*$A741-(Examples!$H$6*Examples!$H$7*Examples!$H$8*EXP(-Examples!$H$9*$A741)*(1-(Examples!$H$12*(1-EXP(-Examples!$H$13*$A741))/(1+EXP(MIN(700,MAX(-700,(Examples!$H$14*$A741-Examples!$H$15)/Examples!$H$16))))))+Examples!$H$17*$A741^2)</f>
        <v>543037.07827547821</v>
      </c>
      <c r="M741" s="33">
        <f>(Examples!$H$6*Examples!$H$7*Examples!$H$8*EXP(-Examples!$H$9*$A741)*(1-(Examples!$H$12*(1-EXP(-Examples!$H$13*$A741))/(1+EXP(MIN(700,MAX(-700,(Examples!$H$14*$A741-Examples!$H$15)/Examples!$H$16))))))+Examples!$H$17*$A741^2)</f>
        <v>587462.92172452179</v>
      </c>
    </row>
    <row r="742" spans="1:13" x14ac:dyDescent="0.25">
      <c r="A742">
        <f>(742-2)/100</f>
        <v>7.4</v>
      </c>
      <c r="B742" s="33">
        <f>Examples!$C$18-(Examples!$C$10+Examples!$C$11)*$A742-(Examples!$C$6*Examples!$C$7*Examples!$C$8*EXP(-Examples!$C$9*$A742)*(1-(Examples!$C$12*(1-EXP(-Examples!$C$13*$A742))/(1+EXP(MIN(700,MAX(-700,(Examples!$C$14*$A742-Examples!$C$15)/Examples!$C$16))))))+Examples!$C$17*$A742^2)</f>
        <v>-545565.46510910464</v>
      </c>
      <c r="C742" s="33">
        <f>(Examples!$C$6*Examples!$C$7*Examples!$C$8*EXP(-Examples!$C$9*$A742)*(1-(Examples!$C$12*(1-EXP(-Examples!$C$13*$A742))/(1+EXP(MIN(700,MAX(-700,(Examples!$C$14*$A742-Examples!$C$15)/Examples!$C$16))))))+Examples!$C$17*$A742^2)</f>
        <v>886565.46510910464</v>
      </c>
      <c r="D742" s="33">
        <f>Examples!$D$18-(Examples!$D$10+Examples!$D$11)*$A742-(Examples!$D$6*Examples!$D$7*Examples!$D$8*EXP(-Examples!$D$9*$A742)*(1-(Examples!$D$12*(1-EXP(-Examples!$D$13*$A742))/(1+EXP(MIN(700,MAX(-700,(Examples!$D$14*$A742-Examples!$D$15)/Examples!$D$16))))))+Examples!$D$17*$A742^2)</f>
        <v>1679657.4470107944</v>
      </c>
      <c r="E742" s="33">
        <f>(Examples!$D$6*Examples!$D$7*Examples!$D$8*EXP(-Examples!$D$9*$A742)*(1-(Examples!$D$12*(1-EXP(-Examples!$D$13*$A742))/(1+EXP(MIN(700,MAX(-700,(Examples!$D$14*$A742-Examples!$D$15)/Examples!$D$16))))))+Examples!$D$17*$A742^2)</f>
        <v>487342.55298920552</v>
      </c>
      <c r="F742" s="33">
        <f>Examples!$E$18-(Examples!$E$10+Examples!$E$11)*$A742-(Examples!$E$6*Examples!$E$7*Examples!$E$8*EXP(-Examples!$E$9*$A742)*(1-(Examples!$E$12*(1-EXP(-Examples!$E$13*$A742))/(1+EXP(MIN(700,MAX(-700,(Examples!$E$14*$A742-Examples!$E$15)/Examples!$E$16))))))+Examples!$E$17*$A742^2)</f>
        <v>2147180.5760874362</v>
      </c>
      <c r="G742" s="33">
        <f>(Examples!$E$6*Examples!$E$7*Examples!$E$8*EXP(-Examples!$E$9*$A742)*(1-(Examples!$E$12*(1-EXP(-Examples!$E$13*$A742))/(1+EXP(MIN(700,MAX(-700,(Examples!$E$14*$A742-Examples!$E$15)/Examples!$E$16))))))+Examples!$E$17*$A742^2)</f>
        <v>223819.423912564</v>
      </c>
      <c r="H742" s="33">
        <f>Examples!$F$18-(Examples!$F$10+Examples!$F$11)*$A742-(Examples!$F$6*Examples!$F$7*Examples!$F$8*EXP(-Examples!$F$9*$A742)*(1-(Examples!$F$12*(1-EXP(-Examples!$F$13*$A742))/(1+EXP(MIN(700,MAX(-700,(Examples!$F$14*$A742-Examples!$F$15)/Examples!$F$16))))))+Examples!$F$17*$A742^2)</f>
        <v>-1095100.6594044173</v>
      </c>
      <c r="I742" s="33">
        <f>(Examples!$F$6*Examples!$F$7*Examples!$F$8*EXP(-Examples!$F$9*$A742)*(1-(Examples!$F$12*(1-EXP(-Examples!$F$13*$A742))/(1+EXP(MIN(700,MAX(-700,(Examples!$F$14*$A742-Examples!$F$15)/Examples!$F$16))))))+Examples!$F$17*$A742^2)</f>
        <v>1097100.6594044173</v>
      </c>
      <c r="J742" s="33">
        <f>Examples!$G$18-(Examples!$G$10+Examples!$G$11)*$A742-(Examples!$G$6*Examples!$G$7*Examples!$G$8*EXP(-Examples!$G$9*$A742)*(1-(Examples!$G$12*(1-EXP(-Examples!$G$13*$A742))/(1+EXP(MIN(700,MAX(-700,(Examples!$G$14*$A742-Examples!$G$15)/Examples!$G$16))))))+Examples!$G$17*$A742^2)</f>
        <v>542049.90198655543</v>
      </c>
      <c r="K742" s="33">
        <f>(Examples!$G$6*Examples!$G$7*Examples!$G$8*EXP(-Examples!$G$9*$A742)*(1-(Examples!$G$12*(1-EXP(-Examples!$G$13*$A742))/(1+EXP(MIN(700,MAX(-700,(Examples!$G$14*$A742-Examples!$G$15)/Examples!$G$16))))))+Examples!$G$17*$A742^2)</f>
        <v>587950.09801344457</v>
      </c>
      <c r="L742" s="33">
        <f>Examples!$H$18-(Examples!$H$10+Examples!$H$11)*$A742-(Examples!$H$6*Examples!$H$7*Examples!$H$8*EXP(-Examples!$H$9*$A742)*(1-(Examples!$H$12*(1-EXP(-Examples!$H$13*$A742))/(1+EXP(MIN(700,MAX(-700,(Examples!$H$14*$A742-Examples!$H$15)/Examples!$H$16))))))+Examples!$H$17*$A742^2)</f>
        <v>541879.93797144271</v>
      </c>
      <c r="M742" s="33">
        <f>(Examples!$H$6*Examples!$H$7*Examples!$H$8*EXP(-Examples!$H$9*$A742)*(1-(Examples!$H$12*(1-EXP(-Examples!$H$13*$A742))/(1+EXP(MIN(700,MAX(-700,(Examples!$H$14*$A742-Examples!$H$15)/Examples!$H$16))))))+Examples!$H$17*$A742^2)</f>
        <v>588120.06202855729</v>
      </c>
    </row>
    <row r="743" spans="1:13" x14ac:dyDescent="0.25">
      <c r="A743">
        <f>(743-2)/100</f>
        <v>7.41</v>
      </c>
      <c r="B743" s="33">
        <f>Examples!$C$18-(Examples!$C$10+Examples!$C$11)*$A743-(Examples!$C$6*Examples!$C$7*Examples!$C$8*EXP(-Examples!$C$9*$A743)*(1-(Examples!$C$12*(1-EXP(-Examples!$C$13*$A743))/(1+EXP(MIN(700,MAX(-700,(Examples!$C$14*$A743-Examples!$C$15)/Examples!$C$16))))))+Examples!$C$17*$A743^2)</f>
        <v>-547941.76167138177</v>
      </c>
      <c r="C743" s="33">
        <f>(Examples!$C$6*Examples!$C$7*Examples!$C$8*EXP(-Examples!$C$9*$A743)*(1-(Examples!$C$12*(1-EXP(-Examples!$C$13*$A743))/(1+EXP(MIN(700,MAX(-700,(Examples!$C$14*$A743-Examples!$C$15)/Examples!$C$16))))))+Examples!$C$17*$A743^2)</f>
        <v>888591.76167138177</v>
      </c>
      <c r="D743" s="33">
        <f>Examples!$D$18-(Examples!$D$10+Examples!$D$11)*$A743-(Examples!$D$6*Examples!$D$7*Examples!$D$8*EXP(-Examples!$D$9*$A743)*(1-(Examples!$D$12*(1-EXP(-Examples!$D$13*$A743))/(1+EXP(MIN(700,MAX(-700,(Examples!$D$14*$A743-Examples!$D$15)/Examples!$D$16))))))+Examples!$D$17*$A743^2)</f>
        <v>1679409.9013937577</v>
      </c>
      <c r="E743" s="33">
        <f>(Examples!$D$6*Examples!$D$7*Examples!$D$8*EXP(-Examples!$D$9*$A743)*(1-(Examples!$D$12*(1-EXP(-Examples!$D$13*$A743))/(1+EXP(MIN(700,MAX(-700,(Examples!$D$14*$A743-Examples!$D$15)/Examples!$D$16))))))+Examples!$D$17*$A743^2)</f>
        <v>487140.09860624233</v>
      </c>
      <c r="F743" s="33">
        <f>Examples!$E$18-(Examples!$E$10+Examples!$E$11)*$A743-(Examples!$E$6*Examples!$E$7*Examples!$E$8*EXP(-Examples!$E$9*$A743)*(1-(Examples!$E$12*(1-EXP(-Examples!$E$13*$A743))/(1+EXP(MIN(700,MAX(-700,(Examples!$E$14*$A743-Examples!$E$15)/Examples!$E$16))))))+Examples!$E$17*$A743^2)</f>
        <v>2146133.5780580831</v>
      </c>
      <c r="G743" s="33">
        <f>(Examples!$E$6*Examples!$E$7*Examples!$E$8*EXP(-Examples!$E$9*$A743)*(1-(Examples!$E$12*(1-EXP(-Examples!$E$13*$A743))/(1+EXP(MIN(700,MAX(-700,(Examples!$E$14*$A743-Examples!$E$15)/Examples!$E$16))))))+Examples!$E$17*$A743^2)</f>
        <v>224016.4219419171</v>
      </c>
      <c r="H743" s="33">
        <f>Examples!$F$18-(Examples!$F$10+Examples!$F$11)*$A743-(Examples!$F$6*Examples!$F$7*Examples!$F$8*EXP(-Examples!$F$9*$A743)*(1-(Examples!$F$12*(1-EXP(-Examples!$F$13*$A743))/(1+EXP(MIN(700,MAX(-700,(Examples!$F$14*$A743-Examples!$F$15)/Examples!$F$16))))))+Examples!$F$17*$A743^2)</f>
        <v>-1098256.9659706254</v>
      </c>
      <c r="I743" s="33">
        <f>(Examples!$F$6*Examples!$F$7*Examples!$F$8*EXP(-Examples!$F$9*$A743)*(1-(Examples!$F$12*(1-EXP(-Examples!$F$13*$A743))/(1+EXP(MIN(700,MAX(-700,(Examples!$F$14*$A743-Examples!$F$15)/Examples!$F$16))))))+Examples!$F$17*$A743^2)</f>
        <v>1100056.9659706254</v>
      </c>
      <c r="J743" s="33">
        <f>Examples!$G$18-(Examples!$G$10+Examples!$G$11)*$A743-(Examples!$G$6*Examples!$G$7*Examples!$G$8*EXP(-Examples!$G$9*$A743)*(1-(Examples!$G$12*(1-EXP(-Examples!$G$13*$A743))/(1+EXP(MIN(700,MAX(-700,(Examples!$G$14*$A743-Examples!$G$15)/Examples!$G$16))))))+Examples!$G$17*$A743^2)</f>
        <v>540886.51127312111</v>
      </c>
      <c r="K743" s="33">
        <f>(Examples!$G$6*Examples!$G$7*Examples!$G$8*EXP(-Examples!$G$9*$A743)*(1-(Examples!$G$12*(1-EXP(-Examples!$G$13*$A743))/(1+EXP(MIN(700,MAX(-700,(Examples!$G$14*$A743-Examples!$G$15)/Examples!$G$16))))))+Examples!$G$17*$A743^2)</f>
        <v>588613.48872687889</v>
      </c>
      <c r="L743" s="33">
        <f>Examples!$H$18-(Examples!$H$10+Examples!$H$11)*$A743-(Examples!$H$6*Examples!$H$7*Examples!$H$8*EXP(-Examples!$H$9*$A743)*(1-(Examples!$H$12*(1-EXP(-Examples!$H$13*$A743))/(1+EXP(MIN(700,MAX(-700,(Examples!$H$14*$A743-Examples!$H$15)/Examples!$H$16))))))+Examples!$H$17*$A743^2)</f>
        <v>540719.35969724006</v>
      </c>
      <c r="M743" s="33">
        <f>(Examples!$H$6*Examples!$H$7*Examples!$H$8*EXP(-Examples!$H$9*$A743)*(1-(Examples!$H$12*(1-EXP(-Examples!$H$13*$A743))/(1+EXP(MIN(700,MAX(-700,(Examples!$H$14*$A743-Examples!$H$15)/Examples!$H$16))))))+Examples!$H$17*$A743^2)</f>
        <v>588780.64030275994</v>
      </c>
    </row>
    <row r="744" spans="1:13" x14ac:dyDescent="0.25">
      <c r="A744">
        <f>(744-2)/100</f>
        <v>7.42</v>
      </c>
      <c r="B744" s="33">
        <f>Examples!$C$18-(Examples!$C$10+Examples!$C$11)*$A744-(Examples!$C$6*Examples!$C$7*Examples!$C$8*EXP(-Examples!$C$9*$A744)*(1-(Examples!$C$12*(1-EXP(-Examples!$C$13*$A744))/(1+EXP(MIN(700,MAX(-700,(Examples!$C$14*$A744-Examples!$C$15)/Examples!$C$16))))))+Examples!$C$17*$A744^2)</f>
        <v>-550321.64296622016</v>
      </c>
      <c r="C744" s="33">
        <f>(Examples!$C$6*Examples!$C$7*Examples!$C$8*EXP(-Examples!$C$9*$A744)*(1-(Examples!$C$12*(1-EXP(-Examples!$C$13*$A744))/(1+EXP(MIN(700,MAX(-700,(Examples!$C$14*$A744-Examples!$C$15)/Examples!$C$16))))))+Examples!$C$17*$A744^2)</f>
        <v>890621.64296622016</v>
      </c>
      <c r="D744" s="33">
        <f>Examples!$D$18-(Examples!$D$10+Examples!$D$11)*$A744-(Examples!$D$6*Examples!$D$7*Examples!$D$8*EXP(-Examples!$D$9*$A744)*(1-(Examples!$D$12*(1-EXP(-Examples!$D$13*$A744))/(1+EXP(MIN(700,MAX(-700,(Examples!$D$14*$A744-Examples!$D$15)/Examples!$D$16))))))+Examples!$D$17*$A744^2)</f>
        <v>1679157.3970302679</v>
      </c>
      <c r="E744" s="33">
        <f>(Examples!$D$6*Examples!$D$7*Examples!$D$8*EXP(-Examples!$D$9*$A744)*(1-(Examples!$D$12*(1-EXP(-Examples!$D$13*$A744))/(1+EXP(MIN(700,MAX(-700,(Examples!$D$14*$A744-Examples!$D$15)/Examples!$D$16))))))+Examples!$D$17*$A744^2)</f>
        <v>486942.60296973202</v>
      </c>
      <c r="F744" s="33">
        <f>Examples!$E$18-(Examples!$E$10+Examples!$E$11)*$A744-(Examples!$E$6*Examples!$E$7*Examples!$E$8*EXP(-Examples!$E$9*$A744)*(1-(Examples!$E$12*(1-EXP(-Examples!$E$13*$A744))/(1+EXP(MIN(700,MAX(-700,(Examples!$E$14*$A744-Examples!$E$15)/Examples!$E$16))))))+Examples!$E$17*$A744^2)</f>
        <v>2145085.2840621304</v>
      </c>
      <c r="G744" s="33">
        <f>(Examples!$E$6*Examples!$E$7*Examples!$E$8*EXP(-Examples!$E$9*$A744)*(1-(Examples!$E$12*(1-EXP(-Examples!$E$13*$A744))/(1+EXP(MIN(700,MAX(-700,(Examples!$E$14*$A744-Examples!$E$15)/Examples!$E$16))))))+Examples!$E$17*$A744^2)</f>
        <v>224214.71593786945</v>
      </c>
      <c r="H744" s="33">
        <f>Examples!$F$18-(Examples!$F$10+Examples!$F$11)*$A744-(Examples!$F$6*Examples!$F$7*Examples!$F$8*EXP(-Examples!$F$9*$A744)*(1-(Examples!$F$12*(1-EXP(-Examples!$F$13*$A744))/(1+EXP(MIN(700,MAX(-700,(Examples!$F$14*$A744-Examples!$F$15)/Examples!$F$16))))))+Examples!$F$17*$A744^2)</f>
        <v>-1101417.2895915401</v>
      </c>
      <c r="I744" s="33">
        <f>(Examples!$F$6*Examples!$F$7*Examples!$F$8*EXP(-Examples!$F$9*$A744)*(1-(Examples!$F$12*(1-EXP(-Examples!$F$13*$A744))/(1+EXP(MIN(700,MAX(-700,(Examples!$F$14*$A744-Examples!$F$15)/Examples!$F$16))))))+Examples!$F$17*$A744^2)</f>
        <v>1103017.2895915401</v>
      </c>
      <c r="J744" s="33">
        <f>Examples!$G$18-(Examples!$G$10+Examples!$G$11)*$A744-(Examples!$G$6*Examples!$G$7*Examples!$G$8*EXP(-Examples!$G$9*$A744)*(1-(Examples!$G$12*(1-EXP(-Examples!$G$13*$A744))/(1+EXP(MIN(700,MAX(-700,(Examples!$G$14*$A744-Examples!$G$15)/Examples!$G$16))))))+Examples!$G$17*$A744^2)</f>
        <v>539719.7353945392</v>
      </c>
      <c r="K744" s="33">
        <f>(Examples!$G$6*Examples!$G$7*Examples!$G$8*EXP(-Examples!$G$9*$A744)*(1-(Examples!$G$12*(1-EXP(-Examples!$G$13*$A744))/(1+EXP(MIN(700,MAX(-700,(Examples!$G$14*$A744-Examples!$G$15)/Examples!$G$16))))))+Examples!$G$17*$A744^2)</f>
        <v>589280.2646054608</v>
      </c>
      <c r="L744" s="33">
        <f>Examples!$H$18-(Examples!$H$10+Examples!$H$11)*$A744-(Examples!$H$6*Examples!$H$7*Examples!$H$8*EXP(-Examples!$H$9*$A744)*(1-(Examples!$H$12*(1-EXP(-Examples!$H$13*$A744))/(1+EXP(MIN(700,MAX(-700,(Examples!$H$14*$A744-Examples!$H$15)/Examples!$H$16))))))+Examples!$H$17*$A744^2)</f>
        <v>539555.34987381287</v>
      </c>
      <c r="M744" s="33">
        <f>(Examples!$H$6*Examples!$H$7*Examples!$H$8*EXP(-Examples!$H$9*$A744)*(1-(Examples!$H$12*(1-EXP(-Examples!$H$13*$A744))/(1+EXP(MIN(700,MAX(-700,(Examples!$H$14*$A744-Examples!$H$15)/Examples!$H$16))))))+Examples!$H$17*$A744^2)</f>
        <v>589444.65012618713</v>
      </c>
    </row>
    <row r="745" spans="1:13" x14ac:dyDescent="0.25">
      <c r="A745">
        <f>(745-2)/100</f>
        <v>7.43</v>
      </c>
      <c r="B745" s="33">
        <f>Examples!$C$18-(Examples!$C$10+Examples!$C$11)*$A745-(Examples!$C$6*Examples!$C$7*Examples!$C$8*EXP(-Examples!$C$9*$A745)*(1-(Examples!$C$12*(1-EXP(-Examples!$C$13*$A745))/(1+EXP(MIN(700,MAX(-700,(Examples!$C$14*$A745-Examples!$C$15)/Examples!$C$16))))))+Examples!$C$17*$A745^2)</f>
        <v>-552705.10724205873</v>
      </c>
      <c r="C745" s="33">
        <f>(Examples!$C$6*Examples!$C$7*Examples!$C$8*EXP(-Examples!$C$9*$A745)*(1-(Examples!$C$12*(1-EXP(-Examples!$C$13*$A745))/(1+EXP(MIN(700,MAX(-700,(Examples!$C$14*$A745-Examples!$C$15)/Examples!$C$16))))))+Examples!$C$17*$A745^2)</f>
        <v>892655.10724205873</v>
      </c>
      <c r="D745" s="33">
        <f>Examples!$D$18-(Examples!$D$10+Examples!$D$11)*$A745-(Examples!$D$6*Examples!$D$7*Examples!$D$8*EXP(-Examples!$D$9*$A745)*(1-(Examples!$D$12*(1-EXP(-Examples!$D$13*$A745))/(1+EXP(MIN(700,MAX(-700,(Examples!$D$14*$A745-Examples!$D$15)/Examples!$D$16))))))+Examples!$D$17*$A745^2)</f>
        <v>1678899.9469665596</v>
      </c>
      <c r="E745" s="33">
        <f>(Examples!$D$6*Examples!$D$7*Examples!$D$8*EXP(-Examples!$D$9*$A745)*(1-(Examples!$D$12*(1-EXP(-Examples!$D$13*$A745))/(1+EXP(MIN(700,MAX(-700,(Examples!$D$14*$A745-Examples!$D$15)/Examples!$D$16))))))+Examples!$D$17*$A745^2)</f>
        <v>486750.05303344037</v>
      </c>
      <c r="F745" s="33">
        <f>Examples!$E$18-(Examples!$E$10+Examples!$E$11)*$A745-(Examples!$E$6*Examples!$E$7*Examples!$E$8*EXP(-Examples!$E$9*$A745)*(1-(Examples!$E$12*(1-EXP(-Examples!$E$13*$A745))/(1+EXP(MIN(700,MAX(-700,(Examples!$E$14*$A745-Examples!$E$15)/Examples!$E$16))))))+Examples!$E$17*$A745^2)</f>
        <v>2144035.6924736188</v>
      </c>
      <c r="G745" s="33">
        <f>(Examples!$E$6*Examples!$E$7*Examples!$E$8*EXP(-Examples!$E$9*$A745)*(1-(Examples!$E$12*(1-EXP(-Examples!$E$13*$A745))/(1+EXP(MIN(700,MAX(-700,(Examples!$E$14*$A745-Examples!$E$15)/Examples!$E$16))))))+Examples!$E$17*$A745^2)</f>
        <v>224414.30752638119</v>
      </c>
      <c r="H745" s="33">
        <f>Examples!$F$18-(Examples!$F$10+Examples!$F$11)*$A745-(Examples!$F$6*Examples!$F$7*Examples!$F$8*EXP(-Examples!$F$9*$A745)*(1-(Examples!$F$12*(1-EXP(-Examples!$F$13*$A745))/(1+EXP(MIN(700,MAX(-700,(Examples!$F$14*$A745-Examples!$F$15)/Examples!$F$16))))))+Examples!$F$17*$A745^2)</f>
        <v>-1104581.6302160739</v>
      </c>
      <c r="I745" s="33">
        <f>(Examples!$F$6*Examples!$F$7*Examples!$F$8*EXP(-Examples!$F$9*$A745)*(1-(Examples!$F$12*(1-EXP(-Examples!$F$13*$A745))/(1+EXP(MIN(700,MAX(-700,(Examples!$F$14*$A745-Examples!$F$15)/Examples!$F$16))))))+Examples!$F$17*$A745^2)</f>
        <v>1105981.6302160739</v>
      </c>
      <c r="J745" s="33">
        <f>Examples!$G$18-(Examples!$G$10+Examples!$G$11)*$A745-(Examples!$G$6*Examples!$G$7*Examples!$G$8*EXP(-Examples!$G$9*$A745)*(1-(Examples!$G$12*(1-EXP(-Examples!$G$13*$A745))/(1+EXP(MIN(700,MAX(-700,(Examples!$G$14*$A745-Examples!$G$15)/Examples!$G$16))))))+Examples!$G$17*$A745^2)</f>
        <v>538549.57998811349</v>
      </c>
      <c r="K745" s="33">
        <f>(Examples!$G$6*Examples!$G$7*Examples!$G$8*EXP(-Examples!$G$9*$A745)*(1-(Examples!$G$12*(1-EXP(-Examples!$G$13*$A745))/(1+EXP(MIN(700,MAX(-700,(Examples!$G$14*$A745-Examples!$G$15)/Examples!$G$16))))))+Examples!$G$17*$A745^2)</f>
        <v>589950.42001188651</v>
      </c>
      <c r="L745" s="33">
        <f>Examples!$H$18-(Examples!$H$10+Examples!$H$11)*$A745-(Examples!$H$6*Examples!$H$7*Examples!$H$8*EXP(-Examples!$H$9*$A745)*(1-(Examples!$H$12*(1-EXP(-Examples!$H$13*$A745))/(1+EXP(MIN(700,MAX(-700,(Examples!$H$14*$A745-Examples!$H$15)/Examples!$H$16))))))+Examples!$H$17*$A745^2)</f>
        <v>538387.91489969427</v>
      </c>
      <c r="M745" s="33">
        <f>(Examples!$H$6*Examples!$H$7*Examples!$H$8*EXP(-Examples!$H$9*$A745)*(1-(Examples!$H$12*(1-EXP(-Examples!$H$13*$A745))/(1+EXP(MIN(700,MAX(-700,(Examples!$H$14*$A745-Examples!$H$15)/Examples!$H$16))))))+Examples!$H$17*$A745^2)</f>
        <v>590112.08510030573</v>
      </c>
    </row>
    <row r="746" spans="1:13" x14ac:dyDescent="0.25">
      <c r="A746">
        <f>(746-2)/100</f>
        <v>7.44</v>
      </c>
      <c r="B746" s="33">
        <f>Examples!$C$18-(Examples!$C$10+Examples!$C$11)*$A746-(Examples!$C$6*Examples!$C$7*Examples!$C$8*EXP(-Examples!$C$9*$A746)*(1-(Examples!$C$12*(1-EXP(-Examples!$C$13*$A746))/(1+EXP(MIN(700,MAX(-700,(Examples!$C$14*$A746-Examples!$C$15)/Examples!$C$16))))))+Examples!$C$17*$A746^2)</f>
        <v>-555092.1527525828</v>
      </c>
      <c r="C746" s="33">
        <f>(Examples!$C$6*Examples!$C$7*Examples!$C$8*EXP(-Examples!$C$9*$A746)*(1-(Examples!$C$12*(1-EXP(-Examples!$C$13*$A746))/(1+EXP(MIN(700,MAX(-700,(Examples!$C$14*$A746-Examples!$C$15)/Examples!$C$16))))))+Examples!$C$17*$A746^2)</f>
        <v>894692.1527525828</v>
      </c>
      <c r="D746" s="33">
        <f>Examples!$D$18-(Examples!$D$10+Examples!$D$11)*$A746-(Examples!$D$6*Examples!$D$7*Examples!$D$8*EXP(-Examples!$D$9*$A746)*(1-(Examples!$D$12*(1-EXP(-Examples!$D$13*$A746))/(1+EXP(MIN(700,MAX(-700,(Examples!$D$14*$A746-Examples!$D$15)/Examples!$D$16))))))+Examples!$D$17*$A746^2)</f>
        <v>1678637.5642701124</v>
      </c>
      <c r="E746" s="33">
        <f>(Examples!$D$6*Examples!$D$7*Examples!$D$8*EXP(-Examples!$D$9*$A746)*(1-(Examples!$D$12*(1-EXP(-Examples!$D$13*$A746))/(1+EXP(MIN(700,MAX(-700,(Examples!$D$14*$A746-Examples!$D$15)/Examples!$D$16))))))+Examples!$D$17*$A746^2)</f>
        <v>486562.43572988757</v>
      </c>
      <c r="F746" s="33">
        <f>Examples!$E$18-(Examples!$E$10+Examples!$E$11)*$A746-(Examples!$E$6*Examples!$E$7*Examples!$E$8*EXP(-Examples!$E$9*$A746)*(1-(Examples!$E$12*(1-EXP(-Examples!$E$13*$A746))/(1+EXP(MIN(700,MAX(-700,(Examples!$E$14*$A746-Examples!$E$15)/Examples!$E$16))))))+Examples!$E$17*$A746^2)</f>
        <v>2142984.8017098876</v>
      </c>
      <c r="G746" s="33">
        <f>(Examples!$E$6*Examples!$E$7*Examples!$E$8*EXP(-Examples!$E$9*$A746)*(1-(Examples!$E$12*(1-EXP(-Examples!$E$13*$A746))/(1+EXP(MIN(700,MAX(-700,(Examples!$E$14*$A746-Examples!$E$15)/Examples!$E$16))))))+Examples!$E$17*$A746^2)</f>
        <v>224615.19829011222</v>
      </c>
      <c r="H746" s="33">
        <f>Examples!$F$18-(Examples!$F$10+Examples!$F$11)*$A746-(Examples!$F$6*Examples!$F$7*Examples!$F$8*EXP(-Examples!$F$9*$A746)*(1-(Examples!$F$12*(1-EXP(-Examples!$F$13*$A746))/(1+EXP(MIN(700,MAX(-700,(Examples!$F$14*$A746-Examples!$F$15)/Examples!$F$16))))))+Examples!$F$17*$A746^2)</f>
        <v>-1107749.9877932926</v>
      </c>
      <c r="I746" s="33">
        <f>(Examples!$F$6*Examples!$F$7*Examples!$F$8*EXP(-Examples!$F$9*$A746)*(1-(Examples!$F$12*(1-EXP(-Examples!$F$13*$A746))/(1+EXP(MIN(700,MAX(-700,(Examples!$F$14*$A746-Examples!$F$15)/Examples!$F$16))))))+Examples!$F$17*$A746^2)</f>
        <v>1108949.9877932926</v>
      </c>
      <c r="J746" s="33">
        <f>Examples!$G$18-(Examples!$G$10+Examples!$G$11)*$A746-(Examples!$G$6*Examples!$G$7*Examples!$G$8*EXP(-Examples!$G$9*$A746)*(1-(Examples!$G$12*(1-EXP(-Examples!$G$13*$A746))/(1+EXP(MIN(700,MAX(-700,(Examples!$G$14*$A746-Examples!$G$15)/Examples!$G$16))))))+Examples!$G$17*$A746^2)</f>
        <v>537376.05068121466</v>
      </c>
      <c r="K746" s="33">
        <f>(Examples!$G$6*Examples!$G$7*Examples!$G$8*EXP(-Examples!$G$9*$A746)*(1-(Examples!$G$12*(1-EXP(-Examples!$G$13*$A746))/(1+EXP(MIN(700,MAX(-700,(Examples!$G$14*$A746-Examples!$G$15)/Examples!$G$16))))))+Examples!$G$17*$A746^2)</f>
        <v>590623.94931878534</v>
      </c>
      <c r="L746" s="33">
        <f>Examples!$H$18-(Examples!$H$10+Examples!$H$11)*$A746-(Examples!$H$6*Examples!$H$7*Examples!$H$8*EXP(-Examples!$H$9*$A746)*(1-(Examples!$H$12*(1-EXP(-Examples!$H$13*$A746))/(1+EXP(MIN(700,MAX(-700,(Examples!$H$14*$A746-Examples!$H$15)/Examples!$H$16))))))+Examples!$H$17*$A746^2)</f>
        <v>537217.06115108554</v>
      </c>
      <c r="M746" s="33">
        <f>(Examples!$H$6*Examples!$H$7*Examples!$H$8*EXP(-Examples!$H$9*$A746)*(1-(Examples!$H$12*(1-EXP(-Examples!$H$13*$A746))/(1+EXP(MIN(700,MAX(-700,(Examples!$H$14*$A746-Examples!$H$15)/Examples!$H$16))))))+Examples!$H$17*$A746^2)</f>
        <v>590782.93884891446</v>
      </c>
    </row>
    <row r="747" spans="1:13" x14ac:dyDescent="0.25">
      <c r="A747">
        <f>(747-2)/100</f>
        <v>7.45</v>
      </c>
      <c r="B747" s="33">
        <f>Examples!$C$18-(Examples!$C$10+Examples!$C$11)*$A747-(Examples!$C$6*Examples!$C$7*Examples!$C$8*EXP(-Examples!$C$9*$A747)*(1-(Examples!$C$12*(1-EXP(-Examples!$C$13*$A747))/(1+EXP(MIN(700,MAX(-700,(Examples!$C$14*$A747-Examples!$C$15)/Examples!$C$16))))))+Examples!$C$17*$A747^2)</f>
        <v>-557482.77775670774</v>
      </c>
      <c r="C747" s="33">
        <f>(Examples!$C$6*Examples!$C$7*Examples!$C$8*EXP(-Examples!$C$9*$A747)*(1-(Examples!$C$12*(1-EXP(-Examples!$C$13*$A747))/(1+EXP(MIN(700,MAX(-700,(Examples!$C$14*$A747-Examples!$C$15)/Examples!$C$16))))))+Examples!$C$17*$A747^2)</f>
        <v>896732.77775670774</v>
      </c>
      <c r="D747" s="33">
        <f>Examples!$D$18-(Examples!$D$10+Examples!$D$11)*$A747-(Examples!$D$6*Examples!$D$7*Examples!$D$8*EXP(-Examples!$D$9*$A747)*(1-(Examples!$D$12*(1-EXP(-Examples!$D$13*$A747))/(1+EXP(MIN(700,MAX(-700,(Examples!$D$14*$A747-Examples!$D$15)/Examples!$D$16))))))+Examples!$D$17*$A747^2)</f>
        <v>1678370.2620282522</v>
      </c>
      <c r="E747" s="33">
        <f>(Examples!$D$6*Examples!$D$7*Examples!$D$8*EXP(-Examples!$D$9*$A747)*(1-(Examples!$D$12*(1-EXP(-Examples!$D$13*$A747))/(1+EXP(MIN(700,MAX(-700,(Examples!$D$14*$A747-Examples!$D$15)/Examples!$D$16))))))+Examples!$D$17*$A747^2)</f>
        <v>486379.73797174776</v>
      </c>
      <c r="F747" s="33">
        <f>Examples!$E$18-(Examples!$E$10+Examples!$E$11)*$A747-(Examples!$E$6*Examples!$E$7*Examples!$E$8*EXP(-Examples!$E$9*$A747)*(1-(Examples!$E$12*(1-EXP(-Examples!$E$13*$A747))/(1+EXP(MIN(700,MAX(-700,(Examples!$E$14*$A747-Examples!$E$15)/Examples!$E$16))))))+Examples!$E$17*$A747^2)</f>
        <v>2141932.6102313637</v>
      </c>
      <c r="G747" s="33">
        <f>(Examples!$E$6*Examples!$E$7*Examples!$E$8*EXP(-Examples!$E$9*$A747)*(1-(Examples!$E$12*(1-EXP(-Examples!$E$13*$A747))/(1+EXP(MIN(700,MAX(-700,(Examples!$E$14*$A747-Examples!$E$15)/Examples!$E$16))))))+Examples!$E$17*$A747^2)</f>
        <v>224817.38976863649</v>
      </c>
      <c r="H747" s="33">
        <f>Examples!$F$18-(Examples!$F$10+Examples!$F$11)*$A747-(Examples!$F$6*Examples!$F$7*Examples!$F$8*EXP(-Examples!$F$9*$A747)*(1-(Examples!$F$12*(1-EXP(-Examples!$F$13*$A747))/(1+EXP(MIN(700,MAX(-700,(Examples!$F$14*$A747-Examples!$F$15)/Examples!$F$16))))))+Examples!$F$17*$A747^2)</f>
        <v>-1110922.3622724137</v>
      </c>
      <c r="I747" s="33">
        <f>(Examples!$F$6*Examples!$F$7*Examples!$F$8*EXP(-Examples!$F$9*$A747)*(1-(Examples!$F$12*(1-EXP(-Examples!$F$13*$A747))/(1+EXP(MIN(700,MAX(-700,(Examples!$F$14*$A747-Examples!$F$15)/Examples!$F$16))))))+Examples!$F$17*$A747^2)</f>
        <v>1111922.3622724137</v>
      </c>
      <c r="J747" s="33">
        <f>Examples!$G$18-(Examples!$G$10+Examples!$G$11)*$A747-(Examples!$G$6*Examples!$G$7*Examples!$G$8*EXP(-Examples!$G$9*$A747)*(1-(Examples!$G$12*(1-EXP(-Examples!$G$13*$A747))/(1+EXP(MIN(700,MAX(-700,(Examples!$G$14*$A747-Examples!$G$15)/Examples!$G$16))))))+Examples!$G$17*$A747^2)</f>
        <v>536199.15309115767</v>
      </c>
      <c r="K747" s="33">
        <f>(Examples!$G$6*Examples!$G$7*Examples!$G$8*EXP(-Examples!$G$9*$A747)*(1-(Examples!$G$12*(1-EXP(-Examples!$G$13*$A747))/(1+EXP(MIN(700,MAX(-700,(Examples!$G$14*$A747-Examples!$G$15)/Examples!$G$16))))))+Examples!$G$17*$A747^2)</f>
        <v>591300.84690884233</v>
      </c>
      <c r="L747" s="33">
        <f>Examples!$H$18-(Examples!$H$10+Examples!$H$11)*$A747-(Examples!$H$6*Examples!$H$7*Examples!$H$8*EXP(-Examples!$H$9*$A747)*(1-(Examples!$H$12*(1-EXP(-Examples!$H$13*$A747))/(1+EXP(MIN(700,MAX(-700,(Examples!$H$14*$A747-Examples!$H$15)/Examples!$H$16))))))+Examples!$H$17*$A747^2)</f>
        <v>536042.79498193308</v>
      </c>
      <c r="M747" s="33">
        <f>(Examples!$H$6*Examples!$H$7*Examples!$H$8*EXP(-Examples!$H$9*$A747)*(1-(Examples!$H$12*(1-EXP(-Examples!$H$13*$A747))/(1+EXP(MIN(700,MAX(-700,(Examples!$H$14*$A747-Examples!$H$15)/Examples!$H$16))))))+Examples!$H$17*$A747^2)</f>
        <v>591457.20501806692</v>
      </c>
    </row>
    <row r="748" spans="1:13" x14ac:dyDescent="0.25">
      <c r="A748">
        <f>(748-2)/100</f>
        <v>7.46</v>
      </c>
      <c r="B748" s="33">
        <f>Examples!$C$18-(Examples!$C$10+Examples!$C$11)*$A748-(Examples!$C$6*Examples!$C$7*Examples!$C$8*EXP(-Examples!$C$9*$A748)*(1-(Examples!$C$12*(1-EXP(-Examples!$C$13*$A748))/(1+EXP(MIN(700,MAX(-700,(Examples!$C$14*$A748-Examples!$C$15)/Examples!$C$16))))))+Examples!$C$17*$A748^2)</f>
        <v>-559876.9805185647</v>
      </c>
      <c r="C748" s="33">
        <f>(Examples!$C$6*Examples!$C$7*Examples!$C$8*EXP(-Examples!$C$9*$A748)*(1-(Examples!$C$12*(1-EXP(-Examples!$C$13*$A748))/(1+EXP(MIN(700,MAX(-700,(Examples!$C$14*$A748-Examples!$C$15)/Examples!$C$16))))))+Examples!$C$17*$A748^2)</f>
        <v>898776.9805185647</v>
      </c>
      <c r="D748" s="33">
        <f>Examples!$D$18-(Examples!$D$10+Examples!$D$11)*$A748-(Examples!$D$6*Examples!$D$7*Examples!$D$8*EXP(-Examples!$D$9*$A748)*(1-(Examples!$D$12*(1-EXP(-Examples!$D$13*$A748))/(1+EXP(MIN(700,MAX(-700,(Examples!$D$14*$A748-Examples!$D$15)/Examples!$D$16))))))+Examples!$D$17*$A748^2)</f>
        <v>1678098.0533467769</v>
      </c>
      <c r="E748" s="33">
        <f>(Examples!$D$6*Examples!$D$7*Examples!$D$8*EXP(-Examples!$D$9*$A748)*(1-(Examples!$D$12*(1-EXP(-Examples!$D$13*$A748))/(1+EXP(MIN(700,MAX(-700,(Examples!$D$14*$A748-Examples!$D$15)/Examples!$D$16))))))+Examples!$D$17*$A748^2)</f>
        <v>486201.94665322301</v>
      </c>
      <c r="F748" s="33">
        <f>Examples!$E$18-(Examples!$E$10+Examples!$E$11)*$A748-(Examples!$E$6*Examples!$E$7*Examples!$E$8*EXP(-Examples!$E$9*$A748)*(1-(Examples!$E$12*(1-EXP(-Examples!$E$13*$A748))/(1+EXP(MIN(700,MAX(-700,(Examples!$E$14*$A748-Examples!$E$15)/Examples!$E$16))))))+Examples!$E$17*$A748^2)</f>
        <v>2140879.1165413391</v>
      </c>
      <c r="G748" s="33">
        <f>(Examples!$E$6*Examples!$E$7*Examples!$E$8*EXP(-Examples!$E$9*$A748)*(1-(Examples!$E$12*(1-EXP(-Examples!$E$13*$A748))/(1+EXP(MIN(700,MAX(-700,(Examples!$E$14*$A748-Examples!$E$15)/Examples!$E$16))))))+Examples!$E$17*$A748^2)</f>
        <v>225020.88345866077</v>
      </c>
      <c r="H748" s="33">
        <f>Examples!$F$18-(Examples!$F$10+Examples!$F$11)*$A748-(Examples!$F$6*Examples!$F$7*Examples!$F$8*EXP(-Examples!$F$9*$A748)*(1-(Examples!$F$12*(1-EXP(-Examples!$F$13*$A748))/(1+EXP(MIN(700,MAX(-700,(Examples!$F$14*$A748-Examples!$F$15)/Examples!$F$16))))))+Examples!$F$17*$A748^2)</f>
        <v>-1114098.7536028079</v>
      </c>
      <c r="I748" s="33">
        <f>(Examples!$F$6*Examples!$F$7*Examples!$F$8*EXP(-Examples!$F$9*$A748)*(1-(Examples!$F$12*(1-EXP(-Examples!$F$13*$A748))/(1+EXP(MIN(700,MAX(-700,(Examples!$F$14*$A748-Examples!$F$15)/Examples!$F$16))))))+Examples!$F$17*$A748^2)</f>
        <v>1114898.7536028079</v>
      </c>
      <c r="J748" s="33">
        <f>Examples!$G$18-(Examples!$G$10+Examples!$G$11)*$A748-(Examples!$G$6*Examples!$G$7*Examples!$G$8*EXP(-Examples!$G$9*$A748)*(1-(Examples!$G$12*(1-EXP(-Examples!$G$13*$A748))/(1+EXP(MIN(700,MAX(-700,(Examples!$G$14*$A748-Examples!$G$15)/Examples!$G$16))))))+Examples!$G$17*$A748^2)</f>
        <v>535018.89282508206</v>
      </c>
      <c r="K748" s="33">
        <f>(Examples!$G$6*Examples!$G$7*Examples!$G$8*EXP(-Examples!$G$9*$A748)*(1-(Examples!$G$12*(1-EXP(-Examples!$G$13*$A748))/(1+EXP(MIN(700,MAX(-700,(Examples!$G$14*$A748-Examples!$G$15)/Examples!$G$16))))))+Examples!$G$17*$A748^2)</f>
        <v>591981.10717491794</v>
      </c>
      <c r="L748" s="33">
        <f>Examples!$H$18-(Examples!$H$10+Examples!$H$11)*$A748-(Examples!$H$6*Examples!$H$7*Examples!$H$8*EXP(-Examples!$H$9*$A748)*(1-(Examples!$H$12*(1-EXP(-Examples!$H$13*$A748))/(1+EXP(MIN(700,MAX(-700,(Examples!$H$14*$A748-Examples!$H$15)/Examples!$H$16))))))+Examples!$H$17*$A748^2)</f>
        <v>534865.12272400549</v>
      </c>
      <c r="M748" s="33">
        <f>(Examples!$H$6*Examples!$H$7*Examples!$H$8*EXP(-Examples!$H$9*$A748)*(1-(Examples!$H$12*(1-EXP(-Examples!$H$13*$A748))/(1+EXP(MIN(700,MAX(-700,(Examples!$H$14*$A748-Examples!$H$15)/Examples!$H$16))))))+Examples!$H$17*$A748^2)</f>
        <v>592134.87727599451</v>
      </c>
    </row>
    <row r="749" spans="1:13" x14ac:dyDescent="0.25">
      <c r="A749">
        <f>(749-2)/100</f>
        <v>7.47</v>
      </c>
      <c r="B749" s="33">
        <f>Examples!$C$18-(Examples!$C$10+Examples!$C$11)*$A749-(Examples!$C$6*Examples!$C$7*Examples!$C$8*EXP(-Examples!$C$9*$A749)*(1-(Examples!$C$12*(1-EXP(-Examples!$C$13*$A749))/(1+EXP(MIN(700,MAX(-700,(Examples!$C$14*$A749-Examples!$C$15)/Examples!$C$16))))))+Examples!$C$17*$A749^2)</f>
        <v>-562274.75930748484</v>
      </c>
      <c r="C749" s="33">
        <f>(Examples!$C$6*Examples!$C$7*Examples!$C$8*EXP(-Examples!$C$9*$A749)*(1-(Examples!$C$12*(1-EXP(-Examples!$C$13*$A749))/(1+EXP(MIN(700,MAX(-700,(Examples!$C$14*$A749-Examples!$C$15)/Examples!$C$16))))))+Examples!$C$17*$A749^2)</f>
        <v>900824.75930748484</v>
      </c>
      <c r="D749" s="33">
        <f>Examples!$D$18-(Examples!$D$10+Examples!$D$11)*$A749-(Examples!$D$6*Examples!$D$7*Examples!$D$8*EXP(-Examples!$D$9*$A749)*(1-(Examples!$D$12*(1-EXP(-Examples!$D$13*$A749))/(1+EXP(MIN(700,MAX(-700,(Examples!$D$14*$A749-Examples!$D$15)/Examples!$D$16))))))+Examples!$D$17*$A749^2)</f>
        <v>1677820.9513486088</v>
      </c>
      <c r="E749" s="33">
        <f>(Examples!$D$6*Examples!$D$7*Examples!$D$8*EXP(-Examples!$D$9*$A749)*(1-(Examples!$D$12*(1-EXP(-Examples!$D$13*$A749))/(1+EXP(MIN(700,MAX(-700,(Examples!$D$14*$A749-Examples!$D$15)/Examples!$D$16))))))+Examples!$D$17*$A749^2)</f>
        <v>486029.04865139106</v>
      </c>
      <c r="F749" s="33">
        <f>Examples!$E$18-(Examples!$E$10+Examples!$E$11)*$A749-(Examples!$E$6*Examples!$E$7*Examples!$E$8*EXP(-Examples!$E$9*$A749)*(1-(Examples!$E$12*(1-EXP(-Examples!$E$13*$A749))/(1+EXP(MIN(700,MAX(-700,(Examples!$E$14*$A749-Examples!$E$15)/Examples!$E$16))))))+Examples!$E$17*$A749^2)</f>
        <v>2139824.3191857524</v>
      </c>
      <c r="G749" s="33">
        <f>(Examples!$E$6*Examples!$E$7*Examples!$E$8*EXP(-Examples!$E$9*$A749)*(1-(Examples!$E$12*(1-EXP(-Examples!$E$13*$A749))/(1+EXP(MIN(700,MAX(-700,(Examples!$E$14*$A749-Examples!$E$15)/Examples!$E$16))))))+Examples!$E$17*$A749^2)</f>
        <v>225225.68081424755</v>
      </c>
      <c r="H749" s="33">
        <f>Examples!$F$18-(Examples!$F$10+Examples!$F$11)*$A749-(Examples!$F$6*Examples!$F$7*Examples!$F$8*EXP(-Examples!$F$9*$A749)*(1-(Examples!$F$12*(1-EXP(-Examples!$F$13*$A749))/(1+EXP(MIN(700,MAX(-700,(Examples!$F$14*$A749-Examples!$F$15)/Examples!$F$16))))))+Examples!$F$17*$A749^2)</f>
        <v>-1117279.1617339973</v>
      </c>
      <c r="I749" s="33">
        <f>(Examples!$F$6*Examples!$F$7*Examples!$F$8*EXP(-Examples!$F$9*$A749)*(1-(Examples!$F$12*(1-EXP(-Examples!$F$13*$A749))/(1+EXP(MIN(700,MAX(-700,(Examples!$F$14*$A749-Examples!$F$15)/Examples!$F$16))))))+Examples!$F$17*$A749^2)</f>
        <v>1117879.1617339973</v>
      </c>
      <c r="J749" s="33">
        <f>Examples!$G$18-(Examples!$G$10+Examples!$G$11)*$A749-(Examples!$G$6*Examples!$G$7*Examples!$G$8*EXP(-Examples!$G$9*$A749)*(1-(Examples!$G$12*(1-EXP(-Examples!$G$13*$A749))/(1+EXP(MIN(700,MAX(-700,(Examples!$G$14*$A749-Examples!$G$15)/Examples!$G$16))))))+Examples!$G$17*$A749^2)</f>
        <v>533835.27547983546</v>
      </c>
      <c r="K749" s="33">
        <f>(Examples!$G$6*Examples!$G$7*Examples!$G$8*EXP(-Examples!$G$9*$A749)*(1-(Examples!$G$12*(1-EXP(-Examples!$G$13*$A749))/(1+EXP(MIN(700,MAX(-700,(Examples!$G$14*$A749-Examples!$G$15)/Examples!$G$16))))))+Examples!$G$17*$A749^2)</f>
        <v>592664.72452016454</v>
      </c>
      <c r="L749" s="33">
        <f>Examples!$H$18-(Examples!$H$10+Examples!$H$11)*$A749-(Examples!$H$6*Examples!$H$7*Examples!$H$8*EXP(-Examples!$H$9*$A749)*(1-(Examples!$H$12*(1-EXP(-Examples!$H$13*$A749))/(1+EXP(MIN(700,MAX(-700,(Examples!$H$14*$A749-Examples!$H$15)/Examples!$H$16))))))+Examples!$H$17*$A749^2)</f>
        <v>533684.05068697024</v>
      </c>
      <c r="M749" s="33">
        <f>(Examples!$H$6*Examples!$H$7*Examples!$H$8*EXP(-Examples!$H$9*$A749)*(1-(Examples!$H$12*(1-EXP(-Examples!$H$13*$A749))/(1+EXP(MIN(700,MAX(-700,(Examples!$H$14*$A749-Examples!$H$15)/Examples!$H$16))))))+Examples!$H$17*$A749^2)</f>
        <v>592815.94931302976</v>
      </c>
    </row>
    <row r="750" spans="1:13" x14ac:dyDescent="0.25">
      <c r="A750">
        <f>(750-2)/100</f>
        <v>7.48</v>
      </c>
      <c r="B750" s="33">
        <f>Examples!$C$18-(Examples!$C$10+Examples!$C$11)*$A750-(Examples!$C$6*Examples!$C$7*Examples!$C$8*EXP(-Examples!$C$9*$A750)*(1-(Examples!$C$12*(1-EXP(-Examples!$C$13*$A750))/(1+EXP(MIN(700,MAX(-700,(Examples!$C$14*$A750-Examples!$C$15)/Examples!$C$16))))))+Examples!$C$17*$A750^2)</f>
        <v>-564676.11239798251</v>
      </c>
      <c r="C750" s="33">
        <f>(Examples!$C$6*Examples!$C$7*Examples!$C$8*EXP(-Examples!$C$9*$A750)*(1-(Examples!$C$12*(1-EXP(-Examples!$C$13*$A750))/(1+EXP(MIN(700,MAX(-700,(Examples!$C$14*$A750-Examples!$C$15)/Examples!$C$16))))))+Examples!$C$17*$A750^2)</f>
        <v>902876.11239798251</v>
      </c>
      <c r="D750" s="33">
        <f>Examples!$D$18-(Examples!$D$10+Examples!$D$11)*$A750-(Examples!$D$6*Examples!$D$7*Examples!$D$8*EXP(-Examples!$D$9*$A750)*(1-(Examples!$D$12*(1-EXP(-Examples!$D$13*$A750))/(1+EXP(MIN(700,MAX(-700,(Examples!$D$14*$A750-Examples!$D$15)/Examples!$D$16))))))+Examples!$D$17*$A750^2)</f>
        <v>1677538.9691724735</v>
      </c>
      <c r="E750" s="33">
        <f>(Examples!$D$6*Examples!$D$7*Examples!$D$8*EXP(-Examples!$D$9*$A750)*(1-(Examples!$D$12*(1-EXP(-Examples!$D$13*$A750))/(1+EXP(MIN(700,MAX(-700,(Examples!$D$14*$A750-Examples!$D$15)/Examples!$D$16))))))+Examples!$D$17*$A750^2)</f>
        <v>485861.03082752659</v>
      </c>
      <c r="F750" s="33">
        <f>Examples!$E$18-(Examples!$E$10+Examples!$E$11)*$A750-(Examples!$E$6*Examples!$E$7*Examples!$E$8*EXP(-Examples!$E$9*$A750)*(1-(Examples!$E$12*(1-EXP(-Examples!$E$13*$A750))/(1+EXP(MIN(700,MAX(-700,(Examples!$E$14*$A750-Examples!$E$15)/Examples!$E$16))))))+Examples!$E$17*$A750^2)</f>
        <v>2138768.2167529576</v>
      </c>
      <c r="G750" s="33">
        <f>(Examples!$E$6*Examples!$E$7*Examples!$E$8*EXP(-Examples!$E$9*$A750)*(1-(Examples!$E$12*(1-EXP(-Examples!$E$13*$A750))/(1+EXP(MIN(700,MAX(-700,(Examples!$E$14*$A750-Examples!$E$15)/Examples!$E$16))))))+Examples!$E$17*$A750^2)</f>
        <v>225431.78324704248</v>
      </c>
      <c r="H750" s="33">
        <f>Examples!$F$18-(Examples!$F$10+Examples!$F$11)*$A750-(Examples!$F$6*Examples!$F$7*Examples!$F$8*EXP(-Examples!$F$9*$A750)*(1-(Examples!$F$12*(1-EXP(-Examples!$F$13*$A750))/(1+EXP(MIN(700,MAX(-700,(Examples!$F$14*$A750-Examples!$F$15)/Examples!$F$16))))))+Examples!$F$17*$A750^2)</f>
        <v>-1120463.5866156549</v>
      </c>
      <c r="I750" s="33">
        <f>(Examples!$F$6*Examples!$F$7*Examples!$F$8*EXP(-Examples!$F$9*$A750)*(1-(Examples!$F$12*(1-EXP(-Examples!$F$13*$A750))/(1+EXP(MIN(700,MAX(-700,(Examples!$F$14*$A750-Examples!$F$15)/Examples!$F$16))))))+Examples!$F$17*$A750^2)</f>
        <v>1120863.5866156549</v>
      </c>
      <c r="J750" s="33">
        <f>Examples!$G$18-(Examples!$G$10+Examples!$G$11)*$A750-(Examples!$G$6*Examples!$G$7*Examples!$G$8*EXP(-Examples!$G$9*$A750)*(1-(Examples!$G$12*(1-EXP(-Examples!$G$13*$A750))/(1+EXP(MIN(700,MAX(-700,(Examples!$G$14*$A750-Examples!$G$15)/Examples!$G$16))))))+Examples!$G$17*$A750^2)</f>
        <v>532648.30664186063</v>
      </c>
      <c r="K750" s="33">
        <f>(Examples!$G$6*Examples!$G$7*Examples!$G$8*EXP(-Examples!$G$9*$A750)*(1-(Examples!$G$12*(1-EXP(-Examples!$G$13*$A750))/(1+EXP(MIN(700,MAX(-700,(Examples!$G$14*$A750-Examples!$G$15)/Examples!$G$16))))))+Examples!$G$17*$A750^2)</f>
        <v>593351.69335813937</v>
      </c>
      <c r="L750" s="33">
        <f>Examples!$H$18-(Examples!$H$10+Examples!$H$11)*$A750-(Examples!$H$6*Examples!$H$7*Examples!$H$8*EXP(-Examples!$H$9*$A750)*(1-(Examples!$H$12*(1-EXP(-Examples!$H$13*$A750))/(1+EXP(MIN(700,MAX(-700,(Examples!$H$14*$A750-Examples!$H$15)/Examples!$H$16))))))+Examples!$H$17*$A750^2)</f>
        <v>532499.5851584702</v>
      </c>
      <c r="M750" s="33">
        <f>(Examples!$H$6*Examples!$H$7*Examples!$H$8*EXP(-Examples!$H$9*$A750)*(1-(Examples!$H$12*(1-EXP(-Examples!$H$13*$A750))/(1+EXP(MIN(700,MAX(-700,(Examples!$H$14*$A750-Examples!$H$15)/Examples!$H$16))))))+Examples!$H$17*$A750^2)</f>
        <v>593500.4148415298</v>
      </c>
    </row>
    <row r="751" spans="1:13" x14ac:dyDescent="0.25">
      <c r="A751">
        <f>(751-2)/100</f>
        <v>7.49</v>
      </c>
      <c r="B751" s="33">
        <f>Examples!$C$18-(Examples!$C$10+Examples!$C$11)*$A751-(Examples!$C$6*Examples!$C$7*Examples!$C$8*EXP(-Examples!$C$9*$A751)*(1-(Examples!$C$12*(1-EXP(-Examples!$C$13*$A751))/(1+EXP(MIN(700,MAX(-700,(Examples!$C$14*$A751-Examples!$C$15)/Examples!$C$16))))))+Examples!$C$17*$A751^2)</f>
        <v>-567081.03806974087</v>
      </c>
      <c r="C751" s="33">
        <f>(Examples!$C$6*Examples!$C$7*Examples!$C$8*EXP(-Examples!$C$9*$A751)*(1-(Examples!$C$12*(1-EXP(-Examples!$C$13*$A751))/(1+EXP(MIN(700,MAX(-700,(Examples!$C$14*$A751-Examples!$C$15)/Examples!$C$16))))))+Examples!$C$17*$A751^2)</f>
        <v>904931.03806974087</v>
      </c>
      <c r="D751" s="33">
        <f>Examples!$D$18-(Examples!$D$10+Examples!$D$11)*$A751-(Examples!$D$6*Examples!$D$7*Examples!$D$8*EXP(-Examples!$D$9*$A751)*(1-(Examples!$D$12*(1-EXP(-Examples!$D$13*$A751))/(1+EXP(MIN(700,MAX(-700,(Examples!$D$14*$A751-Examples!$D$15)/Examples!$D$16))))))+Examples!$D$17*$A751^2)</f>
        <v>1677252.1199716008</v>
      </c>
      <c r="E751" s="33">
        <f>(Examples!$D$6*Examples!$D$7*Examples!$D$8*EXP(-Examples!$D$9*$A751)*(1-(Examples!$D$12*(1-EXP(-Examples!$D$13*$A751))/(1+EXP(MIN(700,MAX(-700,(Examples!$D$14*$A751-Examples!$D$15)/Examples!$D$16))))))+Examples!$D$17*$A751^2)</f>
        <v>485697.88002839917</v>
      </c>
      <c r="F751" s="33">
        <f>Examples!$E$18-(Examples!$E$10+Examples!$E$11)*$A751-(Examples!$E$6*Examples!$E$7*Examples!$E$8*EXP(-Examples!$E$9*$A751)*(1-(Examples!$E$12*(1-EXP(-Examples!$E$13*$A751))/(1+EXP(MIN(700,MAX(-700,(Examples!$E$14*$A751-Examples!$E$15)/Examples!$E$16))))))+Examples!$E$17*$A751^2)</f>
        <v>2137710.8078734949</v>
      </c>
      <c r="G751" s="33">
        <f>(Examples!$E$6*Examples!$E$7*Examples!$E$8*EXP(-Examples!$E$9*$A751)*(1-(Examples!$E$12*(1-EXP(-Examples!$E$13*$A751))/(1+EXP(MIN(700,MAX(-700,(Examples!$E$14*$A751-Examples!$E$15)/Examples!$E$16))))))+Examples!$E$17*$A751^2)</f>
        <v>225639.19212650528</v>
      </c>
      <c r="H751" s="33">
        <f>Examples!$F$18-(Examples!$F$10+Examples!$F$11)*$A751-(Examples!$F$6*Examples!$F$7*Examples!$F$8*EXP(-Examples!$F$9*$A751)*(1-(Examples!$F$12*(1-EXP(-Examples!$F$13*$A751))/(1+EXP(MIN(700,MAX(-700,(Examples!$F$14*$A751-Examples!$F$15)/Examples!$F$16))))))+Examples!$F$17*$A751^2)</f>
        <v>-1123652.0281976042</v>
      </c>
      <c r="I751" s="33">
        <f>(Examples!$F$6*Examples!$F$7*Examples!$F$8*EXP(-Examples!$F$9*$A751)*(1-(Examples!$F$12*(1-EXP(-Examples!$F$13*$A751))/(1+EXP(MIN(700,MAX(-700,(Examples!$F$14*$A751-Examples!$F$15)/Examples!$F$16))))))+Examples!$F$17*$A751^2)</f>
        <v>1123852.0281976042</v>
      </c>
      <c r="J751" s="33">
        <f>Examples!$G$18-(Examples!$G$10+Examples!$G$11)*$A751-(Examples!$G$6*Examples!$G$7*Examples!$G$8*EXP(-Examples!$G$9*$A751)*(1-(Examples!$G$12*(1-EXP(-Examples!$G$13*$A751))/(1+EXP(MIN(700,MAX(-700,(Examples!$G$14*$A751-Examples!$G$15)/Examples!$G$16))))))+Examples!$G$17*$A751^2)</f>
        <v>531457.99188708339</v>
      </c>
      <c r="K751" s="33">
        <f>(Examples!$G$6*Examples!$G$7*Examples!$G$8*EXP(-Examples!$G$9*$A751)*(1-(Examples!$G$12*(1-EXP(-Examples!$G$13*$A751))/(1+EXP(MIN(700,MAX(-700,(Examples!$G$14*$A751-Examples!$G$15)/Examples!$G$16))))))+Examples!$G$17*$A751^2)</f>
        <v>594042.00811291661</v>
      </c>
      <c r="L751" s="33">
        <f>Examples!$H$18-(Examples!$H$10+Examples!$H$11)*$A751-(Examples!$H$6*Examples!$H$7*Examples!$H$8*EXP(-Examples!$H$9*$A751)*(1-(Examples!$H$12*(1-EXP(-Examples!$H$13*$A751))/(1+EXP(MIN(700,MAX(-700,(Examples!$H$14*$A751-Examples!$H$15)/Examples!$H$16))))))+Examples!$H$17*$A751^2)</f>
        <v>531311.73240419989</v>
      </c>
      <c r="M751" s="33">
        <f>(Examples!$H$6*Examples!$H$7*Examples!$H$8*EXP(-Examples!$H$9*$A751)*(1-(Examples!$H$12*(1-EXP(-Examples!$H$13*$A751))/(1+EXP(MIN(700,MAX(-700,(Examples!$H$14*$A751-Examples!$H$15)/Examples!$H$16))))))+Examples!$H$17*$A751^2)</f>
        <v>594188.26759580011</v>
      </c>
    </row>
    <row r="752" spans="1:13" x14ac:dyDescent="0.25">
      <c r="A752">
        <f>(752-2)/100</f>
        <v>7.5</v>
      </c>
      <c r="B752" s="33">
        <f>Examples!$C$18-(Examples!$C$10+Examples!$C$11)*$A752-(Examples!$C$6*Examples!$C$7*Examples!$C$8*EXP(-Examples!$C$9*$A752)*(1-(Examples!$C$12*(1-EXP(-Examples!$C$13*$A752))/(1+EXP(MIN(700,MAX(-700,(Examples!$C$14*$A752-Examples!$C$15)/Examples!$C$16))))))+Examples!$C$17*$A752^2)</f>
        <v>-569489.53460759588</v>
      </c>
      <c r="C752" s="33">
        <f>(Examples!$C$6*Examples!$C$7*Examples!$C$8*EXP(-Examples!$C$9*$A752)*(1-(Examples!$C$12*(1-EXP(-Examples!$C$13*$A752))/(1+EXP(MIN(700,MAX(-700,(Examples!$C$14*$A752-Examples!$C$15)/Examples!$C$16))))))+Examples!$C$17*$A752^2)</f>
        <v>906989.53460759588</v>
      </c>
      <c r="D752" s="33">
        <f>Examples!$D$18-(Examples!$D$10+Examples!$D$11)*$A752-(Examples!$D$6*Examples!$D$7*Examples!$D$8*EXP(-Examples!$D$9*$A752)*(1-(Examples!$D$12*(1-EXP(-Examples!$D$13*$A752))/(1+EXP(MIN(700,MAX(-700,(Examples!$D$14*$A752-Examples!$D$15)/Examples!$D$16))))))+Examples!$D$17*$A752^2)</f>
        <v>1676960.4169124551</v>
      </c>
      <c r="E752" s="33">
        <f>(Examples!$D$6*Examples!$D$7*Examples!$D$8*EXP(-Examples!$D$9*$A752)*(1-(Examples!$D$12*(1-EXP(-Examples!$D$13*$A752))/(1+EXP(MIN(700,MAX(-700,(Examples!$D$14*$A752-Examples!$D$15)/Examples!$D$16))))))+Examples!$D$17*$A752^2)</f>
        <v>485539.58308754489</v>
      </c>
      <c r="F752" s="33">
        <f>Examples!$E$18-(Examples!$E$10+Examples!$E$11)*$A752-(Examples!$E$6*Examples!$E$7*Examples!$E$8*EXP(-Examples!$E$9*$A752)*(1-(Examples!$E$12*(1-EXP(-Examples!$E$13*$A752))/(1+EXP(MIN(700,MAX(-700,(Examples!$E$14*$A752-Examples!$E$15)/Examples!$E$16))))))+Examples!$E$17*$A752^2)</f>
        <v>2136652.0912198545</v>
      </c>
      <c r="G752" s="33">
        <f>(Examples!$E$6*Examples!$E$7*Examples!$E$8*EXP(-Examples!$E$9*$A752)*(1-(Examples!$E$12*(1-EXP(-Examples!$E$13*$A752))/(1+EXP(MIN(700,MAX(-700,(Examples!$E$14*$A752-Examples!$E$15)/Examples!$E$16))))))+Examples!$E$17*$A752^2)</f>
        <v>225847.90878014537</v>
      </c>
      <c r="H752" s="33">
        <f>Examples!$F$18-(Examples!$F$10+Examples!$F$11)*$A752-(Examples!$F$6*Examples!$F$7*Examples!$F$8*EXP(-Examples!$F$9*$A752)*(1-(Examples!$F$12*(1-EXP(-Examples!$F$13*$A752))/(1+EXP(MIN(700,MAX(-700,(Examples!$F$14*$A752-Examples!$F$15)/Examples!$F$16))))))+Examples!$F$17*$A752^2)</f>
        <v>-1126844.4864298198</v>
      </c>
      <c r="I752" s="33">
        <f>(Examples!$F$6*Examples!$F$7*Examples!$F$8*EXP(-Examples!$F$9*$A752)*(1-(Examples!$F$12*(1-EXP(-Examples!$F$13*$A752))/(1+EXP(MIN(700,MAX(-700,(Examples!$F$14*$A752-Examples!$F$15)/Examples!$F$16))))))+Examples!$F$17*$A752^2)</f>
        <v>1126844.4864298198</v>
      </c>
      <c r="J752" s="33">
        <f>Examples!$G$18-(Examples!$G$10+Examples!$G$11)*$A752-(Examples!$G$6*Examples!$G$7*Examples!$G$8*EXP(-Examples!$G$9*$A752)*(1-(Examples!$G$12*(1-EXP(-Examples!$G$13*$A752))/(1+EXP(MIN(700,MAX(-700,(Examples!$G$14*$A752-Examples!$G$15)/Examples!$G$16))))))+Examples!$G$17*$A752^2)</f>
        <v>530264.33678080526</v>
      </c>
      <c r="K752" s="33">
        <f>(Examples!$G$6*Examples!$G$7*Examples!$G$8*EXP(-Examples!$G$9*$A752)*(1-(Examples!$G$12*(1-EXP(-Examples!$G$13*$A752))/(1+EXP(MIN(700,MAX(-700,(Examples!$G$14*$A752-Examples!$G$15)/Examples!$G$16))))))+Examples!$G$17*$A752^2)</f>
        <v>594735.66321919474</v>
      </c>
      <c r="L752" s="33">
        <f>Examples!$H$18-(Examples!$H$10+Examples!$H$11)*$A752-(Examples!$H$6*Examples!$H$7*Examples!$H$8*EXP(-Examples!$H$9*$A752)*(1-(Examples!$H$12*(1-EXP(-Examples!$H$13*$A752))/(1+EXP(MIN(700,MAX(-700,(Examples!$H$14*$A752-Examples!$H$15)/Examples!$H$16))))))+Examples!$H$17*$A752^2)</f>
        <v>530120.49866798136</v>
      </c>
      <c r="M752" s="33">
        <f>(Examples!$H$6*Examples!$H$7*Examples!$H$8*EXP(-Examples!$H$9*$A752)*(1-(Examples!$H$12*(1-EXP(-Examples!$H$13*$A752))/(1+EXP(MIN(700,MAX(-700,(Examples!$H$14*$A752-Examples!$H$15)/Examples!$H$16))))))+Examples!$H$17*$A752^2)</f>
        <v>594879.50133201864</v>
      </c>
    </row>
    <row r="753" spans="1:13" x14ac:dyDescent="0.25">
      <c r="A753">
        <f>(753-2)/100</f>
        <v>7.51</v>
      </c>
      <c r="B753" s="33">
        <f>Examples!$C$18-(Examples!$C$10+Examples!$C$11)*$A753-(Examples!$C$6*Examples!$C$7*Examples!$C$8*EXP(-Examples!$C$9*$A753)*(1-(Examples!$C$12*(1-EXP(-Examples!$C$13*$A753))/(1+EXP(MIN(700,MAX(-700,(Examples!$C$14*$A753-Examples!$C$15)/Examples!$C$16))))))+Examples!$C$17*$A753^2)</f>
        <v>-571901.6003015216</v>
      </c>
      <c r="C753" s="33">
        <f>(Examples!$C$6*Examples!$C$7*Examples!$C$8*EXP(-Examples!$C$9*$A753)*(1-(Examples!$C$12*(1-EXP(-Examples!$C$13*$A753))/(1+EXP(MIN(700,MAX(-700,(Examples!$C$14*$A753-Examples!$C$15)/Examples!$C$16))))))+Examples!$C$17*$A753^2)</f>
        <v>909051.6003015216</v>
      </c>
      <c r="D753" s="33">
        <f>Examples!$D$18-(Examples!$D$10+Examples!$D$11)*$A753-(Examples!$D$6*Examples!$D$7*Examples!$D$8*EXP(-Examples!$D$9*$A753)*(1-(Examples!$D$12*(1-EXP(-Examples!$D$13*$A753))/(1+EXP(MIN(700,MAX(-700,(Examples!$D$14*$A753-Examples!$D$15)/Examples!$D$16))))))+Examples!$D$17*$A753^2)</f>
        <v>1676663.873173486</v>
      </c>
      <c r="E753" s="33">
        <f>(Examples!$D$6*Examples!$D$7*Examples!$D$8*EXP(-Examples!$D$9*$A753)*(1-(Examples!$D$12*(1-EXP(-Examples!$D$13*$A753))/(1+EXP(MIN(700,MAX(-700,(Examples!$D$14*$A753-Examples!$D$15)/Examples!$D$16))))))+Examples!$D$17*$A753^2)</f>
        <v>485386.12682651402</v>
      </c>
      <c r="F753" s="33">
        <f>Examples!$E$18-(Examples!$E$10+Examples!$E$11)*$A753-(Examples!$E$6*Examples!$E$7*Examples!$E$8*EXP(-Examples!$E$9*$A753)*(1-(Examples!$E$12*(1-EXP(-Examples!$E$13*$A753))/(1+EXP(MIN(700,MAX(-700,(Examples!$E$14*$A753-Examples!$E$15)/Examples!$E$16))))))+Examples!$E$17*$A753^2)</f>
        <v>2135592.0655062394</v>
      </c>
      <c r="G753" s="33">
        <f>(Examples!$E$6*Examples!$E$7*Examples!$E$8*EXP(-Examples!$E$9*$A753)*(1-(Examples!$E$12*(1-EXP(-Examples!$E$13*$A753))/(1+EXP(MIN(700,MAX(-700,(Examples!$E$14*$A753-Examples!$E$15)/Examples!$E$16))))))+Examples!$E$17*$A753^2)</f>
        <v>226057.93449376078</v>
      </c>
      <c r="H753" s="33">
        <f>Examples!$F$18-(Examples!$F$10+Examples!$F$11)*$A753-(Examples!$F$6*Examples!$F$7*Examples!$F$8*EXP(-Examples!$F$9*$A753)*(1-(Examples!$F$12*(1-EXP(-Examples!$F$13*$A753))/(1+EXP(MIN(700,MAX(-700,(Examples!$F$14*$A753-Examples!$F$15)/Examples!$F$16))))))+Examples!$F$17*$A753^2)</f>
        <v>-1130040.9612624259</v>
      </c>
      <c r="I753" s="33">
        <f>(Examples!$F$6*Examples!$F$7*Examples!$F$8*EXP(-Examples!$F$9*$A753)*(1-(Examples!$F$12*(1-EXP(-Examples!$F$13*$A753))/(1+EXP(MIN(700,MAX(-700,(Examples!$F$14*$A753-Examples!$F$15)/Examples!$F$16))))))+Examples!$F$17*$A753^2)</f>
        <v>1129840.9612624259</v>
      </c>
      <c r="J753" s="33">
        <f>Examples!$G$18-(Examples!$G$10+Examples!$G$11)*$A753-(Examples!$G$6*Examples!$G$7*Examples!$G$8*EXP(-Examples!$G$9*$A753)*(1-(Examples!$G$12*(1-EXP(-Examples!$G$13*$A753))/(1+EXP(MIN(700,MAX(-700,(Examples!$G$14*$A753-Examples!$G$15)/Examples!$G$16))))))+Examples!$G$17*$A753^2)</f>
        <v>529067.34687759727</v>
      </c>
      <c r="K753" s="33">
        <f>(Examples!$G$6*Examples!$G$7*Examples!$G$8*EXP(-Examples!$G$9*$A753)*(1-(Examples!$G$12*(1-EXP(-Examples!$G$13*$A753))/(1+EXP(MIN(700,MAX(-700,(Examples!$G$14*$A753-Examples!$G$15)/Examples!$G$16))))))+Examples!$G$17*$A753^2)</f>
        <v>595432.65312240273</v>
      </c>
      <c r="L753" s="33">
        <f>Examples!$H$18-(Examples!$H$10+Examples!$H$11)*$A753-(Examples!$H$6*Examples!$H$7*Examples!$H$8*EXP(-Examples!$H$9*$A753)*(1-(Examples!$H$12*(1-EXP(-Examples!$H$13*$A753))/(1+EXP(MIN(700,MAX(-700,(Examples!$H$14*$A753-Examples!$H$15)/Examples!$H$16))))))+Examples!$H$17*$A753^2)</f>
        <v>528925.89017183997</v>
      </c>
      <c r="M753" s="33">
        <f>(Examples!$H$6*Examples!$H$7*Examples!$H$8*EXP(-Examples!$H$9*$A753)*(1-(Examples!$H$12*(1-EXP(-Examples!$H$13*$A753))/(1+EXP(MIN(700,MAX(-700,(Examples!$H$14*$A753-Examples!$H$15)/Examples!$H$16))))))+Examples!$H$17*$A753^2)</f>
        <v>595574.10982816003</v>
      </c>
    </row>
    <row r="754" spans="1:13" x14ac:dyDescent="0.25">
      <c r="A754">
        <f>(754-2)/100</f>
        <v>7.52</v>
      </c>
      <c r="B754" s="33">
        <f>Examples!$C$18-(Examples!$C$10+Examples!$C$11)*$A754-(Examples!$C$6*Examples!$C$7*Examples!$C$8*EXP(-Examples!$C$9*$A754)*(1-(Examples!$C$12*(1-EXP(-Examples!$C$13*$A754))/(1+EXP(MIN(700,MAX(-700,(Examples!$C$14*$A754-Examples!$C$15)/Examples!$C$16))))))+Examples!$C$17*$A754^2)</f>
        <v>-574317.23344661389</v>
      </c>
      <c r="C754" s="33">
        <f>(Examples!$C$6*Examples!$C$7*Examples!$C$8*EXP(-Examples!$C$9*$A754)*(1-(Examples!$C$12*(1-EXP(-Examples!$C$13*$A754))/(1+EXP(MIN(700,MAX(-700,(Examples!$C$14*$A754-Examples!$C$15)/Examples!$C$16))))))+Examples!$C$17*$A754^2)</f>
        <v>911117.23344661389</v>
      </c>
      <c r="D754" s="33">
        <f>Examples!$D$18-(Examples!$D$10+Examples!$D$11)*$A754-(Examples!$D$6*Examples!$D$7*Examples!$D$8*EXP(-Examples!$D$9*$A754)*(1-(Examples!$D$12*(1-EXP(-Examples!$D$13*$A754))/(1+EXP(MIN(700,MAX(-700,(Examples!$D$14*$A754-Examples!$D$15)/Examples!$D$16))))))+Examples!$D$17*$A754^2)</f>
        <v>1676362.5019439054</v>
      </c>
      <c r="E754" s="33">
        <f>(Examples!$D$6*Examples!$D$7*Examples!$D$8*EXP(-Examples!$D$9*$A754)*(1-(Examples!$D$12*(1-EXP(-Examples!$D$13*$A754))/(1+EXP(MIN(700,MAX(-700,(Examples!$D$14*$A754-Examples!$D$15)/Examples!$D$16))))))+Examples!$D$17*$A754^2)</f>
        <v>485237.49805609474</v>
      </c>
      <c r="F754" s="33">
        <f>Examples!$E$18-(Examples!$E$10+Examples!$E$11)*$A754-(Examples!$E$6*Examples!$E$7*Examples!$E$8*EXP(-Examples!$E$9*$A754)*(1-(Examples!$E$12*(1-EXP(-Examples!$E$13*$A754))/(1+EXP(MIN(700,MAX(-700,(Examples!$E$14*$A754-Examples!$E$15)/Examples!$E$16))))))+Examples!$E$17*$A754^2)</f>
        <v>2134530.7294883193</v>
      </c>
      <c r="G754" s="33">
        <f>(Examples!$E$6*Examples!$E$7*Examples!$E$8*EXP(-Examples!$E$9*$A754)*(1-(Examples!$E$12*(1-EXP(-Examples!$E$13*$A754))/(1+EXP(MIN(700,MAX(-700,(Examples!$E$14*$A754-Examples!$E$15)/Examples!$E$16))))))+Examples!$E$17*$A754^2)</f>
        <v>226269.27051168092</v>
      </c>
      <c r="H754" s="33">
        <f>Examples!$F$18-(Examples!$F$10+Examples!$F$11)*$A754-(Examples!$F$6*Examples!$F$7*Examples!$F$8*EXP(-Examples!$F$9*$A754)*(1-(Examples!$F$12*(1-EXP(-Examples!$F$13*$A754))/(1+EXP(MIN(700,MAX(-700,(Examples!$F$14*$A754-Examples!$F$15)/Examples!$F$16))))))+Examples!$F$17*$A754^2)</f>
        <v>-1133241.4526456955</v>
      </c>
      <c r="I754" s="33">
        <f>(Examples!$F$6*Examples!$F$7*Examples!$F$8*EXP(-Examples!$F$9*$A754)*(1-(Examples!$F$12*(1-EXP(-Examples!$F$13*$A754))/(1+EXP(MIN(700,MAX(-700,(Examples!$F$14*$A754-Examples!$F$15)/Examples!$F$16))))))+Examples!$F$17*$A754^2)</f>
        <v>1132841.4526456955</v>
      </c>
      <c r="J754" s="33">
        <f>Examples!$G$18-(Examples!$G$10+Examples!$G$11)*$A754-(Examples!$G$6*Examples!$G$7*Examples!$G$8*EXP(-Examples!$G$9*$A754)*(1-(Examples!$G$12*(1-EXP(-Examples!$G$13*$A754))/(1+EXP(MIN(700,MAX(-700,(Examples!$G$14*$A754-Examples!$G$15)/Examples!$G$16))))))+Examples!$G$17*$A754^2)</f>
        <v>527867.02772119723</v>
      </c>
      <c r="K754" s="33">
        <f>(Examples!$G$6*Examples!$G$7*Examples!$G$8*EXP(-Examples!$G$9*$A754)*(1-(Examples!$G$12*(1-EXP(-Examples!$G$13*$A754))/(1+EXP(MIN(700,MAX(-700,(Examples!$G$14*$A754-Examples!$G$15)/Examples!$G$16))))))+Examples!$G$17*$A754^2)</f>
        <v>596132.97227880277</v>
      </c>
      <c r="L754" s="33">
        <f>Examples!$H$18-(Examples!$H$10+Examples!$H$11)*$A754-(Examples!$H$6*Examples!$H$7*Examples!$H$8*EXP(-Examples!$H$9*$A754)*(1-(Examples!$H$12*(1-EXP(-Examples!$H$13*$A754))/(1+EXP(MIN(700,MAX(-700,(Examples!$H$14*$A754-Examples!$H$15)/Examples!$H$16))))))+Examples!$H$17*$A754^2)</f>
        <v>527727.91311607987</v>
      </c>
      <c r="M754" s="33">
        <f>(Examples!$H$6*Examples!$H$7*Examples!$H$8*EXP(-Examples!$H$9*$A754)*(1-(Examples!$H$12*(1-EXP(-Examples!$H$13*$A754))/(1+EXP(MIN(700,MAX(-700,(Examples!$H$14*$A754-Examples!$H$15)/Examples!$H$16))))))+Examples!$H$17*$A754^2)</f>
        <v>596272.08688392013</v>
      </c>
    </row>
    <row r="755" spans="1:13" x14ac:dyDescent="0.25">
      <c r="A755">
        <f>(755-2)/100</f>
        <v>7.53</v>
      </c>
      <c r="B755" s="33">
        <f>Examples!$C$18-(Examples!$C$10+Examples!$C$11)*$A755-(Examples!$C$6*Examples!$C$7*Examples!$C$8*EXP(-Examples!$C$9*$A755)*(1-(Examples!$C$12*(1-EXP(-Examples!$C$13*$A755))/(1+EXP(MIN(700,MAX(-700,(Examples!$C$14*$A755-Examples!$C$15)/Examples!$C$16))))))+Examples!$C$17*$A755^2)</f>
        <v>-576736.43234307552</v>
      </c>
      <c r="C755" s="33">
        <f>(Examples!$C$6*Examples!$C$7*Examples!$C$8*EXP(-Examples!$C$9*$A755)*(1-(Examples!$C$12*(1-EXP(-Examples!$C$13*$A755))/(1+EXP(MIN(700,MAX(-700,(Examples!$C$14*$A755-Examples!$C$15)/Examples!$C$16))))))+Examples!$C$17*$A755^2)</f>
        <v>913186.43234307552</v>
      </c>
      <c r="D755" s="33">
        <f>Examples!$D$18-(Examples!$D$10+Examples!$D$11)*$A755-(Examples!$D$6*Examples!$D$7*Examples!$D$8*EXP(-Examples!$D$9*$A755)*(1-(Examples!$D$12*(1-EXP(-Examples!$D$13*$A755))/(1+EXP(MIN(700,MAX(-700,(Examples!$D$14*$A755-Examples!$D$15)/Examples!$D$16))))))+Examples!$D$17*$A755^2)</f>
        <v>1676056.3164224871</v>
      </c>
      <c r="E755" s="33">
        <f>(Examples!$D$6*Examples!$D$7*Examples!$D$8*EXP(-Examples!$D$9*$A755)*(1-(Examples!$D$12*(1-EXP(-Examples!$D$13*$A755))/(1+EXP(MIN(700,MAX(-700,(Examples!$D$14*$A755-Examples!$D$15)/Examples!$D$16))))))+Examples!$D$17*$A755^2)</f>
        <v>485093.68357751286</v>
      </c>
      <c r="F755" s="33">
        <f>Examples!$E$18-(Examples!$E$10+Examples!$E$11)*$A755-(Examples!$E$6*Examples!$E$7*Examples!$E$8*EXP(-Examples!$E$9*$A755)*(1-(Examples!$E$12*(1-EXP(-Examples!$E$13*$A755))/(1+EXP(MIN(700,MAX(-700,(Examples!$E$14*$A755-Examples!$E$15)/Examples!$E$16))))))+Examples!$E$17*$A755^2)</f>
        <v>2133468.0819629868</v>
      </c>
      <c r="G755" s="33">
        <f>(Examples!$E$6*Examples!$E$7*Examples!$E$8*EXP(-Examples!$E$9*$A755)*(1-(Examples!$E$12*(1-EXP(-Examples!$E$13*$A755))/(1+EXP(MIN(700,MAX(-700,(Examples!$E$14*$A755-Examples!$E$15)/Examples!$E$16))))))+Examples!$E$17*$A755^2)</f>
        <v>226481.91803701301</v>
      </c>
      <c r="H755" s="33">
        <f>Examples!$F$18-(Examples!$F$10+Examples!$F$11)*$A755-(Examples!$F$6*Examples!$F$7*Examples!$F$8*EXP(-Examples!$F$9*$A755)*(1-(Examples!$F$12*(1-EXP(-Examples!$F$13*$A755))/(1+EXP(MIN(700,MAX(-700,(Examples!$F$14*$A755-Examples!$F$15)/Examples!$F$16))))))+Examples!$F$17*$A755^2)</f>
        <v>-1136445.9605300515</v>
      </c>
      <c r="I755" s="33">
        <f>(Examples!$F$6*Examples!$F$7*Examples!$F$8*EXP(-Examples!$F$9*$A755)*(1-(Examples!$F$12*(1-EXP(-Examples!$F$13*$A755))/(1+EXP(MIN(700,MAX(-700,(Examples!$F$14*$A755-Examples!$F$15)/Examples!$F$16))))))+Examples!$F$17*$A755^2)</f>
        <v>1135845.9605300515</v>
      </c>
      <c r="J755" s="33">
        <f>Examples!$G$18-(Examples!$G$10+Examples!$G$11)*$A755-(Examples!$G$6*Examples!$G$7*Examples!$G$8*EXP(-Examples!$G$9*$A755)*(1-(Examples!$G$12*(1-EXP(-Examples!$G$13*$A755))/(1+EXP(MIN(700,MAX(-700,(Examples!$G$14*$A755-Examples!$G$15)/Examples!$G$16))))))+Examples!$G$17*$A755^2)</f>
        <v>526663.38484440965</v>
      </c>
      <c r="K755" s="33">
        <f>(Examples!$G$6*Examples!$G$7*Examples!$G$8*EXP(-Examples!$G$9*$A755)*(1-(Examples!$G$12*(1-EXP(-Examples!$G$13*$A755))/(1+EXP(MIN(700,MAX(-700,(Examples!$G$14*$A755-Examples!$G$15)/Examples!$G$16))))))+Examples!$G$17*$A755^2)</f>
        <v>596836.61515559035</v>
      </c>
      <c r="L755" s="33">
        <f>Examples!$H$18-(Examples!$H$10+Examples!$H$11)*$A755-(Examples!$H$6*Examples!$H$7*Examples!$H$8*EXP(-Examples!$H$9*$A755)*(1-(Examples!$H$12*(1-EXP(-Examples!$H$13*$A755))/(1+EXP(MIN(700,MAX(-700,(Examples!$H$14*$A755-Examples!$H$15)/Examples!$H$16))))))+Examples!$H$17*$A755^2)</f>
        <v>526526.57367935975</v>
      </c>
      <c r="M755" s="33">
        <f>(Examples!$H$6*Examples!$H$7*Examples!$H$8*EXP(-Examples!$H$9*$A755)*(1-(Examples!$H$12*(1-EXP(-Examples!$H$13*$A755))/(1+EXP(MIN(700,MAX(-700,(Examples!$H$14*$A755-Examples!$H$15)/Examples!$H$16))))))+Examples!$H$17*$A755^2)</f>
        <v>596973.42632064025</v>
      </c>
    </row>
    <row r="756" spans="1:13" x14ac:dyDescent="0.25">
      <c r="A756">
        <f>(756-2)/100</f>
        <v>7.54</v>
      </c>
      <c r="B756" s="33">
        <f>Examples!$C$18-(Examples!$C$10+Examples!$C$11)*$A756-(Examples!$C$6*Examples!$C$7*Examples!$C$8*EXP(-Examples!$C$9*$A756)*(1-(Examples!$C$12*(1-EXP(-Examples!$C$13*$A756))/(1+EXP(MIN(700,MAX(-700,(Examples!$C$14*$A756-Examples!$C$15)/Examples!$C$16))))))+Examples!$C$17*$A756^2)</f>
        <v>-579159.19529620046</v>
      </c>
      <c r="C756" s="33">
        <f>(Examples!$C$6*Examples!$C$7*Examples!$C$8*EXP(-Examples!$C$9*$A756)*(1-(Examples!$C$12*(1-EXP(-Examples!$C$13*$A756))/(1+EXP(MIN(700,MAX(-700,(Examples!$C$14*$A756-Examples!$C$15)/Examples!$C$16))))))+Examples!$C$17*$A756^2)</f>
        <v>915259.19529620046</v>
      </c>
      <c r="D756" s="33">
        <f>Examples!$D$18-(Examples!$D$10+Examples!$D$11)*$A756-(Examples!$D$6*Examples!$D$7*Examples!$D$8*EXP(-Examples!$D$9*$A756)*(1-(Examples!$D$12*(1-EXP(-Examples!$D$13*$A756))/(1+EXP(MIN(700,MAX(-700,(Examples!$D$14*$A756-Examples!$D$15)/Examples!$D$16))))))+Examples!$D$17*$A756^2)</f>
        <v>1675745.3298163912</v>
      </c>
      <c r="E756" s="33">
        <f>(Examples!$D$6*Examples!$D$7*Examples!$D$8*EXP(-Examples!$D$9*$A756)*(1-(Examples!$D$12*(1-EXP(-Examples!$D$13*$A756))/(1+EXP(MIN(700,MAX(-700,(Examples!$D$14*$A756-Examples!$D$15)/Examples!$D$16))))))+Examples!$D$17*$A756^2)</f>
        <v>484954.67018360889</v>
      </c>
      <c r="F756" s="33">
        <f>Examples!$E$18-(Examples!$E$10+Examples!$E$11)*$A756-(Examples!$E$6*Examples!$E$7*Examples!$E$8*EXP(-Examples!$E$9*$A756)*(1-(Examples!$E$12*(1-EXP(-Examples!$E$13*$A756))/(1+EXP(MIN(700,MAX(-700,(Examples!$E$14*$A756-Examples!$E$15)/Examples!$E$16))))))+Examples!$E$17*$A756^2)</f>
        <v>2132404.1217681081</v>
      </c>
      <c r="G756" s="33">
        <f>(Examples!$E$6*Examples!$E$7*Examples!$E$8*EXP(-Examples!$E$9*$A756)*(1-(Examples!$E$12*(1-EXP(-Examples!$E$13*$A756))/(1+EXP(MIN(700,MAX(-700,(Examples!$E$14*$A756-Examples!$E$15)/Examples!$E$16))))))+Examples!$E$17*$A756^2)</f>
        <v>226695.87823189181</v>
      </c>
      <c r="H756" s="33">
        <f>Examples!$F$18-(Examples!$F$10+Examples!$F$11)*$A756-(Examples!$F$6*Examples!$F$7*Examples!$F$8*EXP(-Examples!$F$9*$A756)*(1-(Examples!$F$12*(1-EXP(-Examples!$F$13*$A756))/(1+EXP(MIN(700,MAX(-700,(Examples!$F$14*$A756-Examples!$F$15)/Examples!$F$16))))))+Examples!$F$17*$A756^2)</f>
        <v>-1139654.4848660645</v>
      </c>
      <c r="I756" s="33">
        <f>(Examples!$F$6*Examples!$F$7*Examples!$F$8*EXP(-Examples!$F$9*$A756)*(1-(Examples!$F$12*(1-EXP(-Examples!$F$13*$A756))/(1+EXP(MIN(700,MAX(-700,(Examples!$F$14*$A756-Examples!$F$15)/Examples!$F$16))))))+Examples!$F$17*$A756^2)</f>
        <v>1138854.4848660645</v>
      </c>
      <c r="J756" s="33">
        <f>Examples!$G$18-(Examples!$G$10+Examples!$G$11)*$A756-(Examples!$G$6*Examples!$G$7*Examples!$G$8*EXP(-Examples!$G$9*$A756)*(1-(Examples!$G$12*(1-EXP(-Examples!$G$13*$A756))/(1+EXP(MIN(700,MAX(-700,(Examples!$G$14*$A756-Examples!$G$15)/Examples!$G$16))))))+Examples!$G$17*$A756^2)</f>
        <v>525456.42376900767</v>
      </c>
      <c r="K756" s="33">
        <f>(Examples!$G$6*Examples!$G$7*Examples!$G$8*EXP(-Examples!$G$9*$A756)*(1-(Examples!$G$12*(1-EXP(-Examples!$G$13*$A756))/(1+EXP(MIN(700,MAX(-700,(Examples!$G$14*$A756-Examples!$G$15)/Examples!$G$16))))))+Examples!$G$17*$A756^2)</f>
        <v>597543.57623099233</v>
      </c>
      <c r="L756" s="33">
        <f>Examples!$H$18-(Examples!$H$10+Examples!$H$11)*$A756-(Examples!$H$6*Examples!$H$7*Examples!$H$8*EXP(-Examples!$H$9*$A756)*(1-(Examples!$H$12*(1-EXP(-Examples!$H$13*$A756))/(1+EXP(MIN(700,MAX(-700,(Examples!$H$14*$A756-Examples!$H$15)/Examples!$H$16))))))+Examples!$H$17*$A756^2)</f>
        <v>525321.87801876711</v>
      </c>
      <c r="M756" s="33">
        <f>(Examples!$H$6*Examples!$H$7*Examples!$H$8*EXP(-Examples!$H$9*$A756)*(1-(Examples!$H$12*(1-EXP(-Examples!$H$13*$A756))/(1+EXP(MIN(700,MAX(-700,(Examples!$H$14*$A756-Examples!$H$15)/Examples!$H$16))))))+Examples!$H$17*$A756^2)</f>
        <v>597678.12198123289</v>
      </c>
    </row>
    <row r="757" spans="1:13" x14ac:dyDescent="0.25">
      <c r="A757">
        <f>(757-2)/100</f>
        <v>7.55</v>
      </c>
      <c r="B757" s="33">
        <f>Examples!$C$18-(Examples!$C$10+Examples!$C$11)*$A757-(Examples!$C$6*Examples!$C$7*Examples!$C$8*EXP(-Examples!$C$9*$A757)*(1-(Examples!$C$12*(1-EXP(-Examples!$C$13*$A757))/(1+EXP(MIN(700,MAX(-700,(Examples!$C$14*$A757-Examples!$C$15)/Examples!$C$16))))))+Examples!$C$17*$A757^2)</f>
        <v>-581585.52061635978</v>
      </c>
      <c r="C757" s="33">
        <f>(Examples!$C$6*Examples!$C$7*Examples!$C$8*EXP(-Examples!$C$9*$A757)*(1-(Examples!$C$12*(1-EXP(-Examples!$C$13*$A757))/(1+EXP(MIN(700,MAX(-700,(Examples!$C$14*$A757-Examples!$C$15)/Examples!$C$16))))))+Examples!$C$17*$A757^2)</f>
        <v>917335.52061635978</v>
      </c>
      <c r="D757" s="33">
        <f>Examples!$D$18-(Examples!$D$10+Examples!$D$11)*$A757-(Examples!$D$6*Examples!$D$7*Examples!$D$8*EXP(-Examples!$D$9*$A757)*(1-(Examples!$D$12*(1-EXP(-Examples!$D$13*$A757))/(1+EXP(MIN(700,MAX(-700,(Examples!$D$14*$A757-Examples!$D$15)/Examples!$D$16))))))+Examples!$D$17*$A757^2)</f>
        <v>1675429.5553400088</v>
      </c>
      <c r="E757" s="33">
        <f>(Examples!$D$6*Examples!$D$7*Examples!$D$8*EXP(-Examples!$D$9*$A757)*(1-(Examples!$D$12*(1-EXP(-Examples!$D$13*$A757))/(1+EXP(MIN(700,MAX(-700,(Examples!$D$14*$A757-Examples!$D$15)/Examples!$D$16))))))+Examples!$D$17*$A757^2)</f>
        <v>484820.44465999131</v>
      </c>
      <c r="F757" s="33">
        <f>Examples!$E$18-(Examples!$E$10+Examples!$E$11)*$A757-(Examples!$E$6*Examples!$E$7*Examples!$E$8*EXP(-Examples!$E$9*$A757)*(1-(Examples!$E$12*(1-EXP(-Examples!$E$13*$A757))/(1+EXP(MIN(700,MAX(-700,(Examples!$E$14*$A757-Examples!$E$15)/Examples!$E$16))))))+Examples!$E$17*$A757^2)</f>
        <v>2131338.8477822668</v>
      </c>
      <c r="G757" s="33">
        <f>(Examples!$E$6*Examples!$E$7*Examples!$E$8*EXP(-Examples!$E$9*$A757)*(1-(Examples!$E$12*(1-EXP(-Examples!$E$13*$A757))/(1+EXP(MIN(700,MAX(-700,(Examples!$E$14*$A757-Examples!$E$15)/Examples!$E$16))))))+Examples!$E$17*$A757^2)</f>
        <v>226911.152217733</v>
      </c>
      <c r="H757" s="33">
        <f>Examples!$F$18-(Examples!$F$10+Examples!$F$11)*$A757-(Examples!$F$6*Examples!$F$7*Examples!$F$8*EXP(-Examples!$F$9*$A757)*(1-(Examples!$F$12*(1-EXP(-Examples!$F$13*$A757))/(1+EXP(MIN(700,MAX(-700,(Examples!$F$14*$A757-Examples!$F$15)/Examples!$F$16))))))+Examples!$F$17*$A757^2)</f>
        <v>-1142867.0256044536</v>
      </c>
      <c r="I757" s="33">
        <f>(Examples!$F$6*Examples!$F$7*Examples!$F$8*EXP(-Examples!$F$9*$A757)*(1-(Examples!$F$12*(1-EXP(-Examples!$F$13*$A757))/(1+EXP(MIN(700,MAX(-700,(Examples!$F$14*$A757-Examples!$F$15)/Examples!$F$16))))))+Examples!$F$17*$A757^2)</f>
        <v>1141867.0256044536</v>
      </c>
      <c r="J757" s="33">
        <f>Examples!$G$18-(Examples!$G$10+Examples!$G$11)*$A757-(Examples!$G$6*Examples!$G$7*Examples!$G$8*EXP(-Examples!$G$9*$A757)*(1-(Examples!$G$12*(1-EXP(-Examples!$G$13*$A757))/(1+EXP(MIN(700,MAX(-700,(Examples!$G$14*$A757-Examples!$G$15)/Examples!$G$16))))))+Examples!$G$17*$A757^2)</f>
        <v>524246.1500056372</v>
      </c>
      <c r="K757" s="33">
        <f>(Examples!$G$6*Examples!$G$7*Examples!$G$8*EXP(-Examples!$G$9*$A757)*(1-(Examples!$G$12*(1-EXP(-Examples!$G$13*$A757))/(1+EXP(MIN(700,MAX(-700,(Examples!$G$14*$A757-Examples!$G$15)/Examples!$G$16))))))+Examples!$G$17*$A757^2)</f>
        <v>598253.8499943628</v>
      </c>
      <c r="L757" s="33">
        <f>Examples!$H$18-(Examples!$H$10+Examples!$H$11)*$A757-(Examples!$H$6*Examples!$H$7*Examples!$H$8*EXP(-Examples!$H$9*$A757)*(1-(Examples!$H$12*(1-EXP(-Examples!$H$13*$A757))/(1+EXP(MIN(700,MAX(-700,(Examples!$H$14*$A757-Examples!$H$15)/Examples!$H$16))))))+Examples!$H$17*$A757^2)</f>
        <v>524113.83226989326</v>
      </c>
      <c r="M757" s="33">
        <f>(Examples!$H$6*Examples!$H$7*Examples!$H$8*EXP(-Examples!$H$9*$A757)*(1-(Examples!$H$12*(1-EXP(-Examples!$H$13*$A757))/(1+EXP(MIN(700,MAX(-700,(Examples!$H$14*$A757-Examples!$H$15)/Examples!$H$16))))))+Examples!$H$17*$A757^2)</f>
        <v>598386.16773010674</v>
      </c>
    </row>
    <row r="758" spans="1:13" x14ac:dyDescent="0.25">
      <c r="A758">
        <f>(758-2)/100</f>
        <v>7.56</v>
      </c>
      <c r="B758" s="33">
        <f>Examples!$C$18-(Examples!$C$10+Examples!$C$11)*$A758-(Examples!$C$6*Examples!$C$7*Examples!$C$8*EXP(-Examples!$C$9*$A758)*(1-(Examples!$C$12*(1-EXP(-Examples!$C$13*$A758))/(1+EXP(MIN(700,MAX(-700,(Examples!$C$14*$A758-Examples!$C$15)/Examples!$C$16))))))+Examples!$C$17*$A758^2)</f>
        <v>-584015.40661898511</v>
      </c>
      <c r="C758" s="33">
        <f>(Examples!$C$6*Examples!$C$7*Examples!$C$8*EXP(-Examples!$C$9*$A758)*(1-(Examples!$C$12*(1-EXP(-Examples!$C$13*$A758))/(1+EXP(MIN(700,MAX(-700,(Examples!$C$14*$A758-Examples!$C$15)/Examples!$C$16))))))+Examples!$C$17*$A758^2)</f>
        <v>919415.40661898511</v>
      </c>
      <c r="D758" s="33">
        <f>Examples!$D$18-(Examples!$D$10+Examples!$D$11)*$A758-(Examples!$D$6*Examples!$D$7*Examples!$D$8*EXP(-Examples!$D$9*$A758)*(1-(Examples!$D$12*(1-EXP(-Examples!$D$13*$A758))/(1+EXP(MIN(700,MAX(-700,(Examples!$D$14*$A758-Examples!$D$15)/Examples!$D$16))))))+Examples!$D$17*$A758^2)</f>
        <v>1675109.0062138326</v>
      </c>
      <c r="E758" s="33">
        <f>(Examples!$D$6*Examples!$D$7*Examples!$D$8*EXP(-Examples!$D$9*$A758)*(1-(Examples!$D$12*(1-EXP(-Examples!$D$13*$A758))/(1+EXP(MIN(700,MAX(-700,(Examples!$D$14*$A758-Examples!$D$15)/Examples!$D$16))))))+Examples!$D$17*$A758^2)</f>
        <v>484690.99378616735</v>
      </c>
      <c r="F758" s="33">
        <f>Examples!$E$18-(Examples!$E$10+Examples!$E$11)*$A758-(Examples!$E$6*Examples!$E$7*Examples!$E$8*EXP(-Examples!$E$9*$A758)*(1-(Examples!$E$12*(1-EXP(-Examples!$E$13*$A758))/(1+EXP(MIN(700,MAX(-700,(Examples!$E$14*$A758-Examples!$E$15)/Examples!$E$16))))))+Examples!$E$17*$A758^2)</f>
        <v>2130272.2589245103</v>
      </c>
      <c r="G758" s="33">
        <f>(Examples!$E$6*Examples!$E$7*Examples!$E$8*EXP(-Examples!$E$9*$A758)*(1-(Examples!$E$12*(1-EXP(-Examples!$E$13*$A758))/(1+EXP(MIN(700,MAX(-700,(Examples!$E$14*$A758-Examples!$E$15)/Examples!$E$16))))))+Examples!$E$17*$A758^2)</f>
        <v>227127.74107548944</v>
      </c>
      <c r="H758" s="33">
        <f>Examples!$F$18-(Examples!$F$10+Examples!$F$11)*$A758-(Examples!$F$6*Examples!$F$7*Examples!$F$8*EXP(-Examples!$F$9*$A758)*(1-(Examples!$F$12*(1-EXP(-Examples!$F$13*$A758))/(1+EXP(MIN(700,MAX(-700,(Examples!$F$14*$A758-Examples!$F$15)/Examples!$F$16))))))+Examples!$F$17*$A758^2)</f>
        <v>-1146083.5826960853</v>
      </c>
      <c r="I758" s="33">
        <f>(Examples!$F$6*Examples!$F$7*Examples!$F$8*EXP(-Examples!$F$9*$A758)*(1-(Examples!$F$12*(1-EXP(-Examples!$F$13*$A758))/(1+EXP(MIN(700,MAX(-700,(Examples!$F$14*$A758-Examples!$F$15)/Examples!$F$16))))))+Examples!$F$17*$A758^2)</f>
        <v>1144883.5826960853</v>
      </c>
      <c r="J758" s="33">
        <f>Examples!$G$18-(Examples!$G$10+Examples!$G$11)*$A758-(Examples!$G$6*Examples!$G$7*Examples!$G$8*EXP(-Examples!$G$9*$A758)*(1-(Examples!$G$12*(1-EXP(-Examples!$G$13*$A758))/(1+EXP(MIN(700,MAX(-700,(Examples!$G$14*$A758-Examples!$G$15)/Examples!$G$16))))))+Examples!$G$17*$A758^2)</f>
        <v>523032.56905372557</v>
      </c>
      <c r="K758" s="33">
        <f>(Examples!$G$6*Examples!$G$7*Examples!$G$8*EXP(-Examples!$G$9*$A758)*(1-(Examples!$G$12*(1-EXP(-Examples!$G$13*$A758))/(1+EXP(MIN(700,MAX(-700,(Examples!$G$14*$A758-Examples!$G$15)/Examples!$G$16))))))+Examples!$G$17*$A758^2)</f>
        <v>598967.43094627443</v>
      </c>
      <c r="L758" s="33">
        <f>Examples!$H$18-(Examples!$H$10+Examples!$H$11)*$A758-(Examples!$H$6*Examples!$H$7*Examples!$H$8*EXP(-Examples!$H$9*$A758)*(1-(Examples!$H$12*(1-EXP(-Examples!$H$13*$A758))/(1+EXP(MIN(700,MAX(-700,(Examples!$H$14*$A758-Examples!$H$15)/Examples!$H$16))))))+Examples!$H$17*$A758^2)</f>
        <v>522902.44254690874</v>
      </c>
      <c r="M758" s="33">
        <f>(Examples!$H$6*Examples!$H$7*Examples!$H$8*EXP(-Examples!$H$9*$A758)*(1-(Examples!$H$12*(1-EXP(-Examples!$H$13*$A758))/(1+EXP(MIN(700,MAX(-700,(Examples!$H$14*$A758-Examples!$H$15)/Examples!$H$16))))))+Examples!$H$17*$A758^2)</f>
        <v>599097.55745309126</v>
      </c>
    </row>
    <row r="759" spans="1:13" x14ac:dyDescent="0.25">
      <c r="A759">
        <f>(759-2)/100</f>
        <v>7.57</v>
      </c>
      <c r="B759" s="33">
        <f>Examples!$C$18-(Examples!$C$10+Examples!$C$11)*$A759-(Examples!$C$6*Examples!$C$7*Examples!$C$8*EXP(-Examples!$C$9*$A759)*(1-(Examples!$C$12*(1-EXP(-Examples!$C$13*$A759))/(1+EXP(MIN(700,MAX(-700,(Examples!$C$14*$A759-Examples!$C$15)/Examples!$C$16))))))+Examples!$C$17*$A759^2)</f>
        <v>-586448.85162455414</v>
      </c>
      <c r="C759" s="33">
        <f>(Examples!$C$6*Examples!$C$7*Examples!$C$8*EXP(-Examples!$C$9*$A759)*(1-(Examples!$C$12*(1-EXP(-Examples!$C$13*$A759))/(1+EXP(MIN(700,MAX(-700,(Examples!$C$14*$A759-Examples!$C$15)/Examples!$C$16))))))+Examples!$C$17*$A759^2)</f>
        <v>921498.85162455414</v>
      </c>
      <c r="D759" s="33">
        <f>Examples!$D$18-(Examples!$D$10+Examples!$D$11)*$A759-(Examples!$D$6*Examples!$D$7*Examples!$D$8*EXP(-Examples!$D$9*$A759)*(1-(Examples!$D$12*(1-EXP(-Examples!$D$13*$A759))/(1+EXP(MIN(700,MAX(-700,(Examples!$D$14*$A759-Examples!$D$15)/Examples!$D$16))))))+Examples!$D$17*$A759^2)</f>
        <v>1674783.6956633481</v>
      </c>
      <c r="E759" s="33">
        <f>(Examples!$D$6*Examples!$D$7*Examples!$D$8*EXP(-Examples!$D$9*$A759)*(1-(Examples!$D$12*(1-EXP(-Examples!$D$13*$A759))/(1+EXP(MIN(700,MAX(-700,(Examples!$D$14*$A759-Examples!$D$15)/Examples!$D$16))))))+Examples!$D$17*$A759^2)</f>
        <v>484566.30433665193</v>
      </c>
      <c r="F759" s="33">
        <f>Examples!$E$18-(Examples!$E$10+Examples!$E$11)*$A759-(Examples!$E$6*Examples!$E$7*Examples!$E$8*EXP(-Examples!$E$9*$A759)*(1-(Examples!$E$12*(1-EXP(-Examples!$E$13*$A759))/(1+EXP(MIN(700,MAX(-700,(Examples!$E$14*$A759-Examples!$E$15)/Examples!$E$16))))))+Examples!$E$17*$A759^2)</f>
        <v>2129204.354154089</v>
      </c>
      <c r="G759" s="33">
        <f>(Examples!$E$6*Examples!$E$7*Examples!$E$8*EXP(-Examples!$E$9*$A759)*(1-(Examples!$E$12*(1-EXP(-Examples!$E$13*$A759))/(1+EXP(MIN(700,MAX(-700,(Examples!$E$14*$A759-Examples!$E$15)/Examples!$E$16))))))+Examples!$E$17*$A759^2)</f>
        <v>227345.64584591083</v>
      </c>
      <c r="H759" s="33">
        <f>Examples!$F$18-(Examples!$F$10+Examples!$F$11)*$A759-(Examples!$F$6*Examples!$F$7*Examples!$F$8*EXP(-Examples!$F$9*$A759)*(1-(Examples!$F$12*(1-EXP(-Examples!$F$13*$A759))/(1+EXP(MIN(700,MAX(-700,(Examples!$F$14*$A759-Examples!$F$15)/Examples!$F$16))))))+Examples!$F$17*$A759^2)</f>
        <v>-1149304.1560919737</v>
      </c>
      <c r="I759" s="33">
        <f>(Examples!$F$6*Examples!$F$7*Examples!$F$8*EXP(-Examples!$F$9*$A759)*(1-(Examples!$F$12*(1-EXP(-Examples!$F$13*$A759))/(1+EXP(MIN(700,MAX(-700,(Examples!$F$14*$A759-Examples!$F$15)/Examples!$F$16))))))+Examples!$F$17*$A759^2)</f>
        <v>1147904.1560919737</v>
      </c>
      <c r="J759" s="33">
        <f>Examples!$G$18-(Examples!$G$10+Examples!$G$11)*$A759-(Examples!$G$6*Examples!$G$7*Examples!$G$8*EXP(-Examples!$G$9*$A759)*(1-(Examples!$G$12*(1-EXP(-Examples!$G$13*$A759))/(1+EXP(MIN(700,MAX(-700,(Examples!$G$14*$A759-Examples!$G$15)/Examples!$G$16))))))+Examples!$G$17*$A759^2)</f>
        <v>521815.68640138872</v>
      </c>
      <c r="K759" s="33">
        <f>(Examples!$G$6*Examples!$G$7*Examples!$G$8*EXP(-Examples!$G$9*$A759)*(1-(Examples!$G$12*(1-EXP(-Examples!$G$13*$A759))/(1+EXP(MIN(700,MAX(-700,(Examples!$G$14*$A759-Examples!$G$15)/Examples!$G$16))))))+Examples!$G$17*$A759^2)</f>
        <v>599684.31359861128</v>
      </c>
      <c r="L759" s="33">
        <f>Examples!$H$18-(Examples!$H$10+Examples!$H$11)*$A759-(Examples!$H$6*Examples!$H$7*Examples!$H$8*EXP(-Examples!$H$9*$A759)*(1-(Examples!$H$12*(1-EXP(-Examples!$H$13*$A759))/(1+EXP(MIN(700,MAX(-700,(Examples!$H$14*$A759-Examples!$H$15)/Examples!$H$16))))))+Examples!$H$17*$A759^2)</f>
        <v>521687.71494263597</v>
      </c>
      <c r="M759" s="33">
        <f>(Examples!$H$6*Examples!$H$7*Examples!$H$8*EXP(-Examples!$H$9*$A759)*(1-(Examples!$H$12*(1-EXP(-Examples!$H$13*$A759))/(1+EXP(MIN(700,MAX(-700,(Examples!$H$14*$A759-Examples!$H$15)/Examples!$H$16))))))+Examples!$H$17*$A759^2)</f>
        <v>599812.28505736403</v>
      </c>
    </row>
    <row r="760" spans="1:13" x14ac:dyDescent="0.25">
      <c r="A760">
        <f>(760-2)/100</f>
        <v>7.58</v>
      </c>
      <c r="B760" s="33">
        <f>Examples!$C$18-(Examples!$C$10+Examples!$C$11)*$A760-(Examples!$C$6*Examples!$C$7*Examples!$C$8*EXP(-Examples!$C$9*$A760)*(1-(Examples!$C$12*(1-EXP(-Examples!$C$13*$A760))/(1+EXP(MIN(700,MAX(-700,(Examples!$C$14*$A760-Examples!$C$15)/Examples!$C$16))))))+Examples!$C$17*$A760^2)</f>
        <v>-588885.8539585754</v>
      </c>
      <c r="C760" s="33">
        <f>(Examples!$C$6*Examples!$C$7*Examples!$C$8*EXP(-Examples!$C$9*$A760)*(1-(Examples!$C$12*(1-EXP(-Examples!$C$13*$A760))/(1+EXP(MIN(700,MAX(-700,(Examples!$C$14*$A760-Examples!$C$15)/Examples!$C$16))))))+Examples!$C$17*$A760^2)</f>
        <v>923585.8539585754</v>
      </c>
      <c r="D760" s="33">
        <f>Examples!$D$18-(Examples!$D$10+Examples!$D$11)*$A760-(Examples!$D$6*Examples!$D$7*Examples!$D$8*EXP(-Examples!$D$9*$A760)*(1-(Examples!$D$12*(1-EXP(-Examples!$D$13*$A760))/(1+EXP(MIN(700,MAX(-700,(Examples!$D$14*$A760-Examples!$D$15)/Examples!$D$16))))))+Examples!$D$17*$A760^2)</f>
        <v>1674453.6369179452</v>
      </c>
      <c r="E760" s="33">
        <f>(Examples!$D$6*Examples!$D$7*Examples!$D$8*EXP(-Examples!$D$9*$A760)*(1-(Examples!$D$12*(1-EXP(-Examples!$D$13*$A760))/(1+EXP(MIN(700,MAX(-700,(Examples!$D$14*$A760-Examples!$D$15)/Examples!$D$16))))))+Examples!$D$17*$A760^2)</f>
        <v>484446.36308205477</v>
      </c>
      <c r="F760" s="33">
        <f>Examples!$E$18-(Examples!$E$10+Examples!$E$11)*$A760-(Examples!$E$6*Examples!$E$7*Examples!$E$8*EXP(-Examples!$E$9*$A760)*(1-(Examples!$E$12*(1-EXP(-Examples!$E$13*$A760))/(1+EXP(MIN(700,MAX(-700,(Examples!$E$14*$A760-Examples!$E$15)/Examples!$E$16))))))+Examples!$E$17*$A760^2)</f>
        <v>2128135.1324701938</v>
      </c>
      <c r="G760" s="33">
        <f>(Examples!$E$6*Examples!$E$7*Examples!$E$8*EXP(-Examples!$E$9*$A760)*(1-(Examples!$E$12*(1-EXP(-Examples!$E$13*$A760))/(1+EXP(MIN(700,MAX(-700,(Examples!$E$14*$A760-Examples!$E$15)/Examples!$E$16))))))+Examples!$E$17*$A760^2)</f>
        <v>227564.86752980616</v>
      </c>
      <c r="H760" s="33">
        <f>Examples!$F$18-(Examples!$F$10+Examples!$F$11)*$A760-(Examples!$F$6*Examples!$F$7*Examples!$F$8*EXP(-Examples!$F$9*$A760)*(1-(Examples!$F$12*(1-EXP(-Examples!$F$13*$A760))/(1+EXP(MIN(700,MAX(-700,(Examples!$F$14*$A760-Examples!$F$15)/Examples!$F$16))))))+Examples!$F$17*$A760^2)</f>
        <v>-1152528.7457432789</v>
      </c>
      <c r="I760" s="33">
        <f>(Examples!$F$6*Examples!$F$7*Examples!$F$8*EXP(-Examples!$F$9*$A760)*(1-(Examples!$F$12*(1-EXP(-Examples!$F$13*$A760))/(1+EXP(MIN(700,MAX(-700,(Examples!$F$14*$A760-Examples!$F$15)/Examples!$F$16))))))+Examples!$F$17*$A760^2)</f>
        <v>1150928.7457432789</v>
      </c>
      <c r="J760" s="33">
        <f>Examples!$G$18-(Examples!$G$10+Examples!$G$11)*$A760-(Examples!$G$6*Examples!$G$7*Examples!$G$8*EXP(-Examples!$G$9*$A760)*(1-(Examples!$G$12*(1-EXP(-Examples!$G$13*$A760))/(1+EXP(MIN(700,MAX(-700,(Examples!$G$14*$A760-Examples!$G$15)/Examples!$G$16))))))+Examples!$G$17*$A760^2)</f>
        <v>520595.50752534554</v>
      </c>
      <c r="K760" s="33">
        <f>(Examples!$G$6*Examples!$G$7*Examples!$G$8*EXP(-Examples!$G$9*$A760)*(1-(Examples!$G$12*(1-EXP(-Examples!$G$13*$A760))/(1+EXP(MIN(700,MAX(-700,(Examples!$G$14*$A760-Examples!$G$15)/Examples!$G$16))))))+Examples!$G$17*$A760^2)</f>
        <v>600404.49247465446</v>
      </c>
      <c r="L760" s="33">
        <f>Examples!$H$18-(Examples!$H$10+Examples!$H$11)*$A760-(Examples!$H$6*Examples!$H$7*Examples!$H$8*EXP(-Examples!$H$9*$A760)*(1-(Examples!$H$12*(1-EXP(-Examples!$H$13*$A760))/(1+EXP(MIN(700,MAX(-700,(Examples!$H$14*$A760-Examples!$H$15)/Examples!$H$16))))))+Examples!$H$17*$A760^2)</f>
        <v>520469.65552862501</v>
      </c>
      <c r="M760" s="33">
        <f>(Examples!$H$6*Examples!$H$7*Examples!$H$8*EXP(-Examples!$H$9*$A760)*(1-(Examples!$H$12*(1-EXP(-Examples!$H$13*$A760))/(1+EXP(MIN(700,MAX(-700,(Examples!$H$14*$A760-Examples!$H$15)/Examples!$H$16))))))+Examples!$H$17*$A760^2)</f>
        <v>600530.34447137499</v>
      </c>
    </row>
    <row r="761" spans="1:13" x14ac:dyDescent="0.25">
      <c r="A761">
        <f>(761-2)/100</f>
        <v>7.59</v>
      </c>
      <c r="B761" s="33">
        <f>Examples!$C$18-(Examples!$C$10+Examples!$C$11)*$A761-(Examples!$C$6*Examples!$C$7*Examples!$C$8*EXP(-Examples!$C$9*$A761)*(1-(Examples!$C$12*(1-EXP(-Examples!$C$13*$A761))/(1+EXP(MIN(700,MAX(-700,(Examples!$C$14*$A761-Examples!$C$15)/Examples!$C$16))))))+Examples!$C$17*$A761^2)</f>
        <v>-591326.41195157345</v>
      </c>
      <c r="C761" s="33">
        <f>(Examples!$C$6*Examples!$C$7*Examples!$C$8*EXP(-Examples!$C$9*$A761)*(1-(Examples!$C$12*(1-EXP(-Examples!$C$13*$A761))/(1+EXP(MIN(700,MAX(-700,(Examples!$C$14*$A761-Examples!$C$15)/Examples!$C$16))))))+Examples!$C$17*$A761^2)</f>
        <v>925676.41195157345</v>
      </c>
      <c r="D761" s="33">
        <f>Examples!$D$18-(Examples!$D$10+Examples!$D$11)*$A761-(Examples!$D$6*Examples!$D$7*Examples!$D$8*EXP(-Examples!$D$9*$A761)*(1-(Examples!$D$12*(1-EXP(-Examples!$D$13*$A761))/(1+EXP(MIN(700,MAX(-700,(Examples!$D$14*$A761-Examples!$D$15)/Examples!$D$16))))))+Examples!$D$17*$A761^2)</f>
        <v>1674118.8432098555</v>
      </c>
      <c r="E761" s="33">
        <f>(Examples!$D$6*Examples!$D$7*Examples!$D$8*EXP(-Examples!$D$9*$A761)*(1-(Examples!$D$12*(1-EXP(-Examples!$D$13*$A761))/(1+EXP(MIN(700,MAX(-700,(Examples!$D$14*$A761-Examples!$D$15)/Examples!$D$16))))))+Examples!$D$17*$A761^2)</f>
        <v>484331.15679014451</v>
      </c>
      <c r="F761" s="33">
        <f>Examples!$E$18-(Examples!$E$10+Examples!$E$11)*$A761-(Examples!$E$6*Examples!$E$7*Examples!$E$8*EXP(-Examples!$E$9*$A761)*(1-(Examples!$E$12*(1-EXP(-Examples!$E$13*$A761))/(1+EXP(MIN(700,MAX(-700,(Examples!$E$14*$A761-Examples!$E$15)/Examples!$E$16))))))+Examples!$E$17*$A761^2)</f>
        <v>2127064.5929116905</v>
      </c>
      <c r="G761" s="33">
        <f>(Examples!$E$6*Examples!$E$7*Examples!$E$8*EXP(-Examples!$E$9*$A761)*(1-(Examples!$E$12*(1-EXP(-Examples!$E$13*$A761))/(1+EXP(MIN(700,MAX(-700,(Examples!$E$14*$A761-Examples!$E$15)/Examples!$E$16))))))+Examples!$E$17*$A761^2)</f>
        <v>227785.40708830932</v>
      </c>
      <c r="H761" s="33">
        <f>Examples!$F$18-(Examples!$F$10+Examples!$F$11)*$A761-(Examples!$F$6*Examples!$F$7*Examples!$F$8*EXP(-Examples!$F$9*$A761)*(1-(Examples!$F$12*(1-EXP(-Examples!$F$13*$A761))/(1+EXP(MIN(700,MAX(-700,(Examples!$F$14*$A761-Examples!$F$15)/Examples!$F$16))))))+Examples!$F$17*$A761^2)</f>
        <v>-1155757.351601308</v>
      </c>
      <c r="I761" s="33">
        <f>(Examples!$F$6*Examples!$F$7*Examples!$F$8*EXP(-Examples!$F$9*$A761)*(1-(Examples!$F$12*(1-EXP(-Examples!$F$13*$A761))/(1+EXP(MIN(700,MAX(-700,(Examples!$F$14*$A761-Examples!$F$15)/Examples!$F$16))))))+Examples!$F$17*$A761^2)</f>
        <v>1153957.351601308</v>
      </c>
      <c r="J761" s="33">
        <f>Examples!$G$18-(Examples!$G$10+Examples!$G$11)*$A761-(Examples!$G$6*Examples!$G$7*Examples!$G$8*EXP(-Examples!$G$9*$A761)*(1-(Examples!$G$12*(1-EXP(-Examples!$G$13*$A761))/(1+EXP(MIN(700,MAX(-700,(Examples!$G$14*$A761-Examples!$G$15)/Examples!$G$16))))))+Examples!$G$17*$A761^2)</f>
        <v>519372.03789083054</v>
      </c>
      <c r="K761" s="33">
        <f>(Examples!$G$6*Examples!$G$7*Examples!$G$8*EXP(-Examples!$G$9*$A761)*(1-(Examples!$G$12*(1-EXP(-Examples!$G$13*$A761))/(1+EXP(MIN(700,MAX(-700,(Examples!$G$14*$A761-Examples!$G$15)/Examples!$G$16))))))+Examples!$G$17*$A761^2)</f>
        <v>601127.96210916946</v>
      </c>
      <c r="L761" s="33">
        <f>Examples!$H$18-(Examples!$H$10+Examples!$H$11)*$A761-(Examples!$H$6*Examples!$H$7*Examples!$H$8*EXP(-Examples!$H$9*$A761)*(1-(Examples!$H$12*(1-EXP(-Examples!$H$13*$A761))/(1+EXP(MIN(700,MAX(-700,(Examples!$H$14*$A761-Examples!$H$15)/Examples!$H$16))))))+Examples!$H$17*$A761^2)</f>
        <v>519248.27035522601</v>
      </c>
      <c r="M761" s="33">
        <f>(Examples!$H$6*Examples!$H$7*Examples!$H$8*EXP(-Examples!$H$9*$A761)*(1-(Examples!$H$12*(1-EXP(-Examples!$H$13*$A761))/(1+EXP(MIN(700,MAX(-700,(Examples!$H$14*$A761-Examples!$H$15)/Examples!$H$16))))))+Examples!$H$17*$A761^2)</f>
        <v>601251.72964477399</v>
      </c>
    </row>
    <row r="762" spans="1:13" x14ac:dyDescent="0.25">
      <c r="A762">
        <f>(762-2)/100</f>
        <v>7.6</v>
      </c>
      <c r="B762" s="33">
        <f>Examples!$C$18-(Examples!$C$10+Examples!$C$11)*$A762-(Examples!$C$6*Examples!$C$7*Examples!$C$8*EXP(-Examples!$C$9*$A762)*(1-(Examples!$C$12*(1-EXP(-Examples!$C$13*$A762))/(1+EXP(MIN(700,MAX(-700,(Examples!$C$14*$A762-Examples!$C$15)/Examples!$C$16))))))+Examples!$C$17*$A762^2)</f>
        <v>-593770.5239390732</v>
      </c>
      <c r="C762" s="33">
        <f>(Examples!$C$6*Examples!$C$7*Examples!$C$8*EXP(-Examples!$C$9*$A762)*(1-(Examples!$C$12*(1-EXP(-Examples!$C$13*$A762))/(1+EXP(MIN(700,MAX(-700,(Examples!$C$14*$A762-Examples!$C$15)/Examples!$C$16))))))+Examples!$C$17*$A762^2)</f>
        <v>927770.5239390732</v>
      </c>
      <c r="D762" s="33">
        <f>Examples!$D$18-(Examples!$D$10+Examples!$D$11)*$A762-(Examples!$D$6*Examples!$D$7*Examples!$D$8*EXP(-Examples!$D$9*$A762)*(1-(Examples!$D$12*(1-EXP(-Examples!$D$13*$A762))/(1+EXP(MIN(700,MAX(-700,(Examples!$D$14*$A762-Examples!$D$15)/Examples!$D$16))))))+Examples!$D$17*$A762^2)</f>
        <v>1673779.3277731065</v>
      </c>
      <c r="E762" s="33">
        <f>(Examples!$D$6*Examples!$D$7*Examples!$D$8*EXP(-Examples!$D$9*$A762)*(1-(Examples!$D$12*(1-EXP(-Examples!$D$13*$A762))/(1+EXP(MIN(700,MAX(-700,(Examples!$D$14*$A762-Examples!$D$15)/Examples!$D$16))))))+Examples!$D$17*$A762^2)</f>
        <v>484220.67222689354</v>
      </c>
      <c r="F762" s="33">
        <f>Examples!$E$18-(Examples!$E$10+Examples!$E$11)*$A762-(Examples!$E$6*Examples!$E$7*Examples!$E$8*EXP(-Examples!$E$9*$A762)*(1-(Examples!$E$12*(1-EXP(-Examples!$E$13*$A762))/(1+EXP(MIN(700,MAX(-700,(Examples!$E$14*$A762-Examples!$E$15)/Examples!$E$16))))))+Examples!$E$17*$A762^2)</f>
        <v>2125992.7345568528</v>
      </c>
      <c r="G762" s="33">
        <f>(Examples!$E$6*Examples!$E$7*Examples!$E$8*EXP(-Examples!$E$9*$A762)*(1-(Examples!$E$12*(1-EXP(-Examples!$E$13*$A762))/(1+EXP(MIN(700,MAX(-700,(Examples!$E$14*$A762-Examples!$E$15)/Examples!$E$16))))))+Examples!$E$17*$A762^2)</f>
        <v>228007.26544314725</v>
      </c>
      <c r="H762" s="33">
        <f>Examples!$F$18-(Examples!$F$10+Examples!$F$11)*$A762-(Examples!$F$6*Examples!$F$7*Examples!$F$8*EXP(-Examples!$F$9*$A762)*(1-(Examples!$F$12*(1-EXP(-Examples!$F$13*$A762))/(1+EXP(MIN(700,MAX(-700,(Examples!$F$14*$A762-Examples!$F$15)/Examples!$F$16))))))+Examples!$F$17*$A762^2)</f>
        <v>-1158989.9736175137</v>
      </c>
      <c r="I762" s="33">
        <f>(Examples!$F$6*Examples!$F$7*Examples!$F$8*EXP(-Examples!$F$9*$A762)*(1-(Examples!$F$12*(1-EXP(-Examples!$F$13*$A762))/(1+EXP(MIN(700,MAX(-700,(Examples!$F$14*$A762-Examples!$F$15)/Examples!$F$16))))))+Examples!$F$17*$A762^2)</f>
        <v>1156989.9736175137</v>
      </c>
      <c r="J762" s="33">
        <f>Examples!$G$18-(Examples!$G$10+Examples!$G$11)*$A762-(Examples!$G$6*Examples!$G$7*Examples!$G$8*EXP(-Examples!$G$9*$A762)*(1-(Examples!$G$12*(1-EXP(-Examples!$G$13*$A762))/(1+EXP(MIN(700,MAX(-700,(Examples!$G$14*$A762-Examples!$G$15)/Examples!$G$16))))))+Examples!$G$17*$A762^2)</f>
        <v>518145.28295151098</v>
      </c>
      <c r="K762" s="33">
        <f>(Examples!$G$6*Examples!$G$7*Examples!$G$8*EXP(-Examples!$G$9*$A762)*(1-(Examples!$G$12*(1-EXP(-Examples!$G$13*$A762))/(1+EXP(MIN(700,MAX(-700,(Examples!$G$14*$A762-Examples!$G$15)/Examples!$G$16))))))+Examples!$G$17*$A762^2)</f>
        <v>601854.71704848902</v>
      </c>
      <c r="L762" s="33">
        <f>Examples!$H$18-(Examples!$H$10+Examples!$H$11)*$A762-(Examples!$H$6*Examples!$H$7*Examples!$H$8*EXP(-Examples!$H$9*$A762)*(1-(Examples!$H$12*(1-EXP(-Examples!$H$13*$A762))/(1+EXP(MIN(700,MAX(-700,(Examples!$H$14*$A762-Examples!$H$15)/Examples!$H$16))))))+Examples!$H$17*$A762^2)</f>
        <v>518023.5654516638</v>
      </c>
      <c r="M762" s="33">
        <f>(Examples!$H$6*Examples!$H$7*Examples!$H$8*EXP(-Examples!$H$9*$A762)*(1-(Examples!$H$12*(1-EXP(-Examples!$H$13*$A762))/(1+EXP(MIN(700,MAX(-700,(Examples!$H$14*$A762-Examples!$H$15)/Examples!$H$16))))))+Examples!$H$17*$A762^2)</f>
        <v>601976.4345483362</v>
      </c>
    </row>
    <row r="763" spans="1:13" x14ac:dyDescent="0.25">
      <c r="A763">
        <f>(763-2)/100</f>
        <v>7.61</v>
      </c>
      <c r="B763" s="33">
        <f>Examples!$C$18-(Examples!$C$10+Examples!$C$11)*$A763-(Examples!$C$6*Examples!$C$7*Examples!$C$8*EXP(-Examples!$C$9*$A763)*(1-(Examples!$C$12*(1-EXP(-Examples!$C$13*$A763))/(1+EXP(MIN(700,MAX(-700,(Examples!$C$14*$A763-Examples!$C$15)/Examples!$C$16))))))+Examples!$C$17*$A763^2)</f>
        <v>-596218.18826158578</v>
      </c>
      <c r="C763" s="33">
        <f>(Examples!$C$6*Examples!$C$7*Examples!$C$8*EXP(-Examples!$C$9*$A763)*(1-(Examples!$C$12*(1-EXP(-Examples!$C$13*$A763))/(1+EXP(MIN(700,MAX(-700,(Examples!$C$14*$A763-Examples!$C$15)/Examples!$C$16))))))+Examples!$C$17*$A763^2)</f>
        <v>929868.18826158578</v>
      </c>
      <c r="D763" s="33">
        <f>Examples!$D$18-(Examples!$D$10+Examples!$D$11)*$A763-(Examples!$D$6*Examples!$D$7*Examples!$D$8*EXP(-Examples!$D$9*$A763)*(1-(Examples!$D$12*(1-EXP(-Examples!$D$13*$A763))/(1+EXP(MIN(700,MAX(-700,(Examples!$D$14*$A763-Examples!$D$15)/Examples!$D$16))))))+Examples!$D$17*$A763^2)</f>
        <v>1673435.1038425001</v>
      </c>
      <c r="E763" s="33">
        <f>(Examples!$D$6*Examples!$D$7*Examples!$D$8*EXP(-Examples!$D$9*$A763)*(1-(Examples!$D$12*(1-EXP(-Examples!$D$13*$A763))/(1+EXP(MIN(700,MAX(-700,(Examples!$D$14*$A763-Examples!$D$15)/Examples!$D$16))))))+Examples!$D$17*$A763^2)</f>
        <v>484114.89615749998</v>
      </c>
      <c r="F763" s="33">
        <f>Examples!$E$18-(Examples!$E$10+Examples!$E$11)*$A763-(Examples!$E$6*Examples!$E$7*Examples!$E$8*EXP(-Examples!$E$9*$A763)*(1-(Examples!$E$12*(1-EXP(-Examples!$E$13*$A763))/(1+EXP(MIN(700,MAX(-700,(Examples!$E$14*$A763-Examples!$E$15)/Examples!$E$16))))))+Examples!$E$17*$A763^2)</f>
        <v>2124919.5565230893</v>
      </c>
      <c r="G763" s="33">
        <f>(Examples!$E$6*Examples!$E$7*Examples!$E$8*EXP(-Examples!$E$9*$A763)*(1-(Examples!$E$12*(1-EXP(-Examples!$E$13*$A763))/(1+EXP(MIN(700,MAX(-700,(Examples!$E$14*$A763-Examples!$E$15)/Examples!$E$16))))))+Examples!$E$17*$A763^2)</f>
        <v>228230.44347691088</v>
      </c>
      <c r="H763" s="33">
        <f>Examples!$F$18-(Examples!$F$10+Examples!$F$11)*$A763-(Examples!$F$6*Examples!$F$7*Examples!$F$8*EXP(-Examples!$F$9*$A763)*(1-(Examples!$F$12*(1-EXP(-Examples!$F$13*$A763))/(1+EXP(MIN(700,MAX(-700,(Examples!$F$14*$A763-Examples!$F$15)/Examples!$F$16))))))+Examples!$F$17*$A763^2)</f>
        <v>-1162226.6117434937</v>
      </c>
      <c r="I763" s="33">
        <f>(Examples!$F$6*Examples!$F$7*Examples!$F$8*EXP(-Examples!$F$9*$A763)*(1-(Examples!$F$12*(1-EXP(-Examples!$F$13*$A763))/(1+EXP(MIN(700,MAX(-700,(Examples!$F$14*$A763-Examples!$F$15)/Examples!$F$16))))))+Examples!$F$17*$A763^2)</f>
        <v>1160026.6117434937</v>
      </c>
      <c r="J763" s="33">
        <f>Examples!$G$18-(Examples!$G$10+Examples!$G$11)*$A763-(Examples!$G$6*Examples!$G$7*Examples!$G$8*EXP(-Examples!$G$9*$A763)*(1-(Examples!$G$12*(1-EXP(-Examples!$G$13*$A763))/(1+EXP(MIN(700,MAX(-700,(Examples!$G$14*$A763-Examples!$G$15)/Examples!$G$16))))))+Examples!$G$17*$A763^2)</f>
        <v>516915.24814940535</v>
      </c>
      <c r="K763" s="33">
        <f>(Examples!$G$6*Examples!$G$7*Examples!$G$8*EXP(-Examples!$G$9*$A763)*(1-(Examples!$G$12*(1-EXP(-Examples!$G$13*$A763))/(1+EXP(MIN(700,MAX(-700,(Examples!$G$14*$A763-Examples!$G$15)/Examples!$G$16))))))+Examples!$G$17*$A763^2)</f>
        <v>602584.75185059465</v>
      </c>
      <c r="L763" s="33">
        <f>Examples!$H$18-(Examples!$H$10+Examples!$H$11)*$A763-(Examples!$H$6*Examples!$H$7*Examples!$H$8*EXP(-Examples!$H$9*$A763)*(1-(Examples!$H$12*(1-EXP(-Examples!$H$13*$A763))/(1+EXP(MIN(700,MAX(-700,(Examples!$H$14*$A763-Examples!$H$15)/Examples!$H$16))))))+Examples!$H$17*$A763^2)</f>
        <v>516795.54682611069</v>
      </c>
      <c r="M763" s="33">
        <f>(Examples!$H$6*Examples!$H$7*Examples!$H$8*EXP(-Examples!$H$9*$A763)*(1-(Examples!$H$12*(1-EXP(-Examples!$H$13*$A763))/(1+EXP(MIN(700,MAX(-700,(Examples!$H$14*$A763-Examples!$H$15)/Examples!$H$16))))))+Examples!$H$17*$A763^2)</f>
        <v>602704.45317388931</v>
      </c>
    </row>
    <row r="764" spans="1:13" x14ac:dyDescent="0.25">
      <c r="A764">
        <f>(764-2)/100</f>
        <v>7.62</v>
      </c>
      <c r="B764" s="33">
        <f>Examples!$C$18-(Examples!$C$10+Examples!$C$11)*$A764-(Examples!$C$6*Examples!$C$7*Examples!$C$8*EXP(-Examples!$C$9*$A764)*(1-(Examples!$C$12*(1-EXP(-Examples!$C$13*$A764))/(1+EXP(MIN(700,MAX(-700,(Examples!$C$14*$A764-Examples!$C$15)/Examples!$C$16))))))+Examples!$C$17*$A764^2)</f>
        <v>-598669.40326459287</v>
      </c>
      <c r="C764" s="33">
        <f>(Examples!$C$6*Examples!$C$7*Examples!$C$8*EXP(-Examples!$C$9*$A764)*(1-(Examples!$C$12*(1-EXP(-Examples!$C$13*$A764))/(1+EXP(MIN(700,MAX(-700,(Examples!$C$14*$A764-Examples!$C$15)/Examples!$C$16))))))+Examples!$C$17*$A764^2)</f>
        <v>931969.40326459287</v>
      </c>
      <c r="D764" s="33">
        <f>Examples!$D$18-(Examples!$D$10+Examples!$D$11)*$A764-(Examples!$D$6*Examples!$D$7*Examples!$D$8*EXP(-Examples!$D$9*$A764)*(1-(Examples!$D$12*(1-EXP(-Examples!$D$13*$A764))/(1+EXP(MIN(700,MAX(-700,(Examples!$D$14*$A764-Examples!$D$15)/Examples!$D$16))))))+Examples!$D$17*$A764^2)</f>
        <v>1673086.1846526091</v>
      </c>
      <c r="E764" s="33">
        <f>(Examples!$D$6*Examples!$D$7*Examples!$D$8*EXP(-Examples!$D$9*$A764)*(1-(Examples!$D$12*(1-EXP(-Examples!$D$13*$A764))/(1+EXP(MIN(700,MAX(-700,(Examples!$D$14*$A764-Examples!$D$15)/Examples!$D$16))))))+Examples!$D$17*$A764^2)</f>
        <v>484013.81534739095</v>
      </c>
      <c r="F764" s="33">
        <f>Examples!$E$18-(Examples!$E$10+Examples!$E$11)*$A764-(Examples!$E$6*Examples!$E$7*Examples!$E$8*EXP(-Examples!$E$9*$A764)*(1-(Examples!$E$12*(1-EXP(-Examples!$E$13*$A764))/(1+EXP(MIN(700,MAX(-700,(Examples!$E$14*$A764-Examples!$E$15)/Examples!$E$16))))))+Examples!$E$17*$A764^2)</f>
        <v>2123845.0579666714</v>
      </c>
      <c r="G764" s="33">
        <f>(Examples!$E$6*Examples!$E$7*Examples!$E$8*EXP(-Examples!$E$9*$A764)*(1-(Examples!$E$12*(1-EXP(-Examples!$E$13*$A764))/(1+EXP(MIN(700,MAX(-700,(Examples!$E$14*$A764-Examples!$E$15)/Examples!$E$16))))))+Examples!$E$17*$A764^2)</f>
        <v>228454.94203332867</v>
      </c>
      <c r="H764" s="33">
        <f>Examples!$F$18-(Examples!$F$10+Examples!$F$11)*$A764-(Examples!$F$6*Examples!$F$7*Examples!$F$8*EXP(-Examples!$F$9*$A764)*(1-(Examples!$F$12*(1-EXP(-Examples!$F$13*$A764))/(1+EXP(MIN(700,MAX(-700,(Examples!$F$14*$A764-Examples!$F$15)/Examples!$F$16))))))+Examples!$F$17*$A764^2)</f>
        <v>-1165467.2659309916</v>
      </c>
      <c r="I764" s="33">
        <f>(Examples!$F$6*Examples!$F$7*Examples!$F$8*EXP(-Examples!$F$9*$A764)*(1-(Examples!$F$12*(1-EXP(-Examples!$F$13*$A764))/(1+EXP(MIN(700,MAX(-700,(Examples!$F$14*$A764-Examples!$F$15)/Examples!$F$16))))))+Examples!$F$17*$A764^2)</f>
        <v>1163067.2659309916</v>
      </c>
      <c r="J764" s="33">
        <f>Examples!$G$18-(Examples!$G$10+Examples!$G$11)*$A764-(Examples!$G$6*Examples!$G$7*Examples!$G$8*EXP(-Examples!$G$9*$A764)*(1-(Examples!$G$12*(1-EXP(-Examples!$G$13*$A764))/(1+EXP(MIN(700,MAX(-700,(Examples!$G$14*$A764-Examples!$G$15)/Examples!$G$16))))))+Examples!$G$17*$A764^2)</f>
        <v>515681.93891480495</v>
      </c>
      <c r="K764" s="33">
        <f>(Examples!$G$6*Examples!$G$7*Examples!$G$8*EXP(-Examples!$G$9*$A764)*(1-(Examples!$G$12*(1-EXP(-Examples!$G$13*$A764))/(1+EXP(MIN(700,MAX(-700,(Examples!$G$14*$A764-Examples!$G$15)/Examples!$G$16))))))+Examples!$G$17*$A764^2)</f>
        <v>603318.06108519505</v>
      </c>
      <c r="L764" s="33">
        <f>Examples!$H$18-(Examples!$H$10+Examples!$H$11)*$A764-(Examples!$H$6*Examples!$H$7*Examples!$H$8*EXP(-Examples!$H$9*$A764)*(1-(Examples!$H$12*(1-EXP(-Examples!$H$13*$A764))/(1+EXP(MIN(700,MAX(-700,(Examples!$H$14*$A764-Examples!$H$15)/Examples!$H$16))))))+Examples!$H$17*$A764^2)</f>
        <v>515564.22046575975</v>
      </c>
      <c r="M764" s="33">
        <f>(Examples!$H$6*Examples!$H$7*Examples!$H$8*EXP(-Examples!$H$9*$A764)*(1-(Examples!$H$12*(1-EXP(-Examples!$H$13*$A764))/(1+EXP(MIN(700,MAX(-700,(Examples!$H$14*$A764-Examples!$H$15)/Examples!$H$16))))))+Examples!$H$17*$A764^2)</f>
        <v>603435.77953424025</v>
      </c>
    </row>
    <row r="765" spans="1:13" x14ac:dyDescent="0.25">
      <c r="A765">
        <f>(765-2)/100</f>
        <v>7.63</v>
      </c>
      <c r="B765" s="33">
        <f>Examples!$C$18-(Examples!$C$10+Examples!$C$11)*$A765-(Examples!$C$6*Examples!$C$7*Examples!$C$8*EXP(-Examples!$C$9*$A765)*(1-(Examples!$C$12*(1-EXP(-Examples!$C$13*$A765))/(1+EXP(MIN(700,MAX(-700,(Examples!$C$14*$A765-Examples!$C$15)/Examples!$C$16))))))+Examples!$C$17*$A765^2)</f>
        <v>-601124.16729853232</v>
      </c>
      <c r="C765" s="33">
        <f>(Examples!$C$6*Examples!$C$7*Examples!$C$8*EXP(-Examples!$C$9*$A765)*(1-(Examples!$C$12*(1-EXP(-Examples!$C$13*$A765))/(1+EXP(MIN(700,MAX(-700,(Examples!$C$14*$A765-Examples!$C$15)/Examples!$C$16))))))+Examples!$C$17*$A765^2)</f>
        <v>934074.16729853232</v>
      </c>
      <c r="D765" s="33">
        <f>Examples!$D$18-(Examples!$D$10+Examples!$D$11)*$A765-(Examples!$D$6*Examples!$D$7*Examples!$D$8*EXP(-Examples!$D$9*$A765)*(1-(Examples!$D$12*(1-EXP(-Examples!$D$13*$A765))/(1+EXP(MIN(700,MAX(-700,(Examples!$D$14*$A765-Examples!$D$15)/Examples!$D$16))))))+Examples!$D$17*$A765^2)</f>
        <v>1672732.5834367962</v>
      </c>
      <c r="E765" s="33">
        <f>(Examples!$D$6*Examples!$D$7*Examples!$D$8*EXP(-Examples!$D$9*$A765)*(1-(Examples!$D$12*(1-EXP(-Examples!$D$13*$A765))/(1+EXP(MIN(700,MAX(-700,(Examples!$D$14*$A765-Examples!$D$15)/Examples!$D$16))))))+Examples!$D$17*$A765^2)</f>
        <v>483917.41656320373</v>
      </c>
      <c r="F765" s="33">
        <f>Examples!$E$18-(Examples!$E$10+Examples!$E$11)*$A765-(Examples!$E$6*Examples!$E$7*Examples!$E$8*EXP(-Examples!$E$9*$A765)*(1-(Examples!$E$12*(1-EXP(-Examples!$E$13*$A765))/(1+EXP(MIN(700,MAX(-700,(Examples!$E$14*$A765-Examples!$E$15)/Examples!$E$16))))))+Examples!$E$17*$A765^2)</f>
        <v>2122769.2380824573</v>
      </c>
      <c r="G765" s="33">
        <f>(Examples!$E$6*Examples!$E$7*Examples!$E$8*EXP(-Examples!$E$9*$A765)*(1-(Examples!$E$12*(1-EXP(-Examples!$E$13*$A765))/(1+EXP(MIN(700,MAX(-700,(Examples!$E$14*$A765-Examples!$E$15)/Examples!$E$16))))))+Examples!$E$17*$A765^2)</f>
        <v>228680.76191754252</v>
      </c>
      <c r="H765" s="33">
        <f>Examples!$F$18-(Examples!$F$10+Examples!$F$11)*$A765-(Examples!$F$6*Examples!$F$7*Examples!$F$8*EXP(-Examples!$F$9*$A765)*(1-(Examples!$F$12*(1-EXP(-Examples!$F$13*$A765))/(1+EXP(MIN(700,MAX(-700,(Examples!$F$14*$A765-Examples!$F$15)/Examples!$F$16))))))+Examples!$F$17*$A765^2)</f>
        <v>-1168711.9361318951</v>
      </c>
      <c r="I765" s="33">
        <f>(Examples!$F$6*Examples!$F$7*Examples!$F$8*EXP(-Examples!$F$9*$A765)*(1-(Examples!$F$12*(1-EXP(-Examples!$F$13*$A765))/(1+EXP(MIN(700,MAX(-700,(Examples!$F$14*$A765-Examples!$F$15)/Examples!$F$16))))))+Examples!$F$17*$A765^2)</f>
        <v>1166111.9361318951</v>
      </c>
      <c r="J765" s="33">
        <f>Examples!$G$18-(Examples!$G$10+Examples!$G$11)*$A765-(Examples!$G$6*Examples!$G$7*Examples!$G$8*EXP(-Examples!$G$9*$A765)*(1-(Examples!$G$12*(1-EXP(-Examples!$G$13*$A765))/(1+EXP(MIN(700,MAX(-700,(Examples!$G$14*$A765-Examples!$G$15)/Examples!$G$16))))))+Examples!$G$17*$A765^2)</f>
        <v>514445.36066619633</v>
      </c>
      <c r="K765" s="33">
        <f>(Examples!$G$6*Examples!$G$7*Examples!$G$8*EXP(-Examples!$G$9*$A765)*(1-(Examples!$G$12*(1-EXP(-Examples!$G$13*$A765))/(1+EXP(MIN(700,MAX(-700,(Examples!$G$14*$A765-Examples!$G$15)/Examples!$G$16))))))+Examples!$G$17*$A765^2)</f>
        <v>604054.63933380367</v>
      </c>
      <c r="L765" s="33">
        <f>Examples!$H$18-(Examples!$H$10+Examples!$H$11)*$A765-(Examples!$H$6*Examples!$H$7*Examples!$H$8*EXP(-Examples!$H$9*$A765)*(1-(Examples!$H$12*(1-EXP(-Examples!$H$13*$A765))/(1+EXP(MIN(700,MAX(-700,(Examples!$H$14*$A765-Examples!$H$15)/Examples!$H$16))))))+Examples!$H$17*$A765^2)</f>
        <v>514329.59233689751</v>
      </c>
      <c r="M765" s="33">
        <f>(Examples!$H$6*Examples!$H$7*Examples!$H$8*EXP(-Examples!$H$9*$A765)*(1-(Examples!$H$12*(1-EXP(-Examples!$H$13*$A765))/(1+EXP(MIN(700,MAX(-700,(Examples!$H$14*$A765-Examples!$H$15)/Examples!$H$16))))))+Examples!$H$17*$A765^2)</f>
        <v>604170.40766310249</v>
      </c>
    </row>
    <row r="766" spans="1:13" x14ac:dyDescent="0.25">
      <c r="A766">
        <f>(766-2)/100</f>
        <v>7.64</v>
      </c>
      <c r="B766" s="33">
        <f>Examples!$C$18-(Examples!$C$10+Examples!$C$11)*$A766-(Examples!$C$6*Examples!$C$7*Examples!$C$8*EXP(-Examples!$C$9*$A766)*(1-(Examples!$C$12*(1-EXP(-Examples!$C$13*$A766))/(1+EXP(MIN(700,MAX(-700,(Examples!$C$14*$A766-Examples!$C$15)/Examples!$C$16))))))+Examples!$C$17*$A766^2)</f>
        <v>-603582.47871878312</v>
      </c>
      <c r="C766" s="33">
        <f>(Examples!$C$6*Examples!$C$7*Examples!$C$8*EXP(-Examples!$C$9*$A766)*(1-(Examples!$C$12*(1-EXP(-Examples!$C$13*$A766))/(1+EXP(MIN(700,MAX(-700,(Examples!$C$14*$A766-Examples!$C$15)/Examples!$C$16))))))+Examples!$C$17*$A766^2)</f>
        <v>936182.47871878312</v>
      </c>
      <c r="D766" s="33">
        <f>Examples!$D$18-(Examples!$D$10+Examples!$D$11)*$A766-(Examples!$D$6*Examples!$D$7*Examples!$D$8*EXP(-Examples!$D$9*$A766)*(1-(Examples!$D$12*(1-EXP(-Examples!$D$13*$A766))/(1+EXP(MIN(700,MAX(-700,(Examples!$D$14*$A766-Examples!$D$15)/Examples!$D$16))))))+Examples!$D$17*$A766^2)</f>
        <v>1672374.313426252</v>
      </c>
      <c r="E766" s="33">
        <f>(Examples!$D$6*Examples!$D$7*Examples!$D$8*EXP(-Examples!$D$9*$A766)*(1-(Examples!$D$12*(1-EXP(-Examples!$D$13*$A766))/(1+EXP(MIN(700,MAX(-700,(Examples!$D$14*$A766-Examples!$D$15)/Examples!$D$16))))))+Examples!$D$17*$A766^2)</f>
        <v>483825.68657374801</v>
      </c>
      <c r="F766" s="33">
        <f>Examples!$E$18-(Examples!$E$10+Examples!$E$11)*$A766-(Examples!$E$6*Examples!$E$7*Examples!$E$8*EXP(-Examples!$E$9*$A766)*(1-(Examples!$E$12*(1-EXP(-Examples!$E$13*$A766))/(1+EXP(MIN(700,MAX(-700,(Examples!$E$14*$A766-Examples!$E$15)/Examples!$E$16))))))+Examples!$E$17*$A766^2)</f>
        <v>2121692.0961036137</v>
      </c>
      <c r="G766" s="33">
        <f>(Examples!$E$6*Examples!$E$7*Examples!$E$8*EXP(-Examples!$E$9*$A766)*(1-(Examples!$E$12*(1-EXP(-Examples!$E$13*$A766))/(1+EXP(MIN(700,MAX(-700,(Examples!$E$14*$A766-Examples!$E$15)/Examples!$E$16))))))+Examples!$E$17*$A766^2)</f>
        <v>228907.90389638627</v>
      </c>
      <c r="H766" s="33">
        <f>Examples!$F$18-(Examples!$F$10+Examples!$F$11)*$A766-(Examples!$F$6*Examples!$F$7*Examples!$F$8*EXP(-Examples!$F$9*$A766)*(1-(Examples!$F$12*(1-EXP(-Examples!$F$13*$A766))/(1+EXP(MIN(700,MAX(-700,(Examples!$F$14*$A766-Examples!$F$15)/Examples!$F$16))))))+Examples!$F$17*$A766^2)</f>
        <v>-1171960.6222982355</v>
      </c>
      <c r="I766" s="33">
        <f>(Examples!$F$6*Examples!$F$7*Examples!$F$8*EXP(-Examples!$F$9*$A766)*(1-(Examples!$F$12*(1-EXP(-Examples!$F$13*$A766))/(1+EXP(MIN(700,MAX(-700,(Examples!$F$14*$A766-Examples!$F$15)/Examples!$F$16))))))+Examples!$F$17*$A766^2)</f>
        <v>1169160.6222982355</v>
      </c>
      <c r="J766" s="33">
        <f>Examples!$G$18-(Examples!$G$10+Examples!$G$11)*$A766-(Examples!$G$6*Examples!$G$7*Examples!$G$8*EXP(-Examples!$G$9*$A766)*(1-(Examples!$G$12*(1-EXP(-Examples!$G$13*$A766))/(1+EXP(MIN(700,MAX(-700,(Examples!$G$14*$A766-Examples!$G$15)/Examples!$G$16))))))+Examples!$G$17*$A766^2)</f>
        <v>513205.51881018723</v>
      </c>
      <c r="K766" s="33">
        <f>(Examples!$G$6*Examples!$G$7*Examples!$G$8*EXP(-Examples!$G$9*$A766)*(1-(Examples!$G$12*(1-EXP(-Examples!$G$13*$A766))/(1+EXP(MIN(700,MAX(-700,(Examples!$G$14*$A766-Examples!$G$15)/Examples!$G$16))))))+Examples!$G$17*$A766^2)</f>
        <v>604794.48118981277</v>
      </c>
      <c r="L766" s="33">
        <f>Examples!$H$18-(Examples!$H$10+Examples!$H$11)*$A766-(Examples!$H$6*Examples!$H$7*Examples!$H$8*EXP(-Examples!$H$9*$A766)*(1-(Examples!$H$12*(1-EXP(-Examples!$H$13*$A766))/(1+EXP(MIN(700,MAX(-700,(Examples!$H$14*$A766-Examples!$H$15)/Examples!$H$16))))))+Examples!$H$17*$A766^2)</f>
        <v>513091.66838497703</v>
      </c>
      <c r="M766" s="33">
        <f>(Examples!$H$6*Examples!$H$7*Examples!$H$8*EXP(-Examples!$H$9*$A766)*(1-(Examples!$H$12*(1-EXP(-Examples!$H$13*$A766))/(1+EXP(MIN(700,MAX(-700,(Examples!$H$14*$A766-Examples!$H$15)/Examples!$H$16))))))+Examples!$H$17*$A766^2)</f>
        <v>604908.33161502297</v>
      </c>
    </row>
    <row r="767" spans="1:13" x14ac:dyDescent="0.25">
      <c r="A767">
        <f>(767-2)/100</f>
        <v>7.65</v>
      </c>
      <c r="B767" s="33">
        <f>Examples!$C$18-(Examples!$C$10+Examples!$C$11)*$A767-(Examples!$C$6*Examples!$C$7*Examples!$C$8*EXP(-Examples!$C$9*$A767)*(1-(Examples!$C$12*(1-EXP(-Examples!$C$13*$A767))/(1+EXP(MIN(700,MAX(-700,(Examples!$C$14*$A767-Examples!$C$15)/Examples!$C$16))))))+Examples!$C$17*$A767^2)</f>
        <v>-606044.33588565048</v>
      </c>
      <c r="C767" s="33">
        <f>(Examples!$C$6*Examples!$C$7*Examples!$C$8*EXP(-Examples!$C$9*$A767)*(1-(Examples!$C$12*(1-EXP(-Examples!$C$13*$A767))/(1+EXP(MIN(700,MAX(-700,(Examples!$C$14*$A767-Examples!$C$15)/Examples!$C$16))))))+Examples!$C$17*$A767^2)</f>
        <v>938294.33588565048</v>
      </c>
      <c r="D767" s="33">
        <f>Examples!$D$18-(Examples!$D$10+Examples!$D$11)*$A767-(Examples!$D$6*Examples!$D$7*Examples!$D$8*EXP(-Examples!$D$9*$A767)*(1-(Examples!$D$12*(1-EXP(-Examples!$D$13*$A767))/(1+EXP(MIN(700,MAX(-700,(Examples!$D$14*$A767-Examples!$D$15)/Examples!$D$16))))))+Examples!$D$17*$A767^2)</f>
        <v>1672011.387849052</v>
      </c>
      <c r="E767" s="33">
        <f>(Examples!$D$6*Examples!$D$7*Examples!$D$8*EXP(-Examples!$D$9*$A767)*(1-(Examples!$D$12*(1-EXP(-Examples!$D$13*$A767))/(1+EXP(MIN(700,MAX(-700,(Examples!$D$14*$A767-Examples!$D$15)/Examples!$D$16))))))+Examples!$D$17*$A767^2)</f>
        <v>483738.61215094815</v>
      </c>
      <c r="F767" s="33">
        <f>Examples!$E$18-(Examples!$E$10+Examples!$E$11)*$A767-(Examples!$E$6*Examples!$E$7*Examples!$E$8*EXP(-Examples!$E$9*$A767)*(1-(Examples!$E$12*(1-EXP(-Examples!$E$13*$A767))/(1+EXP(MIN(700,MAX(-700,(Examples!$E$14*$A767-Examples!$E$15)/Examples!$E$16))))))+Examples!$E$17*$A767^2)</f>
        <v>2120613.6313013337</v>
      </c>
      <c r="G767" s="33">
        <f>(Examples!$E$6*Examples!$E$7*Examples!$E$8*EXP(-Examples!$E$9*$A767)*(1-(Examples!$E$12*(1-EXP(-Examples!$E$13*$A767))/(1+EXP(MIN(700,MAX(-700,(Examples!$E$14*$A767-Examples!$E$15)/Examples!$E$16))))))+Examples!$E$17*$A767^2)</f>
        <v>229136.36869866613</v>
      </c>
      <c r="H767" s="33">
        <f>Examples!$F$18-(Examples!$F$10+Examples!$F$11)*$A767-(Examples!$F$6*Examples!$F$7*Examples!$F$8*EXP(-Examples!$F$9*$A767)*(1-(Examples!$F$12*(1-EXP(-Examples!$F$13*$A767))/(1+EXP(MIN(700,MAX(-700,(Examples!$F$14*$A767-Examples!$F$15)/Examples!$F$16))))))+Examples!$F$17*$A767^2)</f>
        <v>-1175213.3243821887</v>
      </c>
      <c r="I767" s="33">
        <f>(Examples!$F$6*Examples!$F$7*Examples!$F$8*EXP(-Examples!$F$9*$A767)*(1-(Examples!$F$12*(1-EXP(-Examples!$F$13*$A767))/(1+EXP(MIN(700,MAX(-700,(Examples!$F$14*$A767-Examples!$F$15)/Examples!$F$16))))))+Examples!$F$17*$A767^2)</f>
        <v>1172213.3243821887</v>
      </c>
      <c r="J767" s="33">
        <f>Examples!$G$18-(Examples!$G$10+Examples!$G$11)*$A767-(Examples!$G$6*Examples!$G$7*Examples!$G$8*EXP(-Examples!$G$9*$A767)*(1-(Examples!$G$12*(1-EXP(-Examples!$G$13*$A767))/(1+EXP(MIN(700,MAX(-700,(Examples!$G$14*$A767-Examples!$G$15)/Examples!$G$16))))))+Examples!$G$17*$A767^2)</f>
        <v>511962.41874143342</v>
      </c>
      <c r="K767" s="33">
        <f>(Examples!$G$6*Examples!$G$7*Examples!$G$8*EXP(-Examples!$G$9*$A767)*(1-(Examples!$G$12*(1-EXP(-Examples!$G$13*$A767))/(1+EXP(MIN(700,MAX(-700,(Examples!$G$14*$A767-Examples!$G$15)/Examples!$G$16))))))+Examples!$G$17*$A767^2)</f>
        <v>605537.58125856658</v>
      </c>
      <c r="L767" s="33">
        <f>Examples!$H$18-(Examples!$H$10+Examples!$H$11)*$A767-(Examples!$H$6*Examples!$H$7*Examples!$H$8*EXP(-Examples!$H$9*$A767)*(1-(Examples!$H$12*(1-EXP(-Examples!$H$13*$A767))/(1+EXP(MIN(700,MAX(-700,(Examples!$H$14*$A767-Examples!$H$15)/Examples!$H$16))))))+Examples!$H$17*$A767^2)</f>
        <v>511850.45453468943</v>
      </c>
      <c r="M767" s="33">
        <f>(Examples!$H$6*Examples!$H$7*Examples!$H$8*EXP(-Examples!$H$9*$A767)*(1-(Examples!$H$12*(1-EXP(-Examples!$H$13*$A767))/(1+EXP(MIN(700,MAX(-700,(Examples!$H$14*$A767-Examples!$H$15)/Examples!$H$16))))))+Examples!$H$17*$A767^2)</f>
        <v>605649.54546531057</v>
      </c>
    </row>
    <row r="768" spans="1:13" x14ac:dyDescent="0.25">
      <c r="A768">
        <f>(768-2)/100</f>
        <v>7.66</v>
      </c>
      <c r="B768" s="33">
        <f>Examples!$C$18-(Examples!$C$10+Examples!$C$11)*$A768-(Examples!$C$6*Examples!$C$7*Examples!$C$8*EXP(-Examples!$C$9*$A768)*(1-(Examples!$C$12*(1-EXP(-Examples!$C$13*$A768))/(1+EXP(MIN(700,MAX(-700,(Examples!$C$14*$A768-Examples!$C$15)/Examples!$C$16))))))+Examples!$C$17*$A768^2)</f>
        <v>-608509.73716435104</v>
      </c>
      <c r="C768" s="33">
        <f>(Examples!$C$6*Examples!$C$7*Examples!$C$8*EXP(-Examples!$C$9*$A768)*(1-(Examples!$C$12*(1-EXP(-Examples!$C$13*$A768))/(1+EXP(MIN(700,MAX(-700,(Examples!$C$14*$A768-Examples!$C$15)/Examples!$C$16))))))+Examples!$C$17*$A768^2)</f>
        <v>940409.73716435104</v>
      </c>
      <c r="D768" s="33">
        <f>Examples!$D$18-(Examples!$D$10+Examples!$D$11)*$A768-(Examples!$D$6*Examples!$D$7*Examples!$D$8*EXP(-Examples!$D$9*$A768)*(1-(Examples!$D$12*(1-EXP(-Examples!$D$13*$A768))/(1+EXP(MIN(700,MAX(-700,(Examples!$D$14*$A768-Examples!$D$15)/Examples!$D$16))))))+Examples!$D$17*$A768^2)</f>
        <v>1671643.8199292338</v>
      </c>
      <c r="E768" s="33">
        <f>(Examples!$D$6*Examples!$D$7*Examples!$D$8*EXP(-Examples!$D$9*$A768)*(1-(Examples!$D$12*(1-EXP(-Examples!$D$13*$A768))/(1+EXP(MIN(700,MAX(-700,(Examples!$D$14*$A768-Examples!$D$15)/Examples!$D$16))))))+Examples!$D$17*$A768^2)</f>
        <v>483656.18007076631</v>
      </c>
      <c r="F768" s="33">
        <f>Examples!$E$18-(Examples!$E$10+Examples!$E$11)*$A768-(Examples!$E$6*Examples!$E$7*Examples!$E$8*EXP(-Examples!$E$9*$A768)*(1-(Examples!$E$12*(1-EXP(-Examples!$E$13*$A768))/(1+EXP(MIN(700,MAX(-700,(Examples!$E$14*$A768-Examples!$E$15)/Examples!$E$16))))))+Examples!$E$17*$A768^2)</f>
        <v>2119533.8429845567</v>
      </c>
      <c r="G768" s="33">
        <f>(Examples!$E$6*Examples!$E$7*Examples!$E$8*EXP(-Examples!$E$9*$A768)*(1-(Examples!$E$12*(1-EXP(-Examples!$E$13*$A768))/(1+EXP(MIN(700,MAX(-700,(Examples!$E$14*$A768-Examples!$E$15)/Examples!$E$16))))))+Examples!$E$17*$A768^2)</f>
        <v>229366.15701544343</v>
      </c>
      <c r="H768" s="33">
        <f>Examples!$F$18-(Examples!$F$10+Examples!$F$11)*$A768-(Examples!$F$6*Examples!$F$7*Examples!$F$8*EXP(-Examples!$F$9*$A768)*(1-(Examples!$F$12*(1-EXP(-Examples!$F$13*$A768))/(1+EXP(MIN(700,MAX(-700,(Examples!$F$14*$A768-Examples!$F$15)/Examples!$F$16))))))+Examples!$F$17*$A768^2)</f>
        <v>-1178470.042336073</v>
      </c>
      <c r="I768" s="33">
        <f>(Examples!$F$6*Examples!$F$7*Examples!$F$8*EXP(-Examples!$F$9*$A768)*(1-(Examples!$F$12*(1-EXP(-Examples!$F$13*$A768))/(1+EXP(MIN(700,MAX(-700,(Examples!$F$14*$A768-Examples!$F$15)/Examples!$F$16))))))+Examples!$F$17*$A768^2)</f>
        <v>1175270.042336073</v>
      </c>
      <c r="J768" s="33">
        <f>Examples!$G$18-(Examples!$G$10+Examples!$G$11)*$A768-(Examples!$G$6*Examples!$G$7*Examples!$G$8*EXP(-Examples!$G$9*$A768)*(1-(Examples!$G$12*(1-EXP(-Examples!$G$13*$A768))/(1+EXP(MIN(700,MAX(-700,(Examples!$G$14*$A768-Examples!$G$15)/Examples!$G$16))))))+Examples!$G$17*$A768^2)</f>
        <v>510716.06584256934</v>
      </c>
      <c r="K768" s="33">
        <f>(Examples!$G$6*Examples!$G$7*Examples!$G$8*EXP(-Examples!$G$9*$A768)*(1-(Examples!$G$12*(1-EXP(-Examples!$G$13*$A768))/(1+EXP(MIN(700,MAX(-700,(Examples!$G$14*$A768-Examples!$G$15)/Examples!$G$16))))))+Examples!$G$17*$A768^2)</f>
        <v>606283.93415743066</v>
      </c>
      <c r="L768" s="33">
        <f>Examples!$H$18-(Examples!$H$10+Examples!$H$11)*$A768-(Examples!$H$6*Examples!$H$7*Examples!$H$8*EXP(-Examples!$H$9*$A768)*(1-(Examples!$H$12*(1-EXP(-Examples!$H$13*$A768))/(1+EXP(MIN(700,MAX(-700,(Examples!$H$14*$A768-Examples!$H$15)/Examples!$H$16))))))+Examples!$H$17*$A768^2)</f>
        <v>510605.95669003739</v>
      </c>
      <c r="M768" s="33">
        <f>(Examples!$H$6*Examples!$H$7*Examples!$H$8*EXP(-Examples!$H$9*$A768)*(1-(Examples!$H$12*(1-EXP(-Examples!$H$13*$A768))/(1+EXP(MIN(700,MAX(-700,(Examples!$H$14*$A768-Examples!$H$15)/Examples!$H$16))))))+Examples!$H$17*$A768^2)</f>
        <v>606394.04330996261</v>
      </c>
    </row>
    <row r="769" spans="1:13" x14ac:dyDescent="0.25">
      <c r="A769">
        <f>(769-2)/100</f>
        <v>7.67</v>
      </c>
      <c r="B769" s="33">
        <f>Examples!$C$18-(Examples!$C$10+Examples!$C$11)*$A769-(Examples!$C$6*Examples!$C$7*Examples!$C$8*EXP(-Examples!$C$9*$A769)*(1-(Examples!$C$12*(1-EXP(-Examples!$C$13*$A769))/(1+EXP(MIN(700,MAX(-700,(Examples!$C$14*$A769-Examples!$C$15)/Examples!$C$16))))))+Examples!$C$17*$A769^2)</f>
        <v>-610978.68092499895</v>
      </c>
      <c r="C769" s="33">
        <f>(Examples!$C$6*Examples!$C$7*Examples!$C$8*EXP(-Examples!$C$9*$A769)*(1-(Examples!$C$12*(1-EXP(-Examples!$C$13*$A769))/(1+EXP(MIN(700,MAX(-700,(Examples!$C$14*$A769-Examples!$C$15)/Examples!$C$16))))))+Examples!$C$17*$A769^2)</f>
        <v>942528.68092499895</v>
      </c>
      <c r="D769" s="33">
        <f>Examples!$D$18-(Examples!$D$10+Examples!$D$11)*$A769-(Examples!$D$6*Examples!$D$7*Examples!$D$8*EXP(-Examples!$D$9*$A769)*(1-(Examples!$D$12*(1-EXP(-Examples!$D$13*$A769))/(1+EXP(MIN(700,MAX(-700,(Examples!$D$14*$A769-Examples!$D$15)/Examples!$D$16))))))+Examples!$D$17*$A769^2)</f>
        <v>1671271.6228858938</v>
      </c>
      <c r="E769" s="33">
        <f>(Examples!$D$6*Examples!$D$7*Examples!$D$8*EXP(-Examples!$D$9*$A769)*(1-(Examples!$D$12*(1-EXP(-Examples!$D$13*$A769))/(1+EXP(MIN(700,MAX(-700,(Examples!$D$14*$A769-Examples!$D$15)/Examples!$D$16))))))+Examples!$D$17*$A769^2)</f>
        <v>483578.3771141062</v>
      </c>
      <c r="F769" s="33">
        <f>Examples!$E$18-(Examples!$E$10+Examples!$E$11)*$A769-(Examples!$E$6*Examples!$E$7*Examples!$E$8*EXP(-Examples!$E$9*$A769)*(1-(Examples!$E$12*(1-EXP(-Examples!$E$13*$A769))/(1+EXP(MIN(700,MAX(-700,(Examples!$E$14*$A769-Examples!$E$15)/Examples!$E$16))))))+Examples!$E$17*$A769^2)</f>
        <v>2118452.7304996802</v>
      </c>
      <c r="G769" s="33">
        <f>(Examples!$E$6*Examples!$E$7*Examples!$E$8*EXP(-Examples!$E$9*$A769)*(1-(Examples!$E$12*(1-EXP(-Examples!$E$13*$A769))/(1+EXP(MIN(700,MAX(-700,(Examples!$E$14*$A769-Examples!$E$15)/Examples!$E$16))))))+Examples!$E$17*$A769^2)</f>
        <v>229597.26950031961</v>
      </c>
      <c r="H769" s="33">
        <f>Examples!$F$18-(Examples!$F$10+Examples!$F$11)*$A769-(Examples!$F$6*Examples!$F$7*Examples!$F$8*EXP(-Examples!$F$9*$A769)*(1-(Examples!$F$12*(1-EXP(-Examples!$F$13*$A769))/(1+EXP(MIN(700,MAX(-700,(Examples!$F$14*$A769-Examples!$F$15)/Examples!$F$16))))))+Examples!$F$17*$A769^2)</f>
        <v>-1181730.7761123502</v>
      </c>
      <c r="I769" s="33">
        <f>(Examples!$F$6*Examples!$F$7*Examples!$F$8*EXP(-Examples!$F$9*$A769)*(1-(Examples!$F$12*(1-EXP(-Examples!$F$13*$A769))/(1+EXP(MIN(700,MAX(-700,(Examples!$F$14*$A769-Examples!$F$15)/Examples!$F$16))))))+Examples!$F$17*$A769^2)</f>
        <v>1178330.7761123502</v>
      </c>
      <c r="J769" s="33">
        <f>Examples!$G$18-(Examples!$G$10+Examples!$G$11)*$A769-(Examples!$G$6*Examples!$G$7*Examples!$G$8*EXP(-Examples!$G$9*$A769)*(1-(Examples!$G$12*(1-EXP(-Examples!$G$13*$A769))/(1+EXP(MIN(700,MAX(-700,(Examples!$G$14*$A769-Examples!$G$15)/Examples!$G$16))))))+Examples!$G$17*$A769^2)</f>
        <v>509466.46548413811</v>
      </c>
      <c r="K769" s="33">
        <f>(Examples!$G$6*Examples!$G$7*Examples!$G$8*EXP(-Examples!$G$9*$A769)*(1-(Examples!$G$12*(1-EXP(-Examples!$G$13*$A769))/(1+EXP(MIN(700,MAX(-700,(Examples!$G$14*$A769-Examples!$G$15)/Examples!$G$16))))))+Examples!$G$17*$A769^2)</f>
        <v>607033.53451586189</v>
      </c>
      <c r="L769" s="33">
        <f>Examples!$H$18-(Examples!$H$10+Examples!$H$11)*$A769-(Examples!$H$6*Examples!$H$7*Examples!$H$8*EXP(-Examples!$H$9*$A769)*(1-(Examples!$H$12*(1-EXP(-Examples!$H$13*$A769))/(1+EXP(MIN(700,MAX(-700,(Examples!$H$14*$A769-Examples!$H$15)/Examples!$H$16))))))+Examples!$H$17*$A769^2)</f>
        <v>509358.18073440541</v>
      </c>
      <c r="M769" s="33">
        <f>(Examples!$H$6*Examples!$H$7*Examples!$H$8*EXP(-Examples!$H$9*$A769)*(1-(Examples!$H$12*(1-EXP(-Examples!$H$13*$A769))/(1+EXP(MIN(700,MAX(-700,(Examples!$H$14*$A769-Examples!$H$15)/Examples!$H$16))))))+Examples!$H$17*$A769^2)</f>
        <v>607141.81926559459</v>
      </c>
    </row>
    <row r="770" spans="1:13" x14ac:dyDescent="0.25">
      <c r="A770">
        <f>(770-2)/100</f>
        <v>7.68</v>
      </c>
      <c r="B770" s="33">
        <f>Examples!$C$18-(Examples!$C$10+Examples!$C$11)*$A770-(Examples!$C$6*Examples!$C$7*Examples!$C$8*EXP(-Examples!$C$9*$A770)*(1-(Examples!$C$12*(1-EXP(-Examples!$C$13*$A770))/(1+EXP(MIN(700,MAX(-700,(Examples!$C$14*$A770-Examples!$C$15)/Examples!$C$16))))))+Examples!$C$17*$A770^2)</f>
        <v>-613451.16554258997</v>
      </c>
      <c r="C770" s="33">
        <f>(Examples!$C$6*Examples!$C$7*Examples!$C$8*EXP(-Examples!$C$9*$A770)*(1-(Examples!$C$12*(1-EXP(-Examples!$C$13*$A770))/(1+EXP(MIN(700,MAX(-700,(Examples!$C$14*$A770-Examples!$C$15)/Examples!$C$16))))))+Examples!$C$17*$A770^2)</f>
        <v>944651.16554258997</v>
      </c>
      <c r="D770" s="33">
        <f>Examples!$D$18-(Examples!$D$10+Examples!$D$11)*$A770-(Examples!$D$6*Examples!$D$7*Examples!$D$8*EXP(-Examples!$D$9*$A770)*(1-(Examples!$D$12*(1-EXP(-Examples!$D$13*$A770))/(1+EXP(MIN(700,MAX(-700,(Examples!$D$14*$A770-Examples!$D$15)/Examples!$D$16))))))+Examples!$D$17*$A770^2)</f>
        <v>1670894.8099323018</v>
      </c>
      <c r="E770" s="33">
        <f>(Examples!$D$6*Examples!$D$7*Examples!$D$8*EXP(-Examples!$D$9*$A770)*(1-(Examples!$D$12*(1-EXP(-Examples!$D$13*$A770))/(1+EXP(MIN(700,MAX(-700,(Examples!$D$14*$A770-Examples!$D$15)/Examples!$D$16))))))+Examples!$D$17*$A770^2)</f>
        <v>483505.19006769825</v>
      </c>
      <c r="F770" s="33">
        <f>Examples!$E$18-(Examples!$E$10+Examples!$E$11)*$A770-(Examples!$E$6*Examples!$E$7*Examples!$E$8*EXP(-Examples!$E$9*$A770)*(1-(Examples!$E$12*(1-EXP(-Examples!$E$13*$A770))/(1+EXP(MIN(700,MAX(-700,(Examples!$E$14*$A770-Examples!$E$15)/Examples!$E$16))))))+Examples!$E$17*$A770^2)</f>
        <v>2117370.293230277</v>
      </c>
      <c r="G770" s="33">
        <f>(Examples!$E$6*Examples!$E$7*Examples!$E$8*EXP(-Examples!$E$9*$A770)*(1-(Examples!$E$12*(1-EXP(-Examples!$E$13*$A770))/(1+EXP(MIN(700,MAX(-700,(Examples!$E$14*$A770-Examples!$E$15)/Examples!$E$16))))))+Examples!$E$17*$A770^2)</f>
        <v>229829.70676972304</v>
      </c>
      <c r="H770" s="33">
        <f>Examples!$F$18-(Examples!$F$10+Examples!$F$11)*$A770-(Examples!$F$6*Examples!$F$7*Examples!$F$8*EXP(-Examples!$F$9*$A770)*(1-(Examples!$F$12*(1-EXP(-Examples!$F$13*$A770))/(1+EXP(MIN(700,MAX(-700,(Examples!$F$14*$A770-Examples!$F$15)/Examples!$F$16))))))+Examples!$F$17*$A770^2)</f>
        <v>-1184995.5256636243</v>
      </c>
      <c r="I770" s="33">
        <f>(Examples!$F$6*Examples!$F$7*Examples!$F$8*EXP(-Examples!$F$9*$A770)*(1-(Examples!$F$12*(1-EXP(-Examples!$F$13*$A770))/(1+EXP(MIN(700,MAX(-700,(Examples!$F$14*$A770-Examples!$F$15)/Examples!$F$16))))))+Examples!$F$17*$A770^2)</f>
        <v>1181395.5256636243</v>
      </c>
      <c r="J770" s="33">
        <f>Examples!$G$18-(Examples!$G$10+Examples!$G$11)*$A770-(Examples!$G$6*Examples!$G$7*Examples!$G$8*EXP(-Examples!$G$9*$A770)*(1-(Examples!$G$12*(1-EXP(-Examples!$G$13*$A770))/(1+EXP(MIN(700,MAX(-700,(Examples!$G$14*$A770-Examples!$G$15)/Examples!$G$16))))))+Examples!$G$17*$A770^2)</f>
        <v>508213.62302452594</v>
      </c>
      <c r="K770" s="33">
        <f>(Examples!$G$6*Examples!$G$7*Examples!$G$8*EXP(-Examples!$G$9*$A770)*(1-(Examples!$G$12*(1-EXP(-Examples!$G$13*$A770))/(1+EXP(MIN(700,MAX(-700,(Examples!$G$14*$A770-Examples!$G$15)/Examples!$G$16))))))+Examples!$G$17*$A770^2)</f>
        <v>607786.37697547406</v>
      </c>
      <c r="L770" s="33">
        <f>Examples!$H$18-(Examples!$H$10+Examples!$H$11)*$A770-(Examples!$H$6*Examples!$H$7*Examples!$H$8*EXP(-Examples!$H$9*$A770)*(1-(Examples!$H$12*(1-EXP(-Examples!$H$13*$A770))/(1+EXP(MIN(700,MAX(-700,(Examples!$H$14*$A770-Examples!$H$15)/Examples!$H$16))))))+Examples!$H$17*$A770^2)</f>
        <v>508107.13253063255</v>
      </c>
      <c r="M770" s="33">
        <f>(Examples!$H$6*Examples!$H$7*Examples!$H$8*EXP(-Examples!$H$9*$A770)*(1-(Examples!$H$12*(1-EXP(-Examples!$H$13*$A770))/(1+EXP(MIN(700,MAX(-700,(Examples!$H$14*$A770-Examples!$H$15)/Examples!$H$16))))))+Examples!$H$17*$A770^2)</f>
        <v>607892.86746936745</v>
      </c>
    </row>
    <row r="771" spans="1:13" x14ac:dyDescent="0.25">
      <c r="A771">
        <f>(771-2)/100</f>
        <v>7.69</v>
      </c>
      <c r="B771" s="33">
        <f>Examples!$C$18-(Examples!$C$10+Examples!$C$11)*$A771-(Examples!$C$6*Examples!$C$7*Examples!$C$8*EXP(-Examples!$C$9*$A771)*(1-(Examples!$C$12*(1-EXP(-Examples!$C$13*$A771))/(1+EXP(MIN(700,MAX(-700,(Examples!$C$14*$A771-Examples!$C$15)/Examples!$C$16))))))+Examples!$C$17*$A771^2)</f>
        <v>-615927.18939698767</v>
      </c>
      <c r="C771" s="33">
        <f>(Examples!$C$6*Examples!$C$7*Examples!$C$8*EXP(-Examples!$C$9*$A771)*(1-(Examples!$C$12*(1-EXP(-Examples!$C$13*$A771))/(1+EXP(MIN(700,MAX(-700,(Examples!$C$14*$A771-Examples!$C$15)/Examples!$C$16))))))+Examples!$C$17*$A771^2)</f>
        <v>946777.18939698767</v>
      </c>
      <c r="D771" s="33">
        <f>Examples!$D$18-(Examples!$D$10+Examples!$D$11)*$A771-(Examples!$D$6*Examples!$D$7*Examples!$D$8*EXP(-Examples!$D$9*$A771)*(1-(Examples!$D$12*(1-EXP(-Examples!$D$13*$A771))/(1+EXP(MIN(700,MAX(-700,(Examples!$D$14*$A771-Examples!$D$15)/Examples!$D$16))))))+Examples!$D$17*$A771^2)</f>
        <v>1670513.3942750338</v>
      </c>
      <c r="E771" s="33">
        <f>(Examples!$D$6*Examples!$D$7*Examples!$D$8*EXP(-Examples!$D$9*$A771)*(1-(Examples!$D$12*(1-EXP(-Examples!$D$13*$A771))/(1+EXP(MIN(700,MAX(-700,(Examples!$D$14*$A771-Examples!$D$15)/Examples!$D$16))))))+Examples!$D$17*$A771^2)</f>
        <v>483436.60572496615</v>
      </c>
      <c r="F771" s="33">
        <f>Examples!$E$18-(Examples!$E$10+Examples!$E$11)*$A771-(Examples!$E$6*Examples!$E$7*Examples!$E$8*EXP(-Examples!$E$9*$A771)*(1-(Examples!$E$12*(1-EXP(-Examples!$E$13*$A771))/(1+EXP(MIN(700,MAX(-700,(Examples!$E$14*$A771-Examples!$E$15)/Examples!$E$16))))))+Examples!$E$17*$A771^2)</f>
        <v>2116286.5305968025</v>
      </c>
      <c r="G771" s="33">
        <f>(Examples!$E$6*Examples!$E$7*Examples!$E$8*EXP(-Examples!$E$9*$A771)*(1-(Examples!$E$12*(1-EXP(-Examples!$E$13*$A771))/(1+EXP(MIN(700,MAX(-700,(Examples!$E$14*$A771-Examples!$E$15)/Examples!$E$16))))))+Examples!$E$17*$A771^2)</f>
        <v>230063.46940319741</v>
      </c>
      <c r="H771" s="33">
        <f>Examples!$F$18-(Examples!$F$10+Examples!$F$11)*$A771-(Examples!$F$6*Examples!$F$7*Examples!$F$8*EXP(-Examples!$F$9*$A771)*(1-(Examples!$F$12*(1-EXP(-Examples!$F$13*$A771))/(1+EXP(MIN(700,MAX(-700,(Examples!$F$14*$A771-Examples!$F$15)/Examples!$F$16))))))+Examples!$F$17*$A771^2)</f>
        <v>-1188264.2909426414</v>
      </c>
      <c r="I771" s="33">
        <f>(Examples!$F$6*Examples!$F$7*Examples!$F$8*EXP(-Examples!$F$9*$A771)*(1-(Examples!$F$12*(1-EXP(-Examples!$F$13*$A771))/(1+EXP(MIN(700,MAX(-700,(Examples!$F$14*$A771-Examples!$F$15)/Examples!$F$16))))))+Examples!$F$17*$A771^2)</f>
        <v>1184464.2909426414</v>
      </c>
      <c r="J771" s="33">
        <f>Examples!$G$18-(Examples!$G$10+Examples!$G$11)*$A771-(Examples!$G$6*Examples!$G$7*Examples!$G$8*EXP(-Examples!$G$9*$A771)*(1-(Examples!$G$12*(1-EXP(-Examples!$G$13*$A771))/(1+EXP(MIN(700,MAX(-700,(Examples!$G$14*$A771-Examples!$G$15)/Examples!$G$16))))))+Examples!$G$17*$A771^2)</f>
        <v>506957.54380989773</v>
      </c>
      <c r="K771" s="33">
        <f>(Examples!$G$6*Examples!$G$7*Examples!$G$8*EXP(-Examples!$G$9*$A771)*(1-(Examples!$G$12*(1-EXP(-Examples!$G$13*$A771))/(1+EXP(MIN(700,MAX(-700,(Examples!$G$14*$A771-Examples!$G$15)/Examples!$G$16))))))+Examples!$G$17*$A771^2)</f>
        <v>608542.45619010227</v>
      </c>
      <c r="L771" s="33">
        <f>Examples!$H$18-(Examples!$H$10+Examples!$H$11)*$A771-(Examples!$H$6*Examples!$H$7*Examples!$H$8*EXP(-Examples!$H$9*$A771)*(1-(Examples!$H$12*(1-EXP(-Examples!$H$13*$A771))/(1+EXP(MIN(700,MAX(-700,(Examples!$H$14*$A771-Examples!$H$15)/Examples!$H$16))))))+Examples!$H$17*$A771^2)</f>
        <v>506852.817921084</v>
      </c>
      <c r="M771" s="33">
        <f>(Examples!$H$6*Examples!$H$7*Examples!$H$8*EXP(-Examples!$H$9*$A771)*(1-(Examples!$H$12*(1-EXP(-Examples!$H$13*$A771))/(1+EXP(MIN(700,MAX(-700,(Examples!$H$14*$A771-Examples!$H$15)/Examples!$H$16))))))+Examples!$H$17*$A771^2)</f>
        <v>608647.182078916</v>
      </c>
    </row>
    <row r="772" spans="1:13" x14ac:dyDescent="0.25">
      <c r="A772">
        <f>(772-2)/100</f>
        <v>7.7</v>
      </c>
      <c r="B772" s="33">
        <f>Examples!$C$18-(Examples!$C$10+Examples!$C$11)*$A772-(Examples!$C$6*Examples!$C$7*Examples!$C$8*EXP(-Examples!$C$9*$A772)*(1-(Examples!$C$12*(1-EXP(-Examples!$C$13*$A772))/(1+EXP(MIN(700,MAX(-700,(Examples!$C$14*$A772-Examples!$C$15)/Examples!$C$16))))))+Examples!$C$17*$A772^2)</f>
        <v>-618406.75087290863</v>
      </c>
      <c r="C772" s="33">
        <f>(Examples!$C$6*Examples!$C$7*Examples!$C$8*EXP(-Examples!$C$9*$A772)*(1-(Examples!$C$12*(1-EXP(-Examples!$C$13*$A772))/(1+EXP(MIN(700,MAX(-700,(Examples!$C$14*$A772-Examples!$C$15)/Examples!$C$16))))))+Examples!$C$17*$A772^2)</f>
        <v>948906.75087290863</v>
      </c>
      <c r="D772" s="33">
        <f>Examples!$D$18-(Examples!$D$10+Examples!$D$11)*$A772-(Examples!$D$6*Examples!$D$7*Examples!$D$8*EXP(-Examples!$D$9*$A772)*(1-(Examples!$D$12*(1-EXP(-Examples!$D$13*$A772))/(1+EXP(MIN(700,MAX(-700,(Examples!$D$14*$A772-Examples!$D$15)/Examples!$D$16))))))+Examples!$D$17*$A772^2)</f>
        <v>1670127.3891131245</v>
      </c>
      <c r="E772" s="33">
        <f>(Examples!$D$6*Examples!$D$7*Examples!$D$8*EXP(-Examples!$D$9*$A772)*(1-(Examples!$D$12*(1-EXP(-Examples!$D$13*$A772))/(1+EXP(MIN(700,MAX(-700,(Examples!$D$14*$A772-Examples!$D$15)/Examples!$D$16))))))+Examples!$D$17*$A772^2)</f>
        <v>483372.61088687554</v>
      </c>
      <c r="F772" s="33">
        <f>Examples!$E$18-(Examples!$E$10+Examples!$E$11)*$A772-(Examples!$E$6*Examples!$E$7*Examples!$E$8*EXP(-Examples!$E$9*$A772)*(1-(Examples!$E$12*(1-EXP(-Examples!$E$13*$A772))/(1+EXP(MIN(700,MAX(-700,(Examples!$E$14*$A772-Examples!$E$15)/Examples!$E$16))))))+Examples!$E$17*$A772^2)</f>
        <v>2115201.4420563076</v>
      </c>
      <c r="G772" s="33">
        <f>(Examples!$E$6*Examples!$E$7*Examples!$E$8*EXP(-Examples!$E$9*$A772)*(1-(Examples!$E$12*(1-EXP(-Examples!$E$13*$A772))/(1+EXP(MIN(700,MAX(-700,(Examples!$E$14*$A772-Examples!$E$15)/Examples!$E$16))))))+Examples!$E$17*$A772^2)</f>
        <v>230298.55794369237</v>
      </c>
      <c r="H772" s="33">
        <f>Examples!$F$18-(Examples!$F$10+Examples!$F$11)*$A772-(Examples!$F$6*Examples!$F$7*Examples!$F$8*EXP(-Examples!$F$9*$A772)*(1-(Examples!$F$12*(1-EXP(-Examples!$F$13*$A772))/(1+EXP(MIN(700,MAX(-700,(Examples!$F$14*$A772-Examples!$F$15)/Examples!$F$16))))))+Examples!$F$17*$A772^2)</f>
        <v>-1191537.0719022886</v>
      </c>
      <c r="I772" s="33">
        <f>(Examples!$F$6*Examples!$F$7*Examples!$F$8*EXP(-Examples!$F$9*$A772)*(1-(Examples!$F$12*(1-EXP(-Examples!$F$13*$A772))/(1+EXP(MIN(700,MAX(-700,(Examples!$F$14*$A772-Examples!$F$15)/Examples!$F$16))))))+Examples!$F$17*$A772^2)</f>
        <v>1187537.0719022886</v>
      </c>
      <c r="J772" s="33">
        <f>Examples!$G$18-(Examples!$G$10+Examples!$G$11)*$A772-(Examples!$G$6*Examples!$G$7*Examples!$G$8*EXP(-Examples!$G$9*$A772)*(1-(Examples!$G$12*(1-EXP(-Examples!$G$13*$A772))/(1+EXP(MIN(700,MAX(-700,(Examples!$G$14*$A772-Examples!$G$15)/Examples!$G$16))))))+Examples!$G$17*$A772^2)</f>
        <v>505698.23317413428</v>
      </c>
      <c r="K772" s="33">
        <f>(Examples!$G$6*Examples!$G$7*Examples!$G$8*EXP(-Examples!$G$9*$A772)*(1-(Examples!$G$12*(1-EXP(-Examples!$G$13*$A772))/(1+EXP(MIN(700,MAX(-700,(Examples!$G$14*$A772-Examples!$G$15)/Examples!$G$16))))))+Examples!$G$17*$A772^2)</f>
        <v>609301.76682586572</v>
      </c>
      <c r="L772" s="33">
        <f>Examples!$H$18-(Examples!$H$10+Examples!$H$11)*$A772-(Examples!$H$6*Examples!$H$7*Examples!$H$8*EXP(-Examples!$H$9*$A772)*(1-(Examples!$H$12*(1-EXP(-Examples!$H$13*$A772))/(1+EXP(MIN(700,MAX(-700,(Examples!$H$14*$A772-Examples!$H$15)/Examples!$H$16))))))+Examples!$H$17*$A772^2)</f>
        <v>505595.24272772134</v>
      </c>
      <c r="M772" s="33">
        <f>(Examples!$H$6*Examples!$H$7*Examples!$H$8*EXP(-Examples!$H$9*$A772)*(1-(Examples!$H$12*(1-EXP(-Examples!$H$13*$A772))/(1+EXP(MIN(700,MAX(-700,(Examples!$H$14*$A772-Examples!$H$15)/Examples!$H$16))))))+Examples!$H$17*$A772^2)</f>
        <v>609404.75727227866</v>
      </c>
    </row>
    <row r="773" spans="1:13" x14ac:dyDescent="0.25">
      <c r="A773">
        <f>(773-2)/100</f>
        <v>7.71</v>
      </c>
      <c r="B773" s="33">
        <f>Examples!$C$18-(Examples!$C$10+Examples!$C$11)*$A773-(Examples!$C$6*Examples!$C$7*Examples!$C$8*EXP(-Examples!$C$9*$A773)*(1-(Examples!$C$12*(1-EXP(-Examples!$C$13*$A773))/(1+EXP(MIN(700,MAX(-700,(Examples!$C$14*$A773-Examples!$C$15)/Examples!$C$16))))))+Examples!$C$17*$A773^2)</f>
        <v>-620889.84835990786</v>
      </c>
      <c r="C773" s="33">
        <f>(Examples!$C$6*Examples!$C$7*Examples!$C$8*EXP(-Examples!$C$9*$A773)*(1-(Examples!$C$12*(1-EXP(-Examples!$C$13*$A773))/(1+EXP(MIN(700,MAX(-700,(Examples!$C$14*$A773-Examples!$C$15)/Examples!$C$16))))))+Examples!$C$17*$A773^2)</f>
        <v>951039.84835990786</v>
      </c>
      <c r="D773" s="33">
        <f>Examples!$D$18-(Examples!$D$10+Examples!$D$11)*$A773-(Examples!$D$6*Examples!$D$7*Examples!$D$8*EXP(-Examples!$D$9*$A773)*(1-(Examples!$D$12*(1-EXP(-Examples!$D$13*$A773))/(1+EXP(MIN(700,MAX(-700,(Examples!$D$14*$A773-Examples!$D$15)/Examples!$D$16))))))+Examples!$D$17*$A773^2)</f>
        <v>1669736.8076372349</v>
      </c>
      <c r="E773" s="33">
        <f>(Examples!$D$6*Examples!$D$7*Examples!$D$8*EXP(-Examples!$D$9*$A773)*(1-(Examples!$D$12*(1-EXP(-Examples!$D$13*$A773))/(1+EXP(MIN(700,MAX(-700,(Examples!$D$14*$A773-Examples!$D$15)/Examples!$D$16))))))+Examples!$D$17*$A773^2)</f>
        <v>483313.19236276508</v>
      </c>
      <c r="F773" s="33">
        <f>Examples!$E$18-(Examples!$E$10+Examples!$E$11)*$A773-(Examples!$E$6*Examples!$E$7*Examples!$E$8*EXP(-Examples!$E$9*$A773)*(1-(Examples!$E$12*(1-EXP(-Examples!$E$13*$A773))/(1+EXP(MIN(700,MAX(-700,(Examples!$E$14*$A773-Examples!$E$15)/Examples!$E$16))))))+Examples!$E$17*$A773^2)</f>
        <v>2114115.0271021444</v>
      </c>
      <c r="G773" s="33">
        <f>(Examples!$E$6*Examples!$E$7*Examples!$E$8*EXP(-Examples!$E$9*$A773)*(1-(Examples!$E$12*(1-EXP(-Examples!$E$13*$A773))/(1+EXP(MIN(700,MAX(-700,(Examples!$E$14*$A773-Examples!$E$15)/Examples!$E$16))))))+Examples!$E$17*$A773^2)</f>
        <v>230534.97289785565</v>
      </c>
      <c r="H773" s="33">
        <f>Examples!$F$18-(Examples!$F$10+Examples!$F$11)*$A773-(Examples!$F$6*Examples!$F$7*Examples!$F$8*EXP(-Examples!$F$9*$A773)*(1-(Examples!$F$12*(1-EXP(-Examples!$F$13*$A773))/(1+EXP(MIN(700,MAX(-700,(Examples!$F$14*$A773-Examples!$F$15)/Examples!$F$16))))))+Examples!$F$17*$A773^2)</f>
        <v>-1194813.8684955942</v>
      </c>
      <c r="I773" s="33">
        <f>(Examples!$F$6*Examples!$F$7*Examples!$F$8*EXP(-Examples!$F$9*$A773)*(1-(Examples!$F$12*(1-EXP(-Examples!$F$13*$A773))/(1+EXP(MIN(700,MAX(-700,(Examples!$F$14*$A773-Examples!$F$15)/Examples!$F$16))))))+Examples!$F$17*$A773^2)</f>
        <v>1190613.8684955942</v>
      </c>
      <c r="J773" s="33">
        <f>Examples!$G$18-(Examples!$G$10+Examples!$G$11)*$A773-(Examples!$G$6*Examples!$G$7*Examples!$G$8*EXP(-Examples!$G$9*$A773)*(1-(Examples!$G$12*(1-EXP(-Examples!$G$13*$A773))/(1+EXP(MIN(700,MAX(-700,(Examples!$G$14*$A773-Examples!$G$15)/Examples!$G$16))))))+Examples!$G$17*$A773^2)</f>
        <v>504435.69643877167</v>
      </c>
      <c r="K773" s="33">
        <f>(Examples!$G$6*Examples!$G$7*Examples!$G$8*EXP(-Examples!$G$9*$A773)*(1-(Examples!$G$12*(1-EXP(-Examples!$G$13*$A773))/(1+EXP(MIN(700,MAX(-700,(Examples!$G$14*$A773-Examples!$G$15)/Examples!$G$16))))))+Examples!$G$17*$A773^2)</f>
        <v>610064.30356122833</v>
      </c>
      <c r="L773" s="33">
        <f>Examples!$H$18-(Examples!$H$10+Examples!$H$11)*$A773-(Examples!$H$6*Examples!$H$7*Examples!$H$8*EXP(-Examples!$H$9*$A773)*(1-(Examples!$H$12*(1-EXP(-Examples!$H$13*$A773))/(1+EXP(MIN(700,MAX(-700,(Examples!$H$14*$A773-Examples!$H$15)/Examples!$H$16))))))+Examples!$H$17*$A773^2)</f>
        <v>504334.41275217466</v>
      </c>
      <c r="M773" s="33">
        <f>(Examples!$H$6*Examples!$H$7*Examples!$H$8*EXP(-Examples!$H$9*$A773)*(1-(Examples!$H$12*(1-EXP(-Examples!$H$13*$A773))/(1+EXP(MIN(700,MAX(-700,(Examples!$H$14*$A773-Examples!$H$15)/Examples!$H$16))))))+Examples!$H$17*$A773^2)</f>
        <v>610165.58724782534</v>
      </c>
    </row>
    <row r="774" spans="1:13" x14ac:dyDescent="0.25">
      <c r="A774">
        <f>(774-2)/100</f>
        <v>7.72</v>
      </c>
      <c r="B774" s="33">
        <f>Examples!$C$18-(Examples!$C$10+Examples!$C$11)*$A774-(Examples!$C$6*Examples!$C$7*Examples!$C$8*EXP(-Examples!$C$9*$A774)*(1-(Examples!$C$12*(1-EXP(-Examples!$C$13*$A774))/(1+EXP(MIN(700,MAX(-700,(Examples!$C$14*$A774-Examples!$C$15)/Examples!$C$16))))))+Examples!$C$17*$A774^2)</f>
        <v>-623376.48025236453</v>
      </c>
      <c r="C774" s="33">
        <f>(Examples!$C$6*Examples!$C$7*Examples!$C$8*EXP(-Examples!$C$9*$A774)*(1-(Examples!$C$12*(1-EXP(-Examples!$C$13*$A774))/(1+EXP(MIN(700,MAX(-700,(Examples!$C$14*$A774-Examples!$C$15)/Examples!$C$16))))))+Examples!$C$17*$A774^2)</f>
        <v>953176.48025236453</v>
      </c>
      <c r="D774" s="33">
        <f>Examples!$D$18-(Examples!$D$10+Examples!$D$11)*$A774-(Examples!$D$6*Examples!$D$7*Examples!$D$8*EXP(-Examples!$D$9*$A774)*(1-(Examples!$D$12*(1-EXP(-Examples!$D$13*$A774))/(1+EXP(MIN(700,MAX(-700,(Examples!$D$14*$A774-Examples!$D$15)/Examples!$D$16))))))+Examples!$D$17*$A774^2)</f>
        <v>1669341.6630288414</v>
      </c>
      <c r="E774" s="33">
        <f>(Examples!$D$6*Examples!$D$7*Examples!$D$8*EXP(-Examples!$D$9*$A774)*(1-(Examples!$D$12*(1-EXP(-Examples!$D$13*$A774))/(1+EXP(MIN(700,MAX(-700,(Examples!$D$14*$A774-Examples!$D$15)/Examples!$D$16))))))+Examples!$D$17*$A774^2)</f>
        <v>483258.33697115863</v>
      </c>
      <c r="F774" s="33">
        <f>Examples!$E$18-(Examples!$E$10+Examples!$E$11)*$A774-(Examples!$E$6*Examples!$E$7*Examples!$E$8*EXP(-Examples!$E$9*$A774)*(1-(Examples!$E$12*(1-EXP(-Examples!$E$13*$A774))/(1+EXP(MIN(700,MAX(-700,(Examples!$E$14*$A774-Examples!$E$15)/Examples!$E$16))))))+Examples!$E$17*$A774^2)</f>
        <v>2113027.2852636734</v>
      </c>
      <c r="G774" s="33">
        <f>(Examples!$E$6*Examples!$E$7*Examples!$E$8*EXP(-Examples!$E$9*$A774)*(1-(Examples!$E$12*(1-EXP(-Examples!$E$13*$A774))/(1+EXP(MIN(700,MAX(-700,(Examples!$E$14*$A774-Examples!$E$15)/Examples!$E$16))))))+Examples!$E$17*$A774^2)</f>
        <v>230772.7147363268</v>
      </c>
      <c r="H774" s="33">
        <f>Examples!$F$18-(Examples!$F$10+Examples!$F$11)*$A774-(Examples!$F$6*Examples!$F$7*Examples!$F$8*EXP(-Examples!$F$9*$A774)*(1-(Examples!$F$12*(1-EXP(-Examples!$F$13*$A774))/(1+EXP(MIN(700,MAX(-700,(Examples!$F$14*$A774-Examples!$F$15)/Examples!$F$16))))))+Examples!$F$17*$A774^2)</f>
        <v>-1198094.6806757285</v>
      </c>
      <c r="I774" s="33">
        <f>(Examples!$F$6*Examples!$F$7*Examples!$F$8*EXP(-Examples!$F$9*$A774)*(1-(Examples!$F$12*(1-EXP(-Examples!$F$13*$A774))/(1+EXP(MIN(700,MAX(-700,(Examples!$F$14*$A774-Examples!$F$15)/Examples!$F$16))))))+Examples!$F$17*$A774^2)</f>
        <v>1193694.6806757285</v>
      </c>
      <c r="J774" s="33">
        <f>Examples!$G$18-(Examples!$G$10+Examples!$G$11)*$A774-(Examples!$G$6*Examples!$G$7*Examples!$G$8*EXP(-Examples!$G$9*$A774)*(1-(Examples!$G$12*(1-EXP(-Examples!$G$13*$A774))/(1+EXP(MIN(700,MAX(-700,(Examples!$G$14*$A774-Examples!$G$15)/Examples!$G$16))))))+Examples!$G$17*$A774^2)</f>
        <v>503169.93891294207</v>
      </c>
      <c r="K774" s="33">
        <f>(Examples!$G$6*Examples!$G$7*Examples!$G$8*EXP(-Examples!$G$9*$A774)*(1-(Examples!$G$12*(1-EXP(-Examples!$G$13*$A774))/(1+EXP(MIN(700,MAX(-700,(Examples!$G$14*$A774-Examples!$G$15)/Examples!$G$16))))))+Examples!$G$17*$A774^2)</f>
        <v>610830.06108705793</v>
      </c>
      <c r="L774" s="33">
        <f>Examples!$H$18-(Examples!$H$10+Examples!$H$11)*$A774-(Examples!$H$6*Examples!$H$7*Examples!$H$8*EXP(-Examples!$H$9*$A774)*(1-(Examples!$H$12*(1-EXP(-Examples!$H$13*$A774))/(1+EXP(MIN(700,MAX(-700,(Examples!$H$14*$A774-Examples!$H$15)/Examples!$H$16))))))+Examples!$H$17*$A774^2)</f>
        <v>503070.33377581195</v>
      </c>
      <c r="M774" s="33">
        <f>(Examples!$H$6*Examples!$H$7*Examples!$H$8*EXP(-Examples!$H$9*$A774)*(1-(Examples!$H$12*(1-EXP(-Examples!$H$13*$A774))/(1+EXP(MIN(700,MAX(-700,(Examples!$H$14*$A774-Examples!$H$15)/Examples!$H$16))))))+Examples!$H$17*$A774^2)</f>
        <v>610929.66622418805</v>
      </c>
    </row>
    <row r="775" spans="1:13" x14ac:dyDescent="0.25">
      <c r="A775">
        <f>(775-2)/100</f>
        <v>7.73</v>
      </c>
      <c r="B775" s="33">
        <f>Examples!$C$18-(Examples!$C$10+Examples!$C$11)*$A775-(Examples!$C$6*Examples!$C$7*Examples!$C$8*EXP(-Examples!$C$9*$A775)*(1-(Examples!$C$12*(1-EXP(-Examples!$C$13*$A775))/(1+EXP(MIN(700,MAX(-700,(Examples!$C$14*$A775-Examples!$C$15)/Examples!$C$16))))))+Examples!$C$17*$A775^2)</f>
        <v>-625866.64494946739</v>
      </c>
      <c r="C775" s="33">
        <f>(Examples!$C$6*Examples!$C$7*Examples!$C$8*EXP(-Examples!$C$9*$A775)*(1-(Examples!$C$12*(1-EXP(-Examples!$C$13*$A775))/(1+EXP(MIN(700,MAX(-700,(Examples!$C$14*$A775-Examples!$C$15)/Examples!$C$16))))))+Examples!$C$17*$A775^2)</f>
        <v>955316.64494946739</v>
      </c>
      <c r="D775" s="33">
        <f>Examples!$D$18-(Examples!$D$10+Examples!$D$11)*$A775-(Examples!$D$6*Examples!$D$7*Examples!$D$8*EXP(-Examples!$D$9*$A775)*(1-(Examples!$D$12*(1-EXP(-Examples!$D$13*$A775))/(1+EXP(MIN(700,MAX(-700,(Examples!$D$14*$A775-Examples!$D$15)/Examples!$D$16))))))+Examples!$D$17*$A775^2)</f>
        <v>1668941.9684594385</v>
      </c>
      <c r="E775" s="33">
        <f>(Examples!$D$6*Examples!$D$7*Examples!$D$8*EXP(-Examples!$D$9*$A775)*(1-(Examples!$D$12*(1-EXP(-Examples!$D$13*$A775))/(1+EXP(MIN(700,MAX(-700,(Examples!$D$14*$A775-Examples!$D$15)/Examples!$D$16))))))+Examples!$D$17*$A775^2)</f>
        <v>483208.03154056147</v>
      </c>
      <c r="F775" s="33">
        <f>Examples!$E$18-(Examples!$E$10+Examples!$E$11)*$A775-(Examples!$E$6*Examples!$E$7*Examples!$E$8*EXP(-Examples!$E$9*$A775)*(1-(Examples!$E$12*(1-EXP(-Examples!$E$13*$A775))/(1+EXP(MIN(700,MAX(-700,(Examples!$E$14*$A775-Examples!$E$15)/Examples!$E$16))))))+Examples!$E$17*$A775^2)</f>
        <v>2111938.2161059678</v>
      </c>
      <c r="G775" s="33">
        <f>(Examples!$E$6*Examples!$E$7*Examples!$E$8*EXP(-Examples!$E$9*$A775)*(1-(Examples!$E$12*(1-EXP(-Examples!$E$13*$A775))/(1+EXP(MIN(700,MAX(-700,(Examples!$E$14*$A775-Examples!$E$15)/Examples!$E$16))))))+Examples!$E$17*$A775^2)</f>
        <v>231011.7838940323</v>
      </c>
      <c r="H775" s="33">
        <f>Examples!$F$18-(Examples!$F$10+Examples!$F$11)*$A775-(Examples!$F$6*Examples!$F$7*Examples!$F$8*EXP(-Examples!$F$9*$A775)*(1-(Examples!$F$12*(1-EXP(-Examples!$F$13*$A775))/(1+EXP(MIN(700,MAX(-700,(Examples!$F$14*$A775-Examples!$F$15)/Examples!$F$16))))))+Examples!$F$17*$A775^2)</f>
        <v>-1201379.5083960001</v>
      </c>
      <c r="I775" s="33">
        <f>(Examples!$F$6*Examples!$F$7*Examples!$F$8*EXP(-Examples!$F$9*$A775)*(1-(Examples!$F$12*(1-EXP(-Examples!$F$13*$A775))/(1+EXP(MIN(700,MAX(-700,(Examples!$F$14*$A775-Examples!$F$15)/Examples!$F$16))))))+Examples!$F$17*$A775^2)</f>
        <v>1196779.5083960001</v>
      </c>
      <c r="J775" s="33">
        <f>Examples!$G$18-(Examples!$G$10+Examples!$G$11)*$A775-(Examples!$G$6*Examples!$G$7*Examples!$G$8*EXP(-Examples!$G$9*$A775)*(1-(Examples!$G$12*(1-EXP(-Examples!$G$13*$A775))/(1+EXP(MIN(700,MAX(-700,(Examples!$G$14*$A775-Examples!$G$15)/Examples!$G$16))))))+Examples!$G$17*$A775^2)</f>
        <v>501900.96589331748</v>
      </c>
      <c r="K775" s="33">
        <f>(Examples!$G$6*Examples!$G$7*Examples!$G$8*EXP(-Examples!$G$9*$A775)*(1-(Examples!$G$12*(1-EXP(-Examples!$G$13*$A775))/(1+EXP(MIN(700,MAX(-700,(Examples!$G$14*$A775-Examples!$G$15)/Examples!$G$16))))))+Examples!$G$17*$A775^2)</f>
        <v>611599.03410668252</v>
      </c>
      <c r="L775" s="33">
        <f>Examples!$H$18-(Examples!$H$10+Examples!$H$11)*$A775-(Examples!$H$6*Examples!$H$7*Examples!$H$8*EXP(-Examples!$H$9*$A775)*(1-(Examples!$H$12*(1-EXP(-Examples!$H$13*$A775))/(1+EXP(MIN(700,MAX(-700,(Examples!$H$14*$A775-Examples!$H$15)/Examples!$H$16))))))+Examples!$H$17*$A775^2)</f>
        <v>501803.01155981096</v>
      </c>
      <c r="M775" s="33">
        <f>(Examples!$H$6*Examples!$H$7*Examples!$H$8*EXP(-Examples!$H$9*$A775)*(1-(Examples!$H$12*(1-EXP(-Examples!$H$13*$A775))/(1+EXP(MIN(700,MAX(-700,(Examples!$H$14*$A775-Examples!$H$15)/Examples!$H$16))))))+Examples!$H$17*$A775^2)</f>
        <v>611696.98844018904</v>
      </c>
    </row>
    <row r="776" spans="1:13" x14ac:dyDescent="0.25">
      <c r="A776">
        <f>(776-2)/100</f>
        <v>7.74</v>
      </c>
      <c r="B776" s="33">
        <f>Examples!$C$18-(Examples!$C$10+Examples!$C$11)*$A776-(Examples!$C$6*Examples!$C$7*Examples!$C$8*EXP(-Examples!$C$9*$A776)*(1-(Examples!$C$12*(1-EXP(-Examples!$C$13*$A776))/(1+EXP(MIN(700,MAX(-700,(Examples!$C$14*$A776-Examples!$C$15)/Examples!$C$16))))))+Examples!$C$17*$A776^2)</f>
        <v>-628360.34085519973</v>
      </c>
      <c r="C776" s="33">
        <f>(Examples!$C$6*Examples!$C$7*Examples!$C$8*EXP(-Examples!$C$9*$A776)*(1-(Examples!$C$12*(1-EXP(-Examples!$C$13*$A776))/(1+EXP(MIN(700,MAX(-700,(Examples!$C$14*$A776-Examples!$C$15)/Examples!$C$16))))))+Examples!$C$17*$A776^2)</f>
        <v>957460.34085519973</v>
      </c>
      <c r="D776" s="33">
        <f>Examples!$D$18-(Examples!$D$10+Examples!$D$11)*$A776-(Examples!$D$6*Examples!$D$7*Examples!$D$8*EXP(-Examples!$D$9*$A776)*(1-(Examples!$D$12*(1-EXP(-Examples!$D$13*$A776))/(1+EXP(MIN(700,MAX(-700,(Examples!$D$14*$A776-Examples!$D$15)/Examples!$D$16))))))+Examples!$D$17*$A776^2)</f>
        <v>1668537.7370897601</v>
      </c>
      <c r="E776" s="33">
        <f>(Examples!$D$6*Examples!$D$7*Examples!$D$8*EXP(-Examples!$D$9*$A776)*(1-(Examples!$D$12*(1-EXP(-Examples!$D$13*$A776))/(1+EXP(MIN(700,MAX(-700,(Examples!$D$14*$A776-Examples!$D$15)/Examples!$D$16))))))+Examples!$D$17*$A776^2)</f>
        <v>483162.26291023975</v>
      </c>
      <c r="F776" s="33">
        <f>Examples!$E$18-(Examples!$E$10+Examples!$E$11)*$A776-(Examples!$E$6*Examples!$E$7*Examples!$E$8*EXP(-Examples!$E$9*$A776)*(1-(Examples!$E$12*(1-EXP(-Examples!$E$13*$A776))/(1+EXP(MIN(700,MAX(-700,(Examples!$E$14*$A776-Examples!$E$15)/Examples!$E$16))))))+Examples!$E$17*$A776^2)</f>
        <v>2110847.8192295181</v>
      </c>
      <c r="G776" s="33">
        <f>(Examples!$E$6*Examples!$E$7*Examples!$E$8*EXP(-Examples!$E$9*$A776)*(1-(Examples!$E$12*(1-EXP(-Examples!$E$13*$A776))/(1+EXP(MIN(700,MAX(-700,(Examples!$E$14*$A776-Examples!$E$15)/Examples!$E$16))))))+Examples!$E$17*$A776^2)</f>
        <v>231252.18077048211</v>
      </c>
      <c r="H776" s="33">
        <f>Examples!$F$18-(Examples!$F$10+Examples!$F$11)*$A776-(Examples!$F$6*Examples!$F$7*Examples!$F$8*EXP(-Examples!$F$9*$A776)*(1-(Examples!$F$12*(1-EXP(-Examples!$F$13*$A776))/(1+EXP(MIN(700,MAX(-700,(Examples!$F$14*$A776-Examples!$F$15)/Examples!$F$16))))))+Examples!$F$17*$A776^2)</f>
        <v>-1204668.3516098591</v>
      </c>
      <c r="I776" s="33">
        <f>(Examples!$F$6*Examples!$F$7*Examples!$F$8*EXP(-Examples!$F$9*$A776)*(1-(Examples!$F$12*(1-EXP(-Examples!$F$13*$A776))/(1+EXP(MIN(700,MAX(-700,(Examples!$F$14*$A776-Examples!$F$15)/Examples!$F$16))))))+Examples!$F$17*$A776^2)</f>
        <v>1199868.3516098591</v>
      </c>
      <c r="J776" s="33">
        <f>Examples!$G$18-(Examples!$G$10+Examples!$G$11)*$A776-(Examples!$G$6*Examples!$G$7*Examples!$G$8*EXP(-Examples!$G$9*$A776)*(1-(Examples!$G$12*(1-EXP(-Examples!$G$13*$A776))/(1+EXP(MIN(700,MAX(-700,(Examples!$G$14*$A776-Examples!$G$15)/Examples!$G$16))))))+Examples!$G$17*$A776^2)</f>
        <v>500628.78266405407</v>
      </c>
      <c r="K776" s="33">
        <f>(Examples!$G$6*Examples!$G$7*Examples!$G$8*EXP(-Examples!$G$9*$A776)*(1-(Examples!$G$12*(1-EXP(-Examples!$G$13*$A776))/(1+EXP(MIN(700,MAX(-700,(Examples!$G$14*$A776-Examples!$G$15)/Examples!$G$16))))))+Examples!$G$17*$A776^2)</f>
        <v>612371.21733594593</v>
      </c>
      <c r="L776" s="33">
        <f>Examples!$H$18-(Examples!$H$10+Examples!$H$11)*$A776-(Examples!$H$6*Examples!$H$7*Examples!$H$8*EXP(-Examples!$H$9*$A776)*(1-(Examples!$H$12*(1-EXP(-Examples!$H$13*$A776))/(1+EXP(MIN(700,MAX(-700,(Examples!$H$14*$A776-Examples!$H$15)/Examples!$H$16))))))+Examples!$H$17*$A776^2)</f>
        <v>500532.45184522832</v>
      </c>
      <c r="M776" s="33">
        <f>(Examples!$H$6*Examples!$H$7*Examples!$H$8*EXP(-Examples!$H$9*$A776)*(1-(Examples!$H$12*(1-EXP(-Examples!$H$13*$A776))/(1+EXP(MIN(700,MAX(-700,(Examples!$H$14*$A776-Examples!$H$15)/Examples!$H$16))))))+Examples!$H$17*$A776^2)</f>
        <v>612467.54815477168</v>
      </c>
    </row>
    <row r="777" spans="1:13" x14ac:dyDescent="0.25">
      <c r="A777">
        <f>(777-2)/100</f>
        <v>7.75</v>
      </c>
      <c r="B777" s="33">
        <f>Examples!$C$18-(Examples!$C$10+Examples!$C$11)*$A777-(Examples!$C$6*Examples!$C$7*Examples!$C$8*EXP(-Examples!$C$9*$A777)*(1-(Examples!$C$12*(1-EXP(-Examples!$C$13*$A777))/(1+EXP(MIN(700,MAX(-700,(Examples!$C$14*$A777-Examples!$C$15)/Examples!$C$16))))))+Examples!$C$17*$A777^2)</f>
        <v>-630857.56637832662</v>
      </c>
      <c r="C777" s="33">
        <f>(Examples!$C$6*Examples!$C$7*Examples!$C$8*EXP(-Examples!$C$9*$A777)*(1-(Examples!$C$12*(1-EXP(-Examples!$C$13*$A777))/(1+EXP(MIN(700,MAX(-700,(Examples!$C$14*$A777-Examples!$C$15)/Examples!$C$16))))))+Examples!$C$17*$A777^2)</f>
        <v>959607.56637832662</v>
      </c>
      <c r="D777" s="33">
        <f>Examples!$D$18-(Examples!$D$10+Examples!$D$11)*$A777-(Examples!$D$6*Examples!$D$7*Examples!$D$8*EXP(-Examples!$D$9*$A777)*(1-(Examples!$D$12*(1-EXP(-Examples!$D$13*$A777))/(1+EXP(MIN(700,MAX(-700,(Examples!$D$14*$A777-Examples!$D$15)/Examples!$D$16))))))+Examples!$D$17*$A777^2)</f>
        <v>1668128.9820690188</v>
      </c>
      <c r="E777" s="33">
        <f>(Examples!$D$6*Examples!$D$7*Examples!$D$8*EXP(-Examples!$D$9*$A777)*(1-(Examples!$D$12*(1-EXP(-Examples!$D$13*$A777))/(1+EXP(MIN(700,MAX(-700,(Examples!$D$14*$A777-Examples!$D$15)/Examples!$D$16))))))+Examples!$D$17*$A777^2)</f>
        <v>483121.01793098135</v>
      </c>
      <c r="F777" s="33">
        <f>Examples!$E$18-(Examples!$E$10+Examples!$E$11)*$A777-(Examples!$E$6*Examples!$E$7*Examples!$E$8*EXP(-Examples!$E$9*$A777)*(1-(Examples!$E$12*(1-EXP(-Examples!$E$13*$A777))/(1+EXP(MIN(700,MAX(-700,(Examples!$E$14*$A777-Examples!$E$15)/Examples!$E$16))))))+Examples!$E$17*$A777^2)</f>
        <v>2109756.0942699322</v>
      </c>
      <c r="G777" s="33">
        <f>(Examples!$E$6*Examples!$E$7*Examples!$E$8*EXP(-Examples!$E$9*$A777)*(1-(Examples!$E$12*(1-EXP(-Examples!$E$13*$A777))/(1+EXP(MIN(700,MAX(-700,(Examples!$E$14*$A777-Examples!$E$15)/Examples!$E$16))))))+Examples!$E$17*$A777^2)</f>
        <v>231493.9057300679</v>
      </c>
      <c r="H777" s="33">
        <f>Examples!$F$18-(Examples!$F$10+Examples!$F$11)*$A777-(Examples!$F$6*Examples!$F$7*Examples!$F$8*EXP(-Examples!$F$9*$A777)*(1-(Examples!$F$12*(1-EXP(-Examples!$F$13*$A777))/(1+EXP(MIN(700,MAX(-700,(Examples!$F$14*$A777-Examples!$F$15)/Examples!$F$16))))))+Examples!$F$17*$A777^2)</f>
        <v>-1207961.2102708942</v>
      </c>
      <c r="I777" s="33">
        <f>(Examples!$F$6*Examples!$F$7*Examples!$F$8*EXP(-Examples!$F$9*$A777)*(1-(Examples!$F$12*(1-EXP(-Examples!$F$13*$A777))/(1+EXP(MIN(700,MAX(-700,(Examples!$F$14*$A777-Examples!$F$15)/Examples!$F$16))))))+Examples!$F$17*$A777^2)</f>
        <v>1202961.2102708942</v>
      </c>
      <c r="J777" s="33">
        <f>Examples!$G$18-(Examples!$G$10+Examples!$G$11)*$A777-(Examples!$G$6*Examples!$G$7*Examples!$G$8*EXP(-Examples!$G$9*$A777)*(1-(Examples!$G$12*(1-EXP(-Examples!$G$13*$A777))/(1+EXP(MIN(700,MAX(-700,(Examples!$G$14*$A777-Examples!$G$15)/Examples!$G$16))))))+Examples!$G$17*$A777^2)</f>
        <v>499353.39449673926</v>
      </c>
      <c r="K777" s="33">
        <f>(Examples!$G$6*Examples!$G$7*Examples!$G$8*EXP(-Examples!$G$9*$A777)*(1-(Examples!$G$12*(1-EXP(-Examples!$G$13*$A777))/(1+EXP(MIN(700,MAX(-700,(Examples!$G$14*$A777-Examples!$G$15)/Examples!$G$16))))))+Examples!$G$17*$A777^2)</f>
        <v>613146.60550326074</v>
      </c>
      <c r="L777" s="33">
        <f>Examples!$H$18-(Examples!$H$10+Examples!$H$11)*$A777-(Examples!$H$6*Examples!$H$7*Examples!$H$8*EXP(-Examples!$H$9*$A777)*(1-(Examples!$H$12*(1-EXP(-Examples!$H$13*$A777))/(1+EXP(MIN(700,MAX(-700,(Examples!$H$14*$A777-Examples!$H$15)/Examples!$H$16))))))+Examples!$H$17*$A777^2)</f>
        <v>499258.66035307047</v>
      </c>
      <c r="M777" s="33">
        <f>(Examples!$H$6*Examples!$H$7*Examples!$H$8*EXP(-Examples!$H$9*$A777)*(1-(Examples!$H$12*(1-EXP(-Examples!$H$13*$A777))/(1+EXP(MIN(700,MAX(-700,(Examples!$H$14*$A777-Examples!$H$15)/Examples!$H$16))))))+Examples!$H$17*$A777^2)</f>
        <v>613241.33964692953</v>
      </c>
    </row>
    <row r="778" spans="1:13" x14ac:dyDescent="0.25">
      <c r="A778">
        <f>(778-2)/100</f>
        <v>7.76</v>
      </c>
      <c r="B778" s="33">
        <f>Examples!$C$18-(Examples!$C$10+Examples!$C$11)*$A778-(Examples!$C$6*Examples!$C$7*Examples!$C$8*EXP(-Examples!$C$9*$A778)*(1-(Examples!$C$12*(1-EXP(-Examples!$C$13*$A778))/(1+EXP(MIN(700,MAX(-700,(Examples!$C$14*$A778-Examples!$C$15)/Examples!$C$16))))))+Examples!$C$17*$A778^2)</f>
        <v>-633358.31993237894</v>
      </c>
      <c r="C778" s="33">
        <f>(Examples!$C$6*Examples!$C$7*Examples!$C$8*EXP(-Examples!$C$9*$A778)*(1-(Examples!$C$12*(1-EXP(-Examples!$C$13*$A778))/(1+EXP(MIN(700,MAX(-700,(Examples!$C$14*$A778-Examples!$C$15)/Examples!$C$16))))))+Examples!$C$17*$A778^2)</f>
        <v>961758.31993237894</v>
      </c>
      <c r="D778" s="33">
        <f>Examples!$D$18-(Examples!$D$10+Examples!$D$11)*$A778-(Examples!$D$6*Examples!$D$7*Examples!$D$8*EXP(-Examples!$D$9*$A778)*(1-(Examples!$D$12*(1-EXP(-Examples!$D$13*$A778))/(1+EXP(MIN(700,MAX(-700,(Examples!$D$14*$A778-Examples!$D$15)/Examples!$D$16))))))+Examples!$D$17*$A778^2)</f>
        <v>1667715.7165341577</v>
      </c>
      <c r="E778" s="33">
        <f>(Examples!$D$6*Examples!$D$7*Examples!$D$8*EXP(-Examples!$D$9*$A778)*(1-(Examples!$D$12*(1-EXP(-Examples!$D$13*$A778))/(1+EXP(MIN(700,MAX(-700,(Examples!$D$14*$A778-Examples!$D$15)/Examples!$D$16))))))+Examples!$D$17*$A778^2)</f>
        <v>483084.28346584213</v>
      </c>
      <c r="F778" s="33">
        <f>Examples!$E$18-(Examples!$E$10+Examples!$E$11)*$A778-(Examples!$E$6*Examples!$E$7*Examples!$E$8*EXP(-Examples!$E$9*$A778)*(1-(Examples!$E$12*(1-EXP(-Examples!$E$13*$A778))/(1+EXP(MIN(700,MAX(-700,(Examples!$E$14*$A778-Examples!$E$15)/Examples!$E$16))))))+Examples!$E$17*$A778^2)</f>
        <v>2108663.0408976381</v>
      </c>
      <c r="G778" s="33">
        <f>(Examples!$E$6*Examples!$E$7*Examples!$E$8*EXP(-Examples!$E$9*$A778)*(1-(Examples!$E$12*(1-EXP(-Examples!$E$13*$A778))/(1+EXP(MIN(700,MAX(-700,(Examples!$E$14*$A778-Examples!$E$15)/Examples!$E$16))))))+Examples!$E$17*$A778^2)</f>
        <v>231736.95910236187</v>
      </c>
      <c r="H778" s="33">
        <f>Examples!$F$18-(Examples!$F$10+Examples!$F$11)*$A778-(Examples!$F$6*Examples!$F$7*Examples!$F$8*EXP(-Examples!$F$9*$A778)*(1-(Examples!$F$12*(1-EXP(-Examples!$F$13*$A778))/(1+EXP(MIN(700,MAX(-700,(Examples!$F$14*$A778-Examples!$F$15)/Examples!$F$16))))))+Examples!$F$17*$A778^2)</f>
        <v>-1211258.0843328333</v>
      </c>
      <c r="I778" s="33">
        <f>(Examples!$F$6*Examples!$F$7*Examples!$F$8*EXP(-Examples!$F$9*$A778)*(1-(Examples!$F$12*(1-EXP(-Examples!$F$13*$A778))/(1+EXP(MIN(700,MAX(-700,(Examples!$F$14*$A778-Examples!$F$15)/Examples!$F$16))))))+Examples!$F$17*$A778^2)</f>
        <v>1206058.0843328333</v>
      </c>
      <c r="J778" s="33">
        <f>Examples!$G$18-(Examples!$G$10+Examples!$G$11)*$A778-(Examples!$G$6*Examples!$G$7*Examples!$G$8*EXP(-Examples!$G$9*$A778)*(1-(Examples!$G$12*(1-EXP(-Examples!$G$13*$A778))/(1+EXP(MIN(700,MAX(-700,(Examples!$G$14*$A778-Examples!$G$15)/Examples!$G$16))))))+Examples!$G$17*$A778^2)</f>
        <v>498074.80665033893</v>
      </c>
      <c r="K778" s="33">
        <f>(Examples!$G$6*Examples!$G$7*Examples!$G$8*EXP(-Examples!$G$9*$A778)*(1-(Examples!$G$12*(1-EXP(-Examples!$G$13*$A778))/(1+EXP(MIN(700,MAX(-700,(Examples!$G$14*$A778-Examples!$G$15)/Examples!$G$16))))))+Examples!$G$17*$A778^2)</f>
        <v>613925.19334966107</v>
      </c>
      <c r="L778" s="33">
        <f>Examples!$H$18-(Examples!$H$10+Examples!$H$11)*$A778-(Examples!$H$6*Examples!$H$7*Examples!$H$8*EXP(-Examples!$H$9*$A778)*(1-(Examples!$H$12*(1-EXP(-Examples!$H$13*$A778))/(1+EXP(MIN(700,MAX(-700,(Examples!$H$14*$A778-Examples!$H$15)/Examples!$H$16))))))+Examples!$H$17*$A778^2)</f>
        <v>497981.64278436243</v>
      </c>
      <c r="M778" s="33">
        <f>(Examples!$H$6*Examples!$H$7*Examples!$H$8*EXP(-Examples!$H$9*$A778)*(1-(Examples!$H$12*(1-EXP(-Examples!$H$13*$A778))/(1+EXP(MIN(700,MAX(-700,(Examples!$H$14*$A778-Examples!$H$15)/Examples!$H$16))))))+Examples!$H$17*$A778^2)</f>
        <v>614018.35721563757</v>
      </c>
    </row>
    <row r="779" spans="1:13" x14ac:dyDescent="0.25">
      <c r="A779">
        <f>(779-2)/100</f>
        <v>7.77</v>
      </c>
      <c r="B779" s="33">
        <f>Examples!$C$18-(Examples!$C$10+Examples!$C$11)*$A779-(Examples!$C$6*Examples!$C$7*Examples!$C$8*EXP(-Examples!$C$9*$A779)*(1-(Examples!$C$12*(1-EXP(-Examples!$C$13*$A779))/(1+EXP(MIN(700,MAX(-700,(Examples!$C$14*$A779-Examples!$C$15)/Examples!$C$16))))))+Examples!$C$17*$A779^2)</f>
        <v>-635862.59993563965</v>
      </c>
      <c r="C779" s="33">
        <f>(Examples!$C$6*Examples!$C$7*Examples!$C$8*EXP(-Examples!$C$9*$A779)*(1-(Examples!$C$12*(1-EXP(-Examples!$C$13*$A779))/(1+EXP(MIN(700,MAX(-700,(Examples!$C$14*$A779-Examples!$C$15)/Examples!$C$16))))))+Examples!$C$17*$A779^2)</f>
        <v>963912.59993563965</v>
      </c>
      <c r="D779" s="33">
        <f>Examples!$D$18-(Examples!$D$10+Examples!$D$11)*$A779-(Examples!$D$6*Examples!$D$7*Examples!$D$8*EXP(-Examples!$D$9*$A779)*(1-(Examples!$D$12*(1-EXP(-Examples!$D$13*$A779))/(1+EXP(MIN(700,MAX(-700,(Examples!$D$14*$A779-Examples!$D$15)/Examples!$D$16))))))+Examples!$D$17*$A779^2)</f>
        <v>1667297.9536091248</v>
      </c>
      <c r="E779" s="33">
        <f>(Examples!$D$6*Examples!$D$7*Examples!$D$8*EXP(-Examples!$D$9*$A779)*(1-(Examples!$D$12*(1-EXP(-Examples!$D$13*$A779))/(1+EXP(MIN(700,MAX(-700,(Examples!$D$14*$A779-Examples!$D$15)/Examples!$D$16))))))+Examples!$D$17*$A779^2)</f>
        <v>483052.04639087524</v>
      </c>
      <c r="F779" s="33">
        <f>Examples!$E$18-(Examples!$E$10+Examples!$E$11)*$A779-(Examples!$E$6*Examples!$E$7*Examples!$E$8*EXP(-Examples!$E$9*$A779)*(1-(Examples!$E$12*(1-EXP(-Examples!$E$13*$A779))/(1+EXP(MIN(700,MAX(-700,(Examples!$E$14*$A779-Examples!$E$15)/Examples!$E$16))))))+Examples!$E$17*$A779^2)</f>
        <v>2107568.6588175828</v>
      </c>
      <c r="G779" s="33">
        <f>(Examples!$E$6*Examples!$E$7*Examples!$E$8*EXP(-Examples!$E$9*$A779)*(1-(Examples!$E$12*(1-EXP(-Examples!$E$13*$A779))/(1+EXP(MIN(700,MAX(-700,(Examples!$E$14*$A779-Examples!$E$15)/Examples!$E$16))))))+Examples!$E$17*$A779^2)</f>
        <v>231981.34118241741</v>
      </c>
      <c r="H779" s="33">
        <f>Examples!$F$18-(Examples!$F$10+Examples!$F$11)*$A779-(Examples!$F$6*Examples!$F$7*Examples!$F$8*EXP(-Examples!$F$9*$A779)*(1-(Examples!$F$12*(1-EXP(-Examples!$F$13*$A779))/(1+EXP(MIN(700,MAX(-700,(Examples!$F$14*$A779-Examples!$F$15)/Examples!$F$16))))))+Examples!$F$17*$A779^2)</f>
        <v>-1214558.9737495428</v>
      </c>
      <c r="I779" s="33">
        <f>(Examples!$F$6*Examples!$F$7*Examples!$F$8*EXP(-Examples!$F$9*$A779)*(1-(Examples!$F$12*(1-EXP(-Examples!$F$13*$A779))/(1+EXP(MIN(700,MAX(-700,(Examples!$F$14*$A779-Examples!$F$15)/Examples!$F$16))))))+Examples!$F$17*$A779^2)</f>
        <v>1209158.9737495428</v>
      </c>
      <c r="J779" s="33">
        <f>Examples!$G$18-(Examples!$G$10+Examples!$G$11)*$A779-(Examples!$G$6*Examples!$G$7*Examples!$G$8*EXP(-Examples!$G$9*$A779)*(1-(Examples!$G$12*(1-EXP(-Examples!$G$13*$A779))/(1+EXP(MIN(700,MAX(-700,(Examples!$G$14*$A779-Examples!$G$15)/Examples!$G$16))))))+Examples!$G$17*$A779^2)</f>
        <v>496793.02437114925</v>
      </c>
      <c r="K779" s="33">
        <f>(Examples!$G$6*Examples!$G$7*Examples!$G$8*EXP(-Examples!$G$9*$A779)*(1-(Examples!$G$12*(1-EXP(-Examples!$G$13*$A779))/(1+EXP(MIN(700,MAX(-700,(Examples!$G$14*$A779-Examples!$G$15)/Examples!$G$16))))))+Examples!$G$17*$A779^2)</f>
        <v>614706.97562885075</v>
      </c>
      <c r="L779" s="33">
        <f>Examples!$H$18-(Examples!$H$10+Examples!$H$11)*$A779-(Examples!$H$6*Examples!$H$7*Examples!$H$8*EXP(-Examples!$H$9*$A779)*(1-(Examples!$H$12*(1-EXP(-Examples!$H$13*$A779))/(1+EXP(MIN(700,MAX(-700,(Examples!$H$14*$A779-Examples!$H$15)/Examples!$H$16))))))+Examples!$H$17*$A779^2)</f>
        <v>496701.40482021857</v>
      </c>
      <c r="M779" s="33">
        <f>(Examples!$H$6*Examples!$H$7*Examples!$H$8*EXP(-Examples!$H$9*$A779)*(1-(Examples!$H$12*(1-EXP(-Examples!$H$13*$A779))/(1+EXP(MIN(700,MAX(-700,(Examples!$H$14*$A779-Examples!$H$15)/Examples!$H$16))))))+Examples!$H$17*$A779^2)</f>
        <v>614798.59517978143</v>
      </c>
    </row>
    <row r="780" spans="1:13" x14ac:dyDescent="0.25">
      <c r="A780">
        <f>(780-2)/100</f>
        <v>7.78</v>
      </c>
      <c r="B780" s="33">
        <f>Examples!$C$18-(Examples!$C$10+Examples!$C$11)*$A780-(Examples!$C$6*Examples!$C$7*Examples!$C$8*EXP(-Examples!$C$9*$A780)*(1-(Examples!$C$12*(1-EXP(-Examples!$C$13*$A780))/(1+EXP(MIN(700,MAX(-700,(Examples!$C$14*$A780-Examples!$C$15)/Examples!$C$16))))))+Examples!$C$17*$A780^2)</f>
        <v>-638370.40481113037</v>
      </c>
      <c r="C780" s="33">
        <f>(Examples!$C$6*Examples!$C$7*Examples!$C$8*EXP(-Examples!$C$9*$A780)*(1-(Examples!$C$12*(1-EXP(-Examples!$C$13*$A780))/(1+EXP(MIN(700,MAX(-700,(Examples!$C$14*$A780-Examples!$C$15)/Examples!$C$16))))))+Examples!$C$17*$A780^2)</f>
        <v>966070.40481113037</v>
      </c>
      <c r="D780" s="33">
        <f>Examples!$D$18-(Examples!$D$10+Examples!$D$11)*$A780-(Examples!$D$6*Examples!$D$7*Examples!$D$8*EXP(-Examples!$D$9*$A780)*(1-(Examples!$D$12*(1-EXP(-Examples!$D$13*$A780))/(1+EXP(MIN(700,MAX(-700,(Examples!$D$14*$A780-Examples!$D$15)/Examples!$D$16))))))+Examples!$D$17*$A780^2)</f>
        <v>1666875.7064041561</v>
      </c>
      <c r="E780" s="33">
        <f>(Examples!$D$6*Examples!$D$7*Examples!$D$8*EXP(-Examples!$D$9*$A780)*(1-(Examples!$D$12*(1-EXP(-Examples!$D$13*$A780))/(1+EXP(MIN(700,MAX(-700,(Examples!$D$14*$A780-Examples!$D$15)/Examples!$D$16))))))+Examples!$D$17*$A780^2)</f>
        <v>483024.29359584395</v>
      </c>
      <c r="F780" s="33">
        <f>Examples!$E$18-(Examples!$E$10+Examples!$E$11)*$A780-(Examples!$E$6*Examples!$E$7*Examples!$E$8*EXP(-Examples!$E$9*$A780)*(1-(Examples!$E$12*(1-EXP(-Examples!$E$13*$A780))/(1+EXP(MIN(700,MAX(-700,(Examples!$E$14*$A780-Examples!$E$15)/Examples!$E$16))))))+Examples!$E$17*$A780^2)</f>
        <v>2106472.9477689299</v>
      </c>
      <c r="G780" s="33">
        <f>(Examples!$E$6*Examples!$E$7*Examples!$E$8*EXP(-Examples!$E$9*$A780)*(1-(Examples!$E$12*(1-EXP(-Examples!$E$13*$A780))/(1+EXP(MIN(700,MAX(-700,(Examples!$E$14*$A780-Examples!$E$15)/Examples!$E$16))))))+Examples!$E$17*$A780^2)</f>
        <v>232227.05223107021</v>
      </c>
      <c r="H780" s="33">
        <f>Examples!$F$18-(Examples!$F$10+Examples!$F$11)*$A780-(Examples!$F$6*Examples!$F$7*Examples!$F$8*EXP(-Examples!$F$9*$A780)*(1-(Examples!$F$12*(1-EXP(-Examples!$F$13*$A780))/(1+EXP(MIN(700,MAX(-700,(Examples!$F$14*$A780-Examples!$F$15)/Examples!$F$16))))))+Examples!$F$17*$A780^2)</f>
        <v>-1217863.8784750276</v>
      </c>
      <c r="I780" s="33">
        <f>(Examples!$F$6*Examples!$F$7*Examples!$F$8*EXP(-Examples!$F$9*$A780)*(1-(Examples!$F$12*(1-EXP(-Examples!$F$13*$A780))/(1+EXP(MIN(700,MAX(-700,(Examples!$F$14*$A780-Examples!$F$15)/Examples!$F$16))))))+Examples!$F$17*$A780^2)</f>
        <v>1212263.8784750276</v>
      </c>
      <c r="J780" s="33">
        <f>Examples!$G$18-(Examples!$G$10+Examples!$G$11)*$A780-(Examples!$G$6*Examples!$G$7*Examples!$G$8*EXP(-Examples!$G$9*$A780)*(1-(Examples!$G$12*(1-EXP(-Examples!$G$13*$A780))/(1+EXP(MIN(700,MAX(-700,(Examples!$G$14*$A780-Examples!$G$15)/Examples!$G$16))))))+Examples!$G$17*$A780^2)</f>
        <v>495508.05289274675</v>
      </c>
      <c r="K780" s="33">
        <f>(Examples!$G$6*Examples!$G$7*Examples!$G$8*EXP(-Examples!$G$9*$A780)*(1-(Examples!$G$12*(1-EXP(-Examples!$G$13*$A780))/(1+EXP(MIN(700,MAX(-700,(Examples!$G$14*$A780-Examples!$G$15)/Examples!$G$16))))))+Examples!$G$17*$A780^2)</f>
        <v>615491.94710725325</v>
      </c>
      <c r="L780" s="33">
        <f>Examples!$H$18-(Examples!$H$10+Examples!$H$11)*$A780-(Examples!$H$6*Examples!$H$7*Examples!$H$8*EXP(-Examples!$H$9*$A780)*(1-(Examples!$H$12*(1-EXP(-Examples!$H$13*$A780))/(1+EXP(MIN(700,MAX(-700,(Examples!$H$14*$A780-Examples!$H$15)/Examples!$H$16))))))+Examples!$H$17*$A780^2)</f>
        <v>495417.95212191064</v>
      </c>
      <c r="M780" s="33">
        <f>(Examples!$H$6*Examples!$H$7*Examples!$H$8*EXP(-Examples!$H$9*$A780)*(1-(Examples!$H$12*(1-EXP(-Examples!$H$13*$A780))/(1+EXP(MIN(700,MAX(-700,(Examples!$H$14*$A780-Examples!$H$15)/Examples!$H$16))))))+Examples!$H$17*$A780^2)</f>
        <v>615582.04787808936</v>
      </c>
    </row>
    <row r="781" spans="1:13" x14ac:dyDescent="0.25">
      <c r="A781">
        <f>(781-2)/100</f>
        <v>7.79</v>
      </c>
      <c r="B781" s="33">
        <f>Examples!$C$18-(Examples!$C$10+Examples!$C$11)*$A781-(Examples!$C$6*Examples!$C$7*Examples!$C$8*EXP(-Examples!$C$9*$A781)*(1-(Examples!$C$12*(1-EXP(-Examples!$C$13*$A781))/(1+EXP(MIN(700,MAX(-700,(Examples!$C$14*$A781-Examples!$C$15)/Examples!$C$16))))))+Examples!$C$17*$A781^2)</f>
        <v>-640881.7329865956</v>
      </c>
      <c r="C781" s="33">
        <f>(Examples!$C$6*Examples!$C$7*Examples!$C$8*EXP(-Examples!$C$9*$A781)*(1-(Examples!$C$12*(1-EXP(-Examples!$C$13*$A781))/(1+EXP(MIN(700,MAX(-700,(Examples!$C$14*$A781-Examples!$C$15)/Examples!$C$16))))))+Examples!$C$17*$A781^2)</f>
        <v>968231.7329865956</v>
      </c>
      <c r="D781" s="33">
        <f>Examples!$D$18-(Examples!$D$10+Examples!$D$11)*$A781-(Examples!$D$6*Examples!$D$7*Examples!$D$8*EXP(-Examples!$D$9*$A781)*(1-(Examples!$D$12*(1-EXP(-Examples!$D$13*$A781))/(1+EXP(MIN(700,MAX(-700,(Examples!$D$14*$A781-Examples!$D$15)/Examples!$D$16))))))+Examples!$D$17*$A781^2)</f>
        <v>1666448.9880150792</v>
      </c>
      <c r="E781" s="33">
        <f>(Examples!$D$6*Examples!$D$7*Examples!$D$8*EXP(-Examples!$D$9*$A781)*(1-(Examples!$D$12*(1-EXP(-Examples!$D$13*$A781))/(1+EXP(MIN(700,MAX(-700,(Examples!$D$14*$A781-Examples!$D$15)/Examples!$D$16))))))+Examples!$D$17*$A781^2)</f>
        <v>483001.01198492077</v>
      </c>
      <c r="F781" s="33">
        <f>Examples!$E$18-(Examples!$E$10+Examples!$E$11)*$A781-(Examples!$E$6*Examples!$E$7*Examples!$E$8*EXP(-Examples!$E$9*$A781)*(1-(Examples!$E$12*(1-EXP(-Examples!$E$13*$A781))/(1+EXP(MIN(700,MAX(-700,(Examples!$E$14*$A781-Examples!$E$15)/Examples!$E$16))))))+Examples!$E$17*$A781^2)</f>
        <v>2105375.9075247589</v>
      </c>
      <c r="G781" s="33">
        <f>(Examples!$E$6*Examples!$E$7*Examples!$E$8*EXP(-Examples!$E$9*$A781)*(1-(Examples!$E$12*(1-EXP(-Examples!$E$13*$A781))/(1+EXP(MIN(700,MAX(-700,(Examples!$E$14*$A781-Examples!$E$15)/Examples!$E$16))))))+Examples!$E$17*$A781^2)</f>
        <v>232474.09247524082</v>
      </c>
      <c r="H781" s="33">
        <f>Examples!$F$18-(Examples!$F$10+Examples!$F$11)*$A781-(Examples!$F$6*Examples!$F$7*Examples!$F$8*EXP(-Examples!$F$9*$A781)*(1-(Examples!$F$12*(1-EXP(-Examples!$F$13*$A781))/(1+EXP(MIN(700,MAX(-700,(Examples!$F$14*$A781-Examples!$F$15)/Examples!$F$16))))))+Examples!$F$17*$A781^2)</f>
        <v>-1221172.79846343</v>
      </c>
      <c r="I781" s="33">
        <f>(Examples!$F$6*Examples!$F$7*Examples!$F$8*EXP(-Examples!$F$9*$A781)*(1-(Examples!$F$12*(1-EXP(-Examples!$F$13*$A781))/(1+EXP(MIN(700,MAX(-700,(Examples!$F$14*$A781-Examples!$F$15)/Examples!$F$16))))))+Examples!$F$17*$A781^2)</f>
        <v>1215372.79846343</v>
      </c>
      <c r="J781" s="33">
        <f>Examples!$G$18-(Examples!$G$10+Examples!$G$11)*$A781-(Examples!$G$6*Examples!$G$7*Examples!$G$8*EXP(-Examples!$G$9*$A781)*(1-(Examples!$G$12*(1-EXP(-Examples!$G$13*$A781))/(1+EXP(MIN(700,MAX(-700,(Examples!$G$14*$A781-Examples!$G$15)/Examples!$G$16))))))+Examples!$G$17*$A781^2)</f>
        <v>494219.89743594255</v>
      </c>
      <c r="K781" s="33">
        <f>(Examples!$G$6*Examples!$G$7*Examples!$G$8*EXP(-Examples!$G$9*$A781)*(1-(Examples!$G$12*(1-EXP(-Examples!$G$13*$A781))/(1+EXP(MIN(700,MAX(-700,(Examples!$G$14*$A781-Examples!$G$15)/Examples!$G$16))))))+Examples!$G$17*$A781^2)</f>
        <v>616280.10256405745</v>
      </c>
      <c r="L781" s="33">
        <f>Examples!$H$18-(Examples!$H$10+Examples!$H$11)*$A781-(Examples!$H$6*Examples!$H$7*Examples!$H$8*EXP(-Examples!$H$9*$A781)*(1-(Examples!$H$12*(1-EXP(-Examples!$H$13*$A781))/(1+EXP(MIN(700,MAX(-700,(Examples!$H$14*$A781-Examples!$H$15)/Examples!$H$16))))))+Examples!$H$17*$A781^2)</f>
        <v>494131.29033093795</v>
      </c>
      <c r="M781" s="33">
        <f>(Examples!$H$6*Examples!$H$7*Examples!$H$8*EXP(-Examples!$H$9*$A781)*(1-(Examples!$H$12*(1-EXP(-Examples!$H$13*$A781))/(1+EXP(MIN(700,MAX(-700,(Examples!$H$14*$A781-Examples!$H$15)/Examples!$H$16))))))+Examples!$H$17*$A781^2)</f>
        <v>616368.70966906205</v>
      </c>
    </row>
    <row r="782" spans="1:13" x14ac:dyDescent="0.25">
      <c r="A782">
        <f>(782-2)/100</f>
        <v>7.8</v>
      </c>
      <c r="B782" s="33">
        <f>Examples!$C$18-(Examples!$C$10+Examples!$C$11)*$A782-(Examples!$C$6*Examples!$C$7*Examples!$C$8*EXP(-Examples!$C$9*$A782)*(1-(Examples!$C$12*(1-EXP(-Examples!$C$13*$A782))/(1+EXP(MIN(700,MAX(-700,(Examples!$C$14*$A782-Examples!$C$15)/Examples!$C$16))))))+Examples!$C$17*$A782^2)</f>
        <v>-643396.5828944901</v>
      </c>
      <c r="C782" s="33">
        <f>(Examples!$C$6*Examples!$C$7*Examples!$C$8*EXP(-Examples!$C$9*$A782)*(1-(Examples!$C$12*(1-EXP(-Examples!$C$13*$A782))/(1+EXP(MIN(700,MAX(-700,(Examples!$C$14*$A782-Examples!$C$15)/Examples!$C$16))))))+Examples!$C$17*$A782^2)</f>
        <v>970396.5828944901</v>
      </c>
      <c r="D782" s="33">
        <f>Examples!$D$18-(Examples!$D$10+Examples!$D$11)*$A782-(Examples!$D$6*Examples!$D$7*Examples!$D$8*EXP(-Examples!$D$9*$A782)*(1-(Examples!$D$12*(1-EXP(-Examples!$D$13*$A782))/(1+EXP(MIN(700,MAX(-700,(Examples!$D$14*$A782-Examples!$D$15)/Examples!$D$16))))))+Examples!$D$17*$A782^2)</f>
        <v>1666017.8115226319</v>
      </c>
      <c r="E782" s="33">
        <f>(Examples!$D$6*Examples!$D$7*Examples!$D$8*EXP(-Examples!$D$9*$A782)*(1-(Examples!$D$12*(1-EXP(-Examples!$D$13*$A782))/(1+EXP(MIN(700,MAX(-700,(Examples!$D$14*$A782-Examples!$D$15)/Examples!$D$16))))))+Examples!$D$17*$A782^2)</f>
        <v>482982.18847736809</v>
      </c>
      <c r="F782" s="33">
        <f>Examples!$E$18-(Examples!$E$10+Examples!$E$11)*$A782-(Examples!$E$6*Examples!$E$7*Examples!$E$8*EXP(-Examples!$E$9*$A782)*(1-(Examples!$E$12*(1-EXP(-Examples!$E$13*$A782))/(1+EXP(MIN(700,MAX(-700,(Examples!$E$14*$A782-Examples!$E$15)/Examples!$E$16))))))+Examples!$E$17*$A782^2)</f>
        <v>2104277.5378917619</v>
      </c>
      <c r="G782" s="33">
        <f>(Examples!$E$6*Examples!$E$7*Examples!$E$8*EXP(-Examples!$E$9*$A782)*(1-(Examples!$E$12*(1-EXP(-Examples!$E$13*$A782))/(1+EXP(MIN(700,MAX(-700,(Examples!$E$14*$A782-Examples!$E$15)/Examples!$E$16))))))+Examples!$E$17*$A782^2)</f>
        <v>232722.46210823796</v>
      </c>
      <c r="H782" s="33">
        <f>Examples!$F$18-(Examples!$F$10+Examples!$F$11)*$A782-(Examples!$F$6*Examples!$F$7*Examples!$F$8*EXP(-Examples!$F$9*$A782)*(1-(Examples!$F$12*(1-EXP(-Examples!$F$13*$A782))/(1+EXP(MIN(700,MAX(-700,(Examples!$F$14*$A782-Examples!$F$15)/Examples!$F$16))))))+Examples!$F$17*$A782^2)</f>
        <v>-1224485.73366903</v>
      </c>
      <c r="I782" s="33">
        <f>(Examples!$F$6*Examples!$F$7*Examples!$F$8*EXP(-Examples!$F$9*$A782)*(1-(Examples!$F$12*(1-EXP(-Examples!$F$13*$A782))/(1+EXP(MIN(700,MAX(-700,(Examples!$F$14*$A782-Examples!$F$15)/Examples!$F$16))))))+Examples!$F$17*$A782^2)</f>
        <v>1218485.73366903</v>
      </c>
      <c r="J782" s="33">
        <f>Examples!$G$18-(Examples!$G$10+Examples!$G$11)*$A782-(Examples!$G$6*Examples!$G$7*Examples!$G$8*EXP(-Examples!$G$9*$A782)*(1-(Examples!$G$12*(1-EXP(-Examples!$G$13*$A782))/(1+EXP(MIN(700,MAX(-700,(Examples!$G$14*$A782-Examples!$G$15)/Examples!$G$16))))))+Examples!$G$17*$A782^2)</f>
        <v>492928.56320873729</v>
      </c>
      <c r="K782" s="33">
        <f>(Examples!$G$6*Examples!$G$7*Examples!$G$8*EXP(-Examples!$G$9*$A782)*(1-(Examples!$G$12*(1-EXP(-Examples!$G$13*$A782))/(1+EXP(MIN(700,MAX(-700,(Examples!$G$14*$A782-Examples!$G$15)/Examples!$G$16))))))+Examples!$G$17*$A782^2)</f>
        <v>617071.43679126271</v>
      </c>
      <c r="L782" s="33">
        <f>Examples!$H$18-(Examples!$H$10+Examples!$H$11)*$A782-(Examples!$H$6*Examples!$H$7*Examples!$H$8*EXP(-Examples!$H$9*$A782)*(1-(Examples!$H$12*(1-EXP(-Examples!$H$13*$A782))/(1+EXP(MIN(700,MAX(-700,(Examples!$H$14*$A782-Examples!$H$15)/Examples!$H$16))))))+Examples!$H$17*$A782^2)</f>
        <v>492841.42506909557</v>
      </c>
      <c r="M782" s="33">
        <f>(Examples!$H$6*Examples!$H$7*Examples!$H$8*EXP(-Examples!$H$9*$A782)*(1-(Examples!$H$12*(1-EXP(-Examples!$H$13*$A782))/(1+EXP(MIN(700,MAX(-700,(Examples!$H$14*$A782-Examples!$H$15)/Examples!$H$16))))))+Examples!$H$17*$A782^2)</f>
        <v>617158.57493090443</v>
      </c>
    </row>
    <row r="783" spans="1:13" x14ac:dyDescent="0.25">
      <c r="A783">
        <f>(783-2)/100</f>
        <v>7.81</v>
      </c>
      <c r="B783" s="33">
        <f>Examples!$C$18-(Examples!$C$10+Examples!$C$11)*$A783-(Examples!$C$6*Examples!$C$7*Examples!$C$8*EXP(-Examples!$C$9*$A783)*(1-(Examples!$C$12*(1-EXP(-Examples!$C$13*$A783))/(1+EXP(MIN(700,MAX(-700,(Examples!$C$14*$A783-Examples!$C$15)/Examples!$C$16))))))+Examples!$C$17*$A783^2)</f>
        <v>-645914.95297196391</v>
      </c>
      <c r="C783" s="33">
        <f>(Examples!$C$6*Examples!$C$7*Examples!$C$8*EXP(-Examples!$C$9*$A783)*(1-(Examples!$C$12*(1-EXP(-Examples!$C$13*$A783))/(1+EXP(MIN(700,MAX(-700,(Examples!$C$14*$A783-Examples!$C$15)/Examples!$C$16))))))+Examples!$C$17*$A783^2)</f>
        <v>972564.95297196391</v>
      </c>
      <c r="D783" s="33">
        <f>Examples!$D$18-(Examples!$D$10+Examples!$D$11)*$A783-(Examples!$D$6*Examples!$D$7*Examples!$D$8*EXP(-Examples!$D$9*$A783)*(1-(Examples!$D$12*(1-EXP(-Examples!$D$13*$A783))/(1+EXP(MIN(700,MAX(-700,(Examples!$D$14*$A783-Examples!$D$15)/Examples!$D$16))))))+Examples!$D$17*$A783^2)</f>
        <v>1665582.1899917938</v>
      </c>
      <c r="E783" s="33">
        <f>(Examples!$D$6*Examples!$D$7*Examples!$D$8*EXP(-Examples!$D$9*$A783)*(1-(Examples!$D$12*(1-EXP(-Examples!$D$13*$A783))/(1+EXP(MIN(700,MAX(-700,(Examples!$D$14*$A783-Examples!$D$15)/Examples!$D$16))))))+Examples!$D$17*$A783^2)</f>
        <v>482967.81000820617</v>
      </c>
      <c r="F783" s="33">
        <f>Examples!$E$18-(Examples!$E$10+Examples!$E$11)*$A783-(Examples!$E$6*Examples!$E$7*Examples!$E$8*EXP(-Examples!$E$9*$A783)*(1-(Examples!$E$12*(1-EXP(-Examples!$E$13*$A783))/(1+EXP(MIN(700,MAX(-700,(Examples!$E$14*$A783-Examples!$E$15)/Examples!$E$16))))))+Examples!$E$17*$A783^2)</f>
        <v>2103177.8387099374</v>
      </c>
      <c r="G783" s="33">
        <f>(Examples!$E$6*Examples!$E$7*Examples!$E$8*EXP(-Examples!$E$9*$A783)*(1-(Examples!$E$12*(1-EXP(-Examples!$E$13*$A783))/(1+EXP(MIN(700,MAX(-700,(Examples!$E$14*$A783-Examples!$E$15)/Examples!$E$16))))))+Examples!$E$17*$A783^2)</f>
        <v>232972.16129006245</v>
      </c>
      <c r="H783" s="33">
        <f>Examples!$F$18-(Examples!$F$10+Examples!$F$11)*$A783-(Examples!$F$6*Examples!$F$7*Examples!$F$8*EXP(-Examples!$F$9*$A783)*(1-(Examples!$F$12*(1-EXP(-Examples!$F$13*$A783))/(1+EXP(MIN(700,MAX(-700,(Examples!$F$14*$A783-Examples!$F$15)/Examples!$F$16))))))+Examples!$F$17*$A783^2)</f>
        <v>-1227802.6840462442</v>
      </c>
      <c r="I783" s="33">
        <f>(Examples!$F$6*Examples!$F$7*Examples!$F$8*EXP(-Examples!$F$9*$A783)*(1-(Examples!$F$12*(1-EXP(-Examples!$F$13*$A783))/(1+EXP(MIN(700,MAX(-700,(Examples!$F$14*$A783-Examples!$F$15)/Examples!$F$16))))))+Examples!$F$17*$A783^2)</f>
        <v>1221602.6840462442</v>
      </c>
      <c r="J783" s="33">
        <f>Examples!$G$18-(Examples!$G$10+Examples!$G$11)*$A783-(Examples!$G$6*Examples!$G$7*Examples!$G$8*EXP(-Examples!$G$9*$A783)*(1-(Examples!$G$12*(1-EXP(-Examples!$G$13*$A783))/(1+EXP(MIN(700,MAX(-700,(Examples!$G$14*$A783-Examples!$G$15)/Examples!$G$16))))))+Examples!$G$17*$A783^2)</f>
        <v>491634.05540627753</v>
      </c>
      <c r="K783" s="33">
        <f>(Examples!$G$6*Examples!$G$7*Examples!$G$8*EXP(-Examples!$G$9*$A783)*(1-(Examples!$G$12*(1-EXP(-Examples!$G$13*$A783))/(1+EXP(MIN(700,MAX(-700,(Examples!$G$14*$A783-Examples!$G$15)/Examples!$G$16))))))+Examples!$G$17*$A783^2)</f>
        <v>617865.94459372247</v>
      </c>
      <c r="L783" s="33">
        <f>Examples!$H$18-(Examples!$H$10+Examples!$H$11)*$A783-(Examples!$H$6*Examples!$H$7*Examples!$H$8*EXP(-Examples!$H$9*$A783)*(1-(Examples!$H$12*(1-EXP(-Examples!$H$13*$A783))/(1+EXP(MIN(700,MAX(-700,(Examples!$H$14*$A783-Examples!$H$15)/Examples!$H$16))))))+Examples!$H$17*$A783^2)</f>
        <v>491548.36193854292</v>
      </c>
      <c r="M783" s="33">
        <f>(Examples!$H$6*Examples!$H$7*Examples!$H$8*EXP(-Examples!$H$9*$A783)*(1-(Examples!$H$12*(1-EXP(-Examples!$H$13*$A783))/(1+EXP(MIN(700,MAX(-700,(Examples!$H$14*$A783-Examples!$H$15)/Examples!$H$16))))))+Examples!$H$17*$A783^2)</f>
        <v>617951.63806145708</v>
      </c>
    </row>
    <row r="784" spans="1:13" x14ac:dyDescent="0.25">
      <c r="A784">
        <f>(784-2)/100</f>
        <v>7.82</v>
      </c>
      <c r="B784" s="33">
        <f>Examples!$C$18-(Examples!$C$10+Examples!$C$11)*$A784-(Examples!$C$6*Examples!$C$7*Examples!$C$8*EXP(-Examples!$C$9*$A784)*(1-(Examples!$C$12*(1-EXP(-Examples!$C$13*$A784))/(1+EXP(MIN(700,MAX(-700,(Examples!$C$14*$A784-Examples!$C$15)/Examples!$C$16))))))+Examples!$C$17*$A784^2)</f>
        <v>-648436.84166084894</v>
      </c>
      <c r="C784" s="33">
        <f>(Examples!$C$6*Examples!$C$7*Examples!$C$8*EXP(-Examples!$C$9*$A784)*(1-(Examples!$C$12*(1-EXP(-Examples!$C$13*$A784))/(1+EXP(MIN(700,MAX(-700,(Examples!$C$14*$A784-Examples!$C$15)/Examples!$C$16))))))+Examples!$C$17*$A784^2)</f>
        <v>974736.84166084894</v>
      </c>
      <c r="D784" s="33">
        <f>Examples!$D$18-(Examples!$D$10+Examples!$D$11)*$A784-(Examples!$D$6*Examples!$D$7*Examples!$D$8*EXP(-Examples!$D$9*$A784)*(1-(Examples!$D$12*(1-EXP(-Examples!$D$13*$A784))/(1+EXP(MIN(700,MAX(-700,(Examples!$D$14*$A784-Examples!$D$15)/Examples!$D$16))))))+Examples!$D$17*$A784^2)</f>
        <v>1665142.1364711341</v>
      </c>
      <c r="E784" s="33">
        <f>(Examples!$D$6*Examples!$D$7*Examples!$D$8*EXP(-Examples!$D$9*$A784)*(1-(Examples!$D$12*(1-EXP(-Examples!$D$13*$A784))/(1+EXP(MIN(700,MAX(-700,(Examples!$D$14*$A784-Examples!$D$15)/Examples!$D$16))))))+Examples!$D$17*$A784^2)</f>
        <v>482957.86352886586</v>
      </c>
      <c r="F784" s="33">
        <f>Examples!$E$18-(Examples!$E$10+Examples!$E$11)*$A784-(Examples!$E$6*Examples!$E$7*Examples!$E$8*EXP(-Examples!$E$9*$A784)*(1-(Examples!$E$12*(1-EXP(-Examples!$E$13*$A784))/(1+EXP(MIN(700,MAX(-700,(Examples!$E$14*$A784-Examples!$E$15)/Examples!$E$16))))))+Examples!$E$17*$A784^2)</f>
        <v>2102076.8098522876</v>
      </c>
      <c r="G784" s="33">
        <f>(Examples!$E$6*Examples!$E$7*Examples!$E$8*EXP(-Examples!$E$9*$A784)*(1-(Examples!$E$12*(1-EXP(-Examples!$E$13*$A784))/(1+EXP(MIN(700,MAX(-700,(Examples!$E$14*$A784-Examples!$E$15)/Examples!$E$16))))))+Examples!$E$17*$A784^2)</f>
        <v>233223.1901477123</v>
      </c>
      <c r="H784" s="33">
        <f>Examples!$F$18-(Examples!$F$10+Examples!$F$11)*$A784-(Examples!$F$6*Examples!$F$7*Examples!$F$8*EXP(-Examples!$F$9*$A784)*(1-(Examples!$F$12*(1-EXP(-Examples!$F$13*$A784))/(1+EXP(MIN(700,MAX(-700,(Examples!$F$14*$A784-Examples!$F$15)/Examples!$F$16))))))+Examples!$F$17*$A784^2)</f>
        <v>-1231123.649549627</v>
      </c>
      <c r="I784" s="33">
        <f>(Examples!$F$6*Examples!$F$7*Examples!$F$8*EXP(-Examples!$F$9*$A784)*(1-(Examples!$F$12*(1-EXP(-Examples!$F$13*$A784))/(1+EXP(MIN(700,MAX(-700,(Examples!$F$14*$A784-Examples!$F$15)/Examples!$F$16))))))+Examples!$F$17*$A784^2)</f>
        <v>1224723.649549627</v>
      </c>
      <c r="J784" s="33">
        <f>Examples!$G$18-(Examples!$G$10+Examples!$G$11)*$A784-(Examples!$G$6*Examples!$G$7*Examples!$G$8*EXP(-Examples!$G$9*$A784)*(1-(Examples!$G$12*(1-EXP(-Examples!$G$13*$A784))/(1+EXP(MIN(700,MAX(-700,(Examples!$G$14*$A784-Examples!$G$15)/Examples!$G$16))))))+Examples!$G$17*$A784^2)</f>
        <v>490336.37921081402</v>
      </c>
      <c r="K784" s="33">
        <f>(Examples!$G$6*Examples!$G$7*Examples!$G$8*EXP(-Examples!$G$9*$A784)*(1-(Examples!$G$12*(1-EXP(-Examples!$G$13*$A784))/(1+EXP(MIN(700,MAX(-700,(Examples!$G$14*$A784-Examples!$G$15)/Examples!$G$16))))))+Examples!$G$17*$A784^2)</f>
        <v>618663.62078918598</v>
      </c>
      <c r="L784" s="33">
        <f>Examples!$H$18-(Examples!$H$10+Examples!$H$11)*$A784-(Examples!$H$6*Examples!$H$7*Examples!$H$8*EXP(-Examples!$H$9*$A784)*(1-(Examples!$H$12*(1-EXP(-Examples!$H$13*$A784))/(1+EXP(MIN(700,MAX(-700,(Examples!$H$14*$A784-Examples!$H$15)/Examples!$H$16))))))+Examples!$H$17*$A784^2)</f>
        <v>490252.10652187234</v>
      </c>
      <c r="M784" s="33">
        <f>(Examples!$H$6*Examples!$H$7*Examples!$H$8*EXP(-Examples!$H$9*$A784)*(1-(Examples!$H$12*(1-EXP(-Examples!$H$13*$A784))/(1+EXP(MIN(700,MAX(-700,(Examples!$H$14*$A784-Examples!$H$15)/Examples!$H$16))))))+Examples!$H$17*$A784^2)</f>
        <v>618747.89347812766</v>
      </c>
    </row>
    <row r="785" spans="1:13" x14ac:dyDescent="0.25">
      <c r="A785">
        <f>(785-2)/100</f>
        <v>7.83</v>
      </c>
      <c r="B785" s="33">
        <f>Examples!$C$18-(Examples!$C$10+Examples!$C$11)*$A785-(Examples!$C$6*Examples!$C$7*Examples!$C$8*EXP(-Examples!$C$9*$A785)*(1-(Examples!$C$12*(1-EXP(-Examples!$C$13*$A785))/(1+EXP(MIN(700,MAX(-700,(Examples!$C$14*$A785-Examples!$C$15)/Examples!$C$16))))))+Examples!$C$17*$A785^2)</f>
        <v>-650962.24740764359</v>
      </c>
      <c r="C785" s="33">
        <f>(Examples!$C$6*Examples!$C$7*Examples!$C$8*EXP(-Examples!$C$9*$A785)*(1-(Examples!$C$12*(1-EXP(-Examples!$C$13*$A785))/(1+EXP(MIN(700,MAX(-700,(Examples!$C$14*$A785-Examples!$C$15)/Examples!$C$16))))))+Examples!$C$17*$A785^2)</f>
        <v>976912.24740764359</v>
      </c>
      <c r="D785" s="33">
        <f>Examples!$D$18-(Examples!$D$10+Examples!$D$11)*$A785-(Examples!$D$6*Examples!$D$7*Examples!$D$8*EXP(-Examples!$D$9*$A785)*(1-(Examples!$D$12*(1-EXP(-Examples!$D$13*$A785))/(1+EXP(MIN(700,MAX(-700,(Examples!$D$14*$A785-Examples!$D$15)/Examples!$D$16))))))+Examples!$D$17*$A785^2)</f>
        <v>1664697.6639921751</v>
      </c>
      <c r="E785" s="33">
        <f>(Examples!$D$6*Examples!$D$7*Examples!$D$8*EXP(-Examples!$D$9*$A785)*(1-(Examples!$D$12*(1-EXP(-Examples!$D$13*$A785))/(1+EXP(MIN(700,MAX(-700,(Examples!$D$14*$A785-Examples!$D$15)/Examples!$D$16))))))+Examples!$D$17*$A785^2)</f>
        <v>482952.33600782487</v>
      </c>
      <c r="F785" s="33">
        <f>Examples!$E$18-(Examples!$E$10+Examples!$E$11)*$A785-(Examples!$E$6*Examples!$E$7*Examples!$E$8*EXP(-Examples!$E$9*$A785)*(1-(Examples!$E$12*(1-EXP(-Examples!$E$13*$A785))/(1+EXP(MIN(700,MAX(-700,(Examples!$E$14*$A785-Examples!$E$15)/Examples!$E$16))))))+Examples!$E$17*$A785^2)</f>
        <v>2100974.451224512</v>
      </c>
      <c r="G785" s="33">
        <f>(Examples!$E$6*Examples!$E$7*Examples!$E$8*EXP(-Examples!$E$9*$A785)*(1-(Examples!$E$12*(1-EXP(-Examples!$E$13*$A785))/(1+EXP(MIN(700,MAX(-700,(Examples!$E$14*$A785-Examples!$E$15)/Examples!$E$16))))))+Examples!$E$17*$A785^2)</f>
        <v>233475.5487754881</v>
      </c>
      <c r="H785" s="33">
        <f>Examples!$F$18-(Examples!$F$10+Examples!$F$11)*$A785-(Examples!$F$6*Examples!$F$7*Examples!$F$8*EXP(-Examples!$F$9*$A785)*(1-(Examples!$F$12*(1-EXP(-Examples!$F$13*$A785))/(1+EXP(MIN(700,MAX(-700,(Examples!$F$14*$A785-Examples!$F$15)/Examples!$F$16))))))+Examples!$F$17*$A785^2)</f>
        <v>-1234448.6301338661</v>
      </c>
      <c r="I785" s="33">
        <f>(Examples!$F$6*Examples!$F$7*Examples!$F$8*EXP(-Examples!$F$9*$A785)*(1-(Examples!$F$12*(1-EXP(-Examples!$F$13*$A785))/(1+EXP(MIN(700,MAX(-700,(Examples!$F$14*$A785-Examples!$F$15)/Examples!$F$16))))))+Examples!$F$17*$A785^2)</f>
        <v>1227848.6301338661</v>
      </c>
      <c r="J785" s="33">
        <f>Examples!$G$18-(Examples!$G$10+Examples!$G$11)*$A785-(Examples!$G$6*Examples!$G$7*Examples!$G$8*EXP(-Examples!$G$9*$A785)*(1-(Examples!$G$12*(1-EXP(-Examples!$G$13*$A785))/(1+EXP(MIN(700,MAX(-700,(Examples!$G$14*$A785-Examples!$G$15)/Examples!$G$16))))))+Examples!$G$17*$A785^2)</f>
        <v>489035.53979166155</v>
      </c>
      <c r="K785" s="33">
        <f>(Examples!$G$6*Examples!$G$7*Examples!$G$8*EXP(-Examples!$G$9*$A785)*(1-(Examples!$G$12*(1-EXP(-Examples!$G$13*$A785))/(1+EXP(MIN(700,MAX(-700,(Examples!$G$14*$A785-Examples!$G$15)/Examples!$G$16))))))+Examples!$G$17*$A785^2)</f>
        <v>619464.46020833845</v>
      </c>
      <c r="L785" s="33">
        <f>Examples!$H$18-(Examples!$H$10+Examples!$H$11)*$A785-(Examples!$H$6*Examples!$H$7*Examples!$H$8*EXP(-Examples!$H$9*$A785)*(1-(Examples!$H$12*(1-EXP(-Examples!$H$13*$A785))/(1+EXP(MIN(700,MAX(-700,(Examples!$H$14*$A785-Examples!$H$15)/Examples!$H$16))))))+Examples!$H$17*$A785^2)</f>
        <v>488952.66438217787</v>
      </c>
      <c r="M785" s="33">
        <f>(Examples!$H$6*Examples!$H$7*Examples!$H$8*EXP(-Examples!$H$9*$A785)*(1-(Examples!$H$12*(1-EXP(-Examples!$H$13*$A785))/(1+EXP(MIN(700,MAX(-700,(Examples!$H$14*$A785-Examples!$H$15)/Examples!$H$16))))))+Examples!$H$17*$A785^2)</f>
        <v>619547.33561782213</v>
      </c>
    </row>
    <row r="786" spans="1:13" x14ac:dyDescent="0.25">
      <c r="A786">
        <f>(786-2)/100</f>
        <v>7.84</v>
      </c>
      <c r="B786" s="33">
        <f>Examples!$C$18-(Examples!$C$10+Examples!$C$11)*$A786-(Examples!$C$6*Examples!$C$7*Examples!$C$8*EXP(-Examples!$C$9*$A786)*(1-(Examples!$C$12*(1-EXP(-Examples!$C$13*$A786))/(1+EXP(MIN(700,MAX(-700,(Examples!$C$14*$A786-Examples!$C$15)/Examples!$C$16))))))+Examples!$C$17*$A786^2)</f>
        <v>-653491.16866350046</v>
      </c>
      <c r="C786" s="33">
        <f>(Examples!$C$6*Examples!$C$7*Examples!$C$8*EXP(-Examples!$C$9*$A786)*(1-(Examples!$C$12*(1-EXP(-Examples!$C$13*$A786))/(1+EXP(MIN(700,MAX(-700,(Examples!$C$14*$A786-Examples!$C$15)/Examples!$C$16))))))+Examples!$C$17*$A786^2)</f>
        <v>979091.16866350046</v>
      </c>
      <c r="D786" s="33">
        <f>Examples!$D$18-(Examples!$D$10+Examples!$D$11)*$A786-(Examples!$D$6*Examples!$D$7*Examples!$D$8*EXP(-Examples!$D$9*$A786)*(1-(Examples!$D$12*(1-EXP(-Examples!$D$13*$A786))/(1+EXP(MIN(700,MAX(-700,(Examples!$D$14*$A786-Examples!$D$15)/Examples!$D$16))))))+Examples!$D$17*$A786^2)</f>
        <v>1664248.7855687675</v>
      </c>
      <c r="E786" s="33">
        <f>(Examples!$D$6*Examples!$D$7*Examples!$D$8*EXP(-Examples!$D$9*$A786)*(1-(Examples!$D$12*(1-EXP(-Examples!$D$13*$A786))/(1+EXP(MIN(700,MAX(-700,(Examples!$D$14*$A786-Examples!$D$15)/Examples!$D$16))))))+Examples!$D$17*$A786^2)</f>
        <v>482951.21443123254</v>
      </c>
      <c r="F786" s="33">
        <f>Examples!$E$18-(Examples!$E$10+Examples!$E$11)*$A786-(Examples!$E$6*Examples!$E$7*Examples!$E$8*EXP(-Examples!$E$9*$A786)*(1-(Examples!$E$12*(1-EXP(-Examples!$E$13*$A786))/(1+EXP(MIN(700,MAX(-700,(Examples!$E$14*$A786-Examples!$E$15)/Examples!$E$16))))))+Examples!$E$17*$A786^2)</f>
        <v>2099870.7627647007</v>
      </c>
      <c r="G786" s="33">
        <f>(Examples!$E$6*Examples!$E$7*Examples!$E$8*EXP(-Examples!$E$9*$A786)*(1-(Examples!$E$12*(1-EXP(-Examples!$E$13*$A786))/(1+EXP(MIN(700,MAX(-700,(Examples!$E$14*$A786-Examples!$E$15)/Examples!$E$16))))))+Examples!$E$17*$A786^2)</f>
        <v>233729.23723529925</v>
      </c>
      <c r="H786" s="33">
        <f>Examples!$F$18-(Examples!$F$10+Examples!$F$11)*$A786-(Examples!$F$6*Examples!$F$7*Examples!$F$8*EXP(-Examples!$F$9*$A786)*(1-(Examples!$F$12*(1-EXP(-Examples!$F$13*$A786))/(1+EXP(MIN(700,MAX(-700,(Examples!$F$14*$A786-Examples!$F$15)/Examples!$F$16))))))+Examples!$F$17*$A786^2)</f>
        <v>-1237777.625753788</v>
      </c>
      <c r="I786" s="33">
        <f>(Examples!$F$6*Examples!$F$7*Examples!$F$8*EXP(-Examples!$F$9*$A786)*(1-(Examples!$F$12*(1-EXP(-Examples!$F$13*$A786))/(1+EXP(MIN(700,MAX(-700,(Examples!$F$14*$A786-Examples!$F$15)/Examples!$F$16))))))+Examples!$F$17*$A786^2)</f>
        <v>1230977.625753788</v>
      </c>
      <c r="J786" s="33">
        <f>Examples!$G$18-(Examples!$G$10+Examples!$G$11)*$A786-(Examples!$G$6*Examples!$G$7*Examples!$G$8*EXP(-Examples!$G$9*$A786)*(1-(Examples!$G$12*(1-EXP(-Examples!$G$13*$A786))/(1+EXP(MIN(700,MAX(-700,(Examples!$G$14*$A786-Examples!$G$15)/Examples!$G$16))))))+Examples!$G$17*$A786^2)</f>
        <v>487731.54230515985</v>
      </c>
      <c r="K786" s="33">
        <f>(Examples!$G$6*Examples!$G$7*Examples!$G$8*EXP(-Examples!$G$9*$A786)*(1-(Examples!$G$12*(1-EXP(-Examples!$G$13*$A786))/(1+EXP(MIN(700,MAX(-700,(Examples!$G$14*$A786-Examples!$G$15)/Examples!$G$16))))))+Examples!$G$17*$A786^2)</f>
        <v>620268.45769484015</v>
      </c>
      <c r="L786" s="33">
        <f>Examples!$H$18-(Examples!$H$10+Examples!$H$11)*$A786-(Examples!$H$6*Examples!$H$7*Examples!$H$8*EXP(-Examples!$H$9*$A786)*(1-(Examples!$H$12*(1-EXP(-Examples!$H$13*$A786))/(1+EXP(MIN(700,MAX(-700,(Examples!$H$14*$A786-Examples!$H$15)/Examples!$H$16))))))+Examples!$H$17*$A786^2)</f>
        <v>487650.04106312187</v>
      </c>
      <c r="M786" s="33">
        <f>(Examples!$H$6*Examples!$H$7*Examples!$H$8*EXP(-Examples!$H$9*$A786)*(1-(Examples!$H$12*(1-EXP(-Examples!$H$13*$A786))/(1+EXP(MIN(700,MAX(-700,(Examples!$H$14*$A786-Examples!$H$15)/Examples!$H$16))))))+Examples!$H$17*$A786^2)</f>
        <v>620349.95893687813</v>
      </c>
    </row>
    <row r="787" spans="1:13" x14ac:dyDescent="0.25">
      <c r="A787">
        <f>(787-2)/100</f>
        <v>7.85</v>
      </c>
      <c r="B787" s="33">
        <f>Examples!$C$18-(Examples!$C$10+Examples!$C$11)*$A787-(Examples!$C$6*Examples!$C$7*Examples!$C$8*EXP(-Examples!$C$9*$A787)*(1-(Examples!$C$12*(1-EXP(-Examples!$C$13*$A787))/(1+EXP(MIN(700,MAX(-700,(Examples!$C$14*$A787-Examples!$C$15)/Examples!$C$16))))))+Examples!$C$17*$A787^2)</f>
        <v>-656023.60388421162</v>
      </c>
      <c r="C787" s="33">
        <f>(Examples!$C$6*Examples!$C$7*Examples!$C$8*EXP(-Examples!$C$9*$A787)*(1-(Examples!$C$12*(1-EXP(-Examples!$C$13*$A787))/(1+EXP(MIN(700,MAX(-700,(Examples!$C$14*$A787-Examples!$C$15)/Examples!$C$16))))))+Examples!$C$17*$A787^2)</f>
        <v>981273.60388421162</v>
      </c>
      <c r="D787" s="33">
        <f>Examples!$D$18-(Examples!$D$10+Examples!$D$11)*$A787-(Examples!$D$6*Examples!$D$7*Examples!$D$8*EXP(-Examples!$D$9*$A787)*(1-(Examples!$D$12*(1-EXP(-Examples!$D$13*$A787))/(1+EXP(MIN(700,MAX(-700,(Examples!$D$14*$A787-Examples!$D$15)/Examples!$D$16))))))+Examples!$D$17*$A787^2)</f>
        <v>1663795.514196483</v>
      </c>
      <c r="E787" s="33">
        <f>(Examples!$D$6*Examples!$D$7*Examples!$D$8*EXP(-Examples!$D$9*$A787)*(1-(Examples!$D$12*(1-EXP(-Examples!$D$13*$A787))/(1+EXP(MIN(700,MAX(-700,(Examples!$D$14*$A787-Examples!$D$15)/Examples!$D$16))))))+Examples!$D$17*$A787^2)</f>
        <v>482954.48580351705</v>
      </c>
      <c r="F787" s="33">
        <f>Examples!$E$18-(Examples!$E$10+Examples!$E$11)*$A787-(Examples!$E$6*Examples!$E$7*Examples!$E$8*EXP(-Examples!$E$9*$A787)*(1-(Examples!$E$12*(1-EXP(-Examples!$E$13*$A787))/(1+EXP(MIN(700,MAX(-700,(Examples!$E$14*$A787-Examples!$E$15)/Examples!$E$16))))))+Examples!$E$17*$A787^2)</f>
        <v>2098765.7444430292</v>
      </c>
      <c r="G787" s="33">
        <f>(Examples!$E$6*Examples!$E$7*Examples!$E$8*EXP(-Examples!$E$9*$A787)*(1-(Examples!$E$12*(1-EXP(-Examples!$E$13*$A787))/(1+EXP(MIN(700,MAX(-700,(Examples!$E$14*$A787-Examples!$E$15)/Examples!$E$16))))))+Examples!$E$17*$A787^2)</f>
        <v>233984.25555697066</v>
      </c>
      <c r="H787" s="33">
        <f>Examples!$F$18-(Examples!$F$10+Examples!$F$11)*$A787-(Examples!$F$6*Examples!$F$7*Examples!$F$8*EXP(-Examples!$F$9*$A787)*(1-(Examples!$F$12*(1-EXP(-Examples!$F$13*$A787))/(1+EXP(MIN(700,MAX(-700,(Examples!$F$14*$A787-Examples!$F$15)/Examples!$F$16))))))+Examples!$F$17*$A787^2)</f>
        <v>-1241110.6363643531</v>
      </c>
      <c r="I787" s="33">
        <f>(Examples!$F$6*Examples!$F$7*Examples!$F$8*EXP(-Examples!$F$9*$A787)*(1-(Examples!$F$12*(1-EXP(-Examples!$F$13*$A787))/(1+EXP(MIN(700,MAX(-700,(Examples!$F$14*$A787-Examples!$F$15)/Examples!$F$16))))))+Examples!$F$17*$A787^2)</f>
        <v>1234110.6363643531</v>
      </c>
      <c r="J787" s="33">
        <f>Examples!$G$18-(Examples!$G$10+Examples!$G$11)*$A787-(Examples!$G$6*Examples!$G$7*Examples!$G$8*EXP(-Examples!$G$9*$A787)*(1-(Examples!$G$12*(1-EXP(-Examples!$G$13*$A787))/(1+EXP(MIN(700,MAX(-700,(Examples!$G$14*$A787-Examples!$G$15)/Examples!$G$16))))))+Examples!$G$17*$A787^2)</f>
        <v>486424.39189463598</v>
      </c>
      <c r="K787" s="33">
        <f>(Examples!$G$6*Examples!$G$7*Examples!$G$8*EXP(-Examples!$G$9*$A787)*(1-(Examples!$G$12*(1-EXP(-Examples!$G$13*$A787))/(1+EXP(MIN(700,MAX(-700,(Examples!$G$14*$A787-Examples!$G$15)/Examples!$G$16))))))+Examples!$G$17*$A787^2)</f>
        <v>621075.60810536402</v>
      </c>
      <c r="L787" s="33">
        <f>Examples!$H$18-(Examples!$H$10+Examples!$H$11)*$A787-(Examples!$H$6*Examples!$H$7*Examples!$H$8*EXP(-Examples!$H$9*$A787)*(1-(Examples!$H$12*(1-EXP(-Examples!$H$13*$A787))/(1+EXP(MIN(700,MAX(-700,(Examples!$H$14*$A787-Examples!$H$15)/Examples!$H$16))))))+Examples!$H$17*$A787^2)</f>
        <v>486344.24208900344</v>
      </c>
      <c r="M787" s="33">
        <f>(Examples!$H$6*Examples!$H$7*Examples!$H$8*EXP(-Examples!$H$9*$A787)*(1-(Examples!$H$12*(1-EXP(-Examples!$H$13*$A787))/(1+EXP(MIN(700,MAX(-700,(Examples!$H$14*$A787-Examples!$H$15)/Examples!$H$16))))))+Examples!$H$17*$A787^2)</f>
        <v>621155.75791099656</v>
      </c>
    </row>
    <row r="788" spans="1:13" x14ac:dyDescent="0.25">
      <c r="A788">
        <f>(788-2)/100</f>
        <v>7.86</v>
      </c>
      <c r="B788" s="33">
        <f>Examples!$C$18-(Examples!$C$10+Examples!$C$11)*$A788-(Examples!$C$6*Examples!$C$7*Examples!$C$8*EXP(-Examples!$C$9*$A788)*(1-(Examples!$C$12*(1-EXP(-Examples!$C$13*$A788))/(1+EXP(MIN(700,MAX(-700,(Examples!$C$14*$A788-Examples!$C$15)/Examples!$C$16))))))+Examples!$C$17*$A788^2)</f>
        <v>-658559.55153019493</v>
      </c>
      <c r="C788" s="33">
        <f>(Examples!$C$6*Examples!$C$7*Examples!$C$8*EXP(-Examples!$C$9*$A788)*(1-(Examples!$C$12*(1-EXP(-Examples!$C$13*$A788))/(1+EXP(MIN(700,MAX(-700,(Examples!$C$14*$A788-Examples!$C$15)/Examples!$C$16))))))+Examples!$C$17*$A788^2)</f>
        <v>983459.55153019493</v>
      </c>
      <c r="D788" s="33">
        <f>Examples!$D$18-(Examples!$D$10+Examples!$D$11)*$A788-(Examples!$D$6*Examples!$D$7*Examples!$D$8*EXP(-Examples!$D$9*$A788)*(1-(Examples!$D$12*(1-EXP(-Examples!$D$13*$A788))/(1+EXP(MIN(700,MAX(-700,(Examples!$D$14*$A788-Examples!$D$15)/Examples!$D$16))))))+Examples!$D$17*$A788^2)</f>
        <v>1663337.8628520183</v>
      </c>
      <c r="E788" s="33">
        <f>(Examples!$D$6*Examples!$D$7*Examples!$D$8*EXP(-Examples!$D$9*$A788)*(1-(Examples!$D$12*(1-EXP(-Examples!$D$13*$A788))/(1+EXP(MIN(700,MAX(-700,(Examples!$D$14*$A788-Examples!$D$15)/Examples!$D$16))))))+Examples!$D$17*$A788^2)</f>
        <v>482962.13714798179</v>
      </c>
      <c r="F788" s="33">
        <f>Examples!$E$18-(Examples!$E$10+Examples!$E$11)*$A788-(Examples!$E$6*Examples!$E$7*Examples!$E$8*EXP(-Examples!$E$9*$A788)*(1-(Examples!$E$12*(1-EXP(-Examples!$E$13*$A788))/(1+EXP(MIN(700,MAX(-700,(Examples!$E$14*$A788-Examples!$E$15)/Examples!$E$16))))))+Examples!$E$17*$A788^2)</f>
        <v>2097659.3962614504</v>
      </c>
      <c r="G788" s="33">
        <f>(Examples!$E$6*Examples!$E$7*Examples!$E$8*EXP(-Examples!$E$9*$A788)*(1-(Examples!$E$12*(1-EXP(-Examples!$E$13*$A788))/(1+EXP(MIN(700,MAX(-700,(Examples!$E$14*$A788-Examples!$E$15)/Examples!$E$16))))))+Examples!$E$17*$A788^2)</f>
        <v>234240.60373854969</v>
      </c>
      <c r="H788" s="33">
        <f>Examples!$F$18-(Examples!$F$10+Examples!$F$11)*$A788-(Examples!$F$6*Examples!$F$7*Examples!$F$8*EXP(-Examples!$F$9*$A788)*(1-(Examples!$F$12*(1-EXP(-Examples!$F$13*$A788))/(1+EXP(MIN(700,MAX(-700,(Examples!$F$14*$A788-Examples!$F$15)/Examples!$F$16))))))+Examples!$F$17*$A788^2)</f>
        <v>-1244447.6619206565</v>
      </c>
      <c r="I788" s="33">
        <f>(Examples!$F$6*Examples!$F$7*Examples!$F$8*EXP(-Examples!$F$9*$A788)*(1-(Examples!$F$12*(1-EXP(-Examples!$F$13*$A788))/(1+EXP(MIN(700,MAX(-700,(Examples!$F$14*$A788-Examples!$F$15)/Examples!$F$16))))))+Examples!$F$17*$A788^2)</f>
        <v>1237247.6619206565</v>
      </c>
      <c r="J788" s="33">
        <f>Examples!$G$18-(Examples!$G$10+Examples!$G$11)*$A788-(Examples!$G$6*Examples!$G$7*Examples!$G$8*EXP(-Examples!$G$9*$A788)*(1-(Examples!$G$12*(1-EXP(-Examples!$G$13*$A788))/(1+EXP(MIN(700,MAX(-700,(Examples!$G$14*$A788-Examples!$G$15)/Examples!$G$16))))))+Examples!$G$17*$A788^2)</f>
        <v>485114.09369036974</v>
      </c>
      <c r="K788" s="33">
        <f>(Examples!$G$6*Examples!$G$7*Examples!$G$8*EXP(-Examples!$G$9*$A788)*(1-(Examples!$G$12*(1-EXP(-Examples!$G$13*$A788))/(1+EXP(MIN(700,MAX(-700,(Examples!$G$14*$A788-Examples!$G$15)/Examples!$G$16))))))+Examples!$G$17*$A788^2)</f>
        <v>621885.90630963026</v>
      </c>
      <c r="L788" s="33">
        <f>Examples!$H$18-(Examples!$H$10+Examples!$H$11)*$A788-(Examples!$H$6*Examples!$H$7*Examples!$H$8*EXP(-Examples!$H$9*$A788)*(1-(Examples!$H$12*(1-EXP(-Examples!$H$13*$A788))/(1+EXP(MIN(700,MAX(-700,(Examples!$H$14*$A788-Examples!$H$15)/Examples!$H$16))))))+Examples!$H$17*$A788^2)</f>
        <v>485035.27296482597</v>
      </c>
      <c r="M788" s="33">
        <f>(Examples!$H$6*Examples!$H$7*Examples!$H$8*EXP(-Examples!$H$9*$A788)*(1-(Examples!$H$12*(1-EXP(-Examples!$H$13*$A788))/(1+EXP(MIN(700,MAX(-700,(Examples!$H$14*$A788-Examples!$H$15)/Examples!$H$16))))))+Examples!$H$17*$A788^2)</f>
        <v>621964.72703517403</v>
      </c>
    </row>
    <row r="789" spans="1:13" x14ac:dyDescent="0.25">
      <c r="A789">
        <f>(789-2)/100</f>
        <v>7.87</v>
      </c>
      <c r="B789" s="33">
        <f>Examples!$C$18-(Examples!$C$10+Examples!$C$11)*$A789-(Examples!$C$6*Examples!$C$7*Examples!$C$8*EXP(-Examples!$C$9*$A789)*(1-(Examples!$C$12*(1-EXP(-Examples!$C$13*$A789))/(1+EXP(MIN(700,MAX(-700,(Examples!$C$14*$A789-Examples!$C$15)/Examples!$C$16))))))+Examples!$C$17*$A789^2)</f>
        <v>-661099.01006647921</v>
      </c>
      <c r="C789" s="33">
        <f>(Examples!$C$6*Examples!$C$7*Examples!$C$8*EXP(-Examples!$C$9*$A789)*(1-(Examples!$C$12*(1-EXP(-Examples!$C$13*$A789))/(1+EXP(MIN(700,MAX(-700,(Examples!$C$14*$A789-Examples!$C$15)/Examples!$C$16))))))+Examples!$C$17*$A789^2)</f>
        <v>985649.01006647921</v>
      </c>
      <c r="D789" s="33">
        <f>Examples!$D$18-(Examples!$D$10+Examples!$D$11)*$A789-(Examples!$D$6*Examples!$D$7*Examples!$D$8*EXP(-Examples!$D$9*$A789)*(1-(Examples!$D$12*(1-EXP(-Examples!$D$13*$A789))/(1+EXP(MIN(700,MAX(-700,(Examples!$D$14*$A789-Examples!$D$15)/Examples!$D$16))))))+Examples!$D$17*$A789^2)</f>
        <v>1662875.8444926136</v>
      </c>
      <c r="E789" s="33">
        <f>(Examples!$D$6*Examples!$D$7*Examples!$D$8*EXP(-Examples!$D$9*$A789)*(1-(Examples!$D$12*(1-EXP(-Examples!$D$13*$A789))/(1+EXP(MIN(700,MAX(-700,(Examples!$D$14*$A789-Examples!$D$15)/Examples!$D$16))))))+Examples!$D$17*$A789^2)</f>
        <v>482974.15550738649</v>
      </c>
      <c r="F789" s="33">
        <f>Examples!$E$18-(Examples!$E$10+Examples!$E$11)*$A789-(Examples!$E$6*Examples!$E$7*Examples!$E$8*EXP(-Examples!$E$9*$A789)*(1-(Examples!$E$12*(1-EXP(-Examples!$E$13*$A789))/(1+EXP(MIN(700,MAX(-700,(Examples!$E$14*$A789-Examples!$E$15)/Examples!$E$16))))))+Examples!$E$17*$A789^2)</f>
        <v>2096551.7182533862</v>
      </c>
      <c r="G789" s="33">
        <f>(Examples!$E$6*Examples!$E$7*Examples!$E$8*EXP(-Examples!$E$9*$A789)*(1-(Examples!$E$12*(1-EXP(-Examples!$E$13*$A789))/(1+EXP(MIN(700,MAX(-700,(Examples!$E$14*$A789-Examples!$E$15)/Examples!$E$16))))))+Examples!$E$17*$A789^2)</f>
        <v>234498.28174661388</v>
      </c>
      <c r="H789" s="33">
        <f>Examples!$F$18-(Examples!$F$10+Examples!$F$11)*$A789-(Examples!$F$6*Examples!$F$7*Examples!$F$8*EXP(-Examples!$F$9*$A789)*(1-(Examples!$F$12*(1-EXP(-Examples!$F$13*$A789))/(1+EXP(MIN(700,MAX(-700,(Examples!$F$14*$A789-Examples!$F$15)/Examples!$F$16))))))+Examples!$F$17*$A789^2)</f>
        <v>-1247788.7023779284</v>
      </c>
      <c r="I789" s="33">
        <f>(Examples!$F$6*Examples!$F$7*Examples!$F$8*EXP(-Examples!$F$9*$A789)*(1-(Examples!$F$12*(1-EXP(-Examples!$F$13*$A789))/(1+EXP(MIN(700,MAX(-700,(Examples!$F$14*$A789-Examples!$F$15)/Examples!$F$16))))))+Examples!$F$17*$A789^2)</f>
        <v>1240388.7023779284</v>
      </c>
      <c r="J789" s="33">
        <f>Examples!$G$18-(Examples!$G$10+Examples!$G$11)*$A789-(Examples!$G$6*Examples!$G$7*Examples!$G$8*EXP(-Examples!$G$9*$A789)*(1-(Examples!$G$12*(1-EXP(-Examples!$G$13*$A789))/(1+EXP(MIN(700,MAX(-700,(Examples!$G$14*$A789-Examples!$G$15)/Examples!$G$16))))))+Examples!$G$17*$A789^2)</f>
        <v>483800.65280955774</v>
      </c>
      <c r="K789" s="33">
        <f>(Examples!$G$6*Examples!$G$7*Examples!$G$8*EXP(-Examples!$G$9*$A789)*(1-(Examples!$G$12*(1-EXP(-Examples!$G$13*$A789))/(1+EXP(MIN(700,MAX(-700,(Examples!$G$14*$A789-Examples!$G$15)/Examples!$G$16))))))+Examples!$G$17*$A789^2)</f>
        <v>622699.34719044226</v>
      </c>
      <c r="L789" s="33">
        <f>Examples!$H$18-(Examples!$H$10+Examples!$H$11)*$A789-(Examples!$H$6*Examples!$H$7*Examples!$H$8*EXP(-Examples!$H$9*$A789)*(1-(Examples!$H$12*(1-EXP(-Examples!$H$13*$A789))/(1+EXP(MIN(700,MAX(-700,(Examples!$H$14*$A789-Examples!$H$15)/Examples!$H$16))))))+Examples!$H$17*$A789^2)</f>
        <v>483723.13917636429</v>
      </c>
      <c r="M789" s="33">
        <f>(Examples!$H$6*Examples!$H$7*Examples!$H$8*EXP(-Examples!$H$9*$A789)*(1-(Examples!$H$12*(1-EXP(-Examples!$H$13*$A789))/(1+EXP(MIN(700,MAX(-700,(Examples!$H$14*$A789-Examples!$H$15)/Examples!$H$16))))))+Examples!$H$17*$A789^2)</f>
        <v>622776.86082363571</v>
      </c>
    </row>
    <row r="790" spans="1:13" x14ac:dyDescent="0.25">
      <c r="A790">
        <f>(790-2)/100</f>
        <v>7.88</v>
      </c>
      <c r="B790" s="33">
        <f>Examples!$C$18-(Examples!$C$10+Examples!$C$11)*$A790-(Examples!$C$6*Examples!$C$7*Examples!$C$8*EXP(-Examples!$C$9*$A790)*(1-(Examples!$C$12*(1-EXP(-Examples!$C$13*$A790))/(1+EXP(MIN(700,MAX(-700,(Examples!$C$14*$A790-Examples!$C$15)/Examples!$C$16))))))+Examples!$C$17*$A790^2)</f>
        <v>-663641.97796269204</v>
      </c>
      <c r="C790" s="33">
        <f>(Examples!$C$6*Examples!$C$7*Examples!$C$8*EXP(-Examples!$C$9*$A790)*(1-(Examples!$C$12*(1-EXP(-Examples!$C$13*$A790))/(1+EXP(MIN(700,MAX(-700,(Examples!$C$14*$A790-Examples!$C$15)/Examples!$C$16))))))+Examples!$C$17*$A790^2)</f>
        <v>987841.97796269204</v>
      </c>
      <c r="D790" s="33">
        <f>Examples!$D$18-(Examples!$D$10+Examples!$D$11)*$A790-(Examples!$D$6*Examples!$D$7*Examples!$D$8*EXP(-Examples!$D$9*$A790)*(1-(Examples!$D$12*(1-EXP(-Examples!$D$13*$A790))/(1+EXP(MIN(700,MAX(-700,(Examples!$D$14*$A790-Examples!$D$15)/Examples!$D$16))))))+Examples!$D$17*$A790^2)</f>
        <v>1662409.4720554859</v>
      </c>
      <c r="E790" s="33">
        <f>(Examples!$D$6*Examples!$D$7*Examples!$D$8*EXP(-Examples!$D$9*$A790)*(1-(Examples!$D$12*(1-EXP(-Examples!$D$13*$A790))/(1+EXP(MIN(700,MAX(-700,(Examples!$D$14*$A790-Examples!$D$15)/Examples!$D$16))))))+Examples!$D$17*$A790^2)</f>
        <v>482990.52794451406</v>
      </c>
      <c r="F790" s="33">
        <f>Examples!$E$18-(Examples!$E$10+Examples!$E$11)*$A790-(Examples!$E$6*Examples!$E$7*Examples!$E$8*EXP(-Examples!$E$9*$A790)*(1-(Examples!$E$12*(1-EXP(-Examples!$E$13*$A790))/(1+EXP(MIN(700,MAX(-700,(Examples!$E$14*$A790-Examples!$E$15)/Examples!$E$16))))))+Examples!$E$17*$A790^2)</f>
        <v>2095442.7104834213</v>
      </c>
      <c r="G790" s="33">
        <f>(Examples!$E$6*Examples!$E$7*Examples!$E$8*EXP(-Examples!$E$9*$A790)*(1-(Examples!$E$12*(1-EXP(-Examples!$E$13*$A790))/(1+EXP(MIN(700,MAX(-700,(Examples!$E$14*$A790-Examples!$E$15)/Examples!$E$16))))))+Examples!$E$17*$A790^2)</f>
        <v>234757.28951657863</v>
      </c>
      <c r="H790" s="33">
        <f>Examples!$F$18-(Examples!$F$10+Examples!$F$11)*$A790-(Examples!$F$6*Examples!$F$7*Examples!$F$8*EXP(-Examples!$F$9*$A790)*(1-(Examples!$F$12*(1-EXP(-Examples!$F$13*$A790))/(1+EXP(MIN(700,MAX(-700,(Examples!$F$14*$A790-Examples!$F$15)/Examples!$F$16))))))+Examples!$F$17*$A790^2)</f>
        <v>-1251133.7576915328</v>
      </c>
      <c r="I790" s="33">
        <f>(Examples!$F$6*Examples!$F$7*Examples!$F$8*EXP(-Examples!$F$9*$A790)*(1-(Examples!$F$12*(1-EXP(-Examples!$F$13*$A790))/(1+EXP(MIN(700,MAX(-700,(Examples!$F$14*$A790-Examples!$F$15)/Examples!$F$16))))))+Examples!$F$17*$A790^2)</f>
        <v>1243533.7576915328</v>
      </c>
      <c r="J790" s="33">
        <f>Examples!$G$18-(Examples!$G$10+Examples!$G$11)*$A790-(Examples!$G$6*Examples!$G$7*Examples!$G$8*EXP(-Examples!$G$9*$A790)*(1-(Examples!$G$12*(1-EXP(-Examples!$G$13*$A790))/(1+EXP(MIN(700,MAX(-700,(Examples!$G$14*$A790-Examples!$G$15)/Examples!$G$16))))))+Examples!$G$17*$A790^2)</f>
        <v>482484.07435628131</v>
      </c>
      <c r="K790" s="33">
        <f>(Examples!$G$6*Examples!$G$7*Examples!$G$8*EXP(-Examples!$G$9*$A790)*(1-(Examples!$G$12*(1-EXP(-Examples!$G$13*$A790))/(1+EXP(MIN(700,MAX(-700,(Examples!$G$14*$A790-Examples!$G$15)/Examples!$G$16))))))+Examples!$G$17*$A790^2)</f>
        <v>623515.92564371869</v>
      </c>
      <c r="L790" s="33">
        <f>Examples!$H$18-(Examples!$H$10+Examples!$H$11)*$A790-(Examples!$H$6*Examples!$H$7*Examples!$H$8*EXP(-Examples!$H$9*$A790)*(1-(Examples!$H$12*(1-EXP(-Examples!$H$13*$A790))/(1+EXP(MIN(700,MAX(-700,(Examples!$H$14*$A790-Examples!$H$15)/Examples!$H$16))))))+Examples!$H$17*$A790^2)</f>
        <v>482407.8461902315</v>
      </c>
      <c r="M790" s="33">
        <f>(Examples!$H$6*Examples!$H$7*Examples!$H$8*EXP(-Examples!$H$9*$A790)*(1-(Examples!$H$12*(1-EXP(-Examples!$H$13*$A790))/(1+EXP(MIN(700,MAX(-700,(Examples!$H$14*$A790-Examples!$H$15)/Examples!$H$16))))))+Examples!$H$17*$A790^2)</f>
        <v>623592.1538097685</v>
      </c>
    </row>
    <row r="791" spans="1:13" x14ac:dyDescent="0.25">
      <c r="A791">
        <f>(791-2)/100</f>
        <v>7.89</v>
      </c>
      <c r="B791" s="33">
        <f>Examples!$C$18-(Examples!$C$10+Examples!$C$11)*$A791-(Examples!$C$6*Examples!$C$7*Examples!$C$8*EXP(-Examples!$C$9*$A791)*(1-(Examples!$C$12*(1-EXP(-Examples!$C$13*$A791))/(1+EXP(MIN(700,MAX(-700,(Examples!$C$14*$A791-Examples!$C$15)/Examples!$C$16))))))+Examples!$C$17*$A791^2)</f>
        <v>-666188.4536930446</v>
      </c>
      <c r="C791" s="33">
        <f>(Examples!$C$6*Examples!$C$7*Examples!$C$8*EXP(-Examples!$C$9*$A791)*(1-(Examples!$C$12*(1-EXP(-Examples!$C$13*$A791))/(1+EXP(MIN(700,MAX(-700,(Examples!$C$14*$A791-Examples!$C$15)/Examples!$C$16))))))+Examples!$C$17*$A791^2)</f>
        <v>990038.4536930446</v>
      </c>
      <c r="D791" s="33">
        <f>Examples!$D$18-(Examples!$D$10+Examples!$D$11)*$A791-(Examples!$D$6*Examples!$D$7*Examples!$D$8*EXP(-Examples!$D$9*$A791)*(1-(Examples!$D$12*(1-EXP(-Examples!$D$13*$A791))/(1+EXP(MIN(700,MAX(-700,(Examples!$D$14*$A791-Examples!$D$15)/Examples!$D$16))))))+Examples!$D$17*$A791^2)</f>
        <v>1661938.7584572737</v>
      </c>
      <c r="E791" s="33">
        <f>(Examples!$D$6*Examples!$D$7*Examples!$D$8*EXP(-Examples!$D$9*$A791)*(1-(Examples!$D$12*(1-EXP(-Examples!$D$13*$A791))/(1+EXP(MIN(700,MAX(-700,(Examples!$D$14*$A791-Examples!$D$15)/Examples!$D$16))))))+Examples!$D$17*$A791^2)</f>
        <v>483011.24154272629</v>
      </c>
      <c r="F791" s="33">
        <f>Examples!$E$18-(Examples!$E$10+Examples!$E$11)*$A791-(Examples!$E$6*Examples!$E$7*Examples!$E$8*EXP(-Examples!$E$9*$A791)*(1-(Examples!$E$12*(1-EXP(-Examples!$E$13*$A791))/(1+EXP(MIN(700,MAX(-700,(Examples!$E$14*$A791-Examples!$E$15)/Examples!$E$16))))))+Examples!$E$17*$A791^2)</f>
        <v>2094332.3730469947</v>
      </c>
      <c r="G791" s="33">
        <f>(Examples!$E$6*Examples!$E$7*Examples!$E$8*EXP(-Examples!$E$9*$A791)*(1-(Examples!$E$12*(1-EXP(-Examples!$E$13*$A791))/(1+EXP(MIN(700,MAX(-700,(Examples!$E$14*$A791-Examples!$E$15)/Examples!$E$16))))))+Examples!$E$17*$A791^2)</f>
        <v>235017.62695300535</v>
      </c>
      <c r="H791" s="33">
        <f>Examples!$F$18-(Examples!$F$10+Examples!$F$11)*$A791-(Examples!$F$6*Examples!$F$7*Examples!$F$8*EXP(-Examples!$F$9*$A791)*(1-(Examples!$F$12*(1-EXP(-Examples!$F$13*$A791))/(1+EXP(MIN(700,MAX(-700,(Examples!$F$14*$A791-Examples!$F$15)/Examples!$F$16))))))+Examples!$F$17*$A791^2)</f>
        <v>-1254482.8278169674</v>
      </c>
      <c r="I791" s="33">
        <f>(Examples!$F$6*Examples!$F$7*Examples!$F$8*EXP(-Examples!$F$9*$A791)*(1-(Examples!$F$12*(1-EXP(-Examples!$F$13*$A791))/(1+EXP(MIN(700,MAX(-700,(Examples!$F$14*$A791-Examples!$F$15)/Examples!$F$16))))))+Examples!$F$17*$A791^2)</f>
        <v>1246682.8278169674</v>
      </c>
      <c r="J791" s="33">
        <f>Examples!$G$18-(Examples!$G$10+Examples!$G$11)*$A791-(Examples!$G$6*Examples!$G$7*Examples!$G$8*EXP(-Examples!$G$9*$A791)*(1-(Examples!$G$12*(1-EXP(-Examples!$G$13*$A791))/(1+EXP(MIN(700,MAX(-700,(Examples!$G$14*$A791-Examples!$G$15)/Examples!$G$16))))))+Examples!$G$17*$A791^2)</f>
        <v>481164.3634214747</v>
      </c>
      <c r="K791" s="33">
        <f>(Examples!$G$6*Examples!$G$7*Examples!$G$8*EXP(-Examples!$G$9*$A791)*(1-(Examples!$G$12*(1-EXP(-Examples!$G$13*$A791))/(1+EXP(MIN(700,MAX(-700,(Examples!$G$14*$A791-Examples!$G$15)/Examples!$G$16))))))+Examples!$G$17*$A791^2)</f>
        <v>624335.6365785253</v>
      </c>
      <c r="L791" s="33">
        <f>Examples!$H$18-(Examples!$H$10+Examples!$H$11)*$A791-(Examples!$H$6*Examples!$H$7*Examples!$H$8*EXP(-Examples!$H$9*$A791)*(1-(Examples!$H$12*(1-EXP(-Examples!$H$13*$A791))/(1+EXP(MIN(700,MAX(-700,(Examples!$H$14*$A791-Examples!$H$15)/Examples!$H$16))))))+Examples!$H$17*$A791^2)</f>
        <v>481089.39945394581</v>
      </c>
      <c r="M791" s="33">
        <f>(Examples!$H$6*Examples!$H$7*Examples!$H$8*EXP(-Examples!$H$9*$A791)*(1-(Examples!$H$12*(1-EXP(-Examples!$H$13*$A791))/(1+EXP(MIN(700,MAX(-700,(Examples!$H$14*$A791-Examples!$H$15)/Examples!$H$16))))))+Examples!$H$17*$A791^2)</f>
        <v>624410.60054605419</v>
      </c>
    </row>
    <row r="792" spans="1:13" x14ac:dyDescent="0.25">
      <c r="A792">
        <f>(792-2)/100</f>
        <v>7.9</v>
      </c>
      <c r="B792" s="33">
        <f>Examples!$C$18-(Examples!$C$10+Examples!$C$11)*$A792-(Examples!$C$6*Examples!$C$7*Examples!$C$8*EXP(-Examples!$C$9*$A792)*(1-(Examples!$C$12*(1-EXP(-Examples!$C$13*$A792))/(1+EXP(MIN(700,MAX(-700,(Examples!$C$14*$A792-Examples!$C$15)/Examples!$C$16))))))+Examples!$C$17*$A792^2)</f>
        <v>-668738.4357363194</v>
      </c>
      <c r="C792" s="33">
        <f>(Examples!$C$6*Examples!$C$7*Examples!$C$8*EXP(-Examples!$C$9*$A792)*(1-(Examples!$C$12*(1-EXP(-Examples!$C$13*$A792))/(1+EXP(MIN(700,MAX(-700,(Examples!$C$14*$A792-Examples!$C$15)/Examples!$C$16))))))+Examples!$C$17*$A792^2)</f>
        <v>992238.4357363194</v>
      </c>
      <c r="D792" s="33">
        <f>Examples!$D$18-(Examples!$D$10+Examples!$D$11)*$A792-(Examples!$D$6*Examples!$D$7*Examples!$D$8*EXP(-Examples!$D$9*$A792)*(1-(Examples!$D$12*(1-EXP(-Examples!$D$13*$A792))/(1+EXP(MIN(700,MAX(-700,(Examples!$D$14*$A792-Examples!$D$15)/Examples!$D$16))))))+Examples!$D$17*$A792^2)</f>
        <v>1661463.7165934951</v>
      </c>
      <c r="E792" s="33">
        <f>(Examples!$D$6*Examples!$D$7*Examples!$D$8*EXP(-Examples!$D$9*$A792)*(1-(Examples!$D$12*(1-EXP(-Examples!$D$13*$A792))/(1+EXP(MIN(700,MAX(-700,(Examples!$D$14*$A792-Examples!$D$15)/Examples!$D$16))))))+Examples!$D$17*$A792^2)</f>
        <v>483036.28340650501</v>
      </c>
      <c r="F792" s="33">
        <f>Examples!$E$18-(Examples!$E$10+Examples!$E$11)*$A792-(Examples!$E$6*Examples!$E$7*Examples!$E$8*EXP(-Examples!$E$9*$A792)*(1-(Examples!$E$12*(1-EXP(-Examples!$E$13*$A792))/(1+EXP(MIN(700,MAX(-700,(Examples!$E$14*$A792-Examples!$E$15)/Examples!$E$16))))))+Examples!$E$17*$A792^2)</f>
        <v>2093220.7060700902</v>
      </c>
      <c r="G792" s="33">
        <f>(Examples!$E$6*Examples!$E$7*Examples!$E$8*EXP(-Examples!$E$9*$A792)*(1-(Examples!$E$12*(1-EXP(-Examples!$E$13*$A792))/(1+EXP(MIN(700,MAX(-700,(Examples!$E$14*$A792-Examples!$E$15)/Examples!$E$16))))))+Examples!$E$17*$A792^2)</f>
        <v>235279.29392990971</v>
      </c>
      <c r="H792" s="33">
        <f>Examples!$F$18-(Examples!$F$10+Examples!$F$11)*$A792-(Examples!$F$6*Examples!$F$7*Examples!$F$8*EXP(-Examples!$F$9*$A792)*(1-(Examples!$F$12*(1-EXP(-Examples!$F$13*$A792))/(1+EXP(MIN(700,MAX(-700,(Examples!$F$14*$A792-Examples!$F$15)/Examples!$F$16))))))+Examples!$F$17*$A792^2)</f>
        <v>-1257835.9127098636</v>
      </c>
      <c r="I792" s="33">
        <f>(Examples!$F$6*Examples!$F$7*Examples!$F$8*EXP(-Examples!$F$9*$A792)*(1-(Examples!$F$12*(1-EXP(-Examples!$F$13*$A792))/(1+EXP(MIN(700,MAX(-700,(Examples!$F$14*$A792-Examples!$F$15)/Examples!$F$16))))))+Examples!$F$17*$A792^2)</f>
        <v>1249835.9127098636</v>
      </c>
      <c r="J792" s="33">
        <f>Examples!$G$18-(Examples!$G$10+Examples!$G$11)*$A792-(Examples!$G$6*Examples!$G$7*Examples!$G$8*EXP(-Examples!$G$9*$A792)*(1-(Examples!$G$12*(1-EXP(-Examples!$G$13*$A792))/(1+EXP(MIN(700,MAX(-700,(Examples!$G$14*$A792-Examples!$G$15)/Examples!$G$16))))))+Examples!$G$17*$A792^2)</f>
        <v>479841.52508289425</v>
      </c>
      <c r="K792" s="33">
        <f>(Examples!$G$6*Examples!$G$7*Examples!$G$8*EXP(-Examples!$G$9*$A792)*(1-(Examples!$G$12*(1-EXP(-Examples!$G$13*$A792))/(1+EXP(MIN(700,MAX(-700,(Examples!$G$14*$A792-Examples!$G$15)/Examples!$G$16))))))+Examples!$G$17*$A792^2)</f>
        <v>625158.47491710575</v>
      </c>
      <c r="L792" s="33">
        <f>Examples!$H$18-(Examples!$H$10+Examples!$H$11)*$A792-(Examples!$H$6*Examples!$H$7*Examples!$H$8*EXP(-Examples!$H$9*$A792)*(1-(Examples!$H$12*(1-EXP(-Examples!$H$13*$A792))/(1+EXP(MIN(700,MAX(-700,(Examples!$H$14*$A792-Examples!$H$15)/Examples!$H$16))))))+Examples!$H$17*$A792^2)</f>
        <v>479767.80439599708</v>
      </c>
      <c r="M792" s="33">
        <f>(Examples!$H$6*Examples!$H$7*Examples!$H$8*EXP(-Examples!$H$9*$A792)*(1-(Examples!$H$12*(1-EXP(-Examples!$H$13*$A792))/(1+EXP(MIN(700,MAX(-700,(Examples!$H$14*$A792-Examples!$H$15)/Examples!$H$16))))))+Examples!$H$17*$A792^2)</f>
        <v>625232.19560400292</v>
      </c>
    </row>
    <row r="793" spans="1:13" x14ac:dyDescent="0.25">
      <c r="A793">
        <f>(793-2)/100</f>
        <v>7.91</v>
      </c>
      <c r="B793" s="33">
        <f>Examples!$C$18-(Examples!$C$10+Examples!$C$11)*$A793-(Examples!$C$6*Examples!$C$7*Examples!$C$8*EXP(-Examples!$C$9*$A793)*(1-(Examples!$C$12*(1-EXP(-Examples!$C$13*$A793))/(1+EXP(MIN(700,MAX(-700,(Examples!$C$14*$A793-Examples!$C$15)/Examples!$C$16))))))+Examples!$C$17*$A793^2)</f>
        <v>-671291.9225758547</v>
      </c>
      <c r="C793" s="33">
        <f>(Examples!$C$6*Examples!$C$7*Examples!$C$8*EXP(-Examples!$C$9*$A793)*(1-(Examples!$C$12*(1-EXP(-Examples!$C$13*$A793))/(1+EXP(MIN(700,MAX(-700,(Examples!$C$14*$A793-Examples!$C$15)/Examples!$C$16))))))+Examples!$C$17*$A793^2)</f>
        <v>994441.9225758547</v>
      </c>
      <c r="D793" s="33">
        <f>Examples!$D$18-(Examples!$D$10+Examples!$D$11)*$A793-(Examples!$D$6*Examples!$D$7*Examples!$D$8*EXP(-Examples!$D$9*$A793)*(1-(Examples!$D$12*(1-EXP(-Examples!$D$13*$A793))/(1+EXP(MIN(700,MAX(-700,(Examples!$D$14*$A793-Examples!$D$15)/Examples!$D$16))))))+Examples!$D$17*$A793^2)</f>
        <v>1660984.3593380195</v>
      </c>
      <c r="E793" s="33">
        <f>(Examples!$D$6*Examples!$D$7*Examples!$D$8*EXP(-Examples!$D$9*$A793)*(1-(Examples!$D$12*(1-EXP(-Examples!$D$13*$A793))/(1+EXP(MIN(700,MAX(-700,(Examples!$D$14*$A793-Examples!$D$15)/Examples!$D$16))))))+Examples!$D$17*$A793^2)</f>
        <v>483065.64066198049</v>
      </c>
      <c r="F793" s="33">
        <f>Examples!$E$18-(Examples!$E$10+Examples!$E$11)*$A793-(Examples!$E$6*Examples!$E$7*Examples!$E$8*EXP(-Examples!$E$9*$A793)*(1-(Examples!$E$12*(1-EXP(-Examples!$E$13*$A793))/(1+EXP(MIN(700,MAX(-700,(Examples!$E$14*$A793-Examples!$E$15)/Examples!$E$16))))))+Examples!$E$17*$A793^2)</f>
        <v>2092107.70970893</v>
      </c>
      <c r="G793" s="33">
        <f>(Examples!$E$6*Examples!$E$7*Examples!$E$8*EXP(-Examples!$E$9*$A793)*(1-(Examples!$E$12*(1-EXP(-Examples!$E$13*$A793))/(1+EXP(MIN(700,MAX(-700,(Examples!$E$14*$A793-Examples!$E$15)/Examples!$E$16))))))+Examples!$E$17*$A793^2)</f>
        <v>235542.29029106995</v>
      </c>
      <c r="H793" s="33">
        <f>Examples!$F$18-(Examples!$F$10+Examples!$F$11)*$A793-(Examples!$F$6*Examples!$F$7*Examples!$F$8*EXP(-Examples!$F$9*$A793)*(1-(Examples!$F$12*(1-EXP(-Examples!$F$13*$A793))/(1+EXP(MIN(700,MAX(-700,(Examples!$F$14*$A793-Examples!$F$15)/Examples!$F$16))))))+Examples!$F$17*$A793^2)</f>
        <v>-1261193.0123259854</v>
      </c>
      <c r="I793" s="33">
        <f>(Examples!$F$6*Examples!$F$7*Examples!$F$8*EXP(-Examples!$F$9*$A793)*(1-(Examples!$F$12*(1-EXP(-Examples!$F$13*$A793))/(1+EXP(MIN(700,MAX(-700,(Examples!$F$14*$A793-Examples!$F$15)/Examples!$F$16))))))+Examples!$F$17*$A793^2)</f>
        <v>1252993.0123259854</v>
      </c>
      <c r="J793" s="33">
        <f>Examples!$G$18-(Examples!$G$10+Examples!$G$11)*$A793-(Examples!$G$6*Examples!$G$7*Examples!$G$8*EXP(-Examples!$G$9*$A793)*(1-(Examples!$G$12*(1-EXP(-Examples!$G$13*$A793))/(1+EXP(MIN(700,MAX(-700,(Examples!$G$14*$A793-Examples!$G$15)/Examples!$G$16))))))+Examples!$G$17*$A793^2)</f>
        <v>478515.56440509041</v>
      </c>
      <c r="K793" s="33">
        <f>(Examples!$G$6*Examples!$G$7*Examples!$G$8*EXP(-Examples!$G$9*$A793)*(1-(Examples!$G$12*(1-EXP(-Examples!$G$13*$A793))/(1+EXP(MIN(700,MAX(-700,(Examples!$G$14*$A793-Examples!$G$15)/Examples!$G$16))))))+Examples!$G$17*$A793^2)</f>
        <v>625984.43559490959</v>
      </c>
      <c r="L793" s="33">
        <f>Examples!$H$18-(Examples!$H$10+Examples!$H$11)*$A793-(Examples!$H$6*Examples!$H$7*Examples!$H$8*EXP(-Examples!$H$9*$A793)*(1-(Examples!$H$12*(1-EXP(-Examples!$H$13*$A793))/(1+EXP(MIN(700,MAX(-700,(Examples!$H$14*$A793-Examples!$H$15)/Examples!$H$16))))))+Examples!$H$17*$A793^2)</f>
        <v>478443.06642591336</v>
      </c>
      <c r="M793" s="33">
        <f>(Examples!$H$6*Examples!$H$7*Examples!$H$8*EXP(-Examples!$H$9*$A793)*(1-(Examples!$H$12*(1-EXP(-Examples!$H$13*$A793))/(1+EXP(MIN(700,MAX(-700,(Examples!$H$14*$A793-Examples!$H$15)/Examples!$H$16))))))+Examples!$H$17*$A793^2)</f>
        <v>626056.93357408664</v>
      </c>
    </row>
    <row r="794" spans="1:13" x14ac:dyDescent="0.25">
      <c r="A794">
        <f>(794-2)/100</f>
        <v>7.92</v>
      </c>
      <c r="B794" s="33">
        <f>Examples!$C$18-(Examples!$C$10+Examples!$C$11)*$A794-(Examples!$C$6*Examples!$C$7*Examples!$C$8*EXP(-Examples!$C$9*$A794)*(1-(Examples!$C$12*(1-EXP(-Examples!$C$13*$A794))/(1+EXP(MIN(700,MAX(-700,(Examples!$C$14*$A794-Examples!$C$15)/Examples!$C$16))))))+Examples!$C$17*$A794^2)</f>
        <v>-673848.91269953246</v>
      </c>
      <c r="C794" s="33">
        <f>(Examples!$C$6*Examples!$C$7*Examples!$C$8*EXP(-Examples!$C$9*$A794)*(1-(Examples!$C$12*(1-EXP(-Examples!$C$13*$A794))/(1+EXP(MIN(700,MAX(-700,(Examples!$C$14*$A794-Examples!$C$15)/Examples!$C$16))))))+Examples!$C$17*$A794^2)</f>
        <v>996648.91269953246</v>
      </c>
      <c r="D794" s="33">
        <f>Examples!$D$18-(Examples!$D$10+Examples!$D$11)*$A794-(Examples!$D$6*Examples!$D$7*Examples!$D$8*EXP(-Examples!$D$9*$A794)*(1-(Examples!$D$12*(1-EXP(-Examples!$D$13*$A794))/(1+EXP(MIN(700,MAX(-700,(Examples!$D$14*$A794-Examples!$D$15)/Examples!$D$16))))))+Examples!$D$17*$A794^2)</f>
        <v>1660500.699542552</v>
      </c>
      <c r="E794" s="33">
        <f>(Examples!$D$6*Examples!$D$7*Examples!$D$8*EXP(-Examples!$D$9*$A794)*(1-(Examples!$D$12*(1-EXP(-Examples!$D$13*$A794))/(1+EXP(MIN(700,MAX(-700,(Examples!$D$14*$A794-Examples!$D$15)/Examples!$D$16))))))+Examples!$D$17*$A794^2)</f>
        <v>483099.300457448</v>
      </c>
      <c r="F794" s="33">
        <f>Examples!$E$18-(Examples!$E$10+Examples!$E$11)*$A794-(Examples!$E$6*Examples!$E$7*Examples!$E$8*EXP(-Examples!$E$9*$A794)*(1-(Examples!$E$12*(1-EXP(-Examples!$E$13*$A794))/(1+EXP(MIN(700,MAX(-700,(Examples!$E$14*$A794-Examples!$E$15)/Examples!$E$16))))))+Examples!$E$17*$A794^2)</f>
        <v>2090993.3841496648</v>
      </c>
      <c r="G794" s="33">
        <f>(Examples!$E$6*Examples!$E$7*Examples!$E$8*EXP(-Examples!$E$9*$A794)*(1-(Examples!$E$12*(1-EXP(-Examples!$E$13*$A794))/(1+EXP(MIN(700,MAX(-700,(Examples!$E$14*$A794-Examples!$E$15)/Examples!$E$16))))))+Examples!$E$17*$A794^2)</f>
        <v>235806.61585033528</v>
      </c>
      <c r="H794" s="33">
        <f>Examples!$F$18-(Examples!$F$10+Examples!$F$11)*$A794-(Examples!$F$6*Examples!$F$7*Examples!$F$8*EXP(-Examples!$F$9*$A794)*(1-(Examples!$F$12*(1-EXP(-Examples!$F$13*$A794))/(1+EXP(MIN(700,MAX(-700,(Examples!$F$14*$A794-Examples!$F$15)/Examples!$F$16))))))+Examples!$F$17*$A794^2)</f>
        <v>-1264554.1266212289</v>
      </c>
      <c r="I794" s="33">
        <f>(Examples!$F$6*Examples!$F$7*Examples!$F$8*EXP(-Examples!$F$9*$A794)*(1-(Examples!$F$12*(1-EXP(-Examples!$F$13*$A794))/(1+EXP(MIN(700,MAX(-700,(Examples!$F$14*$A794-Examples!$F$15)/Examples!$F$16))))))+Examples!$F$17*$A794^2)</f>
        <v>1256154.1266212289</v>
      </c>
      <c r="J794" s="33">
        <f>Examples!$G$18-(Examples!$G$10+Examples!$G$11)*$A794-(Examples!$G$6*Examples!$G$7*Examples!$G$8*EXP(-Examples!$G$9*$A794)*(1-(Examples!$G$12*(1-EXP(-Examples!$G$13*$A794))/(1+EXP(MIN(700,MAX(-700,(Examples!$G$14*$A794-Examples!$G$15)/Examples!$G$16))))))+Examples!$G$17*$A794^2)</f>
        <v>477186.48643937905</v>
      </c>
      <c r="K794" s="33">
        <f>(Examples!$G$6*Examples!$G$7*Examples!$G$8*EXP(-Examples!$G$9*$A794)*(1-(Examples!$G$12*(1-EXP(-Examples!$G$13*$A794))/(1+EXP(MIN(700,MAX(-700,(Examples!$G$14*$A794-Examples!$G$15)/Examples!$G$16))))))+Examples!$G$17*$A794^2)</f>
        <v>626813.51356062095</v>
      </c>
      <c r="L794" s="33">
        <f>Examples!$H$18-(Examples!$H$10+Examples!$H$11)*$A794-(Examples!$H$6*Examples!$H$7*Examples!$H$8*EXP(-Examples!$H$9*$A794)*(1-(Examples!$H$12*(1-EXP(-Examples!$H$13*$A794))/(1+EXP(MIN(700,MAX(-700,(Examples!$H$14*$A794-Examples!$H$15)/Examples!$H$16))))))+Examples!$H$17*$A794^2)</f>
        <v>477115.19093432662</v>
      </c>
      <c r="M794" s="33">
        <f>(Examples!$H$6*Examples!$H$7*Examples!$H$8*EXP(-Examples!$H$9*$A794)*(1-(Examples!$H$12*(1-EXP(-Examples!$H$13*$A794))/(1+EXP(MIN(700,MAX(-700,(Examples!$H$14*$A794-Examples!$H$15)/Examples!$H$16))))))+Examples!$H$17*$A794^2)</f>
        <v>626884.80906567338</v>
      </c>
    </row>
    <row r="795" spans="1:13" x14ac:dyDescent="0.25">
      <c r="A795">
        <f>(795-2)/100</f>
        <v>7.93</v>
      </c>
      <c r="B795" s="33">
        <f>Examples!$C$18-(Examples!$C$10+Examples!$C$11)*$A795-(Examples!$C$6*Examples!$C$7*Examples!$C$8*EXP(-Examples!$C$9*$A795)*(1-(Examples!$C$12*(1-EXP(-Examples!$C$13*$A795))/(1+EXP(MIN(700,MAX(-700,(Examples!$C$14*$A795-Examples!$C$15)/Examples!$C$16))))))+Examples!$C$17*$A795^2)</f>
        <v>-676409.40459976392</v>
      </c>
      <c r="C795" s="33">
        <f>(Examples!$C$6*Examples!$C$7*Examples!$C$8*EXP(-Examples!$C$9*$A795)*(1-(Examples!$C$12*(1-EXP(-Examples!$C$13*$A795))/(1+EXP(MIN(700,MAX(-700,(Examples!$C$14*$A795-Examples!$C$15)/Examples!$C$16))))))+Examples!$C$17*$A795^2)</f>
        <v>998859.40459976392</v>
      </c>
      <c r="D795" s="33">
        <f>Examples!$D$18-(Examples!$D$10+Examples!$D$11)*$A795-(Examples!$D$6*Examples!$D$7*Examples!$D$8*EXP(-Examples!$D$9*$A795)*(1-(Examples!$D$12*(1-EXP(-Examples!$D$13*$A795))/(1+EXP(MIN(700,MAX(-700,(Examples!$D$14*$A795-Examples!$D$15)/Examples!$D$16))))))+Examples!$D$17*$A795^2)</f>
        <v>1660012.7500361288</v>
      </c>
      <c r="E795" s="33">
        <f>(Examples!$D$6*Examples!$D$7*Examples!$D$8*EXP(-Examples!$D$9*$A795)*(1-(Examples!$D$12*(1-EXP(-Examples!$D$13*$A795))/(1+EXP(MIN(700,MAX(-700,(Examples!$D$14*$A795-Examples!$D$15)/Examples!$D$16))))))+Examples!$D$17*$A795^2)</f>
        <v>483137.24996387132</v>
      </c>
      <c r="F795" s="33">
        <f>Examples!$E$18-(Examples!$E$10+Examples!$E$11)*$A795-(Examples!$E$6*Examples!$E$7*Examples!$E$8*EXP(-Examples!$E$9*$A795)*(1-(Examples!$E$12*(1-EXP(-Examples!$E$13*$A795))/(1+EXP(MIN(700,MAX(-700,(Examples!$E$14*$A795-Examples!$E$15)/Examples!$E$16))))))+Examples!$E$17*$A795^2)</f>
        <v>2089877.7296080654</v>
      </c>
      <c r="G795" s="33">
        <f>(Examples!$E$6*Examples!$E$7*Examples!$E$8*EXP(-Examples!$E$9*$A795)*(1-(Examples!$E$12*(1-EXP(-Examples!$E$13*$A795))/(1+EXP(MIN(700,MAX(-700,(Examples!$E$14*$A795-Examples!$E$15)/Examples!$E$16))))))+Examples!$E$17*$A795^2)</f>
        <v>236072.27039193446</v>
      </c>
      <c r="H795" s="33">
        <f>Examples!$F$18-(Examples!$F$10+Examples!$F$11)*$A795-(Examples!$F$6*Examples!$F$7*Examples!$F$8*EXP(-Examples!$F$9*$A795)*(1-(Examples!$F$12*(1-EXP(-Examples!$F$13*$A795))/(1+EXP(MIN(700,MAX(-700,(Examples!$F$14*$A795-Examples!$F$15)/Examples!$F$16))))))+Examples!$F$17*$A795^2)</f>
        <v>-1267919.2555516229</v>
      </c>
      <c r="I795" s="33">
        <f>(Examples!$F$6*Examples!$F$7*Examples!$F$8*EXP(-Examples!$F$9*$A795)*(1-(Examples!$F$12*(1-EXP(-Examples!$F$13*$A795))/(1+EXP(MIN(700,MAX(-700,(Examples!$F$14*$A795-Examples!$F$15)/Examples!$F$16))))))+Examples!$F$17*$A795^2)</f>
        <v>1259319.2555516229</v>
      </c>
      <c r="J795" s="33">
        <f>Examples!$G$18-(Examples!$G$10+Examples!$G$11)*$A795-(Examples!$G$6*Examples!$G$7*Examples!$G$8*EXP(-Examples!$G$9*$A795)*(1-(Examples!$G$12*(1-EXP(-Examples!$G$13*$A795))/(1+EXP(MIN(700,MAX(-700,(Examples!$G$14*$A795-Examples!$G$15)/Examples!$G$16))))))+Examples!$G$17*$A795^2)</f>
        <v>475854.296223816</v>
      </c>
      <c r="K795" s="33">
        <f>(Examples!$G$6*Examples!$G$7*Examples!$G$8*EXP(-Examples!$G$9*$A795)*(1-(Examples!$G$12*(1-EXP(-Examples!$G$13*$A795))/(1+EXP(MIN(700,MAX(-700,(Examples!$G$14*$A795-Examples!$G$15)/Examples!$G$16))))))+Examples!$G$17*$A795^2)</f>
        <v>627645.703776184</v>
      </c>
      <c r="L795" s="33">
        <f>Examples!$H$18-(Examples!$H$10+Examples!$H$11)*$A795-(Examples!$H$6*Examples!$H$7*Examples!$H$8*EXP(-Examples!$H$9*$A795)*(1-(Examples!$H$12*(1-EXP(-Examples!$H$13*$A795))/(1+EXP(MIN(700,MAX(-700,(Examples!$H$14*$A795-Examples!$H$15)/Examples!$H$16))))))+Examples!$H$17*$A795^2)</f>
        <v>475784.1832930391</v>
      </c>
      <c r="M795" s="33">
        <f>(Examples!$H$6*Examples!$H$7*Examples!$H$8*EXP(-Examples!$H$9*$A795)*(1-(Examples!$H$12*(1-EXP(-Examples!$H$13*$A795))/(1+EXP(MIN(700,MAX(-700,(Examples!$H$14*$A795-Examples!$H$15)/Examples!$H$16))))))+Examples!$H$17*$A795^2)</f>
        <v>627715.8167069609</v>
      </c>
    </row>
    <row r="796" spans="1:13" x14ac:dyDescent="0.25">
      <c r="A796">
        <f>(796-2)/100</f>
        <v>7.94</v>
      </c>
      <c r="B796" s="33">
        <f>Examples!$C$18-(Examples!$C$10+Examples!$C$11)*$A796-(Examples!$C$6*Examples!$C$7*Examples!$C$8*EXP(-Examples!$C$9*$A796)*(1-(Examples!$C$12*(1-EXP(-Examples!$C$13*$A796))/(1+EXP(MIN(700,MAX(-700,(Examples!$C$14*$A796-Examples!$C$15)/Examples!$C$16))))))+Examples!$C$17*$A796^2)</f>
        <v>-678973.39677347674</v>
      </c>
      <c r="C796" s="33">
        <f>(Examples!$C$6*Examples!$C$7*Examples!$C$8*EXP(-Examples!$C$9*$A796)*(1-(Examples!$C$12*(1-EXP(-Examples!$C$13*$A796))/(1+EXP(MIN(700,MAX(-700,(Examples!$C$14*$A796-Examples!$C$15)/Examples!$C$16))))))+Examples!$C$17*$A796^2)</f>
        <v>1001073.3967734767</v>
      </c>
      <c r="D796" s="33">
        <f>Examples!$D$18-(Examples!$D$10+Examples!$D$11)*$A796-(Examples!$D$6*Examples!$D$7*Examples!$D$8*EXP(-Examples!$D$9*$A796)*(1-(Examples!$D$12*(1-EXP(-Examples!$D$13*$A796))/(1+EXP(MIN(700,MAX(-700,(Examples!$D$14*$A796-Examples!$D$15)/Examples!$D$16))))))+Examples!$D$17*$A796^2)</f>
        <v>1659520.5236246258</v>
      </c>
      <c r="E796" s="33">
        <f>(Examples!$D$6*Examples!$D$7*Examples!$D$8*EXP(-Examples!$D$9*$A796)*(1-(Examples!$D$12*(1-EXP(-Examples!$D$13*$A796))/(1+EXP(MIN(700,MAX(-700,(Examples!$D$14*$A796-Examples!$D$15)/Examples!$D$16))))))+Examples!$D$17*$A796^2)</f>
        <v>483179.4763753743</v>
      </c>
      <c r="F796" s="33">
        <f>Examples!$E$18-(Examples!$E$10+Examples!$E$11)*$A796-(Examples!$E$6*Examples!$E$7*Examples!$E$8*EXP(-Examples!$E$9*$A796)*(1-(Examples!$E$12*(1-EXP(-Examples!$E$13*$A796))/(1+EXP(MIN(700,MAX(-700,(Examples!$E$14*$A796-Examples!$E$15)/Examples!$E$16))))))+Examples!$E$17*$A796^2)</f>
        <v>2088760.7463292161</v>
      </c>
      <c r="G796" s="33">
        <f>(Examples!$E$6*Examples!$E$7*Examples!$E$8*EXP(-Examples!$E$9*$A796)*(1-(Examples!$E$12*(1-EXP(-Examples!$E$13*$A796))/(1+EXP(MIN(700,MAX(-700,(Examples!$E$14*$A796-Examples!$E$15)/Examples!$E$16))))))+Examples!$E$17*$A796^2)</f>
        <v>236339.253670784</v>
      </c>
      <c r="H796" s="33">
        <f>Examples!$F$18-(Examples!$F$10+Examples!$F$11)*$A796-(Examples!$F$6*Examples!$F$7*Examples!$F$8*EXP(-Examples!$F$9*$A796)*(1-(Examples!$F$12*(1-EXP(-Examples!$F$13*$A796))/(1+EXP(MIN(700,MAX(-700,(Examples!$F$14*$A796-Examples!$F$15)/Examples!$F$16))))))+Examples!$F$17*$A796^2)</f>
        <v>-1271288.3990733279</v>
      </c>
      <c r="I796" s="33">
        <f>(Examples!$F$6*Examples!$F$7*Examples!$F$8*EXP(-Examples!$F$9*$A796)*(1-(Examples!$F$12*(1-EXP(-Examples!$F$13*$A796))/(1+EXP(MIN(700,MAX(-700,(Examples!$F$14*$A796-Examples!$F$15)/Examples!$F$16))))))+Examples!$F$17*$A796^2)</f>
        <v>1262488.3990733279</v>
      </c>
      <c r="J796" s="33">
        <f>Examples!$G$18-(Examples!$G$10+Examples!$G$11)*$A796-(Examples!$G$6*Examples!$G$7*Examples!$G$8*EXP(-Examples!$G$9*$A796)*(1-(Examples!$G$12*(1-EXP(-Examples!$G$13*$A796))/(1+EXP(MIN(700,MAX(-700,(Examples!$G$14*$A796-Examples!$G$15)/Examples!$G$16))))))+Examples!$G$17*$A796^2)</f>
        <v>474518.99878317118</v>
      </c>
      <c r="K796" s="33">
        <f>(Examples!$G$6*Examples!$G$7*Examples!$G$8*EXP(-Examples!$G$9*$A796)*(1-(Examples!$G$12*(1-EXP(-Examples!$G$13*$A796))/(1+EXP(MIN(700,MAX(-700,(Examples!$G$14*$A796-Examples!$G$15)/Examples!$G$16))))))+Examples!$G$17*$A796^2)</f>
        <v>628481.00121682882</v>
      </c>
      <c r="L796" s="33">
        <f>Examples!$H$18-(Examples!$H$10+Examples!$H$11)*$A796-(Examples!$H$6*Examples!$H$7*Examples!$H$8*EXP(-Examples!$H$9*$A796)*(1-(Examples!$H$12*(1-EXP(-Examples!$H$13*$A796))/(1+EXP(MIN(700,MAX(-700,(Examples!$H$14*$A796-Examples!$H$15)/Examples!$H$16))))))+Examples!$H$17*$A796^2)</f>
        <v>474450.04885508807</v>
      </c>
      <c r="M796" s="33">
        <f>(Examples!$H$6*Examples!$H$7*Examples!$H$8*EXP(-Examples!$H$9*$A796)*(1-(Examples!$H$12*(1-EXP(-Examples!$H$13*$A796))/(1+EXP(MIN(700,MAX(-700,(Examples!$H$14*$A796-Examples!$H$15)/Examples!$H$16))))))+Examples!$H$17*$A796^2)</f>
        <v>628549.95114491193</v>
      </c>
    </row>
    <row r="797" spans="1:13" x14ac:dyDescent="0.25">
      <c r="A797">
        <f>(797-2)/100</f>
        <v>7.95</v>
      </c>
      <c r="B797" s="33">
        <f>Examples!$C$18-(Examples!$C$10+Examples!$C$11)*$A797-(Examples!$C$6*Examples!$C$7*Examples!$C$8*EXP(-Examples!$C$9*$A797)*(1-(Examples!$C$12*(1-EXP(-Examples!$C$13*$A797))/(1+EXP(MIN(700,MAX(-700,(Examples!$C$14*$A797-Examples!$C$15)/Examples!$C$16))))))+Examples!$C$17*$A797^2)</f>
        <v>-681540.88772210001</v>
      </c>
      <c r="C797" s="33">
        <f>(Examples!$C$6*Examples!$C$7*Examples!$C$8*EXP(-Examples!$C$9*$A797)*(1-(Examples!$C$12*(1-EXP(-Examples!$C$13*$A797))/(1+EXP(MIN(700,MAX(-700,(Examples!$C$14*$A797-Examples!$C$15)/Examples!$C$16))))))+Examples!$C$17*$A797^2)</f>
        <v>1003290.8877221</v>
      </c>
      <c r="D797" s="33">
        <f>Examples!$D$18-(Examples!$D$10+Examples!$D$11)*$A797-(Examples!$D$6*Examples!$D$7*Examples!$D$8*EXP(-Examples!$D$9*$A797)*(1-(Examples!$D$12*(1-EXP(-Examples!$D$13*$A797))/(1+EXP(MIN(700,MAX(-700,(Examples!$D$14*$A797-Examples!$D$15)/Examples!$D$16))))))+Examples!$D$17*$A797^2)</f>
        <v>1659024.033090279</v>
      </c>
      <c r="E797" s="33">
        <f>(Examples!$D$6*Examples!$D$7*Examples!$D$8*EXP(-Examples!$D$9*$A797)*(1-(Examples!$D$12*(1-EXP(-Examples!$D$13*$A797))/(1+EXP(MIN(700,MAX(-700,(Examples!$D$14*$A797-Examples!$D$15)/Examples!$D$16))))))+Examples!$D$17*$A797^2)</f>
        <v>483225.96690972103</v>
      </c>
      <c r="F797" s="33">
        <f>Examples!$E$18-(Examples!$E$10+Examples!$E$11)*$A797-(Examples!$E$6*Examples!$E$7*Examples!$E$8*EXP(-Examples!$E$9*$A797)*(1-(Examples!$E$12*(1-EXP(-Examples!$E$13*$A797))/(1+EXP(MIN(700,MAX(-700,(Examples!$E$14*$A797-Examples!$E$15)/Examples!$E$16))))))+Examples!$E$17*$A797^2)</f>
        <v>2087642.4345872037</v>
      </c>
      <c r="G797" s="33">
        <f>(Examples!$E$6*Examples!$E$7*Examples!$E$8*EXP(-Examples!$E$9*$A797)*(1-(Examples!$E$12*(1-EXP(-Examples!$E$13*$A797))/(1+EXP(MIN(700,MAX(-700,(Examples!$E$14*$A797-Examples!$E$15)/Examples!$E$16))))))+Examples!$E$17*$A797^2)</f>
        <v>236607.56541279628</v>
      </c>
      <c r="H797" s="33">
        <f>Examples!$F$18-(Examples!$F$10+Examples!$F$11)*$A797-(Examples!$F$6*Examples!$F$7*Examples!$F$8*EXP(-Examples!$F$9*$A797)*(1-(Examples!$F$12*(1-EXP(-Examples!$F$13*$A797))/(1+EXP(MIN(700,MAX(-700,(Examples!$F$14*$A797-Examples!$F$15)/Examples!$F$16))))))+Examples!$F$17*$A797^2)</f>
        <v>-1274661.5571426356</v>
      </c>
      <c r="I797" s="33">
        <f>(Examples!$F$6*Examples!$F$7*Examples!$F$8*EXP(-Examples!$F$9*$A797)*(1-(Examples!$F$12*(1-EXP(-Examples!$F$13*$A797))/(1+EXP(MIN(700,MAX(-700,(Examples!$F$14*$A797-Examples!$F$15)/Examples!$F$16))))))+Examples!$F$17*$A797^2)</f>
        <v>1265661.5571426356</v>
      </c>
      <c r="J797" s="33">
        <f>Examples!$G$18-(Examples!$G$10+Examples!$G$11)*$A797-(Examples!$G$6*Examples!$G$7*Examples!$G$8*EXP(-Examples!$G$9*$A797)*(1-(Examples!$G$12*(1-EXP(-Examples!$G$13*$A797))/(1+EXP(MIN(700,MAX(-700,(Examples!$G$14*$A797-Examples!$G$15)/Examples!$G$16))))))+Examples!$G$17*$A797^2)</f>
        <v>473180.59912890545</v>
      </c>
      <c r="K797" s="33">
        <f>(Examples!$G$6*Examples!$G$7*Examples!$G$8*EXP(-Examples!$G$9*$A797)*(1-(Examples!$G$12*(1-EXP(-Examples!$G$13*$A797))/(1+EXP(MIN(700,MAX(-700,(Examples!$G$14*$A797-Examples!$G$15)/Examples!$G$16))))))+Examples!$G$17*$A797^2)</f>
        <v>629319.40087109455</v>
      </c>
      <c r="L797" s="33">
        <f>Examples!$H$18-(Examples!$H$10+Examples!$H$11)*$A797-(Examples!$H$6*Examples!$H$7*Examples!$H$8*EXP(-Examples!$H$9*$A797)*(1-(Examples!$H$12*(1-EXP(-Examples!$H$13*$A797))/(1+EXP(MIN(700,MAX(-700,(Examples!$H$14*$A797-Examples!$H$15)/Examples!$H$16))))))+Examples!$H$17*$A797^2)</f>
        <v>473112.79295481252</v>
      </c>
      <c r="M797" s="33">
        <f>(Examples!$H$6*Examples!$H$7*Examples!$H$8*EXP(-Examples!$H$9*$A797)*(1-(Examples!$H$12*(1-EXP(-Examples!$H$13*$A797))/(1+EXP(MIN(700,MAX(-700,(Examples!$H$14*$A797-Examples!$H$15)/Examples!$H$16))))))+Examples!$H$17*$A797^2)</f>
        <v>629387.20704518748</v>
      </c>
    </row>
    <row r="798" spans="1:13" x14ac:dyDescent="0.25">
      <c r="A798">
        <f>(798-2)/100</f>
        <v>7.96</v>
      </c>
      <c r="B798" s="33">
        <f>Examples!$C$18-(Examples!$C$10+Examples!$C$11)*$A798-(Examples!$C$6*Examples!$C$7*Examples!$C$8*EXP(-Examples!$C$9*$A798)*(1-(Examples!$C$12*(1-EXP(-Examples!$C$13*$A798))/(1+EXP(MIN(700,MAX(-700,(Examples!$C$14*$A798-Examples!$C$15)/Examples!$C$16))))))+Examples!$C$17*$A798^2)</f>
        <v>-684111.87595155276</v>
      </c>
      <c r="C798" s="33">
        <f>(Examples!$C$6*Examples!$C$7*Examples!$C$8*EXP(-Examples!$C$9*$A798)*(1-(Examples!$C$12*(1-EXP(-Examples!$C$13*$A798))/(1+EXP(MIN(700,MAX(-700,(Examples!$C$14*$A798-Examples!$C$15)/Examples!$C$16))))))+Examples!$C$17*$A798^2)</f>
        <v>1005511.8759515528</v>
      </c>
      <c r="D798" s="33">
        <f>Examples!$D$18-(Examples!$D$10+Examples!$D$11)*$A798-(Examples!$D$6*Examples!$D$7*Examples!$D$8*EXP(-Examples!$D$9*$A798)*(1-(Examples!$D$12*(1-EXP(-Examples!$D$13*$A798))/(1+EXP(MIN(700,MAX(-700,(Examples!$D$14*$A798-Examples!$D$15)/Examples!$D$16))))))+Examples!$D$17*$A798^2)</f>
        <v>1658523.2911912175</v>
      </c>
      <c r="E798" s="33">
        <f>(Examples!$D$6*Examples!$D$7*Examples!$D$8*EXP(-Examples!$D$9*$A798)*(1-(Examples!$D$12*(1-EXP(-Examples!$D$13*$A798))/(1+EXP(MIN(700,MAX(-700,(Examples!$D$14*$A798-Examples!$D$15)/Examples!$D$16))))))+Examples!$D$17*$A798^2)</f>
        <v>483276.70880878263</v>
      </c>
      <c r="F798" s="33">
        <f>Examples!$E$18-(Examples!$E$10+Examples!$E$11)*$A798-(Examples!$E$6*Examples!$E$7*Examples!$E$8*EXP(-Examples!$E$9*$A798)*(1-(Examples!$E$12*(1-EXP(-Examples!$E$13*$A798))/(1+EXP(MIN(700,MAX(-700,(Examples!$E$14*$A798-Examples!$E$15)/Examples!$E$16))))))+Examples!$E$17*$A798^2)</f>
        <v>2086522.7946848122</v>
      </c>
      <c r="G798" s="33">
        <f>(Examples!$E$6*Examples!$E$7*Examples!$E$8*EXP(-Examples!$E$9*$A798)*(1-(Examples!$E$12*(1-EXP(-Examples!$E$13*$A798))/(1+EXP(MIN(700,MAX(-700,(Examples!$E$14*$A798-Examples!$E$15)/Examples!$E$16))))))+Examples!$E$17*$A798^2)</f>
        <v>236877.20531518786</v>
      </c>
      <c r="H798" s="33">
        <f>Examples!$F$18-(Examples!$F$10+Examples!$F$11)*$A798-(Examples!$F$6*Examples!$F$7*Examples!$F$8*EXP(-Examples!$F$9*$A798)*(1-(Examples!$F$12*(1-EXP(-Examples!$F$13*$A798))/(1+EXP(MIN(700,MAX(-700,(Examples!$F$14*$A798-Examples!$F$15)/Examples!$F$16))))))+Examples!$F$17*$A798^2)</f>
        <v>-1278038.7297159682</v>
      </c>
      <c r="I798" s="33">
        <f>(Examples!$F$6*Examples!$F$7*Examples!$F$8*EXP(-Examples!$F$9*$A798)*(1-(Examples!$F$12*(1-EXP(-Examples!$F$13*$A798))/(1+EXP(MIN(700,MAX(-700,(Examples!$F$14*$A798-Examples!$F$15)/Examples!$F$16))))))+Examples!$F$17*$A798^2)</f>
        <v>1268838.7297159682</v>
      </c>
      <c r="J798" s="33">
        <f>Examples!$G$18-(Examples!$G$10+Examples!$G$11)*$A798-(Examples!$G$6*Examples!$G$7*Examples!$G$8*EXP(-Examples!$G$9*$A798)*(1-(Examples!$G$12*(1-EXP(-Examples!$G$13*$A798))/(1+EXP(MIN(700,MAX(-700,(Examples!$G$14*$A798-Examples!$G$15)/Examples!$G$16))))))+Examples!$G$17*$A798^2)</f>
        <v>471839.10225914721</v>
      </c>
      <c r="K798" s="33">
        <f>(Examples!$G$6*Examples!$G$7*Examples!$G$8*EXP(-Examples!$G$9*$A798)*(1-(Examples!$G$12*(1-EXP(-Examples!$G$13*$A798))/(1+EXP(MIN(700,MAX(-700,(Examples!$G$14*$A798-Examples!$G$15)/Examples!$G$16))))))+Examples!$G$17*$A798^2)</f>
        <v>630160.89774085279</v>
      </c>
      <c r="L798" s="33">
        <f>Examples!$H$18-(Examples!$H$10+Examples!$H$11)*$A798-(Examples!$H$6*Examples!$H$7*Examples!$H$8*EXP(-Examples!$H$9*$A798)*(1-(Examples!$H$12*(1-EXP(-Examples!$H$13*$A798))/(1+EXP(MIN(700,MAX(-700,(Examples!$H$14*$A798-Examples!$H$15)/Examples!$H$16))))))+Examples!$H$17*$A798^2)</f>
        <v>471772.4209079172</v>
      </c>
      <c r="M798" s="33">
        <f>(Examples!$H$6*Examples!$H$7*Examples!$H$8*EXP(-Examples!$H$9*$A798)*(1-(Examples!$H$12*(1-EXP(-Examples!$H$13*$A798))/(1+EXP(MIN(700,MAX(-700,(Examples!$H$14*$A798-Examples!$H$15)/Examples!$H$16))))))+Examples!$H$17*$A798^2)</f>
        <v>630227.5790920828</v>
      </c>
    </row>
    <row r="799" spans="1:13" x14ac:dyDescent="0.25">
      <c r="A799">
        <f>(799-2)/100</f>
        <v>7.97</v>
      </c>
      <c r="B799" s="33">
        <f>Examples!$C$18-(Examples!$C$10+Examples!$C$11)*$A799-(Examples!$C$6*Examples!$C$7*Examples!$C$8*EXP(-Examples!$C$9*$A799)*(1-(Examples!$C$12*(1-EXP(-Examples!$C$13*$A799))/(1+EXP(MIN(700,MAX(-700,(Examples!$C$14*$A799-Examples!$C$15)/Examples!$C$16))))))+Examples!$C$17*$A799^2)</f>
        <v>-686686.35997222911</v>
      </c>
      <c r="C799" s="33">
        <f>(Examples!$C$6*Examples!$C$7*Examples!$C$8*EXP(-Examples!$C$9*$A799)*(1-(Examples!$C$12*(1-EXP(-Examples!$C$13*$A799))/(1+EXP(MIN(700,MAX(-700,(Examples!$C$14*$A799-Examples!$C$15)/Examples!$C$16))))))+Examples!$C$17*$A799^2)</f>
        <v>1007736.3599722291</v>
      </c>
      <c r="D799" s="33">
        <f>Examples!$D$18-(Examples!$D$10+Examples!$D$11)*$A799-(Examples!$D$6*Examples!$D$7*Examples!$D$8*EXP(-Examples!$D$9*$A799)*(1-(Examples!$D$12*(1-EXP(-Examples!$D$13*$A799))/(1+EXP(MIN(700,MAX(-700,(Examples!$D$14*$A799-Examples!$D$15)/Examples!$D$16))))))+Examples!$D$17*$A799^2)</f>
        <v>1658018.3106610053</v>
      </c>
      <c r="E799" s="33">
        <f>(Examples!$D$6*Examples!$D$7*Examples!$D$8*EXP(-Examples!$D$9*$A799)*(1-(Examples!$D$12*(1-EXP(-Examples!$D$13*$A799))/(1+EXP(MIN(700,MAX(-700,(Examples!$D$14*$A799-Examples!$D$15)/Examples!$D$16))))))+Examples!$D$17*$A799^2)</f>
        <v>483331.68933899456</v>
      </c>
      <c r="F799" s="33">
        <f>Examples!$E$18-(Examples!$E$10+Examples!$E$11)*$A799-(Examples!$E$6*Examples!$E$7*Examples!$E$8*EXP(-Examples!$E$9*$A799)*(1-(Examples!$E$12*(1-EXP(-Examples!$E$13*$A799))/(1+EXP(MIN(700,MAX(-700,(Examples!$E$14*$A799-Examples!$E$15)/Examples!$E$16))))))+Examples!$E$17*$A799^2)</f>
        <v>2085401.8269532132</v>
      </c>
      <c r="G799" s="33">
        <f>(Examples!$E$6*Examples!$E$7*Examples!$E$8*EXP(-Examples!$E$9*$A799)*(1-(Examples!$E$12*(1-EXP(-Examples!$E$13*$A799))/(1+EXP(MIN(700,MAX(-700,(Examples!$E$14*$A799-Examples!$E$15)/Examples!$E$16))))))+Examples!$E$17*$A799^2)</f>
        <v>237148.17304678686</v>
      </c>
      <c r="H799" s="33">
        <f>Examples!$F$18-(Examples!$F$10+Examples!$F$11)*$A799-(Examples!$F$6*Examples!$F$7*Examples!$F$8*EXP(-Examples!$F$9*$A799)*(1-(Examples!$F$12*(1-EXP(-Examples!$F$13*$A799))/(1+EXP(MIN(700,MAX(-700,(Examples!$F$14*$A799-Examples!$F$15)/Examples!$F$16))))))+Examples!$F$17*$A799^2)</f>
        <v>-1281419.9167498793</v>
      </c>
      <c r="I799" s="33">
        <f>(Examples!$F$6*Examples!$F$7*Examples!$F$8*EXP(-Examples!$F$9*$A799)*(1-(Examples!$F$12*(1-EXP(-Examples!$F$13*$A799))/(1+EXP(MIN(700,MAX(-700,(Examples!$F$14*$A799-Examples!$F$15)/Examples!$F$16))))))+Examples!$F$17*$A799^2)</f>
        <v>1272019.9167498793</v>
      </c>
      <c r="J799" s="33">
        <f>Examples!$G$18-(Examples!$G$10+Examples!$G$11)*$A799-(Examples!$G$6*Examples!$G$7*Examples!$G$8*EXP(-Examples!$G$9*$A799)*(1-(Examples!$G$12*(1-EXP(-Examples!$G$13*$A799))/(1+EXP(MIN(700,MAX(-700,(Examples!$G$14*$A799-Examples!$G$15)/Examples!$G$16))))))+Examples!$G$17*$A799^2)</f>
        <v>470494.51315867156</v>
      </c>
      <c r="K799" s="33">
        <f>(Examples!$G$6*Examples!$G$7*Examples!$G$8*EXP(-Examples!$G$9*$A799)*(1-(Examples!$G$12*(1-EXP(-Examples!$G$13*$A799))/(1+EXP(MIN(700,MAX(-700,(Examples!$G$14*$A799-Examples!$G$15)/Examples!$G$16))))))+Examples!$G$17*$A799^2)</f>
        <v>631005.48684132844</v>
      </c>
      <c r="L799" s="33">
        <f>Examples!$H$18-(Examples!$H$10+Examples!$H$11)*$A799-(Examples!$H$6*Examples!$H$7*Examples!$H$8*EXP(-Examples!$H$9*$A799)*(1-(Examples!$H$12*(1-EXP(-Examples!$H$13*$A799))/(1+EXP(MIN(700,MAX(-700,(Examples!$H$14*$A799-Examples!$H$15)/Examples!$H$16))))))+Examples!$H$17*$A799^2)</f>
        <v>470428.93801153835</v>
      </c>
      <c r="M799" s="33">
        <f>(Examples!$H$6*Examples!$H$7*Examples!$H$8*EXP(-Examples!$H$9*$A799)*(1-(Examples!$H$12*(1-EXP(-Examples!$H$13*$A799))/(1+EXP(MIN(700,MAX(-700,(Examples!$H$14*$A799-Examples!$H$15)/Examples!$H$16))))))+Examples!$H$17*$A799^2)</f>
        <v>631071.06198846165</v>
      </c>
    </row>
    <row r="800" spans="1:13" x14ac:dyDescent="0.25">
      <c r="A800">
        <f>(800-2)/100</f>
        <v>7.98</v>
      </c>
      <c r="B800" s="33">
        <f>Examples!$C$18-(Examples!$C$10+Examples!$C$11)*$A800-(Examples!$C$6*Examples!$C$7*Examples!$C$8*EXP(-Examples!$C$9*$A800)*(1-(Examples!$C$12*(1-EXP(-Examples!$C$13*$A800))/(1+EXP(MIN(700,MAX(-700,(Examples!$C$14*$A800-Examples!$C$15)/Examples!$C$16))))))+Examples!$C$17*$A800^2)</f>
        <v>-689264.33829898527</v>
      </c>
      <c r="C800" s="33">
        <f>(Examples!$C$6*Examples!$C$7*Examples!$C$8*EXP(-Examples!$C$9*$A800)*(1-(Examples!$C$12*(1-EXP(-Examples!$C$13*$A800))/(1+EXP(MIN(700,MAX(-700,(Examples!$C$14*$A800-Examples!$C$15)/Examples!$C$16))))))+Examples!$C$17*$A800^2)</f>
        <v>1009964.3382989853</v>
      </c>
      <c r="D800" s="33">
        <f>Examples!$D$18-(Examples!$D$10+Examples!$D$11)*$A800-(Examples!$D$6*Examples!$D$7*Examples!$D$8*EXP(-Examples!$D$9*$A800)*(1-(Examples!$D$12*(1-EXP(-Examples!$D$13*$A800))/(1+EXP(MIN(700,MAX(-700,(Examples!$D$14*$A800-Examples!$D$15)/Examples!$D$16))))))+Examples!$D$17*$A800^2)</f>
        <v>1657509.1042081988</v>
      </c>
      <c r="E800" s="33">
        <f>(Examples!$D$6*Examples!$D$7*Examples!$D$8*EXP(-Examples!$D$9*$A800)*(1-(Examples!$D$12*(1-EXP(-Examples!$D$13*$A800))/(1+EXP(MIN(700,MAX(-700,(Examples!$D$14*$A800-Examples!$D$15)/Examples!$D$16))))))+Examples!$D$17*$A800^2)</f>
        <v>483390.89579180127</v>
      </c>
      <c r="F800" s="33">
        <f>Examples!$E$18-(Examples!$E$10+Examples!$E$11)*$A800-(Examples!$E$6*Examples!$E$7*Examples!$E$8*EXP(-Examples!$E$9*$A800)*(1-(Examples!$E$12*(1-EXP(-Examples!$E$13*$A800))/(1+EXP(MIN(700,MAX(-700,(Examples!$E$14*$A800-Examples!$E$15)/Examples!$E$16))))))+Examples!$E$17*$A800^2)</f>
        <v>2084279.5317516592</v>
      </c>
      <c r="G800" s="33">
        <f>(Examples!$E$6*Examples!$E$7*Examples!$E$8*EXP(-Examples!$E$9*$A800)*(1-(Examples!$E$12*(1-EXP(-Examples!$E$13*$A800))/(1+EXP(MIN(700,MAX(-700,(Examples!$E$14*$A800-Examples!$E$15)/Examples!$E$16))))))+Examples!$E$17*$A800^2)</f>
        <v>237420.46824834083</v>
      </c>
      <c r="H800" s="33">
        <f>Examples!$F$18-(Examples!$F$10+Examples!$F$11)*$A800-(Examples!$F$6*Examples!$F$7*Examples!$F$8*EXP(-Examples!$F$9*$A800)*(1-(Examples!$F$12*(1-EXP(-Examples!$F$13*$A800))/(1+EXP(MIN(700,MAX(-700,(Examples!$F$14*$A800-Examples!$F$15)/Examples!$F$16))))))+Examples!$F$17*$A800^2)</f>
        <v>-1284805.1182010521</v>
      </c>
      <c r="I800" s="33">
        <f>(Examples!$F$6*Examples!$F$7*Examples!$F$8*EXP(-Examples!$F$9*$A800)*(1-(Examples!$F$12*(1-EXP(-Examples!$F$13*$A800))/(1+EXP(MIN(700,MAX(-700,(Examples!$F$14*$A800-Examples!$F$15)/Examples!$F$16))))))+Examples!$F$17*$A800^2)</f>
        <v>1275205.1182010521</v>
      </c>
      <c r="J800" s="33">
        <f>Examples!$G$18-(Examples!$G$10+Examples!$G$11)*$A800-(Examples!$G$6*Examples!$G$7*Examples!$G$8*EXP(-Examples!$G$9*$A800)*(1-(Examples!$G$12*(1-EXP(-Examples!$G$13*$A800))/(1+EXP(MIN(700,MAX(-700,(Examples!$G$14*$A800-Examples!$G$15)/Examples!$G$16))))))+Examples!$G$17*$A800^2)</f>
        <v>469146.83679887967</v>
      </c>
      <c r="K800" s="33">
        <f>(Examples!$G$6*Examples!$G$7*Examples!$G$8*EXP(-Examples!$G$9*$A800)*(1-(Examples!$G$12*(1-EXP(-Examples!$G$13*$A800))/(1+EXP(MIN(700,MAX(-700,(Examples!$G$14*$A800-Examples!$G$15)/Examples!$G$16))))))+Examples!$G$17*$A800^2)</f>
        <v>631853.16320112033</v>
      </c>
      <c r="L800" s="33">
        <f>Examples!$H$18-(Examples!$H$10+Examples!$H$11)*$A800-(Examples!$H$6*Examples!$H$7*Examples!$H$8*EXP(-Examples!$H$9*$A800)*(1-(Examples!$H$12*(1-EXP(-Examples!$H$13*$A800))/(1+EXP(MIN(700,MAX(-700,(Examples!$H$14*$A800-Examples!$H$15)/Examples!$H$16))))))+Examples!$H$17*$A800^2)</f>
        <v>469082.3495443078</v>
      </c>
      <c r="M800" s="33">
        <f>(Examples!$H$6*Examples!$H$7*Examples!$H$8*EXP(-Examples!$H$9*$A800)*(1-(Examples!$H$12*(1-EXP(-Examples!$H$13*$A800))/(1+EXP(MIN(700,MAX(-700,(Examples!$H$14*$A800-Examples!$H$15)/Examples!$H$16))))))+Examples!$H$17*$A800^2)</f>
        <v>631917.6504556922</v>
      </c>
    </row>
    <row r="801" spans="1:13" x14ac:dyDescent="0.25">
      <c r="A801">
        <f>(801-2)/100</f>
        <v>7.99</v>
      </c>
      <c r="B801" s="33">
        <f>Examples!$C$18-(Examples!$C$10+Examples!$C$11)*$A801-(Examples!$C$6*Examples!$C$7*Examples!$C$8*EXP(-Examples!$C$9*$A801)*(1-(Examples!$C$12*(1-EXP(-Examples!$C$13*$A801))/(1+EXP(MIN(700,MAX(-700,(Examples!$C$14*$A801-Examples!$C$15)/Examples!$C$16))))))+Examples!$C$17*$A801^2)</f>
        <v>-691845.80945112591</v>
      </c>
      <c r="C801" s="33">
        <f>(Examples!$C$6*Examples!$C$7*Examples!$C$8*EXP(-Examples!$C$9*$A801)*(1-(Examples!$C$12*(1-EXP(-Examples!$C$13*$A801))/(1+EXP(MIN(700,MAX(-700,(Examples!$C$14*$A801-Examples!$C$15)/Examples!$C$16))))))+Examples!$C$17*$A801^2)</f>
        <v>1012195.8094511259</v>
      </c>
      <c r="D801" s="33">
        <f>Examples!$D$18-(Examples!$D$10+Examples!$D$11)*$A801-(Examples!$D$6*Examples!$D$7*Examples!$D$8*EXP(-Examples!$D$9*$A801)*(1-(Examples!$D$12*(1-EXP(-Examples!$D$13*$A801))/(1+EXP(MIN(700,MAX(-700,(Examples!$D$14*$A801-Examples!$D$15)/Examples!$D$16))))))+Examples!$D$17*$A801^2)</f>
        <v>1656995.6845159102</v>
      </c>
      <c r="E801" s="33">
        <f>(Examples!$D$6*Examples!$D$7*Examples!$D$8*EXP(-Examples!$D$9*$A801)*(1-(Examples!$D$12*(1-EXP(-Examples!$D$13*$A801))/(1+EXP(MIN(700,MAX(-700,(Examples!$D$14*$A801-Examples!$D$15)/Examples!$D$16))))))+Examples!$D$17*$A801^2)</f>
        <v>483454.31548408972</v>
      </c>
      <c r="F801" s="33">
        <f>Examples!$E$18-(Examples!$E$10+Examples!$E$11)*$A801-(Examples!$E$6*Examples!$E$7*Examples!$E$8*EXP(-Examples!$E$9*$A801)*(1-(Examples!$E$12*(1-EXP(-Examples!$E$13*$A801))/(1+EXP(MIN(700,MAX(-700,(Examples!$E$14*$A801-Examples!$E$15)/Examples!$E$16))))))+Examples!$E$17*$A801^2)</f>
        <v>2083155.9094671765</v>
      </c>
      <c r="G801" s="33">
        <f>(Examples!$E$6*Examples!$E$7*Examples!$E$8*EXP(-Examples!$E$9*$A801)*(1-(Examples!$E$12*(1-EXP(-Examples!$E$13*$A801))/(1+EXP(MIN(700,MAX(-700,(Examples!$E$14*$A801-Examples!$E$15)/Examples!$E$16))))))+Examples!$E$17*$A801^2)</f>
        <v>237694.09053282358</v>
      </c>
      <c r="H801" s="33">
        <f>Examples!$F$18-(Examples!$F$10+Examples!$F$11)*$A801-(Examples!$F$6*Examples!$F$7*Examples!$F$8*EXP(-Examples!$F$9*$A801)*(1-(Examples!$F$12*(1-EXP(-Examples!$F$13*$A801))/(1+EXP(MIN(700,MAX(-700,(Examples!$F$14*$A801-Examples!$F$15)/Examples!$F$16))))))+Examples!$F$17*$A801^2)</f>
        <v>-1288194.3340262992</v>
      </c>
      <c r="I801" s="33">
        <f>(Examples!$F$6*Examples!$F$7*Examples!$F$8*EXP(-Examples!$F$9*$A801)*(1-(Examples!$F$12*(1-EXP(-Examples!$F$13*$A801))/(1+EXP(MIN(700,MAX(-700,(Examples!$F$14*$A801-Examples!$F$15)/Examples!$F$16))))))+Examples!$F$17*$A801^2)</f>
        <v>1278394.3340262992</v>
      </c>
      <c r="J801" s="33">
        <f>Examples!$G$18-(Examples!$G$10+Examples!$G$11)*$A801-(Examples!$G$6*Examples!$G$7*Examples!$G$8*EXP(-Examples!$G$9*$A801)*(1-(Examples!$G$12*(1-EXP(-Examples!$G$13*$A801))/(1+EXP(MIN(700,MAX(-700,(Examples!$G$14*$A801-Examples!$G$15)/Examples!$G$16))))))+Examples!$G$17*$A801^2)</f>
        <v>467796.07813777984</v>
      </c>
      <c r="K801" s="33">
        <f>(Examples!$G$6*Examples!$G$7*Examples!$G$8*EXP(-Examples!$G$9*$A801)*(1-(Examples!$G$12*(1-EXP(-Examples!$G$13*$A801))/(1+EXP(MIN(700,MAX(-700,(Examples!$G$14*$A801-Examples!$G$15)/Examples!$G$16))))))+Examples!$G$17*$A801^2)</f>
        <v>632703.92186222016</v>
      </c>
      <c r="L801" s="33">
        <f>Examples!$H$18-(Examples!$H$10+Examples!$H$11)*$A801-(Examples!$H$6*Examples!$H$7*Examples!$H$8*EXP(-Examples!$H$9*$A801)*(1-(Examples!$H$12*(1-EXP(-Examples!$H$13*$A801))/(1+EXP(MIN(700,MAX(-700,(Examples!$H$14*$A801-Examples!$H$15)/Examples!$H$16))))))+Examples!$H$17*$A801^2)</f>
        <v>467732.66076641844</v>
      </c>
      <c r="M801" s="33">
        <f>(Examples!$H$6*Examples!$H$7*Examples!$H$8*EXP(-Examples!$H$9*$A801)*(1-(Examples!$H$12*(1-EXP(-Examples!$H$13*$A801))/(1+EXP(MIN(700,MAX(-700,(Examples!$H$14*$A801-Examples!$H$15)/Examples!$H$16))))))+Examples!$H$17*$A801^2)</f>
        <v>632767.33923358156</v>
      </c>
    </row>
    <row r="802" spans="1:13" x14ac:dyDescent="0.25">
      <c r="A802">
        <f>(802-2)/100</f>
        <v>8</v>
      </c>
      <c r="B802" s="33">
        <f>Examples!$C$18-(Examples!$C$10+Examples!$C$11)*$A802-(Examples!$C$6*Examples!$C$7*Examples!$C$8*EXP(-Examples!$C$9*$A802)*(1-(Examples!$C$12*(1-EXP(-Examples!$C$13*$A802))/(1+EXP(MIN(700,MAX(-700,(Examples!$C$14*$A802-Examples!$C$15)/Examples!$C$16))))))+Examples!$C$17*$A802^2)</f>
        <v>-694430.77195239149</v>
      </c>
      <c r="C802" s="33">
        <f>(Examples!$C$6*Examples!$C$7*Examples!$C$8*EXP(-Examples!$C$9*$A802)*(1-(Examples!$C$12*(1-EXP(-Examples!$C$13*$A802))/(1+EXP(MIN(700,MAX(-700,(Examples!$C$14*$A802-Examples!$C$15)/Examples!$C$16))))))+Examples!$C$17*$A802^2)</f>
        <v>1014430.7719523915</v>
      </c>
      <c r="D802" s="33">
        <f>Examples!$D$18-(Examples!$D$10+Examples!$D$11)*$A802-(Examples!$D$6*Examples!$D$7*Examples!$D$8*EXP(-Examples!$D$9*$A802)*(1-(Examples!$D$12*(1-EXP(-Examples!$D$13*$A802))/(1+EXP(MIN(700,MAX(-700,(Examples!$D$14*$A802-Examples!$D$15)/Examples!$D$16))))))+Examples!$D$17*$A802^2)</f>
        <v>1656478.0642413874</v>
      </c>
      <c r="E802" s="33">
        <f>(Examples!$D$6*Examples!$D$7*Examples!$D$8*EXP(-Examples!$D$9*$A802)*(1-(Examples!$D$12*(1-EXP(-Examples!$D$13*$A802))/(1+EXP(MIN(700,MAX(-700,(Examples!$D$14*$A802-Examples!$D$15)/Examples!$D$16))))))+Examples!$D$17*$A802^2)</f>
        <v>483521.93575861258</v>
      </c>
      <c r="F802" s="33">
        <f>Examples!$E$18-(Examples!$E$10+Examples!$E$11)*$A802-(Examples!$E$6*Examples!$E$7*Examples!$E$8*EXP(-Examples!$E$9*$A802)*(1-(Examples!$E$12*(1-EXP(-Examples!$E$13*$A802))/(1+EXP(MIN(700,MAX(-700,(Examples!$E$14*$A802-Examples!$E$15)/Examples!$E$16))))))+Examples!$E$17*$A802^2)</f>
        <v>2082030.9605142581</v>
      </c>
      <c r="G802" s="33">
        <f>(Examples!$E$6*Examples!$E$7*Examples!$E$8*EXP(-Examples!$E$9*$A802)*(1-(Examples!$E$12*(1-EXP(-Examples!$E$13*$A802))/(1+EXP(MIN(700,MAX(-700,(Examples!$E$14*$A802-Examples!$E$15)/Examples!$E$16))))))+Examples!$E$17*$A802^2)</f>
        <v>237969.03948574193</v>
      </c>
      <c r="H802" s="33">
        <f>Examples!$F$18-(Examples!$F$10+Examples!$F$11)*$A802-(Examples!$F$6*Examples!$F$7*Examples!$F$8*EXP(-Examples!$F$9*$A802)*(1-(Examples!$F$12*(1-EXP(-Examples!$F$13*$A802))/(1+EXP(MIN(700,MAX(-700,(Examples!$F$14*$A802-Examples!$F$15)/Examples!$F$16))))))+Examples!$F$17*$A802^2)</f>
        <v>-1291587.5641825632</v>
      </c>
      <c r="I802" s="33">
        <f>(Examples!$F$6*Examples!$F$7*Examples!$F$8*EXP(-Examples!$F$9*$A802)*(1-(Examples!$F$12*(1-EXP(-Examples!$F$13*$A802))/(1+EXP(MIN(700,MAX(-700,(Examples!$F$14*$A802-Examples!$F$15)/Examples!$F$16))))))+Examples!$F$17*$A802^2)</f>
        <v>1281587.5641825632</v>
      </c>
      <c r="J802" s="33">
        <f>Examples!$G$18-(Examples!$G$10+Examples!$G$11)*$A802-(Examples!$G$6*Examples!$G$7*Examples!$G$8*EXP(-Examples!$G$9*$A802)*(1-(Examples!$G$12*(1-EXP(-Examples!$G$13*$A802))/(1+EXP(MIN(700,MAX(-700,(Examples!$G$14*$A802-Examples!$G$15)/Examples!$G$16))))))+Examples!$G$17*$A802^2)</f>
        <v>466442.24211996933</v>
      </c>
      <c r="K802" s="33">
        <f>(Examples!$G$6*Examples!$G$7*Examples!$G$8*EXP(-Examples!$G$9*$A802)*(1-(Examples!$G$12*(1-EXP(-Examples!$G$13*$A802))/(1+EXP(MIN(700,MAX(-700,(Examples!$G$14*$A802-Examples!$G$15)/Examples!$G$16))))))+Examples!$G$17*$A802^2)</f>
        <v>633557.75788003067</v>
      </c>
      <c r="L802" s="33">
        <f>Examples!$H$18-(Examples!$H$10+Examples!$H$11)*$A802-(Examples!$H$6*Examples!$H$7*Examples!$H$8*EXP(-Examples!$H$9*$A802)*(1-(Examples!$H$12*(1-EXP(-Examples!$H$13*$A802))/(1+EXP(MIN(700,MAX(-700,(Examples!$H$14*$A802-Examples!$H$15)/Examples!$H$16))))))+Examples!$H$17*$A802^2)</f>
        <v>466379.87691968738</v>
      </c>
      <c r="M802" s="33">
        <f>(Examples!$H$6*Examples!$H$7*Examples!$H$8*EXP(-Examples!$H$9*$A802)*(1-(Examples!$H$12*(1-EXP(-Examples!$H$13*$A802))/(1+EXP(MIN(700,MAX(-700,(Examples!$H$14*$A802-Examples!$H$15)/Examples!$H$16))))))+Examples!$H$17*$A802^2)</f>
        <v>633620.12308031262</v>
      </c>
    </row>
    <row r="803" spans="1:13" x14ac:dyDescent="0.25">
      <c r="A803">
        <f>(803-2)/100</f>
        <v>8.01</v>
      </c>
      <c r="B803" s="33">
        <f>Examples!$C$18-(Examples!$C$10+Examples!$C$11)*$A803-(Examples!$C$6*Examples!$C$7*Examples!$C$8*EXP(-Examples!$C$9*$A803)*(1-(Examples!$C$12*(1-EXP(-Examples!$C$13*$A803))/(1+EXP(MIN(700,MAX(-700,(Examples!$C$14*$A803-Examples!$C$15)/Examples!$C$16))))))+Examples!$C$17*$A803^2)</f>
        <v>-697019.22433094447</v>
      </c>
      <c r="C803" s="33">
        <f>(Examples!$C$6*Examples!$C$7*Examples!$C$8*EXP(-Examples!$C$9*$A803)*(1-(Examples!$C$12*(1-EXP(-Examples!$C$13*$A803))/(1+EXP(MIN(700,MAX(-700,(Examples!$C$14*$A803-Examples!$C$15)/Examples!$C$16))))))+Examples!$C$17*$A803^2)</f>
        <v>1016669.2243309445</v>
      </c>
      <c r="D803" s="33">
        <f>Examples!$D$18-(Examples!$D$10+Examples!$D$11)*$A803-(Examples!$D$6*Examples!$D$7*Examples!$D$8*EXP(-Examples!$D$9*$A803)*(1-(Examples!$D$12*(1-EXP(-Examples!$D$13*$A803))/(1+EXP(MIN(700,MAX(-700,(Examples!$D$14*$A803-Examples!$D$15)/Examples!$D$16))))))+Examples!$D$17*$A803^2)</f>
        <v>1655956.2560155997</v>
      </c>
      <c r="E803" s="33">
        <f>(Examples!$D$6*Examples!$D$7*Examples!$D$8*EXP(-Examples!$D$9*$A803)*(1-(Examples!$D$12*(1-EXP(-Examples!$D$13*$A803))/(1+EXP(MIN(700,MAX(-700,(Examples!$D$14*$A803-Examples!$D$15)/Examples!$D$16))))))+Examples!$D$17*$A803^2)</f>
        <v>483593.74398440024</v>
      </c>
      <c r="F803" s="33">
        <f>Examples!$E$18-(Examples!$E$10+Examples!$E$11)*$A803-(Examples!$E$6*Examples!$E$7*Examples!$E$8*EXP(-Examples!$E$9*$A803)*(1-(Examples!$E$12*(1-EXP(-Examples!$E$13*$A803))/(1+EXP(MIN(700,MAX(-700,(Examples!$E$14*$A803-Examples!$E$15)/Examples!$E$16))))))+Examples!$E$17*$A803^2)</f>
        <v>2080904.6853345579</v>
      </c>
      <c r="G803" s="33">
        <f>(Examples!$E$6*Examples!$E$7*Examples!$E$8*EXP(-Examples!$E$9*$A803)*(1-(Examples!$E$12*(1-EXP(-Examples!$E$13*$A803))/(1+EXP(MIN(700,MAX(-700,(Examples!$E$14*$A803-Examples!$E$15)/Examples!$E$16))))))+Examples!$E$17*$A803^2)</f>
        <v>238245.31466544201</v>
      </c>
      <c r="H803" s="33">
        <f>Examples!$F$18-(Examples!$F$10+Examples!$F$11)*$A803-(Examples!$F$6*Examples!$F$7*Examples!$F$8*EXP(-Examples!$F$9*$A803)*(1-(Examples!$F$12*(1-EXP(-Examples!$F$13*$A803))/(1+EXP(MIN(700,MAX(-700,(Examples!$F$14*$A803-Examples!$F$15)/Examples!$F$16))))))+Examples!$F$17*$A803^2)</f>
        <v>-1294984.8086269158</v>
      </c>
      <c r="I803" s="33">
        <f>(Examples!$F$6*Examples!$F$7*Examples!$F$8*EXP(-Examples!$F$9*$A803)*(1-(Examples!$F$12*(1-EXP(-Examples!$F$13*$A803))/(1+EXP(MIN(700,MAX(-700,(Examples!$F$14*$A803-Examples!$F$15)/Examples!$F$16))))))+Examples!$F$17*$A803^2)</f>
        <v>1284784.8086269158</v>
      </c>
      <c r="J803" s="33">
        <f>Examples!$G$18-(Examples!$G$10+Examples!$G$11)*$A803-(Examples!$G$6*Examples!$G$7*Examples!$G$8*EXP(-Examples!$G$9*$A803)*(1-(Examples!$G$12*(1-EXP(-Examples!$G$13*$A803))/(1+EXP(MIN(700,MAX(-700,(Examples!$G$14*$A803-Examples!$G$15)/Examples!$G$16))))))+Examples!$G$17*$A803^2)</f>
        <v>465085.33367661736</v>
      </c>
      <c r="K803" s="33">
        <f>(Examples!$G$6*Examples!$G$7*Examples!$G$8*EXP(-Examples!$G$9*$A803)*(1-(Examples!$G$12*(1-EXP(-Examples!$G$13*$A803))/(1+EXP(MIN(700,MAX(-700,(Examples!$G$14*$A803-Examples!$G$15)/Examples!$G$16))))))+Examples!$G$17*$A803^2)</f>
        <v>634414.66632338264</v>
      </c>
      <c r="L803" s="33">
        <f>Examples!$H$18-(Examples!$H$10+Examples!$H$11)*$A803-(Examples!$H$6*Examples!$H$7*Examples!$H$8*EXP(-Examples!$H$9*$A803)*(1-(Examples!$H$12*(1-EXP(-Examples!$H$13*$A803))/(1+EXP(MIN(700,MAX(-700,(Examples!$H$14*$A803-Examples!$H$15)/Examples!$H$16))))))+Examples!$H$17*$A803^2)</f>
        <v>465024.00322762085</v>
      </c>
      <c r="M803" s="33">
        <f>(Examples!$H$6*Examples!$H$7*Examples!$H$8*EXP(-Examples!$H$9*$A803)*(1-(Examples!$H$12*(1-EXP(-Examples!$H$13*$A803))/(1+EXP(MIN(700,MAX(-700,(Examples!$H$14*$A803-Examples!$H$15)/Examples!$H$16))))))+Examples!$H$17*$A803^2)</f>
        <v>634475.99677237915</v>
      </c>
    </row>
    <row r="804" spans="1:13" x14ac:dyDescent="0.25">
      <c r="A804">
        <f>(804-2)/100</f>
        <v>8.02</v>
      </c>
      <c r="B804" s="33">
        <f>Examples!$C$18-(Examples!$C$10+Examples!$C$11)*$A804-(Examples!$C$6*Examples!$C$7*Examples!$C$8*EXP(-Examples!$C$9*$A804)*(1-(Examples!$C$12*(1-EXP(-Examples!$C$13*$A804))/(1+EXP(MIN(700,MAX(-700,(Examples!$C$14*$A804-Examples!$C$15)/Examples!$C$16))))))+Examples!$C$17*$A804^2)</f>
        <v>-699611.16511935601</v>
      </c>
      <c r="C804" s="33">
        <f>(Examples!$C$6*Examples!$C$7*Examples!$C$8*EXP(-Examples!$C$9*$A804)*(1-(Examples!$C$12*(1-EXP(-Examples!$C$13*$A804))/(1+EXP(MIN(700,MAX(-700,(Examples!$C$14*$A804-Examples!$C$15)/Examples!$C$16))))))+Examples!$C$17*$A804^2)</f>
        <v>1018911.165119356</v>
      </c>
      <c r="D804" s="33">
        <f>Examples!$D$18-(Examples!$D$10+Examples!$D$11)*$A804-(Examples!$D$6*Examples!$D$7*Examples!$D$8*EXP(-Examples!$D$9*$A804)*(1-(Examples!$D$12*(1-EXP(-Examples!$D$13*$A804))/(1+EXP(MIN(700,MAX(-700,(Examples!$D$14*$A804-Examples!$D$15)/Examples!$D$16))))))+Examples!$D$17*$A804^2)</f>
        <v>1655430.2724428379</v>
      </c>
      <c r="E804" s="33">
        <f>(Examples!$D$6*Examples!$D$7*Examples!$D$8*EXP(-Examples!$D$9*$A804)*(1-(Examples!$D$12*(1-EXP(-Examples!$D$13*$A804))/(1+EXP(MIN(700,MAX(-700,(Examples!$D$14*$A804-Examples!$D$15)/Examples!$D$16))))))+Examples!$D$17*$A804^2)</f>
        <v>483669.727557162</v>
      </c>
      <c r="F804" s="33">
        <f>Examples!$E$18-(Examples!$E$10+Examples!$E$11)*$A804-(Examples!$E$6*Examples!$E$7*Examples!$E$8*EXP(-Examples!$E$9*$A804)*(1-(Examples!$E$12*(1-EXP(-Examples!$E$13*$A804))/(1+EXP(MIN(700,MAX(-700,(Examples!$E$14*$A804-Examples!$E$15)/Examples!$E$16))))))+Examples!$E$17*$A804^2)</f>
        <v>2079777.0843965851</v>
      </c>
      <c r="G804" s="33">
        <f>(Examples!$E$6*Examples!$E$7*Examples!$E$8*EXP(-Examples!$E$9*$A804)*(1-(Examples!$E$12*(1-EXP(-Examples!$E$13*$A804))/(1+EXP(MIN(700,MAX(-700,(Examples!$E$14*$A804-Examples!$E$15)/Examples!$E$16))))))+Examples!$E$17*$A804^2)</f>
        <v>238522.91560341496</v>
      </c>
      <c r="H804" s="33">
        <f>Examples!$F$18-(Examples!$F$10+Examples!$F$11)*$A804-(Examples!$F$6*Examples!$F$7*Examples!$F$8*EXP(-Examples!$F$9*$A804)*(1-(Examples!$F$12*(1-EXP(-Examples!$F$13*$A804))/(1+EXP(MIN(700,MAX(-700,(Examples!$F$14*$A804-Examples!$F$15)/Examples!$F$16))))))+Examples!$F$17*$A804^2)</f>
        <v>-1298386.0673165563</v>
      </c>
      <c r="I804" s="33">
        <f>(Examples!$F$6*Examples!$F$7*Examples!$F$8*EXP(-Examples!$F$9*$A804)*(1-(Examples!$F$12*(1-EXP(-Examples!$F$13*$A804))/(1+EXP(MIN(700,MAX(-700,(Examples!$F$14*$A804-Examples!$F$15)/Examples!$F$16))))))+Examples!$F$17*$A804^2)</f>
        <v>1287986.0673165563</v>
      </c>
      <c r="J804" s="33">
        <f>Examples!$G$18-(Examples!$G$10+Examples!$G$11)*$A804-(Examples!$G$6*Examples!$G$7*Examples!$G$8*EXP(-Examples!$G$9*$A804)*(1-(Examples!$G$12*(1-EXP(-Examples!$G$13*$A804))/(1+EXP(MIN(700,MAX(-700,(Examples!$G$14*$A804-Examples!$G$15)/Examples!$G$16))))))+Examples!$G$17*$A804^2)</f>
        <v>463725.3577254496</v>
      </c>
      <c r="K804" s="33">
        <f>(Examples!$G$6*Examples!$G$7*Examples!$G$8*EXP(-Examples!$G$9*$A804)*(1-(Examples!$G$12*(1-EXP(-Examples!$G$13*$A804))/(1+EXP(MIN(700,MAX(-700,(Examples!$G$14*$A804-Examples!$G$15)/Examples!$G$16))))))+Examples!$G$17*$A804^2)</f>
        <v>635274.6422745504</v>
      </c>
      <c r="L804" s="33">
        <f>Examples!$H$18-(Examples!$H$10+Examples!$H$11)*$A804-(Examples!$H$6*Examples!$H$7*Examples!$H$8*EXP(-Examples!$H$9*$A804)*(1-(Examples!$H$12*(1-EXP(-Examples!$H$13*$A804))/(1+EXP(MIN(700,MAX(-700,(Examples!$H$14*$A804-Examples!$H$15)/Examples!$H$16))))))+Examples!$H$17*$A804^2)</f>
        <v>463665.04489547806</v>
      </c>
      <c r="M804" s="33">
        <f>(Examples!$H$6*Examples!$H$7*Examples!$H$8*EXP(-Examples!$H$9*$A804)*(1-(Examples!$H$12*(1-EXP(-Examples!$H$13*$A804))/(1+EXP(MIN(700,MAX(-700,(Examples!$H$14*$A804-Examples!$H$15)/Examples!$H$16))))))+Examples!$H$17*$A804^2)</f>
        <v>635334.95510452194</v>
      </c>
    </row>
    <row r="805" spans="1:13" x14ac:dyDescent="0.25">
      <c r="A805">
        <f>(805-2)/100</f>
        <v>8.0299999999999994</v>
      </c>
      <c r="B805" s="33">
        <f>Examples!$C$18-(Examples!$C$10+Examples!$C$11)*$A805-(Examples!$C$6*Examples!$C$7*Examples!$C$8*EXP(-Examples!$C$9*$A805)*(1-(Examples!$C$12*(1-EXP(-Examples!$C$13*$A805))/(1+EXP(MIN(700,MAX(-700,(Examples!$C$14*$A805-Examples!$C$15)/Examples!$C$16))))))+Examples!$C$17*$A805^2)</f>
        <v>-702206.5928545933</v>
      </c>
      <c r="C805" s="33">
        <f>(Examples!$C$6*Examples!$C$7*Examples!$C$8*EXP(-Examples!$C$9*$A805)*(1-(Examples!$C$12*(1-EXP(-Examples!$C$13*$A805))/(1+EXP(MIN(700,MAX(-700,(Examples!$C$14*$A805-Examples!$C$15)/Examples!$C$16))))))+Examples!$C$17*$A805^2)</f>
        <v>1021156.5928545933</v>
      </c>
      <c r="D805" s="33">
        <f>Examples!$D$18-(Examples!$D$10+Examples!$D$11)*$A805-(Examples!$D$6*Examples!$D$7*Examples!$D$8*EXP(-Examples!$D$9*$A805)*(1-(Examples!$D$12*(1-EXP(-Examples!$D$13*$A805))/(1+EXP(MIN(700,MAX(-700,(Examples!$D$14*$A805-Examples!$D$15)/Examples!$D$16))))))+Examples!$D$17*$A805^2)</f>
        <v>1654900.1261003222</v>
      </c>
      <c r="E805" s="33">
        <f>(Examples!$D$6*Examples!$D$7*Examples!$D$8*EXP(-Examples!$D$9*$A805)*(1-(Examples!$D$12*(1-EXP(-Examples!$D$13*$A805))/(1+EXP(MIN(700,MAX(-700,(Examples!$D$14*$A805-Examples!$D$15)/Examples!$D$16))))))+Examples!$D$17*$A805^2)</f>
        <v>483749.87389967777</v>
      </c>
      <c r="F805" s="33">
        <f>Examples!$E$18-(Examples!$E$10+Examples!$E$11)*$A805-(Examples!$E$6*Examples!$E$7*Examples!$E$8*EXP(-Examples!$E$9*$A805)*(1-(Examples!$E$12*(1-EXP(-Examples!$E$13*$A805))/(1+EXP(MIN(700,MAX(-700,(Examples!$E$14*$A805-Examples!$E$15)/Examples!$E$16))))))+Examples!$E$17*$A805^2)</f>
        <v>2078648.158195398</v>
      </c>
      <c r="G805" s="33">
        <f>(Examples!$E$6*Examples!$E$7*Examples!$E$8*EXP(-Examples!$E$9*$A805)*(1-(Examples!$E$12*(1-EXP(-Examples!$E$13*$A805))/(1+EXP(MIN(700,MAX(-700,(Examples!$E$14*$A805-Examples!$E$15)/Examples!$E$16))))))+Examples!$E$17*$A805^2)</f>
        <v>238801.84180460204</v>
      </c>
      <c r="H805" s="33">
        <f>Examples!$F$18-(Examples!$F$10+Examples!$F$11)*$A805-(Examples!$F$6*Examples!$F$7*Examples!$F$8*EXP(-Examples!$F$9*$A805)*(1-(Examples!$F$12*(1-EXP(-Examples!$F$13*$A805))/(1+EXP(MIN(700,MAX(-700,(Examples!$F$14*$A805-Examples!$F$15)/Examples!$F$16))))))+Examples!$F$17*$A805^2)</f>
        <v>-1301791.3402088135</v>
      </c>
      <c r="I805" s="33">
        <f>(Examples!$F$6*Examples!$F$7*Examples!$F$8*EXP(-Examples!$F$9*$A805)*(1-(Examples!$F$12*(1-EXP(-Examples!$F$13*$A805))/(1+EXP(MIN(700,MAX(-700,(Examples!$F$14*$A805-Examples!$F$15)/Examples!$F$16))))))+Examples!$F$17*$A805^2)</f>
        <v>1291191.3402088135</v>
      </c>
      <c r="J805" s="33">
        <f>Examples!$G$18-(Examples!$G$10+Examples!$G$11)*$A805-(Examples!$G$6*Examples!$G$7*Examples!$G$8*EXP(-Examples!$G$9*$A805)*(1-(Examples!$G$12*(1-EXP(-Examples!$G$13*$A805))/(1+EXP(MIN(700,MAX(-700,(Examples!$G$14*$A805-Examples!$G$15)/Examples!$G$16))))))+Examples!$G$17*$A805^2)</f>
        <v>462362.31917073333</v>
      </c>
      <c r="K805" s="33">
        <f>(Examples!$G$6*Examples!$G$7*Examples!$G$8*EXP(-Examples!$G$9*$A805)*(1-(Examples!$G$12*(1-EXP(-Examples!$G$13*$A805))/(1+EXP(MIN(700,MAX(-700,(Examples!$G$14*$A805-Examples!$G$15)/Examples!$G$16))))))+Examples!$G$17*$A805^2)</f>
        <v>636137.68082926667</v>
      </c>
      <c r="L805" s="33">
        <f>Examples!$H$18-(Examples!$H$10+Examples!$H$11)*$A805-(Examples!$H$6*Examples!$H$7*Examples!$H$8*EXP(-Examples!$H$9*$A805)*(1-(Examples!$H$12*(1-EXP(-Examples!$H$13*$A805))/(1+EXP(MIN(700,MAX(-700,(Examples!$H$14*$A805-Examples!$H$15)/Examples!$H$16))))))+Examples!$H$17*$A805^2)</f>
        <v>462303.007110334</v>
      </c>
      <c r="M805" s="33">
        <f>(Examples!$H$6*Examples!$H$7*Examples!$H$8*EXP(-Examples!$H$9*$A805)*(1-(Examples!$H$12*(1-EXP(-Examples!$H$13*$A805))/(1+EXP(MIN(700,MAX(-700,(Examples!$H$14*$A805-Examples!$H$15)/Examples!$H$16))))))+Examples!$H$17*$A805^2)</f>
        <v>636196.992889666</v>
      </c>
    </row>
    <row r="806" spans="1:13" x14ac:dyDescent="0.25">
      <c r="A806">
        <f>(806-2)/100</f>
        <v>8.0399999999999991</v>
      </c>
      <c r="B806" s="33">
        <f>Examples!$C$18-(Examples!$C$10+Examples!$C$11)*$A806-(Examples!$C$6*Examples!$C$7*Examples!$C$8*EXP(-Examples!$C$9*$A806)*(1-(Examples!$C$12*(1-EXP(-Examples!$C$13*$A806))/(1+EXP(MIN(700,MAX(-700,(Examples!$C$14*$A806-Examples!$C$15)/Examples!$C$16))))))+Examples!$C$17*$A806^2)</f>
        <v>-704805.50607800554</v>
      </c>
      <c r="C806" s="33">
        <f>(Examples!$C$6*Examples!$C$7*Examples!$C$8*EXP(-Examples!$C$9*$A806)*(1-(Examples!$C$12*(1-EXP(-Examples!$C$13*$A806))/(1+EXP(MIN(700,MAX(-700,(Examples!$C$14*$A806-Examples!$C$15)/Examples!$C$16))))))+Examples!$C$17*$A806^2)</f>
        <v>1023405.5060780057</v>
      </c>
      <c r="D806" s="33">
        <f>Examples!$D$18-(Examples!$D$10+Examples!$D$11)*$A806-(Examples!$D$6*Examples!$D$7*Examples!$D$8*EXP(-Examples!$D$9*$A806)*(1-(Examples!$D$12*(1-EXP(-Examples!$D$13*$A806))/(1+EXP(MIN(700,MAX(-700,(Examples!$D$14*$A806-Examples!$D$15)/Examples!$D$16))))))+Examples!$D$17*$A806^2)</f>
        <v>1654365.8295378219</v>
      </c>
      <c r="E806" s="33">
        <f>(Examples!$D$6*Examples!$D$7*Examples!$D$8*EXP(-Examples!$D$9*$A806)*(1-(Examples!$D$12*(1-EXP(-Examples!$D$13*$A806))/(1+EXP(MIN(700,MAX(-700,(Examples!$D$14*$A806-Examples!$D$15)/Examples!$D$16))))))+Examples!$D$17*$A806^2)</f>
        <v>483834.17046217795</v>
      </c>
      <c r="F806" s="33">
        <f>Examples!$E$18-(Examples!$E$10+Examples!$E$11)*$A806-(Examples!$E$6*Examples!$E$7*Examples!$E$8*EXP(-Examples!$E$9*$A806)*(1-(Examples!$E$12*(1-EXP(-Examples!$E$13*$A806))/(1+EXP(MIN(700,MAX(-700,(Examples!$E$14*$A806-Examples!$E$15)/Examples!$E$16))))))+Examples!$E$17*$A806^2)</f>
        <v>2077517.9072523008</v>
      </c>
      <c r="G806" s="33">
        <f>(Examples!$E$6*Examples!$E$7*Examples!$E$8*EXP(-Examples!$E$9*$A806)*(1-(Examples!$E$12*(1-EXP(-Examples!$E$13*$A806))/(1+EXP(MIN(700,MAX(-700,(Examples!$E$14*$A806-Examples!$E$15)/Examples!$E$16))))))+Examples!$E$17*$A806^2)</f>
        <v>239082.09274769918</v>
      </c>
      <c r="H806" s="33">
        <f>Examples!$F$18-(Examples!$F$10+Examples!$F$11)*$A806-(Examples!$F$6*Examples!$F$7*Examples!$F$8*EXP(-Examples!$F$9*$A806)*(1-(Examples!$F$12*(1-EXP(-Examples!$F$13*$A806))/(1+EXP(MIN(700,MAX(-700,(Examples!$F$14*$A806-Examples!$F$15)/Examples!$F$16))))))+Examples!$F$17*$A806^2)</f>
        <v>-1305200.6272611434</v>
      </c>
      <c r="I806" s="33">
        <f>(Examples!$F$6*Examples!$F$7*Examples!$F$8*EXP(-Examples!$F$9*$A806)*(1-(Examples!$F$12*(1-EXP(-Examples!$F$13*$A806))/(1+EXP(MIN(700,MAX(-700,(Examples!$F$14*$A806-Examples!$F$15)/Examples!$F$16))))))+Examples!$F$17*$A806^2)</f>
        <v>1294400.6272611434</v>
      </c>
      <c r="J806" s="33">
        <f>Examples!$G$18-(Examples!$G$10+Examples!$G$11)*$A806-(Examples!$G$6*Examples!$G$7*Examples!$G$8*EXP(-Examples!$G$9*$A806)*(1-(Examples!$G$12*(1-EXP(-Examples!$G$13*$A806))/(1+EXP(MIN(700,MAX(-700,(Examples!$G$14*$A806-Examples!$G$15)/Examples!$G$16))))))+Examples!$G$17*$A806^2)</f>
        <v>460996.22290326329</v>
      </c>
      <c r="K806" s="33">
        <f>(Examples!$G$6*Examples!$G$7*Examples!$G$8*EXP(-Examples!$G$9*$A806)*(1-(Examples!$G$12*(1-EXP(-Examples!$G$13*$A806))/(1+EXP(MIN(700,MAX(-700,(Examples!$G$14*$A806-Examples!$G$15)/Examples!$G$16))))))+Examples!$G$17*$A806^2)</f>
        <v>637003.77709673671</v>
      </c>
      <c r="L806" s="33">
        <f>Examples!$H$18-(Examples!$H$10+Examples!$H$11)*$A806-(Examples!$H$6*Examples!$H$7*Examples!$H$8*EXP(-Examples!$H$9*$A806)*(1-(Examples!$H$12*(1-EXP(-Examples!$H$13*$A806))/(1+EXP(MIN(700,MAX(-700,(Examples!$H$14*$A806-Examples!$H$15)/Examples!$H$16))))))+Examples!$H$17*$A806^2)</f>
        <v>460937.89504114422</v>
      </c>
      <c r="M806" s="33">
        <f>(Examples!$H$6*Examples!$H$7*Examples!$H$8*EXP(-Examples!$H$9*$A806)*(1-(Examples!$H$12*(1-EXP(-Examples!$H$13*$A806))/(1+EXP(MIN(700,MAX(-700,(Examples!$H$14*$A806-Examples!$H$15)/Examples!$H$16))))))+Examples!$H$17*$A806^2)</f>
        <v>637062.10495885578</v>
      </c>
    </row>
    <row r="807" spans="1:13" x14ac:dyDescent="0.25">
      <c r="A807">
        <f>(807-2)/100</f>
        <v>8.0500000000000007</v>
      </c>
      <c r="B807" s="33">
        <f>Examples!$C$18-(Examples!$C$10+Examples!$C$11)*$A807-(Examples!$C$6*Examples!$C$7*Examples!$C$8*EXP(-Examples!$C$9*$A807)*(1-(Examples!$C$12*(1-EXP(-Examples!$C$13*$A807))/(1+EXP(MIN(700,MAX(-700,(Examples!$C$14*$A807-Examples!$C$15)/Examples!$C$16))))))+Examples!$C$17*$A807^2)</f>
        <v>-707407.90333531215</v>
      </c>
      <c r="C807" s="33">
        <f>(Examples!$C$6*Examples!$C$7*Examples!$C$8*EXP(-Examples!$C$9*$A807)*(1-(Examples!$C$12*(1-EXP(-Examples!$C$13*$A807))/(1+EXP(MIN(700,MAX(-700,(Examples!$C$14*$A807-Examples!$C$15)/Examples!$C$16))))))+Examples!$C$17*$A807^2)</f>
        <v>1025657.9033353121</v>
      </c>
      <c r="D807" s="33">
        <f>Examples!$D$18-(Examples!$D$10+Examples!$D$11)*$A807-(Examples!$D$6*Examples!$D$7*Examples!$D$8*EXP(-Examples!$D$9*$A807)*(1-(Examples!$D$12*(1-EXP(-Examples!$D$13*$A807))/(1+EXP(MIN(700,MAX(-700,(Examples!$D$14*$A807-Examples!$D$15)/Examples!$D$16))))))+Examples!$D$17*$A807^2)</f>
        <v>1653827.3952772846</v>
      </c>
      <c r="E807" s="33">
        <f>(Examples!$D$6*Examples!$D$7*Examples!$D$8*EXP(-Examples!$D$9*$A807)*(1-(Examples!$D$12*(1-EXP(-Examples!$D$13*$A807))/(1+EXP(MIN(700,MAX(-700,(Examples!$D$14*$A807-Examples!$D$15)/Examples!$D$16))))))+Examples!$D$17*$A807^2)</f>
        <v>483922.60472271545</v>
      </c>
      <c r="F807" s="33">
        <f>Examples!$E$18-(Examples!$E$10+Examples!$E$11)*$A807-(Examples!$E$6*Examples!$E$7*Examples!$E$8*EXP(-Examples!$E$9*$A807)*(1-(Examples!$E$12*(1-EXP(-Examples!$E$13*$A807))/(1+EXP(MIN(700,MAX(-700,(Examples!$E$14*$A807-Examples!$E$15)/Examples!$E$16))))))+Examples!$E$17*$A807^2)</f>
        <v>2076386.3321145391</v>
      </c>
      <c r="G807" s="33">
        <f>(Examples!$E$6*Examples!$E$7*Examples!$E$8*EXP(-Examples!$E$9*$A807)*(1-(Examples!$E$12*(1-EXP(-Examples!$E$13*$A807))/(1+EXP(MIN(700,MAX(-700,(Examples!$E$14*$A807-Examples!$E$15)/Examples!$E$16))))))+Examples!$E$17*$A807^2)</f>
        <v>239363.66788546086</v>
      </c>
      <c r="H807" s="33">
        <f>Examples!$F$18-(Examples!$F$10+Examples!$F$11)*$A807-(Examples!$F$6*Examples!$F$7*Examples!$F$8*EXP(-Examples!$F$9*$A807)*(1-(Examples!$F$12*(1-EXP(-Examples!$F$13*$A807))/(1+EXP(MIN(700,MAX(-700,(Examples!$F$14*$A807-Examples!$F$15)/Examples!$F$16))))))+Examples!$F$17*$A807^2)</f>
        <v>-1308613.9284311298</v>
      </c>
      <c r="I807" s="33">
        <f>(Examples!$F$6*Examples!$F$7*Examples!$F$8*EXP(-Examples!$F$9*$A807)*(1-(Examples!$F$12*(1-EXP(-Examples!$F$13*$A807))/(1+EXP(MIN(700,MAX(-700,(Examples!$F$14*$A807-Examples!$F$15)/Examples!$F$16))))))+Examples!$F$17*$A807^2)</f>
        <v>1297613.9284311298</v>
      </c>
      <c r="J807" s="33">
        <f>Examples!$G$18-(Examples!$G$10+Examples!$G$11)*$A807-(Examples!$G$6*Examples!$G$7*Examples!$G$8*EXP(-Examples!$G$9*$A807)*(1-(Examples!$G$12*(1-EXP(-Examples!$G$13*$A807))/(1+EXP(MIN(700,MAX(-700,(Examples!$G$14*$A807-Examples!$G$15)/Examples!$G$16))))))+Examples!$G$17*$A807^2)</f>
        <v>459627.07380034972</v>
      </c>
      <c r="K807" s="33">
        <f>(Examples!$G$6*Examples!$G$7*Examples!$G$8*EXP(-Examples!$G$9*$A807)*(1-(Examples!$G$12*(1-EXP(-Examples!$G$13*$A807))/(1+EXP(MIN(700,MAX(-700,(Examples!$G$14*$A807-Examples!$G$15)/Examples!$G$16))))))+Examples!$G$17*$A807^2)</f>
        <v>637872.92619965028</v>
      </c>
      <c r="L807" s="33">
        <f>Examples!$H$18-(Examples!$H$10+Examples!$H$11)*$A807-(Examples!$H$6*Examples!$H$7*Examples!$H$8*EXP(-Examples!$H$9*$A807)*(1-(Examples!$H$12*(1-EXP(-Examples!$H$13*$A807))/(1+EXP(MIN(700,MAX(-700,(Examples!$H$14*$A807-Examples!$H$15)/Examples!$H$16))))))+Examples!$H$17*$A807^2)</f>
        <v>459569.71383880661</v>
      </c>
      <c r="M807" s="33">
        <f>(Examples!$H$6*Examples!$H$7*Examples!$H$8*EXP(-Examples!$H$9*$A807)*(1-(Examples!$H$12*(1-EXP(-Examples!$H$13*$A807))/(1+EXP(MIN(700,MAX(-700,(Examples!$H$14*$A807-Examples!$H$15)/Examples!$H$16))))))+Examples!$H$17*$A807^2)</f>
        <v>637930.28616119339</v>
      </c>
    </row>
    <row r="808" spans="1:13" x14ac:dyDescent="0.25">
      <c r="A808">
        <f>(808-2)/100</f>
        <v>8.06</v>
      </c>
      <c r="B808" s="33">
        <f>Examples!$C$18-(Examples!$C$10+Examples!$C$11)*$A808-(Examples!$C$6*Examples!$C$7*Examples!$C$8*EXP(-Examples!$C$9*$A808)*(1-(Examples!$C$12*(1-EXP(-Examples!$C$13*$A808))/(1+EXP(MIN(700,MAX(-700,(Examples!$C$14*$A808-Examples!$C$15)/Examples!$C$16))))))+Examples!$C$17*$A808^2)</f>
        <v>-710013.78317658731</v>
      </c>
      <c r="C808" s="33">
        <f>(Examples!$C$6*Examples!$C$7*Examples!$C$8*EXP(-Examples!$C$9*$A808)*(1-(Examples!$C$12*(1-EXP(-Examples!$C$13*$A808))/(1+EXP(MIN(700,MAX(-700,(Examples!$C$14*$A808-Examples!$C$15)/Examples!$C$16))))))+Examples!$C$17*$A808^2)</f>
        <v>1027913.7831765873</v>
      </c>
      <c r="D808" s="33">
        <f>Examples!$D$18-(Examples!$D$10+Examples!$D$11)*$A808-(Examples!$D$6*Examples!$D$7*Examples!$D$8*EXP(-Examples!$D$9*$A808)*(1-(Examples!$D$12*(1-EXP(-Examples!$D$13*$A808))/(1+EXP(MIN(700,MAX(-700,(Examples!$D$14*$A808-Examples!$D$15)/Examples!$D$16))))))+Examples!$D$17*$A808^2)</f>
        <v>1653284.8358124744</v>
      </c>
      <c r="E808" s="33">
        <f>(Examples!$D$6*Examples!$D$7*Examples!$D$8*EXP(-Examples!$D$9*$A808)*(1-(Examples!$D$12*(1-EXP(-Examples!$D$13*$A808))/(1+EXP(MIN(700,MAX(-700,(Examples!$D$14*$A808-Examples!$D$15)/Examples!$D$16))))))+Examples!$D$17*$A808^2)</f>
        <v>484015.16418752563</v>
      </c>
      <c r="F808" s="33">
        <f>Examples!$E$18-(Examples!$E$10+Examples!$E$11)*$A808-(Examples!$E$6*Examples!$E$7*Examples!$E$8*EXP(-Examples!$E$9*$A808)*(1-(Examples!$E$12*(1-EXP(-Examples!$E$13*$A808))/(1+EXP(MIN(700,MAX(-700,(Examples!$E$14*$A808-Examples!$E$15)/Examples!$E$16))))))+Examples!$E$17*$A808^2)</f>
        <v>2075253.4333549966</v>
      </c>
      <c r="G808" s="33">
        <f>(Examples!$E$6*Examples!$E$7*Examples!$E$8*EXP(-Examples!$E$9*$A808)*(1-(Examples!$E$12*(1-EXP(-Examples!$E$13*$A808))/(1+EXP(MIN(700,MAX(-700,(Examples!$E$14*$A808-Examples!$E$15)/Examples!$E$16))))))+Examples!$E$17*$A808^2)</f>
        <v>239646.5666450033</v>
      </c>
      <c r="H808" s="33">
        <f>Examples!$F$18-(Examples!$F$10+Examples!$F$11)*$A808-(Examples!$F$6*Examples!$F$7*Examples!$F$8*EXP(-Examples!$F$9*$A808)*(1-(Examples!$F$12*(1-EXP(-Examples!$F$13*$A808))/(1+EXP(MIN(700,MAX(-700,(Examples!$F$14*$A808-Examples!$F$15)/Examples!$F$16))))))+Examples!$F$17*$A808^2)</f>
        <v>-1312031.243676482</v>
      </c>
      <c r="I808" s="33">
        <f>(Examples!$F$6*Examples!$F$7*Examples!$F$8*EXP(-Examples!$F$9*$A808)*(1-(Examples!$F$12*(1-EXP(-Examples!$F$13*$A808))/(1+EXP(MIN(700,MAX(-700,(Examples!$F$14*$A808-Examples!$F$15)/Examples!$F$16))))))+Examples!$F$17*$A808^2)</f>
        <v>1300831.243676482</v>
      </c>
      <c r="J808" s="33">
        <f>Examples!$G$18-(Examples!$G$10+Examples!$G$11)*$A808-(Examples!$G$6*Examples!$G$7*Examples!$G$8*EXP(-Examples!$G$9*$A808)*(1-(Examples!$G$12*(1-EXP(-Examples!$G$13*$A808))/(1+EXP(MIN(700,MAX(-700,(Examples!$G$14*$A808-Examples!$G$15)/Examples!$G$16))))))+Examples!$G$17*$A808^2)</f>
        <v>458254.87672580639</v>
      </c>
      <c r="K808" s="33">
        <f>(Examples!$G$6*Examples!$G$7*Examples!$G$8*EXP(-Examples!$G$9*$A808)*(1-(Examples!$G$12*(1-EXP(-Examples!$G$13*$A808))/(1+EXP(MIN(700,MAX(-700,(Examples!$G$14*$A808-Examples!$G$15)/Examples!$G$16))))))+Examples!$G$17*$A808^2)</f>
        <v>638745.12327419361</v>
      </c>
      <c r="L808" s="33">
        <f>Examples!$H$18-(Examples!$H$10+Examples!$H$11)*$A808-(Examples!$H$6*Examples!$H$7*Examples!$H$8*EXP(-Examples!$H$9*$A808)*(1-(Examples!$H$12*(1-EXP(-Examples!$H$13*$A808))/(1+EXP(MIN(700,MAX(-700,(Examples!$H$14*$A808-Examples!$H$15)/Examples!$H$16))))))+Examples!$H$17*$A808^2)</f>
        <v>458198.46863622556</v>
      </c>
      <c r="M808" s="33">
        <f>(Examples!$H$6*Examples!$H$7*Examples!$H$8*EXP(-Examples!$H$9*$A808)*(1-(Examples!$H$12*(1-EXP(-Examples!$H$13*$A808))/(1+EXP(MIN(700,MAX(-700,(Examples!$H$14*$A808-Examples!$H$15)/Examples!$H$16))))))+Examples!$H$17*$A808^2)</f>
        <v>638801.53136377444</v>
      </c>
    </row>
    <row r="809" spans="1:13" x14ac:dyDescent="0.25">
      <c r="A809">
        <f>(809-2)/100</f>
        <v>8.07</v>
      </c>
      <c r="B809" s="33">
        <f>Examples!$C$18-(Examples!$C$10+Examples!$C$11)*$A809-(Examples!$C$6*Examples!$C$7*Examples!$C$8*EXP(-Examples!$C$9*$A809)*(1-(Examples!$C$12*(1-EXP(-Examples!$C$13*$A809))/(1+EXP(MIN(700,MAX(-700,(Examples!$C$14*$A809-Examples!$C$15)/Examples!$C$16))))))+Examples!$C$17*$A809^2)</f>
        <v>-712623.14415624959</v>
      </c>
      <c r="C809" s="33">
        <f>(Examples!$C$6*Examples!$C$7*Examples!$C$8*EXP(-Examples!$C$9*$A809)*(1-(Examples!$C$12*(1-EXP(-Examples!$C$13*$A809))/(1+EXP(MIN(700,MAX(-700,(Examples!$C$14*$A809-Examples!$C$15)/Examples!$C$16))))))+Examples!$C$17*$A809^2)</f>
        <v>1030173.1441562496</v>
      </c>
      <c r="D809" s="33">
        <f>Examples!$D$18-(Examples!$D$10+Examples!$D$11)*$A809-(Examples!$D$6*Examples!$D$7*Examples!$D$8*EXP(-Examples!$D$9*$A809)*(1-(Examples!$D$12*(1-EXP(-Examples!$D$13*$A809))/(1+EXP(MIN(700,MAX(-700,(Examples!$D$14*$A809-Examples!$D$15)/Examples!$D$16))))))+Examples!$D$17*$A809^2)</f>
        <v>1652738.1636086218</v>
      </c>
      <c r="E809" s="33">
        <f>(Examples!$D$6*Examples!$D$7*Examples!$D$8*EXP(-Examples!$D$9*$A809)*(1-(Examples!$D$12*(1-EXP(-Examples!$D$13*$A809))/(1+EXP(MIN(700,MAX(-700,(Examples!$D$14*$A809-Examples!$D$15)/Examples!$D$16))))))+Examples!$D$17*$A809^2)</f>
        <v>484111.83639137808</v>
      </c>
      <c r="F809" s="33">
        <f>Examples!$E$18-(Examples!$E$10+Examples!$E$11)*$A809-(Examples!$E$6*Examples!$E$7*Examples!$E$8*EXP(-Examples!$E$9*$A809)*(1-(Examples!$E$12*(1-EXP(-Examples!$E$13*$A809))/(1+EXP(MIN(700,MAX(-700,(Examples!$E$14*$A809-Examples!$E$15)/Examples!$E$16))))))+Examples!$E$17*$A809^2)</f>
        <v>2074119.2115718932</v>
      </c>
      <c r="G809" s="33">
        <f>(Examples!$E$6*Examples!$E$7*Examples!$E$8*EXP(-Examples!$E$9*$A809)*(1-(Examples!$E$12*(1-EXP(-Examples!$E$13*$A809))/(1+EXP(MIN(700,MAX(-700,(Examples!$E$14*$A809-Examples!$E$15)/Examples!$E$16))))))+Examples!$E$17*$A809^2)</f>
        <v>239930.78842810678</v>
      </c>
      <c r="H809" s="33">
        <f>Examples!$F$18-(Examples!$F$10+Examples!$F$11)*$A809-(Examples!$F$6*Examples!$F$7*Examples!$F$8*EXP(-Examples!$F$9*$A809)*(1-(Examples!$F$12*(1-EXP(-Examples!$F$13*$A809))/(1+EXP(MIN(700,MAX(-700,(Examples!$F$14*$A809-Examples!$F$15)/Examples!$F$16))))))+Examples!$F$17*$A809^2)</f>
        <v>-1315452.5729550377</v>
      </c>
      <c r="I809" s="33">
        <f>(Examples!$F$6*Examples!$F$7*Examples!$F$8*EXP(-Examples!$F$9*$A809)*(1-(Examples!$F$12*(1-EXP(-Examples!$F$13*$A809))/(1+EXP(MIN(700,MAX(-700,(Examples!$F$14*$A809-Examples!$F$15)/Examples!$F$16))))))+Examples!$F$17*$A809^2)</f>
        <v>1304052.5729550377</v>
      </c>
      <c r="J809" s="33">
        <f>Examples!$G$18-(Examples!$G$10+Examples!$G$11)*$A809-(Examples!$G$6*Examples!$G$7*Examples!$G$8*EXP(-Examples!$G$9*$A809)*(1-(Examples!$G$12*(1-EXP(-Examples!$G$13*$A809))/(1+EXP(MIN(700,MAX(-700,(Examples!$G$14*$A809-Examples!$G$15)/Examples!$G$16))))))+Examples!$G$17*$A809^2)</f>
        <v>456879.63652993971</v>
      </c>
      <c r="K809" s="33">
        <f>(Examples!$G$6*Examples!$G$7*Examples!$G$8*EXP(-Examples!$G$9*$A809)*(1-(Examples!$G$12*(1-EXP(-Examples!$G$13*$A809))/(1+EXP(MIN(700,MAX(-700,(Examples!$G$14*$A809-Examples!$G$15)/Examples!$G$16))))))+Examples!$G$17*$A809^2)</f>
        <v>639620.36347006029</v>
      </c>
      <c r="L809" s="33">
        <f>Examples!$H$18-(Examples!$H$10+Examples!$H$11)*$A809-(Examples!$H$6*Examples!$H$7*Examples!$H$8*EXP(-Examples!$H$9*$A809)*(1-(Examples!$H$12*(1-EXP(-Examples!$H$13*$A809))/(1+EXP(MIN(700,MAX(-700,(Examples!$H$14*$A809-Examples!$H$15)/Examples!$H$16))))))+Examples!$H$17*$A809^2)</f>
        <v>456824.16454837425</v>
      </c>
      <c r="M809" s="33">
        <f>(Examples!$H$6*Examples!$H$7*Examples!$H$8*EXP(-Examples!$H$9*$A809)*(1-(Examples!$H$12*(1-EXP(-Examples!$H$13*$A809))/(1+EXP(MIN(700,MAX(-700,(Examples!$H$14*$A809-Examples!$H$15)/Examples!$H$16))))))+Examples!$H$17*$A809^2)</f>
        <v>639675.83545162575</v>
      </c>
    </row>
    <row r="810" spans="1:13" x14ac:dyDescent="0.25">
      <c r="A810">
        <f>(810-2)/100</f>
        <v>8.08</v>
      </c>
      <c r="B810" s="33">
        <f>Examples!$C$18-(Examples!$C$10+Examples!$C$11)*$A810-(Examples!$C$6*Examples!$C$7*Examples!$C$8*EXP(-Examples!$C$9*$A810)*(1-(Examples!$C$12*(1-EXP(-Examples!$C$13*$A810))/(1+EXP(MIN(700,MAX(-700,(Examples!$C$14*$A810-Examples!$C$15)/Examples!$C$16))))))+Examples!$C$17*$A810^2)</f>
        <v>-715235.98483304761</v>
      </c>
      <c r="C810" s="33">
        <f>(Examples!$C$6*Examples!$C$7*Examples!$C$8*EXP(-Examples!$C$9*$A810)*(1-(Examples!$C$12*(1-EXP(-Examples!$C$13*$A810))/(1+EXP(MIN(700,MAX(-700,(Examples!$C$14*$A810-Examples!$C$15)/Examples!$C$16))))))+Examples!$C$17*$A810^2)</f>
        <v>1032435.9848330476</v>
      </c>
      <c r="D810" s="33">
        <f>Examples!$D$18-(Examples!$D$10+Examples!$D$11)*$A810-(Examples!$D$6*Examples!$D$7*Examples!$D$8*EXP(-Examples!$D$9*$A810)*(1-(Examples!$D$12*(1-EXP(-Examples!$D$13*$A810))/(1+EXP(MIN(700,MAX(-700,(Examples!$D$14*$A810-Examples!$D$15)/Examples!$D$16))))))+Examples!$D$17*$A810^2)</f>
        <v>1652187.3911020816</v>
      </c>
      <c r="E810" s="33">
        <f>(Examples!$D$6*Examples!$D$7*Examples!$D$8*EXP(-Examples!$D$9*$A810)*(1-(Examples!$D$12*(1-EXP(-Examples!$D$13*$A810))/(1+EXP(MIN(700,MAX(-700,(Examples!$D$14*$A810-Examples!$D$15)/Examples!$D$16))))))+Examples!$D$17*$A810^2)</f>
        <v>484212.60889791825</v>
      </c>
      <c r="F810" s="33">
        <f>Examples!$E$18-(Examples!$E$10+Examples!$E$11)*$A810-(Examples!$E$6*Examples!$E$7*Examples!$E$8*EXP(-Examples!$E$9*$A810)*(1-(Examples!$E$12*(1-EXP(-Examples!$E$13*$A810))/(1+EXP(MIN(700,MAX(-700,(Examples!$E$14*$A810-Examples!$E$15)/Examples!$E$16))))))+Examples!$E$17*$A810^2)</f>
        <v>2072983.6673884825</v>
      </c>
      <c r="G810" s="33">
        <f>(Examples!$E$6*Examples!$E$7*Examples!$E$8*EXP(-Examples!$E$9*$A810)*(1-(Examples!$E$12*(1-EXP(-Examples!$E$13*$A810))/(1+EXP(MIN(700,MAX(-700,(Examples!$E$14*$A810-Examples!$E$15)/Examples!$E$16))))))+Examples!$E$17*$A810^2)</f>
        <v>240216.3326115174</v>
      </c>
      <c r="H810" s="33">
        <f>Examples!$F$18-(Examples!$F$10+Examples!$F$11)*$A810-(Examples!$F$6*Examples!$F$7*Examples!$F$8*EXP(-Examples!$F$9*$A810)*(1-(Examples!$F$12*(1-EXP(-Examples!$F$13*$A810))/(1+EXP(MIN(700,MAX(-700,(Examples!$F$14*$A810-Examples!$F$15)/Examples!$F$16))))))+Examples!$F$17*$A810^2)</f>
        <v>-1318877.9162247605</v>
      </c>
      <c r="I810" s="33">
        <f>(Examples!$F$6*Examples!$F$7*Examples!$F$8*EXP(-Examples!$F$9*$A810)*(1-(Examples!$F$12*(1-EXP(-Examples!$F$13*$A810))/(1+EXP(MIN(700,MAX(-700,(Examples!$F$14*$A810-Examples!$F$15)/Examples!$F$16))))))+Examples!$F$17*$A810^2)</f>
        <v>1307277.9162247605</v>
      </c>
      <c r="J810" s="33">
        <f>Examples!$G$18-(Examples!$G$10+Examples!$G$11)*$A810-(Examples!$G$6*Examples!$G$7*Examples!$G$8*EXP(-Examples!$G$9*$A810)*(1-(Examples!$G$12*(1-EXP(-Examples!$G$13*$A810))/(1+EXP(MIN(700,MAX(-700,(Examples!$G$14*$A810-Examples!$G$15)/Examples!$G$16))))))+Examples!$G$17*$A810^2)</f>
        <v>455501.35804953915</v>
      </c>
      <c r="K810" s="33">
        <f>(Examples!$G$6*Examples!$G$7*Examples!$G$8*EXP(-Examples!$G$9*$A810)*(1-(Examples!$G$12*(1-EXP(-Examples!$G$13*$A810))/(1+EXP(MIN(700,MAX(-700,(Examples!$G$14*$A810-Examples!$G$15)/Examples!$G$16))))))+Examples!$G$17*$A810^2)</f>
        <v>640498.64195046085</v>
      </c>
      <c r="L810" s="33">
        <f>Examples!$H$18-(Examples!$H$10+Examples!$H$11)*$A810-(Examples!$H$6*Examples!$H$7*Examples!$H$8*EXP(-Examples!$H$9*$A810)*(1-(Examples!$H$12*(1-EXP(-Examples!$H$13*$A810))/(1+EXP(MIN(700,MAX(-700,(Examples!$H$14*$A810-Examples!$H$15)/Examples!$H$16))))))+Examples!$H$17*$A810^2)</f>
        <v>455446.80667235702</v>
      </c>
      <c r="M810" s="33">
        <f>(Examples!$H$6*Examples!$H$7*Examples!$H$8*EXP(-Examples!$H$9*$A810)*(1-(Examples!$H$12*(1-EXP(-Examples!$H$13*$A810))/(1+EXP(MIN(700,MAX(-700,(Examples!$H$14*$A810-Examples!$H$15)/Examples!$H$16))))))+Examples!$H$17*$A810^2)</f>
        <v>640553.19332764298</v>
      </c>
    </row>
    <row r="811" spans="1:13" x14ac:dyDescent="0.25">
      <c r="A811">
        <f>(811-2)/100</f>
        <v>8.09</v>
      </c>
      <c r="B811" s="33">
        <f>Examples!$C$18-(Examples!$C$10+Examples!$C$11)*$A811-(Examples!$C$6*Examples!$C$7*Examples!$C$8*EXP(-Examples!$C$9*$A811)*(1-(Examples!$C$12*(1-EXP(-Examples!$C$13*$A811))/(1+EXP(MIN(700,MAX(-700,(Examples!$C$14*$A811-Examples!$C$15)/Examples!$C$16))))))+Examples!$C$17*$A811^2)</f>
        <v>-717852.30377004715</v>
      </c>
      <c r="C811" s="33">
        <f>(Examples!$C$6*Examples!$C$7*Examples!$C$8*EXP(-Examples!$C$9*$A811)*(1-(Examples!$C$12*(1-EXP(-Examples!$C$13*$A811))/(1+EXP(MIN(700,MAX(-700,(Examples!$C$14*$A811-Examples!$C$15)/Examples!$C$16))))))+Examples!$C$17*$A811^2)</f>
        <v>1034702.3037700471</v>
      </c>
      <c r="D811" s="33">
        <f>Examples!$D$18-(Examples!$D$10+Examples!$D$11)*$A811-(Examples!$D$6*Examples!$D$7*Examples!$D$8*EXP(-Examples!$D$9*$A811)*(1-(Examples!$D$12*(1-EXP(-Examples!$D$13*$A811))/(1+EXP(MIN(700,MAX(-700,(Examples!$D$14*$A811-Examples!$D$15)/Examples!$D$16))))))+Examples!$D$17*$A811^2)</f>
        <v>1651632.5307</v>
      </c>
      <c r="E811" s="33">
        <f>(Examples!$D$6*Examples!$D$7*Examples!$D$8*EXP(-Examples!$D$9*$A811)*(1-(Examples!$D$12*(1-EXP(-Examples!$D$13*$A811))/(1+EXP(MIN(700,MAX(-700,(Examples!$D$14*$A811-Examples!$D$15)/Examples!$D$16))))))+Examples!$D$17*$A811^2)</f>
        <v>484317.4693</v>
      </c>
      <c r="F811" s="33">
        <f>Examples!$E$18-(Examples!$E$10+Examples!$E$11)*$A811-(Examples!$E$6*Examples!$E$7*Examples!$E$8*EXP(-Examples!$E$9*$A811)*(1-(Examples!$E$12*(1-EXP(-Examples!$E$13*$A811))/(1+EXP(MIN(700,MAX(-700,(Examples!$E$14*$A811-Examples!$E$15)/Examples!$E$16))))))+Examples!$E$17*$A811^2)</f>
        <v>2071846.8014527522</v>
      </c>
      <c r="G811" s="33">
        <f>(Examples!$E$6*Examples!$E$7*Examples!$E$8*EXP(-Examples!$E$9*$A811)*(1-(Examples!$E$12*(1-EXP(-Examples!$E$13*$A811))/(1+EXP(MIN(700,MAX(-700,(Examples!$E$14*$A811-Examples!$E$15)/Examples!$E$16))))))+Examples!$E$17*$A811^2)</f>
        <v>240503.1985472478</v>
      </c>
      <c r="H811" s="33">
        <f>Examples!$F$18-(Examples!$F$10+Examples!$F$11)*$A811-(Examples!$F$6*Examples!$F$7*Examples!$F$8*EXP(-Examples!$F$9*$A811)*(1-(Examples!$F$12*(1-EXP(-Examples!$F$13*$A811))/(1+EXP(MIN(700,MAX(-700,(Examples!$F$14*$A811-Examples!$F$15)/Examples!$F$16))))))+Examples!$F$17*$A811^2)</f>
        <v>-1322307.2734437396</v>
      </c>
      <c r="I811" s="33">
        <f>(Examples!$F$6*Examples!$F$7*Examples!$F$8*EXP(-Examples!$F$9*$A811)*(1-(Examples!$F$12*(1-EXP(-Examples!$F$13*$A811))/(1+EXP(MIN(700,MAX(-700,(Examples!$F$14*$A811-Examples!$F$15)/Examples!$F$16))))))+Examples!$F$17*$A811^2)</f>
        <v>1310507.2734437396</v>
      </c>
      <c r="J811" s="33">
        <f>Examples!$G$18-(Examples!$G$10+Examples!$G$11)*$A811-(Examples!$G$6*Examples!$G$7*Examples!$G$8*EXP(-Examples!$G$9*$A811)*(1-(Examples!$G$12*(1-EXP(-Examples!$G$13*$A811))/(1+EXP(MIN(700,MAX(-700,(Examples!$G$14*$A811-Examples!$G$15)/Examples!$G$16))))))+Examples!$G$17*$A811^2)</f>
        <v>454120.04610786866</v>
      </c>
      <c r="K811" s="33">
        <f>(Examples!$G$6*Examples!$G$7*Examples!$G$8*EXP(-Examples!$G$9*$A811)*(1-(Examples!$G$12*(1-EXP(-Examples!$G$13*$A811))/(1+EXP(MIN(700,MAX(-700,(Examples!$G$14*$A811-Examples!$G$15)/Examples!$G$16))))))+Examples!$G$17*$A811^2)</f>
        <v>641379.95389213134</v>
      </c>
      <c r="L811" s="33">
        <f>Examples!$H$18-(Examples!$H$10+Examples!$H$11)*$A811-(Examples!$H$6*Examples!$H$7*Examples!$H$8*EXP(-Examples!$H$9*$A811)*(1-(Examples!$H$12*(1-EXP(-Examples!$H$13*$A811))/(1+EXP(MIN(700,MAX(-700,(Examples!$H$14*$A811-Examples!$H$15)/Examples!$H$16))))))+Examples!$H$17*$A811^2)</f>
        <v>454066.40008747193</v>
      </c>
      <c r="M811" s="33">
        <f>(Examples!$H$6*Examples!$H$7*Examples!$H$8*EXP(-Examples!$H$9*$A811)*(1-(Examples!$H$12*(1-EXP(-Examples!$H$13*$A811))/(1+EXP(MIN(700,MAX(-700,(Examples!$H$14*$A811-Examples!$H$15)/Examples!$H$16))))))+Examples!$H$17*$A811^2)</f>
        <v>641433.59991252807</v>
      </c>
    </row>
    <row r="812" spans="1:13" x14ac:dyDescent="0.25">
      <c r="A812">
        <f>(812-2)/100</f>
        <v>8.1</v>
      </c>
      <c r="B812" s="33">
        <f>Examples!$C$18-(Examples!$C$10+Examples!$C$11)*$A812-(Examples!$C$6*Examples!$C$7*Examples!$C$8*EXP(-Examples!$C$9*$A812)*(1-(Examples!$C$12*(1-EXP(-Examples!$C$13*$A812))/(1+EXP(MIN(700,MAX(-700,(Examples!$C$14*$A812-Examples!$C$15)/Examples!$C$16))))))+Examples!$C$17*$A812^2)</f>
        <v>-720472.09953461844</v>
      </c>
      <c r="C812" s="33">
        <f>(Examples!$C$6*Examples!$C$7*Examples!$C$8*EXP(-Examples!$C$9*$A812)*(1-(Examples!$C$12*(1-EXP(-Examples!$C$13*$A812))/(1+EXP(MIN(700,MAX(-700,(Examples!$C$14*$A812-Examples!$C$15)/Examples!$C$16))))))+Examples!$C$17*$A812^2)</f>
        <v>1036972.0995346184</v>
      </c>
      <c r="D812" s="33">
        <f>Examples!$D$18-(Examples!$D$10+Examples!$D$11)*$A812-(Examples!$D$6*Examples!$D$7*Examples!$D$8*EXP(-Examples!$D$9*$A812)*(1-(Examples!$D$12*(1-EXP(-Examples!$D$13*$A812))/(1+EXP(MIN(700,MAX(-700,(Examples!$D$14*$A812-Examples!$D$15)/Examples!$D$16))))))+Examples!$D$17*$A812^2)</f>
        <v>1651073.5947799915</v>
      </c>
      <c r="E812" s="33">
        <f>(Examples!$D$6*Examples!$D$7*Examples!$D$8*EXP(-Examples!$D$9*$A812)*(1-(Examples!$D$12*(1-EXP(-Examples!$D$13*$A812))/(1+EXP(MIN(700,MAX(-700,(Examples!$D$14*$A812-Examples!$D$15)/Examples!$D$16))))))+Examples!$D$17*$A812^2)</f>
        <v>484426.40522000846</v>
      </c>
      <c r="F812" s="33">
        <f>Examples!$E$18-(Examples!$E$10+Examples!$E$11)*$A812-(Examples!$E$6*Examples!$E$7*Examples!$E$8*EXP(-Examples!$E$9*$A812)*(1-(Examples!$E$12*(1-EXP(-Examples!$E$13*$A812))/(1+EXP(MIN(700,MAX(-700,(Examples!$E$14*$A812-Examples!$E$15)/Examples!$E$16))))))+Examples!$E$17*$A812^2)</f>
        <v>2070708.6144371231</v>
      </c>
      <c r="G812" s="33">
        <f>(Examples!$E$6*Examples!$E$7*Examples!$E$8*EXP(-Examples!$E$9*$A812)*(1-(Examples!$E$12*(1-EXP(-Examples!$E$13*$A812))/(1+EXP(MIN(700,MAX(-700,(Examples!$E$14*$A812-Examples!$E$15)/Examples!$E$16))))))+Examples!$E$17*$A812^2)</f>
        <v>240791.38556287697</v>
      </c>
      <c r="H812" s="33">
        <f>Examples!$F$18-(Examples!$F$10+Examples!$F$11)*$A812-(Examples!$F$6*Examples!$F$7*Examples!$F$8*EXP(-Examples!$F$9*$A812)*(1-(Examples!$F$12*(1-EXP(-Examples!$F$13*$A812))/(1+EXP(MIN(700,MAX(-700,(Examples!$F$14*$A812-Examples!$F$15)/Examples!$F$16))))))+Examples!$F$17*$A812^2)</f>
        <v>-1325740.6445701905</v>
      </c>
      <c r="I812" s="33">
        <f>(Examples!$F$6*Examples!$F$7*Examples!$F$8*EXP(-Examples!$F$9*$A812)*(1-(Examples!$F$12*(1-EXP(-Examples!$F$13*$A812))/(1+EXP(MIN(700,MAX(-700,(Examples!$F$14*$A812-Examples!$F$15)/Examples!$F$16))))))+Examples!$F$17*$A812^2)</f>
        <v>1313740.6445701905</v>
      </c>
      <c r="J812" s="33">
        <f>Examples!$G$18-(Examples!$G$10+Examples!$G$11)*$A812-(Examples!$G$6*Examples!$G$7*Examples!$G$8*EXP(-Examples!$G$9*$A812)*(1-(Examples!$G$12*(1-EXP(-Examples!$G$13*$A812))/(1+EXP(MIN(700,MAX(-700,(Examples!$G$14*$A812-Examples!$G$15)/Examples!$G$16))))))+Examples!$G$17*$A812^2)</f>
        <v>452735.70551465859</v>
      </c>
      <c r="K812" s="33">
        <f>(Examples!$G$6*Examples!$G$7*Examples!$G$8*EXP(-Examples!$G$9*$A812)*(1-(Examples!$G$12*(1-EXP(-Examples!$G$13*$A812))/(1+EXP(MIN(700,MAX(-700,(Examples!$G$14*$A812-Examples!$G$15)/Examples!$G$16))))))+Examples!$G$17*$A812^2)</f>
        <v>642264.29448534141</v>
      </c>
      <c r="L812" s="33">
        <f>Examples!$H$18-(Examples!$H$10+Examples!$H$11)*$A812-(Examples!$H$6*Examples!$H$7*Examples!$H$8*EXP(-Examples!$H$9*$A812)*(1-(Examples!$H$12*(1-EXP(-Examples!$H$13*$A812))/(1+EXP(MIN(700,MAX(-700,(Examples!$H$14*$A812-Examples!$H$15)/Examples!$H$16))))))+Examples!$H$17*$A812^2)</f>
        <v>452682.94985527277</v>
      </c>
      <c r="M812" s="33">
        <f>(Examples!$H$6*Examples!$H$7*Examples!$H$8*EXP(-Examples!$H$9*$A812)*(1-(Examples!$H$12*(1-EXP(-Examples!$H$13*$A812))/(1+EXP(MIN(700,MAX(-700,(Examples!$H$14*$A812-Examples!$H$15)/Examples!$H$16))))))+Examples!$H$17*$A812^2)</f>
        <v>642317.05014472723</v>
      </c>
    </row>
    <row r="813" spans="1:13" x14ac:dyDescent="0.25">
      <c r="A813">
        <f>(813-2)/100</f>
        <v>8.11</v>
      </c>
      <c r="B813" s="33">
        <f>Examples!$C$18-(Examples!$C$10+Examples!$C$11)*$A813-(Examples!$C$6*Examples!$C$7*Examples!$C$8*EXP(-Examples!$C$9*$A813)*(1-(Examples!$C$12*(1-EXP(-Examples!$C$13*$A813))/(1+EXP(MIN(700,MAX(-700,(Examples!$C$14*$A813-Examples!$C$15)/Examples!$C$16))))))+Examples!$C$17*$A813^2)</f>
        <v>-723095.37069842266</v>
      </c>
      <c r="C813" s="33">
        <f>(Examples!$C$6*Examples!$C$7*Examples!$C$8*EXP(-Examples!$C$9*$A813)*(1-(Examples!$C$12*(1-EXP(-Examples!$C$13*$A813))/(1+EXP(MIN(700,MAX(-700,(Examples!$C$14*$A813-Examples!$C$15)/Examples!$C$16))))))+Examples!$C$17*$A813^2)</f>
        <v>1039245.3706984227</v>
      </c>
      <c r="D813" s="33">
        <f>Examples!$D$18-(Examples!$D$10+Examples!$D$11)*$A813-(Examples!$D$6*Examples!$D$7*Examples!$D$8*EXP(-Examples!$D$9*$A813)*(1-(Examples!$D$12*(1-EXP(-Examples!$D$13*$A813))/(1+EXP(MIN(700,MAX(-700,(Examples!$D$14*$A813-Examples!$D$15)/Examples!$D$16))))))+Examples!$D$17*$A813^2)</f>
        <v>1650510.5956898252</v>
      </c>
      <c r="E813" s="33">
        <f>(Examples!$D$6*Examples!$D$7*Examples!$D$8*EXP(-Examples!$D$9*$A813)*(1-(Examples!$D$12*(1-EXP(-Examples!$D$13*$A813))/(1+EXP(MIN(700,MAX(-700,(Examples!$D$14*$A813-Examples!$D$15)/Examples!$D$16))))))+Examples!$D$17*$A813^2)</f>
        <v>484539.40431017464</v>
      </c>
      <c r="F813" s="33">
        <f>Examples!$E$18-(Examples!$E$10+Examples!$E$11)*$A813-(Examples!$E$6*Examples!$E$7*Examples!$E$8*EXP(-Examples!$E$9*$A813)*(1-(Examples!$E$12*(1-EXP(-Examples!$E$13*$A813))/(1+EXP(MIN(700,MAX(-700,(Examples!$E$14*$A813-Examples!$E$15)/Examples!$E$16))))))+Examples!$E$17*$A813^2)</f>
        <v>2069569.1070381508</v>
      </c>
      <c r="G813" s="33">
        <f>(Examples!$E$6*Examples!$E$7*Examples!$E$8*EXP(-Examples!$E$9*$A813)*(1-(Examples!$E$12*(1-EXP(-Examples!$E$13*$A813))/(1+EXP(MIN(700,MAX(-700,(Examples!$E$14*$A813-Examples!$E$15)/Examples!$E$16))))))+Examples!$E$17*$A813^2)</f>
        <v>241080.89296184928</v>
      </c>
      <c r="H813" s="33">
        <f>Examples!$F$18-(Examples!$F$10+Examples!$F$11)*$A813-(Examples!$F$6*Examples!$F$7*Examples!$F$8*EXP(-Examples!$F$9*$A813)*(1-(Examples!$F$12*(1-EXP(-Examples!$F$13*$A813))/(1+EXP(MIN(700,MAX(-700,(Examples!$F$14*$A813-Examples!$F$15)/Examples!$F$16))))))+Examples!$F$17*$A813^2)</f>
        <v>-1329178.0295624528</v>
      </c>
      <c r="I813" s="33">
        <f>(Examples!$F$6*Examples!$F$7*Examples!$F$8*EXP(-Examples!$F$9*$A813)*(1-(Examples!$F$12*(1-EXP(-Examples!$F$13*$A813))/(1+EXP(MIN(700,MAX(-700,(Examples!$F$14*$A813-Examples!$F$15)/Examples!$F$16))))))+Examples!$F$17*$A813^2)</f>
        <v>1316978.0295624528</v>
      </c>
      <c r="J813" s="33">
        <f>Examples!$G$18-(Examples!$G$10+Examples!$G$11)*$A813-(Examples!$G$6*Examples!$G$7*Examples!$G$8*EXP(-Examples!$G$9*$A813)*(1-(Examples!$G$12*(1-EXP(-Examples!$G$13*$A813))/(1+EXP(MIN(700,MAX(-700,(Examples!$G$14*$A813-Examples!$G$15)/Examples!$G$16))))))+Examples!$G$17*$A813^2)</f>
        <v>451348.34106609924</v>
      </c>
      <c r="K813" s="33">
        <f>(Examples!$G$6*Examples!$G$7*Examples!$G$8*EXP(-Examples!$G$9*$A813)*(1-(Examples!$G$12*(1-EXP(-Examples!$G$13*$A813))/(1+EXP(MIN(700,MAX(-700,(Examples!$G$14*$A813-Examples!$G$15)/Examples!$G$16))))))+Examples!$G$17*$A813^2)</f>
        <v>643151.65893390076</v>
      </c>
      <c r="L813" s="33">
        <f>Examples!$H$18-(Examples!$H$10+Examples!$H$11)*$A813-(Examples!$H$6*Examples!$H$7*Examples!$H$8*EXP(-Examples!$H$9*$A813)*(1-(Examples!$H$12*(1-EXP(-Examples!$H$13*$A813))/(1+EXP(MIN(700,MAX(-700,(Examples!$H$14*$A813-Examples!$H$15)/Examples!$H$16))))))+Examples!$H$17*$A813^2)</f>
        <v>451296.46101963171</v>
      </c>
      <c r="M813" s="33">
        <f>(Examples!$H$6*Examples!$H$7*Examples!$H$8*EXP(-Examples!$H$9*$A813)*(1-(Examples!$H$12*(1-EXP(-Examples!$H$13*$A813))/(1+EXP(MIN(700,MAX(-700,(Examples!$H$14*$A813-Examples!$H$15)/Examples!$H$16))))))+Examples!$H$17*$A813^2)</f>
        <v>643203.53898036829</v>
      </c>
    </row>
    <row r="814" spans="1:13" x14ac:dyDescent="0.25">
      <c r="A814">
        <f>(814-2)/100</f>
        <v>8.1199999999999992</v>
      </c>
      <c r="B814" s="33">
        <f>Examples!$C$18-(Examples!$C$10+Examples!$C$11)*$A814-(Examples!$C$6*Examples!$C$7*Examples!$C$8*EXP(-Examples!$C$9*$A814)*(1-(Examples!$C$12*(1-EXP(-Examples!$C$13*$A814))/(1+EXP(MIN(700,MAX(-700,(Examples!$C$14*$A814-Examples!$C$15)/Examples!$C$16))))))+Examples!$C$17*$A814^2)</f>
        <v>-725722.11583740008</v>
      </c>
      <c r="C814" s="33">
        <f>(Examples!$C$6*Examples!$C$7*Examples!$C$8*EXP(-Examples!$C$9*$A814)*(1-(Examples!$C$12*(1-EXP(-Examples!$C$13*$A814))/(1+EXP(MIN(700,MAX(-700,(Examples!$C$14*$A814-Examples!$C$15)/Examples!$C$16))))))+Examples!$C$17*$A814^2)</f>
        <v>1041522.1158374001</v>
      </c>
      <c r="D814" s="33">
        <f>Examples!$D$18-(Examples!$D$10+Examples!$D$11)*$A814-(Examples!$D$6*Examples!$D$7*Examples!$D$8*EXP(-Examples!$D$9*$A814)*(1-(Examples!$D$12*(1-EXP(-Examples!$D$13*$A814))/(1+EXP(MIN(700,MAX(-700,(Examples!$D$14*$A814-Examples!$D$15)/Examples!$D$16))))))+Examples!$D$17*$A814^2)</f>
        <v>1649943.5457471197</v>
      </c>
      <c r="E814" s="33">
        <f>(Examples!$D$6*Examples!$D$7*Examples!$D$8*EXP(-Examples!$D$9*$A814)*(1-(Examples!$D$12*(1-EXP(-Examples!$D$13*$A814))/(1+EXP(MIN(700,MAX(-700,(Examples!$D$14*$A814-Examples!$D$15)/Examples!$D$16))))))+Examples!$D$17*$A814^2)</f>
        <v>484656.45425288036</v>
      </c>
      <c r="F814" s="33">
        <f>Examples!$E$18-(Examples!$E$10+Examples!$E$11)*$A814-(Examples!$E$6*Examples!$E$7*Examples!$E$8*EXP(-Examples!$E$9*$A814)*(1-(Examples!$E$12*(1-EXP(-Examples!$E$13*$A814))/(1+EXP(MIN(700,MAX(-700,(Examples!$E$14*$A814-Examples!$E$15)/Examples!$E$16))))))+Examples!$E$17*$A814^2)</f>
        <v>2068428.2799762276</v>
      </c>
      <c r="G814" s="33">
        <f>(Examples!$E$6*Examples!$E$7*Examples!$E$8*EXP(-Examples!$E$9*$A814)*(1-(Examples!$E$12*(1-EXP(-Examples!$E$13*$A814))/(1+EXP(MIN(700,MAX(-700,(Examples!$E$14*$A814-Examples!$E$15)/Examples!$E$16))))))+Examples!$E$17*$A814^2)</f>
        <v>241371.72002377245</v>
      </c>
      <c r="H814" s="33">
        <f>Examples!$F$18-(Examples!$F$10+Examples!$F$11)*$A814-(Examples!$F$6*Examples!$F$7*Examples!$F$8*EXP(-Examples!$F$9*$A814)*(1-(Examples!$F$12*(1-EXP(-Examples!$F$13*$A814))/(1+EXP(MIN(700,MAX(-700,(Examples!$F$14*$A814-Examples!$F$15)/Examples!$F$16))))))+Examples!$F$17*$A814^2)</f>
        <v>-1332619.4283789911</v>
      </c>
      <c r="I814" s="33">
        <f>(Examples!$F$6*Examples!$F$7*Examples!$F$8*EXP(-Examples!$F$9*$A814)*(1-(Examples!$F$12*(1-EXP(-Examples!$F$13*$A814))/(1+EXP(MIN(700,MAX(-700,(Examples!$F$14*$A814-Examples!$F$15)/Examples!$F$16))))))+Examples!$F$17*$A814^2)</f>
        <v>1320219.4283789911</v>
      </c>
      <c r="J814" s="33">
        <f>Examples!$G$18-(Examples!$G$10+Examples!$G$11)*$A814-(Examples!$G$6*Examples!$G$7*Examples!$G$8*EXP(-Examples!$G$9*$A814)*(1-(Examples!$G$12*(1-EXP(-Examples!$G$13*$A814))/(1+EXP(MIN(700,MAX(-700,(Examples!$G$14*$A814-Examples!$G$15)/Examples!$G$16))))))+Examples!$G$17*$A814^2)</f>
        <v>449957.957544834</v>
      </c>
      <c r="K814" s="33">
        <f>(Examples!$G$6*Examples!$G$7*Examples!$G$8*EXP(-Examples!$G$9*$A814)*(1-(Examples!$G$12*(1-EXP(-Examples!$G$13*$A814))/(1+EXP(MIN(700,MAX(-700,(Examples!$G$14*$A814-Examples!$G$15)/Examples!$G$16))))))+Examples!$G$17*$A814^2)</f>
        <v>644042.042455166</v>
      </c>
      <c r="L814" s="33">
        <f>Examples!$H$18-(Examples!$H$10+Examples!$H$11)*$A814-(Examples!$H$6*Examples!$H$7*Examples!$H$8*EXP(-Examples!$H$9*$A814)*(1-(Examples!$H$12*(1-EXP(-Examples!$H$13*$A814))/(1+EXP(MIN(700,MAX(-700,(Examples!$H$14*$A814-Examples!$H$15)/Examples!$H$16))))))+Examples!$H$17*$A814^2)</f>
        <v>449906.93860679958</v>
      </c>
      <c r="M814" s="33">
        <f>(Examples!$H$6*Examples!$H$7*Examples!$H$8*EXP(-Examples!$H$9*$A814)*(1-(Examples!$H$12*(1-EXP(-Examples!$H$13*$A814))/(1+EXP(MIN(700,MAX(-700,(Examples!$H$14*$A814-Examples!$H$15)/Examples!$H$16))))))+Examples!$H$17*$A814^2)</f>
        <v>644093.06139320042</v>
      </c>
    </row>
    <row r="815" spans="1:13" x14ac:dyDescent="0.25">
      <c r="A815">
        <f>(815-2)/100</f>
        <v>8.1300000000000008</v>
      </c>
      <c r="B815" s="33">
        <f>Examples!$C$18-(Examples!$C$10+Examples!$C$11)*$A815-(Examples!$C$6*Examples!$C$7*Examples!$C$8*EXP(-Examples!$C$9*$A815)*(1-(Examples!$C$12*(1-EXP(-Examples!$C$13*$A815))/(1+EXP(MIN(700,MAX(-700,(Examples!$C$14*$A815-Examples!$C$15)/Examples!$C$16))))))+Examples!$C$17*$A815^2)</f>
        <v>-728352.33353175723</v>
      </c>
      <c r="C815" s="33">
        <f>(Examples!$C$6*Examples!$C$7*Examples!$C$8*EXP(-Examples!$C$9*$A815)*(1-(Examples!$C$12*(1-EXP(-Examples!$C$13*$A815))/(1+EXP(MIN(700,MAX(-700,(Examples!$C$14*$A815-Examples!$C$15)/Examples!$C$16))))))+Examples!$C$17*$A815^2)</f>
        <v>1043802.3335317572</v>
      </c>
      <c r="D815" s="33">
        <f>Examples!$D$18-(Examples!$D$10+Examples!$D$11)*$A815-(Examples!$D$6*Examples!$D$7*Examples!$D$8*EXP(-Examples!$D$9*$A815)*(1-(Examples!$D$12*(1-EXP(-Examples!$D$13*$A815))/(1+EXP(MIN(700,MAX(-700,(Examples!$D$14*$A815-Examples!$D$15)/Examples!$D$16))))))+Examples!$D$17*$A815^2)</f>
        <v>1649372.4572390444</v>
      </c>
      <c r="E815" s="33">
        <f>(Examples!$D$6*Examples!$D$7*Examples!$D$8*EXP(-Examples!$D$9*$A815)*(1-(Examples!$D$12*(1-EXP(-Examples!$D$13*$A815))/(1+EXP(MIN(700,MAX(-700,(Examples!$D$14*$A815-Examples!$D$15)/Examples!$D$16))))))+Examples!$D$17*$A815^2)</f>
        <v>484777.54276095569</v>
      </c>
      <c r="F815" s="33">
        <f>Examples!$E$18-(Examples!$E$10+Examples!$E$11)*$A815-(Examples!$E$6*Examples!$E$7*Examples!$E$8*EXP(-Examples!$E$9*$A815)*(1-(Examples!$E$12*(1-EXP(-Examples!$E$13*$A815))/(1+EXP(MIN(700,MAX(-700,(Examples!$E$14*$A815-Examples!$E$15)/Examples!$E$16))))))+Examples!$E$17*$A815^2)</f>
        <v>2067286.1339952853</v>
      </c>
      <c r="G815" s="33">
        <f>(Examples!$E$6*Examples!$E$7*Examples!$E$8*EXP(-Examples!$E$9*$A815)*(1-(Examples!$E$12*(1-EXP(-Examples!$E$13*$A815))/(1+EXP(MIN(700,MAX(-700,(Examples!$E$14*$A815-Examples!$E$15)/Examples!$E$16))))))+Examples!$E$17*$A815^2)</f>
        <v>241663.86600471477</v>
      </c>
      <c r="H815" s="33">
        <f>Examples!$F$18-(Examples!$F$10+Examples!$F$11)*$A815-(Examples!$F$6*Examples!$F$7*Examples!$F$8*EXP(-Examples!$F$9*$A815)*(1-(Examples!$F$12*(1-EXP(-Examples!$F$13*$A815))/(1+EXP(MIN(700,MAX(-700,(Examples!$F$14*$A815-Examples!$F$15)/Examples!$F$16))))))+Examples!$F$17*$A815^2)</f>
        <v>-1336064.8409783966</v>
      </c>
      <c r="I815" s="33">
        <f>(Examples!$F$6*Examples!$F$7*Examples!$F$8*EXP(-Examples!$F$9*$A815)*(1-(Examples!$F$12*(1-EXP(-Examples!$F$13*$A815))/(1+EXP(MIN(700,MAX(-700,(Examples!$F$14*$A815-Examples!$F$15)/Examples!$F$16))))))+Examples!$F$17*$A815^2)</f>
        <v>1323464.8409783966</v>
      </c>
      <c r="J815" s="33">
        <f>Examples!$G$18-(Examples!$G$10+Examples!$G$11)*$A815-(Examples!$G$6*Examples!$G$7*Examples!$G$8*EXP(-Examples!$G$9*$A815)*(1-(Examples!$G$12*(1-EXP(-Examples!$G$13*$A815))/(1+EXP(MIN(700,MAX(-700,(Examples!$G$14*$A815-Examples!$G$15)/Examples!$G$16))))))+Examples!$G$17*$A815^2)</f>
        <v>448564.55971995485</v>
      </c>
      <c r="K815" s="33">
        <f>(Examples!$G$6*Examples!$G$7*Examples!$G$8*EXP(-Examples!$G$9*$A815)*(1-(Examples!$G$12*(1-EXP(-Examples!$G$13*$A815))/(1+EXP(MIN(700,MAX(-700,(Examples!$G$14*$A815-Examples!$G$15)/Examples!$G$16))))))+Examples!$G$17*$A815^2)</f>
        <v>644935.44028004515</v>
      </c>
      <c r="L815" s="33">
        <f>Examples!$H$18-(Examples!$H$10+Examples!$H$11)*$A815-(Examples!$H$6*Examples!$H$7*Examples!$H$8*EXP(-Examples!$H$9*$A815)*(1-(Examples!$H$12*(1-EXP(-Examples!$H$13*$A815))/(1+EXP(MIN(700,MAX(-700,(Examples!$H$14*$A815-Examples!$H$15)/Examples!$H$16))))))+Examples!$H$17*$A815^2)</f>
        <v>448514.38762546808</v>
      </c>
      <c r="M815" s="33">
        <f>(Examples!$H$6*Examples!$H$7*Examples!$H$8*EXP(-Examples!$H$9*$A815)*(1-(Examples!$H$12*(1-EXP(-Examples!$H$13*$A815))/(1+EXP(MIN(700,MAX(-700,(Examples!$H$14*$A815-Examples!$H$15)/Examples!$H$16))))))+Examples!$H$17*$A815^2)</f>
        <v>644985.61237453192</v>
      </c>
    </row>
    <row r="816" spans="1:13" x14ac:dyDescent="0.25">
      <c r="A816">
        <f>(816-2)/100</f>
        <v>8.14</v>
      </c>
      <c r="B816" s="33">
        <f>Examples!$C$18-(Examples!$C$10+Examples!$C$11)*$A816-(Examples!$C$6*Examples!$C$7*Examples!$C$8*EXP(-Examples!$C$9*$A816)*(1-(Examples!$C$12*(1-EXP(-Examples!$C$13*$A816))/(1+EXP(MIN(700,MAX(-700,(Examples!$C$14*$A816-Examples!$C$15)/Examples!$C$16))))))+Examples!$C$17*$A816^2)</f>
        <v>-730986.02236595168</v>
      </c>
      <c r="C816" s="33">
        <f>(Examples!$C$6*Examples!$C$7*Examples!$C$8*EXP(-Examples!$C$9*$A816)*(1-(Examples!$C$12*(1-EXP(-Examples!$C$13*$A816))/(1+EXP(MIN(700,MAX(-700,(Examples!$C$14*$A816-Examples!$C$15)/Examples!$C$16))))))+Examples!$C$17*$A816^2)</f>
        <v>1046086.0223659517</v>
      </c>
      <c r="D816" s="33">
        <f>Examples!$D$18-(Examples!$D$10+Examples!$D$11)*$A816-(Examples!$D$6*Examples!$D$7*Examples!$D$8*EXP(-Examples!$D$9*$A816)*(1-(Examples!$D$12*(1-EXP(-Examples!$D$13*$A816))/(1+EXP(MIN(700,MAX(-700,(Examples!$D$14*$A816-Examples!$D$15)/Examples!$D$16))))))+Examples!$D$17*$A816^2)</f>
        <v>1648797.3424220344</v>
      </c>
      <c r="E816" s="33">
        <f>(Examples!$D$6*Examples!$D$7*Examples!$D$8*EXP(-Examples!$D$9*$A816)*(1-(Examples!$D$12*(1-EXP(-Examples!$D$13*$A816))/(1+EXP(MIN(700,MAX(-700,(Examples!$D$14*$A816-Examples!$D$15)/Examples!$D$16))))))+Examples!$D$17*$A816^2)</f>
        <v>484902.65757796558</v>
      </c>
      <c r="F816" s="33">
        <f>Examples!$E$18-(Examples!$E$10+Examples!$E$11)*$A816-(Examples!$E$6*Examples!$E$7*Examples!$E$8*EXP(-Examples!$E$9*$A816)*(1-(Examples!$E$12*(1-EXP(-Examples!$E$13*$A816))/(1+EXP(MIN(700,MAX(-700,(Examples!$E$14*$A816-Examples!$E$15)/Examples!$E$16))))))+Examples!$E$17*$A816^2)</f>
        <v>2066142.6698624995</v>
      </c>
      <c r="G816" s="33">
        <f>(Examples!$E$6*Examples!$E$7*Examples!$E$8*EXP(-Examples!$E$9*$A816)*(1-(Examples!$E$12*(1-EXP(-Examples!$E$13*$A816))/(1+EXP(MIN(700,MAX(-700,(Examples!$E$14*$A816-Examples!$E$15)/Examples!$E$16))))))+Examples!$E$17*$A816^2)</f>
        <v>241957.33013750042</v>
      </c>
      <c r="H816" s="33">
        <f>Examples!$F$18-(Examples!$F$10+Examples!$F$11)*$A816-(Examples!$F$6*Examples!$F$7*Examples!$F$8*EXP(-Examples!$F$9*$A816)*(1-(Examples!$F$12*(1-EXP(-Examples!$F$13*$A816))/(1+EXP(MIN(700,MAX(-700,(Examples!$F$14*$A816-Examples!$F$15)/Examples!$F$16))))))+Examples!$F$17*$A816^2)</f>
        <v>-1339514.2673193801</v>
      </c>
      <c r="I816" s="33">
        <f>(Examples!$F$6*Examples!$F$7*Examples!$F$8*EXP(-Examples!$F$9*$A816)*(1-(Examples!$F$12*(1-EXP(-Examples!$F$13*$A816))/(1+EXP(MIN(700,MAX(-700,(Examples!$F$14*$A816-Examples!$F$15)/Examples!$F$16))))))+Examples!$F$17*$A816^2)</f>
        <v>1326714.2673193801</v>
      </c>
      <c r="J816" s="33">
        <f>Examples!$G$18-(Examples!$G$10+Examples!$G$11)*$A816-(Examples!$G$6*Examples!$G$7*Examples!$G$8*EXP(-Examples!$G$9*$A816)*(1-(Examples!$G$12*(1-EXP(-Examples!$G$13*$A816))/(1+EXP(MIN(700,MAX(-700,(Examples!$G$14*$A816-Examples!$G$15)/Examples!$G$16))))))+Examples!$G$17*$A816^2)</f>
        <v>447168.15234699915</v>
      </c>
      <c r="K816" s="33">
        <f>(Examples!$G$6*Examples!$G$7*Examples!$G$8*EXP(-Examples!$G$9*$A816)*(1-(Examples!$G$12*(1-EXP(-Examples!$G$13*$A816))/(1+EXP(MIN(700,MAX(-700,(Examples!$G$14*$A816-Examples!$G$15)/Examples!$G$16))))))+Examples!$G$17*$A816^2)</f>
        <v>645831.84765300085</v>
      </c>
      <c r="L816" s="33">
        <f>Examples!$H$18-(Examples!$H$10+Examples!$H$11)*$A816-(Examples!$H$6*Examples!$H$7*Examples!$H$8*EXP(-Examples!$H$9*$A816)*(1-(Examples!$H$12*(1-EXP(-Examples!$H$13*$A816))/(1+EXP(MIN(700,MAX(-700,(Examples!$H$14*$A816-Examples!$H$15)/Examples!$H$16))))))+Examples!$H$17*$A816^2)</f>
        <v>447118.81306683249</v>
      </c>
      <c r="M816" s="33">
        <f>(Examples!$H$6*Examples!$H$7*Examples!$H$8*EXP(-Examples!$H$9*$A816)*(1-(Examples!$H$12*(1-EXP(-Examples!$H$13*$A816))/(1+EXP(MIN(700,MAX(-700,(Examples!$H$14*$A816-Examples!$H$15)/Examples!$H$16))))))+Examples!$H$17*$A816^2)</f>
        <v>645881.18693316751</v>
      </c>
    </row>
    <row r="817" spans="1:13" x14ac:dyDescent="0.25">
      <c r="A817">
        <f>(817-2)/100</f>
        <v>8.15</v>
      </c>
      <c r="B817" s="33">
        <f>Examples!$C$18-(Examples!$C$10+Examples!$C$11)*$A817-(Examples!$C$6*Examples!$C$7*Examples!$C$8*EXP(-Examples!$C$9*$A817)*(1-(Examples!$C$12*(1-EXP(-Examples!$C$13*$A817))/(1+EXP(MIN(700,MAX(-700,(Examples!$C$14*$A817-Examples!$C$15)/Examples!$C$16))))))+Examples!$C$17*$A817^2)</f>
        <v>-733623.18092868302</v>
      </c>
      <c r="C817" s="33">
        <f>(Examples!$C$6*Examples!$C$7*Examples!$C$8*EXP(-Examples!$C$9*$A817)*(1-(Examples!$C$12*(1-EXP(-Examples!$C$13*$A817))/(1+EXP(MIN(700,MAX(-700,(Examples!$C$14*$A817-Examples!$C$15)/Examples!$C$16))))))+Examples!$C$17*$A817^2)</f>
        <v>1048373.180928683</v>
      </c>
      <c r="D817" s="33">
        <f>Examples!$D$18-(Examples!$D$10+Examples!$D$11)*$A817-(Examples!$D$6*Examples!$D$7*Examples!$D$8*EXP(-Examples!$D$9*$A817)*(1-(Examples!$D$12*(1-EXP(-Examples!$D$13*$A817))/(1+EXP(MIN(700,MAX(-700,(Examples!$D$14*$A817-Examples!$D$15)/Examples!$D$16))))))+Examples!$D$17*$A817^2)</f>
        <v>1648218.213521509</v>
      </c>
      <c r="E817" s="33">
        <f>(Examples!$D$6*Examples!$D$7*Examples!$D$8*EXP(-Examples!$D$9*$A817)*(1-(Examples!$D$12*(1-EXP(-Examples!$D$13*$A817))/(1+EXP(MIN(700,MAX(-700,(Examples!$D$14*$A817-Examples!$D$15)/Examples!$D$16))))))+Examples!$D$17*$A817^2)</f>
        <v>485031.78647849103</v>
      </c>
      <c r="F817" s="33">
        <f>Examples!$E$18-(Examples!$E$10+Examples!$E$11)*$A817-(Examples!$E$6*Examples!$E$7*Examples!$E$8*EXP(-Examples!$E$9*$A817)*(1-(Examples!$E$12*(1-EXP(-Examples!$E$13*$A817))/(1+EXP(MIN(700,MAX(-700,(Examples!$E$14*$A817-Examples!$E$15)/Examples!$E$16))))))+Examples!$E$17*$A817^2)</f>
        <v>2064997.8883679947</v>
      </c>
      <c r="G817" s="33">
        <f>(Examples!$E$6*Examples!$E$7*Examples!$E$8*EXP(-Examples!$E$9*$A817)*(1-(Examples!$E$12*(1-EXP(-Examples!$E$13*$A817))/(1+EXP(MIN(700,MAX(-700,(Examples!$E$14*$A817-Examples!$E$15)/Examples!$E$16))))))+Examples!$E$17*$A817^2)</f>
        <v>242252.11163200531</v>
      </c>
      <c r="H817" s="33">
        <f>Examples!$F$18-(Examples!$F$10+Examples!$F$11)*$A817-(Examples!$F$6*Examples!$F$7*Examples!$F$8*EXP(-Examples!$F$9*$A817)*(1-(Examples!$F$12*(1-EXP(-Examples!$F$13*$A817))/(1+EXP(MIN(700,MAX(-700,(Examples!$F$14*$A817-Examples!$F$15)/Examples!$F$16))))))+Examples!$F$17*$A817^2)</f>
        <v>-1342967.7073607794</v>
      </c>
      <c r="I817" s="33">
        <f>(Examples!$F$6*Examples!$F$7*Examples!$F$8*EXP(-Examples!$F$9*$A817)*(1-(Examples!$F$12*(1-EXP(-Examples!$F$13*$A817))/(1+EXP(MIN(700,MAX(-700,(Examples!$F$14*$A817-Examples!$F$15)/Examples!$F$16))))))+Examples!$F$17*$A817^2)</f>
        <v>1329967.7073607794</v>
      </c>
      <c r="J817" s="33">
        <f>Examples!$G$18-(Examples!$G$10+Examples!$G$11)*$A817-(Examples!$G$6*Examples!$G$7*Examples!$G$8*EXP(-Examples!$G$9*$A817)*(1-(Examples!$G$12*(1-EXP(-Examples!$G$13*$A817))/(1+EXP(MIN(700,MAX(-700,(Examples!$G$14*$A817-Examples!$G$15)/Examples!$G$16))))))+Examples!$G$17*$A817^2)</f>
        <v>445768.74016794353</v>
      </c>
      <c r="K817" s="33">
        <f>(Examples!$G$6*Examples!$G$7*Examples!$G$8*EXP(-Examples!$G$9*$A817)*(1-(Examples!$G$12*(1-EXP(-Examples!$G$13*$A817))/(1+EXP(MIN(700,MAX(-700,(Examples!$G$14*$A817-Examples!$G$15)/Examples!$G$16))))))+Examples!$G$17*$A817^2)</f>
        <v>646731.25983205647</v>
      </c>
      <c r="L817" s="33">
        <f>Examples!$H$18-(Examples!$H$10+Examples!$H$11)*$A817-(Examples!$H$6*Examples!$H$7*Examples!$H$8*EXP(-Examples!$H$9*$A817)*(1-(Examples!$H$12*(1-EXP(-Examples!$H$13*$A817))/(1+EXP(MIN(700,MAX(-700,(Examples!$H$14*$A817-Examples!$H$15)/Examples!$H$16))))))+Examples!$H$17*$A817^2)</f>
        <v>445720.21990464977</v>
      </c>
      <c r="M817" s="33">
        <f>(Examples!$H$6*Examples!$H$7*Examples!$H$8*EXP(-Examples!$H$9*$A817)*(1-(Examples!$H$12*(1-EXP(-Examples!$H$13*$A817))/(1+EXP(MIN(700,MAX(-700,(Examples!$H$14*$A817-Examples!$H$15)/Examples!$H$16))))))+Examples!$H$17*$A817^2)</f>
        <v>646779.78009535023</v>
      </c>
    </row>
    <row r="818" spans="1:13" x14ac:dyDescent="0.25">
      <c r="A818">
        <f>(818-2)/100</f>
        <v>8.16</v>
      </c>
      <c r="B818" s="33">
        <f>Examples!$C$18-(Examples!$C$10+Examples!$C$11)*$A818-(Examples!$C$6*Examples!$C$7*Examples!$C$8*EXP(-Examples!$C$9*$A818)*(1-(Examples!$C$12*(1-EXP(-Examples!$C$13*$A818))/(1+EXP(MIN(700,MAX(-700,(Examples!$C$14*$A818-Examples!$C$15)/Examples!$C$16))))))+Examples!$C$17*$A818^2)</f>
        <v>-736263.80781287816</v>
      </c>
      <c r="C818" s="33">
        <f>(Examples!$C$6*Examples!$C$7*Examples!$C$8*EXP(-Examples!$C$9*$A818)*(1-(Examples!$C$12*(1-EXP(-Examples!$C$13*$A818))/(1+EXP(MIN(700,MAX(-700,(Examples!$C$14*$A818-Examples!$C$15)/Examples!$C$16))))))+Examples!$C$17*$A818^2)</f>
        <v>1050663.8078128782</v>
      </c>
      <c r="D818" s="33">
        <f>Examples!$D$18-(Examples!$D$10+Examples!$D$11)*$A818-(Examples!$D$6*Examples!$D$7*Examples!$D$8*EXP(-Examples!$D$9*$A818)*(1-(Examples!$D$12*(1-EXP(-Examples!$D$13*$A818))/(1+EXP(MIN(700,MAX(-700,(Examples!$D$14*$A818-Examples!$D$15)/Examples!$D$16))))))+Examples!$D$17*$A818^2)</f>
        <v>1647635.0827315999</v>
      </c>
      <c r="E818" s="33">
        <f>(Examples!$D$6*Examples!$D$7*Examples!$D$8*EXP(-Examples!$D$9*$A818)*(1-(Examples!$D$12*(1-EXP(-Examples!$D$13*$A818))/(1+EXP(MIN(700,MAX(-700,(Examples!$D$14*$A818-Examples!$D$15)/Examples!$D$16))))))+Examples!$D$17*$A818^2)</f>
        <v>485164.9172684002</v>
      </c>
      <c r="F818" s="33">
        <f>Examples!$E$18-(Examples!$E$10+Examples!$E$11)*$A818-(Examples!$E$6*Examples!$E$7*Examples!$E$8*EXP(-Examples!$E$9*$A818)*(1-(Examples!$E$12*(1-EXP(-Examples!$E$13*$A818))/(1+EXP(MIN(700,MAX(-700,(Examples!$E$14*$A818-Examples!$E$15)/Examples!$E$16))))))+Examples!$E$17*$A818^2)</f>
        <v>2063851.7903245499</v>
      </c>
      <c r="G818" s="33">
        <f>(Examples!$E$6*Examples!$E$7*Examples!$E$8*EXP(-Examples!$E$9*$A818)*(1-(Examples!$E$12*(1-EXP(-Examples!$E$13*$A818))/(1+EXP(MIN(700,MAX(-700,(Examples!$E$14*$A818-Examples!$E$15)/Examples!$E$16))))))+Examples!$E$17*$A818^2)</f>
        <v>242548.20967545005</v>
      </c>
      <c r="H818" s="33">
        <f>Examples!$F$18-(Examples!$F$10+Examples!$F$11)*$A818-(Examples!$F$6*Examples!$F$7*Examples!$F$8*EXP(-Examples!$F$9*$A818)*(1-(Examples!$F$12*(1-EXP(-Examples!$F$13*$A818))/(1+EXP(MIN(700,MAX(-700,(Examples!$F$14*$A818-Examples!$F$15)/Examples!$F$16))))))+Examples!$F$17*$A818^2)</f>
        <v>-1346425.1610615558</v>
      </c>
      <c r="I818" s="33">
        <f>(Examples!$F$6*Examples!$F$7*Examples!$F$8*EXP(-Examples!$F$9*$A818)*(1-(Examples!$F$12*(1-EXP(-Examples!$F$13*$A818))/(1+EXP(MIN(700,MAX(-700,(Examples!$F$14*$A818-Examples!$F$15)/Examples!$F$16))))))+Examples!$F$17*$A818^2)</f>
        <v>1333225.1610615558</v>
      </c>
      <c r="J818" s="33">
        <f>Examples!$G$18-(Examples!$G$10+Examples!$G$11)*$A818-(Examples!$G$6*Examples!$G$7*Examples!$G$8*EXP(-Examples!$G$9*$A818)*(1-(Examples!$G$12*(1-EXP(-Examples!$G$13*$A818))/(1+EXP(MIN(700,MAX(-700,(Examples!$G$14*$A818-Examples!$G$15)/Examples!$G$16))))))+Examples!$G$17*$A818^2)</f>
        <v>444366.32791120361</v>
      </c>
      <c r="K818" s="33">
        <f>(Examples!$G$6*Examples!$G$7*Examples!$G$8*EXP(-Examples!$G$9*$A818)*(1-(Examples!$G$12*(1-EXP(-Examples!$G$13*$A818))/(1+EXP(MIN(700,MAX(-700,(Examples!$G$14*$A818-Examples!$G$15)/Examples!$G$16))))))+Examples!$G$17*$A818^2)</f>
        <v>647633.67208879639</v>
      </c>
      <c r="L818" s="33">
        <f>Examples!$H$18-(Examples!$H$10+Examples!$H$11)*$A818-(Examples!$H$6*Examples!$H$7*Examples!$H$8*EXP(-Examples!$H$9*$A818)*(1-(Examples!$H$12*(1-EXP(-Examples!$H$13*$A818))/(1+EXP(MIN(700,MAX(-700,(Examples!$H$14*$A818-Examples!$H$15)/Examples!$H$16))))))+Examples!$H$17*$A818^2)</f>
        <v>444318.6130953019</v>
      </c>
      <c r="M818" s="33">
        <f>(Examples!$H$6*Examples!$H$7*Examples!$H$8*EXP(-Examples!$H$9*$A818)*(1-(Examples!$H$12*(1-EXP(-Examples!$H$13*$A818))/(1+EXP(MIN(700,MAX(-700,(Examples!$H$14*$A818-Examples!$H$15)/Examples!$H$16))))))+Examples!$H$17*$A818^2)</f>
        <v>647681.3869046981</v>
      </c>
    </row>
    <row r="819" spans="1:13" x14ac:dyDescent="0.25">
      <c r="A819">
        <f>(819-2)/100</f>
        <v>8.17</v>
      </c>
      <c r="B819" s="33">
        <f>Examples!$C$18-(Examples!$C$10+Examples!$C$11)*$A819-(Examples!$C$6*Examples!$C$7*Examples!$C$8*EXP(-Examples!$C$9*$A819)*(1-(Examples!$C$12*(1-EXP(-Examples!$C$13*$A819))/(1+EXP(MIN(700,MAX(-700,(Examples!$C$14*$A819-Examples!$C$15)/Examples!$C$16))))))+Examples!$C$17*$A819^2)</f>
        <v>-738907.9016156781</v>
      </c>
      <c r="C819" s="33">
        <f>(Examples!$C$6*Examples!$C$7*Examples!$C$8*EXP(-Examples!$C$9*$A819)*(1-(Examples!$C$12*(1-EXP(-Examples!$C$13*$A819))/(1+EXP(MIN(700,MAX(-700,(Examples!$C$14*$A819-Examples!$C$15)/Examples!$C$16))))))+Examples!$C$17*$A819^2)</f>
        <v>1052957.9016156781</v>
      </c>
      <c r="D819" s="33">
        <f>Examples!$D$18-(Examples!$D$10+Examples!$D$11)*$A819-(Examples!$D$6*Examples!$D$7*Examples!$D$8*EXP(-Examples!$D$9*$A819)*(1-(Examples!$D$12*(1-EXP(-Examples!$D$13*$A819))/(1+EXP(MIN(700,MAX(-700,(Examples!$D$14*$A819-Examples!$D$15)/Examples!$D$16))))))+Examples!$D$17*$A819^2)</f>
        <v>1647047.962214889</v>
      </c>
      <c r="E819" s="33">
        <f>(Examples!$D$6*Examples!$D$7*Examples!$D$8*EXP(-Examples!$D$9*$A819)*(1-(Examples!$D$12*(1-EXP(-Examples!$D$13*$A819))/(1+EXP(MIN(700,MAX(-700,(Examples!$D$14*$A819-Examples!$D$15)/Examples!$D$16))))))+Examples!$D$17*$A819^2)</f>
        <v>485302.037785111</v>
      </c>
      <c r="F819" s="33">
        <f>Examples!$E$18-(Examples!$E$10+Examples!$E$11)*$A819-(Examples!$E$6*Examples!$E$7*Examples!$E$8*EXP(-Examples!$E$9*$A819)*(1-(Examples!$E$12*(1-EXP(-Examples!$E$13*$A819))/(1+EXP(MIN(700,MAX(-700,(Examples!$E$14*$A819-Examples!$E$15)/Examples!$E$16))))))+Examples!$E$17*$A819^2)</f>
        <v>2062704.3765673072</v>
      </c>
      <c r="G819" s="33">
        <f>(Examples!$E$6*Examples!$E$7*Examples!$E$8*EXP(-Examples!$E$9*$A819)*(1-(Examples!$E$12*(1-EXP(-Examples!$E$13*$A819))/(1+EXP(MIN(700,MAX(-700,(Examples!$E$14*$A819-Examples!$E$15)/Examples!$E$16))))))+Examples!$E$17*$A819^2)</f>
        <v>242845.62343269284</v>
      </c>
      <c r="H819" s="33">
        <f>Examples!$F$18-(Examples!$F$10+Examples!$F$11)*$A819-(Examples!$F$6*Examples!$F$7*Examples!$F$8*EXP(-Examples!$F$9*$A819)*(1-(Examples!$F$12*(1-EXP(-Examples!$F$13*$A819))/(1+EXP(MIN(700,MAX(-700,(Examples!$F$14*$A819-Examples!$F$15)/Examples!$F$16))))))+Examples!$F$17*$A819^2)</f>
        <v>-1349886.6283807915</v>
      </c>
      <c r="I819" s="33">
        <f>(Examples!$F$6*Examples!$F$7*Examples!$F$8*EXP(-Examples!$F$9*$A819)*(1-(Examples!$F$12*(1-EXP(-Examples!$F$13*$A819))/(1+EXP(MIN(700,MAX(-700,(Examples!$F$14*$A819-Examples!$F$15)/Examples!$F$16))))))+Examples!$F$17*$A819^2)</f>
        <v>1336486.6283807915</v>
      </c>
      <c r="J819" s="33">
        <f>Examples!$G$18-(Examples!$G$10+Examples!$G$11)*$A819-(Examples!$G$6*Examples!$G$7*Examples!$G$8*EXP(-Examples!$G$9*$A819)*(1-(Examples!$G$12*(1-EXP(-Examples!$G$13*$A819))/(1+EXP(MIN(700,MAX(-700,(Examples!$G$14*$A819-Examples!$G$15)/Examples!$G$16))))))+Examples!$G$17*$A819^2)</f>
        <v>442960.92029163195</v>
      </c>
      <c r="K819" s="33">
        <f>(Examples!$G$6*Examples!$G$7*Examples!$G$8*EXP(-Examples!$G$9*$A819)*(1-(Examples!$G$12*(1-EXP(-Examples!$G$13*$A819))/(1+EXP(MIN(700,MAX(-700,(Examples!$G$14*$A819-Examples!$G$15)/Examples!$G$16))))))+Examples!$G$17*$A819^2)</f>
        <v>648539.07970836805</v>
      </c>
      <c r="L819" s="33">
        <f>Examples!$H$18-(Examples!$H$10+Examples!$H$11)*$A819-(Examples!$H$6*Examples!$H$7*Examples!$H$8*EXP(-Examples!$H$9*$A819)*(1-(Examples!$H$12*(1-EXP(-Examples!$H$13*$A819))/(1+EXP(MIN(700,MAX(-700,(Examples!$H$14*$A819-Examples!$H$15)/Examples!$H$16))))))+Examples!$H$17*$A819^2)</f>
        <v>442913.99757785548</v>
      </c>
      <c r="M819" s="33">
        <f>(Examples!$H$6*Examples!$H$7*Examples!$H$8*EXP(-Examples!$H$9*$A819)*(1-(Examples!$H$12*(1-EXP(-Examples!$H$13*$A819))/(1+EXP(MIN(700,MAX(-700,(Examples!$H$14*$A819-Examples!$H$15)/Examples!$H$16))))))+Examples!$H$17*$A819^2)</f>
        <v>648586.00242214452</v>
      </c>
    </row>
    <row r="820" spans="1:13" x14ac:dyDescent="0.25">
      <c r="A820">
        <f>(820-2)/100</f>
        <v>8.18</v>
      </c>
      <c r="B820" s="33">
        <f>Examples!$C$18-(Examples!$C$10+Examples!$C$11)*$A820-(Examples!$C$6*Examples!$C$7*Examples!$C$8*EXP(-Examples!$C$9*$A820)*(1-(Examples!$C$12*(1-EXP(-Examples!$C$13*$A820))/(1+EXP(MIN(700,MAX(-700,(Examples!$C$14*$A820-Examples!$C$15)/Examples!$C$16))))))+Examples!$C$17*$A820^2)</f>
        <v>-741555.4609384269</v>
      </c>
      <c r="C820" s="33">
        <f>(Examples!$C$6*Examples!$C$7*Examples!$C$8*EXP(-Examples!$C$9*$A820)*(1-(Examples!$C$12*(1-EXP(-Examples!$C$13*$A820))/(1+EXP(MIN(700,MAX(-700,(Examples!$C$14*$A820-Examples!$C$15)/Examples!$C$16))))))+Examples!$C$17*$A820^2)</f>
        <v>1055255.4609384269</v>
      </c>
      <c r="D820" s="33">
        <f>Examples!$D$18-(Examples!$D$10+Examples!$D$11)*$A820-(Examples!$D$6*Examples!$D$7*Examples!$D$8*EXP(-Examples!$D$9*$A820)*(1-(Examples!$D$12*(1-EXP(-Examples!$D$13*$A820))/(1+EXP(MIN(700,MAX(-700,(Examples!$D$14*$A820-Examples!$D$15)/Examples!$D$16))))))+Examples!$D$17*$A820^2)</f>
        <v>1646456.8641021526</v>
      </c>
      <c r="E820" s="33">
        <f>(Examples!$D$6*Examples!$D$7*Examples!$D$8*EXP(-Examples!$D$9*$A820)*(1-(Examples!$D$12*(1-EXP(-Examples!$D$13*$A820))/(1+EXP(MIN(700,MAX(-700,(Examples!$D$14*$A820-Examples!$D$15)/Examples!$D$16))))))+Examples!$D$17*$A820^2)</f>
        <v>485443.1358978473</v>
      </c>
      <c r="F820" s="33">
        <f>Examples!$E$18-(Examples!$E$10+Examples!$E$11)*$A820-(Examples!$E$6*Examples!$E$7*Examples!$E$8*EXP(-Examples!$E$9*$A820)*(1-(Examples!$E$12*(1-EXP(-Examples!$E$13*$A820))/(1+EXP(MIN(700,MAX(-700,(Examples!$E$14*$A820-Examples!$E$15)/Examples!$E$16))))))+Examples!$E$17*$A820^2)</f>
        <v>2061555.6479534789</v>
      </c>
      <c r="G820" s="33">
        <f>(Examples!$E$6*Examples!$E$7*Examples!$E$8*EXP(-Examples!$E$9*$A820)*(1-(Examples!$E$12*(1-EXP(-Examples!$E$13*$A820))/(1+EXP(MIN(700,MAX(-700,(Examples!$E$14*$A820-Examples!$E$15)/Examples!$E$16))))))+Examples!$E$17*$A820^2)</f>
        <v>243144.35204652106</v>
      </c>
      <c r="H820" s="33">
        <f>Examples!$F$18-(Examples!$F$10+Examples!$F$11)*$A820-(Examples!$F$6*Examples!$F$7*Examples!$F$8*EXP(-Examples!$F$9*$A820)*(1-(Examples!$F$12*(1-EXP(-Examples!$F$13*$A820))/(1+EXP(MIN(700,MAX(-700,(Examples!$F$14*$A820-Examples!$F$15)/Examples!$F$16))))))+Examples!$F$17*$A820^2)</f>
        <v>-1353352.1092776931</v>
      </c>
      <c r="I820" s="33">
        <f>(Examples!$F$6*Examples!$F$7*Examples!$F$8*EXP(-Examples!$F$9*$A820)*(1-(Examples!$F$12*(1-EXP(-Examples!$F$13*$A820))/(1+EXP(MIN(700,MAX(-700,(Examples!$F$14*$A820-Examples!$F$15)/Examples!$F$16))))))+Examples!$F$17*$A820^2)</f>
        <v>1339752.1092776931</v>
      </c>
      <c r="J820" s="33">
        <f>Examples!$G$18-(Examples!$G$10+Examples!$G$11)*$A820-(Examples!$G$6*Examples!$G$7*Examples!$G$8*EXP(-Examples!$G$9*$A820)*(1-(Examples!$G$12*(1-EXP(-Examples!$G$13*$A820))/(1+EXP(MIN(700,MAX(-700,(Examples!$G$14*$A820-Examples!$G$15)/Examples!$G$16))))))+Examples!$G$17*$A820^2)</f>
        <v>441552.52201051614</v>
      </c>
      <c r="K820" s="33">
        <f>(Examples!$G$6*Examples!$G$7*Examples!$G$8*EXP(-Examples!$G$9*$A820)*(1-(Examples!$G$12*(1-EXP(-Examples!$G$13*$A820))/(1+EXP(MIN(700,MAX(-700,(Examples!$G$14*$A820-Examples!$G$15)/Examples!$G$16))))))+Examples!$G$17*$A820^2)</f>
        <v>649447.47798948386</v>
      </c>
      <c r="L820" s="33">
        <f>Examples!$H$18-(Examples!$H$10+Examples!$H$11)*$A820-(Examples!$H$6*Examples!$H$7*Examples!$H$8*EXP(-Examples!$H$9*$A820)*(1-(Examples!$H$12*(1-EXP(-Examples!$H$13*$A820))/(1+EXP(MIN(700,MAX(-700,(Examples!$H$14*$A820-Examples!$H$15)/Examples!$H$16))))))+Examples!$H$17*$A820^2)</f>
        <v>441506.37827412202</v>
      </c>
      <c r="M820" s="33">
        <f>(Examples!$H$6*Examples!$H$7*Examples!$H$8*EXP(-Examples!$H$9*$A820)*(1-(Examples!$H$12*(1-EXP(-Examples!$H$13*$A820))/(1+EXP(MIN(700,MAX(-700,(Examples!$H$14*$A820-Examples!$H$15)/Examples!$H$16))))))+Examples!$H$17*$A820^2)</f>
        <v>649493.62172587798</v>
      </c>
    </row>
    <row r="821" spans="1:13" x14ac:dyDescent="0.25">
      <c r="A821">
        <f>(821-2)/100</f>
        <v>8.19</v>
      </c>
      <c r="B821" s="33">
        <f>Examples!$C$18-(Examples!$C$10+Examples!$C$11)*$A821-(Examples!$C$6*Examples!$C$7*Examples!$C$8*EXP(-Examples!$C$9*$A821)*(1-(Examples!$C$12*(1-EXP(-Examples!$C$13*$A821))/(1+EXP(MIN(700,MAX(-700,(Examples!$C$14*$A821-Examples!$C$15)/Examples!$C$16))))))+Examples!$C$17*$A821^2)</f>
        <v>-744206.48438665783</v>
      </c>
      <c r="C821" s="33">
        <f>(Examples!$C$6*Examples!$C$7*Examples!$C$8*EXP(-Examples!$C$9*$A821)*(1-(Examples!$C$12*(1-EXP(-Examples!$C$13*$A821))/(1+EXP(MIN(700,MAX(-700,(Examples!$C$14*$A821-Examples!$C$15)/Examples!$C$16))))))+Examples!$C$17*$A821^2)</f>
        <v>1057556.4843866578</v>
      </c>
      <c r="D821" s="33">
        <f>Examples!$D$18-(Examples!$D$10+Examples!$D$11)*$A821-(Examples!$D$6*Examples!$D$7*Examples!$D$8*EXP(-Examples!$D$9*$A821)*(1-(Examples!$D$12*(1-EXP(-Examples!$D$13*$A821))/(1+EXP(MIN(700,MAX(-700,(Examples!$D$14*$A821-Examples!$D$15)/Examples!$D$16))))))+Examples!$D$17*$A821^2)</f>
        <v>1645861.8004921132</v>
      </c>
      <c r="E821" s="33">
        <f>(Examples!$D$6*Examples!$D$7*Examples!$D$8*EXP(-Examples!$D$9*$A821)*(1-(Examples!$D$12*(1-EXP(-Examples!$D$13*$A821))/(1+EXP(MIN(700,MAX(-700,(Examples!$D$14*$A821-Examples!$D$15)/Examples!$D$16))))))+Examples!$D$17*$A821^2)</f>
        <v>485588.19950788678</v>
      </c>
      <c r="F821" s="33">
        <f>Examples!$E$18-(Examples!$E$10+Examples!$E$11)*$A821-(Examples!$E$6*Examples!$E$7*Examples!$E$8*EXP(-Examples!$E$9*$A821)*(1-(Examples!$E$12*(1-EXP(-Examples!$E$13*$A821))/(1+EXP(MIN(700,MAX(-700,(Examples!$E$14*$A821-Examples!$E$15)/Examples!$E$16))))))+Examples!$E$17*$A821^2)</f>
        <v>2060405.6053620586</v>
      </c>
      <c r="G821" s="33">
        <f>(Examples!$E$6*Examples!$E$7*Examples!$E$8*EXP(-Examples!$E$9*$A821)*(1-(Examples!$E$12*(1-EXP(-Examples!$E$13*$A821))/(1+EXP(MIN(700,MAX(-700,(Examples!$E$14*$A821-Examples!$E$15)/Examples!$E$16))))))+Examples!$E$17*$A821^2)</f>
        <v>243444.3946379413</v>
      </c>
      <c r="H821" s="33">
        <f>Examples!$F$18-(Examples!$F$10+Examples!$F$11)*$A821-(Examples!$F$6*Examples!$F$7*Examples!$F$8*EXP(-Examples!$F$9*$A821)*(1-(Examples!$F$12*(1-EXP(-Examples!$F$13*$A821))/(1+EXP(MIN(700,MAX(-700,(Examples!$F$14*$A821-Examples!$F$15)/Examples!$F$16))))))+Examples!$F$17*$A821^2)</f>
        <v>-1356821.6037115888</v>
      </c>
      <c r="I821" s="33">
        <f>(Examples!$F$6*Examples!$F$7*Examples!$F$8*EXP(-Examples!$F$9*$A821)*(1-(Examples!$F$12*(1-EXP(-Examples!$F$13*$A821))/(1+EXP(MIN(700,MAX(-700,(Examples!$F$14*$A821-Examples!$F$15)/Examples!$F$16))))))+Examples!$F$17*$A821^2)</f>
        <v>1343021.6037115888</v>
      </c>
      <c r="J821" s="33">
        <f>Examples!$G$18-(Examples!$G$10+Examples!$G$11)*$A821-(Examples!$G$6*Examples!$G$7*Examples!$G$8*EXP(-Examples!$G$9*$A821)*(1-(Examples!$G$12*(1-EXP(-Examples!$G$13*$A821))/(1+EXP(MIN(700,MAX(-700,(Examples!$G$14*$A821-Examples!$G$15)/Examples!$G$16))))))+Examples!$G$17*$A821^2)</f>
        <v>440141.13775557943</v>
      </c>
      <c r="K821" s="33">
        <f>(Examples!$G$6*Examples!$G$7*Examples!$G$8*EXP(-Examples!$G$9*$A821)*(1-(Examples!$G$12*(1-EXP(-Examples!$G$13*$A821))/(1+EXP(MIN(700,MAX(-700,(Examples!$G$14*$A821-Examples!$G$15)/Examples!$G$16))))))+Examples!$G$17*$A821^2)</f>
        <v>650358.86224442057</v>
      </c>
      <c r="L821" s="33">
        <f>Examples!$H$18-(Examples!$H$10+Examples!$H$11)*$A821-(Examples!$H$6*Examples!$H$7*Examples!$H$8*EXP(-Examples!$H$9*$A821)*(1-(Examples!$H$12*(1-EXP(-Examples!$H$13*$A821))/(1+EXP(MIN(700,MAX(-700,(Examples!$H$14*$A821-Examples!$H$15)/Examples!$H$16))))))+Examples!$H$17*$A821^2)</f>
        <v>440095.76008871908</v>
      </c>
      <c r="M821" s="33">
        <f>(Examples!$H$6*Examples!$H$7*Examples!$H$8*EXP(-Examples!$H$9*$A821)*(1-(Examples!$H$12*(1-EXP(-Examples!$H$13*$A821))/(1+EXP(MIN(700,MAX(-700,(Examples!$H$14*$A821-Examples!$H$15)/Examples!$H$16))))))+Examples!$H$17*$A821^2)</f>
        <v>650404.23991128092</v>
      </c>
    </row>
    <row r="822" spans="1:13" x14ac:dyDescent="0.25">
      <c r="A822">
        <f>(822-2)/100</f>
        <v>8.1999999999999993</v>
      </c>
      <c r="B822" s="33">
        <f>Examples!$C$18-(Examples!$C$10+Examples!$C$11)*$A822-(Examples!$C$6*Examples!$C$7*Examples!$C$8*EXP(-Examples!$C$9*$A822)*(1-(Examples!$C$12*(1-EXP(-Examples!$C$13*$A822))/(1+EXP(MIN(700,MAX(-700,(Examples!$C$14*$A822-Examples!$C$15)/Examples!$C$16))))))+Examples!$C$17*$A822^2)</f>
        <v>-746860.97057008138</v>
      </c>
      <c r="C822" s="33">
        <f>(Examples!$C$6*Examples!$C$7*Examples!$C$8*EXP(-Examples!$C$9*$A822)*(1-(Examples!$C$12*(1-EXP(-Examples!$C$13*$A822))/(1+EXP(MIN(700,MAX(-700,(Examples!$C$14*$A822-Examples!$C$15)/Examples!$C$16))))))+Examples!$C$17*$A822^2)</f>
        <v>1059860.9705700814</v>
      </c>
      <c r="D822" s="33">
        <f>Examples!$D$18-(Examples!$D$10+Examples!$D$11)*$A822-(Examples!$D$6*Examples!$D$7*Examples!$D$8*EXP(-Examples!$D$9*$A822)*(1-(Examples!$D$12*(1-EXP(-Examples!$D$13*$A822))/(1+EXP(MIN(700,MAX(-700,(Examples!$D$14*$A822-Examples!$D$15)/Examples!$D$16))))))+Examples!$D$17*$A822^2)</f>
        <v>1645262.7834512</v>
      </c>
      <c r="E822" s="33">
        <f>(Examples!$D$6*Examples!$D$7*Examples!$D$8*EXP(-Examples!$D$9*$A822)*(1-(Examples!$D$12*(1-EXP(-Examples!$D$13*$A822))/(1+EXP(MIN(700,MAX(-700,(Examples!$D$14*$A822-Examples!$D$15)/Examples!$D$16))))))+Examples!$D$17*$A822^2)</f>
        <v>485737.21654879989</v>
      </c>
      <c r="F822" s="33">
        <f>Examples!$E$18-(Examples!$E$10+Examples!$E$11)*$A822-(Examples!$E$6*Examples!$E$7*Examples!$E$8*EXP(-Examples!$E$9*$A822)*(1-(Examples!$E$12*(1-EXP(-Examples!$E$13*$A822))/(1+EXP(MIN(700,MAX(-700,(Examples!$E$14*$A822-Examples!$E$15)/Examples!$E$16))))))+Examples!$E$17*$A822^2)</f>
        <v>2059254.2496935318</v>
      </c>
      <c r="G822" s="33">
        <f>(Examples!$E$6*Examples!$E$7*Examples!$E$8*EXP(-Examples!$E$9*$A822)*(1-(Examples!$E$12*(1-EXP(-Examples!$E$13*$A822))/(1+EXP(MIN(700,MAX(-700,(Examples!$E$14*$A822-Examples!$E$15)/Examples!$E$16))))))+Examples!$E$17*$A822^2)</f>
        <v>243745.75030646828</v>
      </c>
      <c r="H822" s="33">
        <f>Examples!$F$18-(Examples!$F$10+Examples!$F$11)*$A822-(Examples!$F$6*Examples!$F$7*Examples!$F$8*EXP(-Examples!$F$9*$A822)*(1-(Examples!$F$12*(1-EXP(-Examples!$F$13*$A822))/(1+EXP(MIN(700,MAX(-700,(Examples!$F$14*$A822-Examples!$F$15)/Examples!$F$16))))))+Examples!$F$17*$A822^2)</f>
        <v>-1360295.1116419274</v>
      </c>
      <c r="I822" s="33">
        <f>(Examples!$F$6*Examples!$F$7*Examples!$F$8*EXP(-Examples!$F$9*$A822)*(1-(Examples!$F$12*(1-EXP(-Examples!$F$13*$A822))/(1+EXP(MIN(700,MAX(-700,(Examples!$F$14*$A822-Examples!$F$15)/Examples!$F$16))))))+Examples!$F$17*$A822^2)</f>
        <v>1346295.1116419274</v>
      </c>
      <c r="J822" s="33">
        <f>Examples!$G$18-(Examples!$G$10+Examples!$G$11)*$A822-(Examples!$G$6*Examples!$G$7*Examples!$G$8*EXP(-Examples!$G$9*$A822)*(1-(Examples!$G$12*(1-EXP(-Examples!$G$13*$A822))/(1+EXP(MIN(700,MAX(-700,(Examples!$G$14*$A822-Examples!$G$15)/Examples!$G$16))))))+Examples!$G$17*$A822^2)</f>
        <v>438726.77220098092</v>
      </c>
      <c r="K822" s="33">
        <f>(Examples!$G$6*Examples!$G$7*Examples!$G$8*EXP(-Examples!$G$9*$A822)*(1-(Examples!$G$12*(1-EXP(-Examples!$G$13*$A822))/(1+EXP(MIN(700,MAX(-700,(Examples!$G$14*$A822-Examples!$G$15)/Examples!$G$16))))))+Examples!$G$17*$A822^2)</f>
        <v>651273.22779901908</v>
      </c>
      <c r="L822" s="33">
        <f>Examples!$H$18-(Examples!$H$10+Examples!$H$11)*$A822-(Examples!$H$6*Examples!$H$7*Examples!$H$8*EXP(-Examples!$H$9*$A822)*(1-(Examples!$H$12*(1-EXP(-Examples!$H$13*$A822))/(1+EXP(MIN(700,MAX(-700,(Examples!$H$14*$A822-Examples!$H$15)/Examples!$H$16))))))+Examples!$H$17*$A822^2)</f>
        <v>438682.14790912904</v>
      </c>
      <c r="M822" s="33">
        <f>(Examples!$H$6*Examples!$H$7*Examples!$H$8*EXP(-Examples!$H$9*$A822)*(1-(Examples!$H$12*(1-EXP(-Examples!$H$13*$A822))/(1+EXP(MIN(700,MAX(-700,(Examples!$H$14*$A822-Examples!$H$15)/Examples!$H$16))))))+Examples!$H$17*$A822^2)</f>
        <v>651317.85209087096</v>
      </c>
    </row>
    <row r="823" spans="1:13" x14ac:dyDescent="0.25">
      <c r="A823">
        <f>(823-2)/100</f>
        <v>8.2100000000000009</v>
      </c>
      <c r="B823" s="33">
        <f>Examples!$C$18-(Examples!$C$10+Examples!$C$11)*$A823-(Examples!$C$6*Examples!$C$7*Examples!$C$8*EXP(-Examples!$C$9*$A823)*(1-(Examples!$C$12*(1-EXP(-Examples!$C$13*$A823))/(1+EXP(MIN(700,MAX(-700,(Examples!$C$14*$A823-Examples!$C$15)/Examples!$C$16))))))+Examples!$C$17*$A823^2)</f>
        <v>-749518.91810257314</v>
      </c>
      <c r="C823" s="33">
        <f>(Examples!$C$6*Examples!$C$7*Examples!$C$8*EXP(-Examples!$C$9*$A823)*(1-(Examples!$C$12*(1-EXP(-Examples!$C$13*$A823))/(1+EXP(MIN(700,MAX(-700,(Examples!$C$14*$A823-Examples!$C$15)/Examples!$C$16))))))+Examples!$C$17*$A823^2)</f>
        <v>1062168.9181025731</v>
      </c>
      <c r="D823" s="33">
        <f>Examples!$D$18-(Examples!$D$10+Examples!$D$11)*$A823-(Examples!$D$6*Examples!$D$7*Examples!$D$8*EXP(-Examples!$D$9*$A823)*(1-(Examples!$D$12*(1-EXP(-Examples!$D$13*$A823))/(1+EXP(MIN(700,MAX(-700,(Examples!$D$14*$A823-Examples!$D$15)/Examples!$D$16))))))+Examples!$D$17*$A823^2)</f>
        <v>1644659.8250133167</v>
      </c>
      <c r="E823" s="33">
        <f>(Examples!$D$6*Examples!$D$7*Examples!$D$8*EXP(-Examples!$D$9*$A823)*(1-(Examples!$D$12*(1-EXP(-Examples!$D$13*$A823))/(1+EXP(MIN(700,MAX(-700,(Examples!$D$14*$A823-Examples!$D$15)/Examples!$D$16))))))+Examples!$D$17*$A823^2)</f>
        <v>485890.17498668318</v>
      </c>
      <c r="F823" s="33">
        <f>Examples!$E$18-(Examples!$E$10+Examples!$E$11)*$A823-(Examples!$E$6*Examples!$E$7*Examples!$E$8*EXP(-Examples!$E$9*$A823)*(1-(Examples!$E$12*(1-EXP(-Examples!$E$13*$A823))/(1+EXP(MIN(700,MAX(-700,(Examples!$E$14*$A823-Examples!$E$15)/Examples!$E$16))))))+Examples!$E$17*$A823^2)</f>
        <v>2058101.5818695871</v>
      </c>
      <c r="G823" s="33">
        <f>(Examples!$E$6*Examples!$E$7*Examples!$E$8*EXP(-Examples!$E$9*$A823)*(1-(Examples!$E$12*(1-EXP(-Examples!$E$13*$A823))/(1+EXP(MIN(700,MAX(-700,(Examples!$E$14*$A823-Examples!$E$15)/Examples!$E$16))))))+Examples!$E$17*$A823^2)</f>
        <v>244048.41813041299</v>
      </c>
      <c r="H823" s="33">
        <f>Examples!$F$18-(Examples!$F$10+Examples!$F$11)*$A823-(Examples!$F$6*Examples!$F$7*Examples!$F$8*EXP(-Examples!$F$9*$A823)*(1-(Examples!$F$12*(1-EXP(-Examples!$F$13*$A823))/(1+EXP(MIN(700,MAX(-700,(Examples!$F$14*$A823-Examples!$F$15)/Examples!$F$16))))))+Examples!$F$17*$A823^2)</f>
        <v>-1363772.6330282814</v>
      </c>
      <c r="I823" s="33">
        <f>(Examples!$F$6*Examples!$F$7*Examples!$F$8*EXP(-Examples!$F$9*$A823)*(1-(Examples!$F$12*(1-EXP(-Examples!$F$13*$A823))/(1+EXP(MIN(700,MAX(-700,(Examples!$F$14*$A823-Examples!$F$15)/Examples!$F$16))))))+Examples!$F$17*$A823^2)</f>
        <v>1349572.6330282814</v>
      </c>
      <c r="J823" s="33">
        <f>Examples!$G$18-(Examples!$G$10+Examples!$G$11)*$A823-(Examples!$G$6*Examples!$G$7*Examples!$G$8*EXP(-Examples!$G$9*$A823)*(1-(Examples!$G$12*(1-EXP(-Examples!$G$13*$A823))/(1+EXP(MIN(700,MAX(-700,(Examples!$G$14*$A823-Examples!$G$15)/Examples!$G$16))))))+Examples!$G$17*$A823^2)</f>
        <v>437309.43000731722</v>
      </c>
      <c r="K823" s="33">
        <f>(Examples!$G$6*Examples!$G$7*Examples!$G$8*EXP(-Examples!$G$9*$A823)*(1-(Examples!$G$12*(1-EXP(-Examples!$G$13*$A823))/(1+EXP(MIN(700,MAX(-700,(Examples!$G$14*$A823-Examples!$G$15)/Examples!$G$16))))))+Examples!$G$17*$A823^2)</f>
        <v>652190.56999268278</v>
      </c>
      <c r="L823" s="33">
        <f>Examples!$H$18-(Examples!$H$10+Examples!$H$11)*$A823-(Examples!$H$6*Examples!$H$7*Examples!$H$8*EXP(-Examples!$H$9*$A823)*(1-(Examples!$H$12*(1-EXP(-Examples!$H$13*$A823))/(1+EXP(MIN(700,MAX(-700,(Examples!$H$14*$A823-Examples!$H$15)/Examples!$H$16))))))+Examples!$H$17*$A823^2)</f>
        <v>437265.54660575988</v>
      </c>
      <c r="M823" s="33">
        <f>(Examples!$H$6*Examples!$H$7*Examples!$H$8*EXP(-Examples!$H$9*$A823)*(1-(Examples!$H$12*(1-EXP(-Examples!$H$13*$A823))/(1+EXP(MIN(700,MAX(-700,(Examples!$H$14*$A823-Examples!$H$15)/Examples!$H$16))))))+Examples!$H$17*$A823^2)</f>
        <v>652234.45339424012</v>
      </c>
    </row>
    <row r="824" spans="1:13" x14ac:dyDescent="0.25">
      <c r="A824">
        <f>(824-2)/100</f>
        <v>8.2200000000000006</v>
      </c>
      <c r="B824" s="33">
        <f>Examples!$C$18-(Examples!$C$10+Examples!$C$11)*$A824-(Examples!$C$6*Examples!$C$7*Examples!$C$8*EXP(-Examples!$C$9*$A824)*(1-(Examples!$C$12*(1-EXP(-Examples!$C$13*$A824))/(1+EXP(MIN(700,MAX(-700,(Examples!$C$14*$A824-Examples!$C$15)/Examples!$C$16))))))+Examples!$C$17*$A824^2)</f>
        <v>-752180.32560215914</v>
      </c>
      <c r="C824" s="33">
        <f>(Examples!$C$6*Examples!$C$7*Examples!$C$8*EXP(-Examples!$C$9*$A824)*(1-(Examples!$C$12*(1-EXP(-Examples!$C$13*$A824))/(1+EXP(MIN(700,MAX(-700,(Examples!$C$14*$A824-Examples!$C$15)/Examples!$C$16))))))+Examples!$C$17*$A824^2)</f>
        <v>1064480.3256021591</v>
      </c>
      <c r="D824" s="33">
        <f>Examples!$D$18-(Examples!$D$10+Examples!$D$11)*$A824-(Examples!$D$6*Examples!$D$7*Examples!$D$8*EXP(-Examples!$D$9*$A824)*(1-(Examples!$D$12*(1-EXP(-Examples!$D$13*$A824))/(1+EXP(MIN(700,MAX(-700,(Examples!$D$14*$A824-Examples!$D$15)/Examples!$D$16))))))+Examples!$D$17*$A824^2)</f>
        <v>1644052.9371796157</v>
      </c>
      <c r="E824" s="33">
        <f>(Examples!$D$6*Examples!$D$7*Examples!$D$8*EXP(-Examples!$D$9*$A824)*(1-(Examples!$D$12*(1-EXP(-Examples!$D$13*$A824))/(1+EXP(MIN(700,MAX(-700,(Examples!$D$14*$A824-Examples!$D$15)/Examples!$D$16))))))+Examples!$D$17*$A824^2)</f>
        <v>486047.0628203844</v>
      </c>
      <c r="F824" s="33">
        <f>Examples!$E$18-(Examples!$E$10+Examples!$E$11)*$A824-(Examples!$E$6*Examples!$E$7*Examples!$E$8*EXP(-Examples!$E$9*$A824)*(1-(Examples!$E$12*(1-EXP(-Examples!$E$13*$A824))/(1+EXP(MIN(700,MAX(-700,(Examples!$E$14*$A824-Examples!$E$15)/Examples!$E$16))))))+Examples!$E$17*$A824^2)</f>
        <v>2056947.6028328317</v>
      </c>
      <c r="G824" s="33">
        <f>(Examples!$E$6*Examples!$E$7*Examples!$E$8*EXP(-Examples!$E$9*$A824)*(1-(Examples!$E$12*(1-EXP(-Examples!$E$13*$A824))/(1+EXP(MIN(700,MAX(-700,(Examples!$E$14*$A824-Examples!$E$15)/Examples!$E$16))))))+Examples!$E$17*$A824^2)</f>
        <v>244352.39716716832</v>
      </c>
      <c r="H824" s="33">
        <f>Examples!$F$18-(Examples!$F$10+Examples!$F$11)*$A824-(Examples!$F$6*Examples!$F$7*Examples!$F$8*EXP(-Examples!$F$9*$A824)*(1-(Examples!$F$12*(1-EXP(-Examples!$F$13*$A824))/(1+EXP(MIN(700,MAX(-700,(Examples!$F$14*$A824-Examples!$F$15)/Examples!$F$16))))))+Examples!$F$17*$A824^2)</f>
        <v>-1367254.1678303424</v>
      </c>
      <c r="I824" s="33">
        <f>(Examples!$F$6*Examples!$F$7*Examples!$F$8*EXP(-Examples!$F$9*$A824)*(1-(Examples!$F$12*(1-EXP(-Examples!$F$13*$A824))/(1+EXP(MIN(700,MAX(-700,(Examples!$F$14*$A824-Examples!$F$15)/Examples!$F$16))))))+Examples!$F$17*$A824^2)</f>
        <v>1352854.1678303424</v>
      </c>
      <c r="J824" s="33">
        <f>Examples!$G$18-(Examples!$G$10+Examples!$G$11)*$A824-(Examples!$G$6*Examples!$G$7*Examples!$G$8*EXP(-Examples!$G$9*$A824)*(1-(Examples!$G$12*(1-EXP(-Examples!$G$13*$A824))/(1+EXP(MIN(700,MAX(-700,(Examples!$G$14*$A824-Examples!$G$15)/Examples!$G$16))))))+Examples!$G$17*$A824^2)</f>
        <v>435889.11582162499</v>
      </c>
      <c r="K824" s="33">
        <f>(Examples!$G$6*Examples!$G$7*Examples!$G$8*EXP(-Examples!$G$9*$A824)*(1-(Examples!$G$12*(1-EXP(-Examples!$G$13*$A824))/(1+EXP(MIN(700,MAX(-700,(Examples!$G$14*$A824-Examples!$G$15)/Examples!$G$16))))))+Examples!$G$17*$A824^2)</f>
        <v>653110.88417837501</v>
      </c>
      <c r="L824" s="33">
        <f>Examples!$H$18-(Examples!$H$10+Examples!$H$11)*$A824-(Examples!$H$6*Examples!$H$7*Examples!$H$8*EXP(-Examples!$H$9*$A824)*(1-(Examples!$H$12*(1-EXP(-Examples!$H$13*$A824))/(1+EXP(MIN(700,MAX(-700,(Examples!$H$14*$A824-Examples!$H$15)/Examples!$H$16))))))+Examples!$H$17*$A824^2)</f>
        <v>435845.96103200491</v>
      </c>
      <c r="M824" s="33">
        <f>(Examples!$H$6*Examples!$H$7*Examples!$H$8*EXP(-Examples!$H$9*$A824)*(1-(Examples!$H$12*(1-EXP(-Examples!$H$13*$A824))/(1+EXP(MIN(700,MAX(-700,(Examples!$H$14*$A824-Examples!$H$15)/Examples!$H$16))))))+Examples!$H$17*$A824^2)</f>
        <v>653154.03896799509</v>
      </c>
    </row>
    <row r="825" spans="1:13" x14ac:dyDescent="0.25">
      <c r="A825">
        <f>(825-2)/100</f>
        <v>8.23</v>
      </c>
      <c r="B825" s="33">
        <f>Examples!$C$18-(Examples!$C$10+Examples!$C$11)*$A825-(Examples!$C$6*Examples!$C$7*Examples!$C$8*EXP(-Examples!$C$9*$A825)*(1-(Examples!$C$12*(1-EXP(-Examples!$C$13*$A825))/(1+EXP(MIN(700,MAX(-700,(Examples!$C$14*$A825-Examples!$C$15)/Examples!$C$16))))))+Examples!$C$17*$A825^2)</f>
        <v>-754845.19169100723</v>
      </c>
      <c r="C825" s="33">
        <f>(Examples!$C$6*Examples!$C$7*Examples!$C$8*EXP(-Examples!$C$9*$A825)*(1-(Examples!$C$12*(1-EXP(-Examples!$C$13*$A825))/(1+EXP(MIN(700,MAX(-700,(Examples!$C$14*$A825-Examples!$C$15)/Examples!$C$16))))))+Examples!$C$17*$A825^2)</f>
        <v>1066795.1916910072</v>
      </c>
      <c r="D825" s="33">
        <f>Examples!$D$18-(Examples!$D$10+Examples!$D$11)*$A825-(Examples!$D$6*Examples!$D$7*Examples!$D$8*EXP(-Examples!$D$9*$A825)*(1-(Examples!$D$12*(1-EXP(-Examples!$D$13*$A825))/(1+EXP(MIN(700,MAX(-700,(Examples!$D$14*$A825-Examples!$D$15)/Examples!$D$16))))))+Examples!$D$17*$A825^2)</f>
        <v>1643442.1319182804</v>
      </c>
      <c r="E825" s="33">
        <f>(Examples!$D$6*Examples!$D$7*Examples!$D$8*EXP(-Examples!$D$9*$A825)*(1-(Examples!$D$12*(1-EXP(-Examples!$D$13*$A825))/(1+EXP(MIN(700,MAX(-700,(Examples!$D$14*$A825-Examples!$D$15)/Examples!$D$16))))))+Examples!$D$17*$A825^2)</f>
        <v>486207.86808171961</v>
      </c>
      <c r="F825" s="33">
        <f>Examples!$E$18-(Examples!$E$10+Examples!$E$11)*$A825-(Examples!$E$6*Examples!$E$7*Examples!$E$8*EXP(-Examples!$E$9*$A825)*(1-(Examples!$E$12*(1-EXP(-Examples!$E$13*$A825))/(1+EXP(MIN(700,MAX(-700,(Examples!$E$14*$A825-Examples!$E$15)/Examples!$E$16))))))+Examples!$E$17*$A825^2)</f>
        <v>2055792.3135465051</v>
      </c>
      <c r="G825" s="33">
        <f>(Examples!$E$6*Examples!$E$7*Examples!$E$8*EXP(-Examples!$E$9*$A825)*(1-(Examples!$E$12*(1-EXP(-Examples!$E$13*$A825))/(1+EXP(MIN(700,MAX(-700,(Examples!$E$14*$A825-Examples!$E$15)/Examples!$E$16))))))+Examples!$E$17*$A825^2)</f>
        <v>244657.68645349497</v>
      </c>
      <c r="H825" s="33">
        <f>Examples!$F$18-(Examples!$F$10+Examples!$F$11)*$A825-(Examples!$F$6*Examples!$F$7*Examples!$F$8*EXP(-Examples!$F$9*$A825)*(1-(Examples!$F$12*(1-EXP(-Examples!$F$13*$A825))/(1+EXP(MIN(700,MAX(-700,(Examples!$F$14*$A825-Examples!$F$15)/Examples!$F$16))))))+Examples!$F$17*$A825^2)</f>
        <v>-1370739.7160079237</v>
      </c>
      <c r="I825" s="33">
        <f>(Examples!$F$6*Examples!$F$7*Examples!$F$8*EXP(-Examples!$F$9*$A825)*(1-(Examples!$F$12*(1-EXP(-Examples!$F$13*$A825))/(1+EXP(MIN(700,MAX(-700,(Examples!$F$14*$A825-Examples!$F$15)/Examples!$F$16))))))+Examples!$F$17*$A825^2)</f>
        <v>1356139.7160079237</v>
      </c>
      <c r="J825" s="33">
        <f>Examples!$G$18-(Examples!$G$10+Examples!$G$11)*$A825-(Examples!$G$6*Examples!$G$7*Examples!$G$8*EXP(-Examples!$G$9*$A825)*(1-(Examples!$G$12*(1-EXP(-Examples!$G$13*$A825))/(1+EXP(MIN(700,MAX(-700,(Examples!$G$14*$A825-Examples!$G$15)/Examples!$G$16))))))+Examples!$G$17*$A825^2)</f>
        <v>434465.83427738247</v>
      </c>
      <c r="K825" s="33">
        <f>(Examples!$G$6*Examples!$G$7*Examples!$G$8*EXP(-Examples!$G$9*$A825)*(1-(Examples!$G$12*(1-EXP(-Examples!$G$13*$A825))/(1+EXP(MIN(700,MAX(-700,(Examples!$G$14*$A825-Examples!$G$15)/Examples!$G$16))))))+Examples!$G$17*$A825^2)</f>
        <v>654034.16572261753</v>
      </c>
      <c r="L825" s="33">
        <f>Examples!$H$18-(Examples!$H$10+Examples!$H$11)*$A825-(Examples!$H$6*Examples!$H$7*Examples!$H$8*EXP(-Examples!$H$9*$A825)*(1-(Examples!$H$12*(1-EXP(-Examples!$H$13*$A825))/(1+EXP(MIN(700,MAX(-700,(Examples!$H$14*$A825-Examples!$H$15)/Examples!$H$16))))))+Examples!$H$17*$A825^2)</f>
        <v>434423.39602430083</v>
      </c>
      <c r="M825" s="33">
        <f>(Examples!$H$6*Examples!$H$7*Examples!$H$8*EXP(-Examples!$H$9*$A825)*(1-(Examples!$H$12*(1-EXP(-Examples!$H$13*$A825))/(1+EXP(MIN(700,MAX(-700,(Examples!$H$14*$A825-Examples!$H$15)/Examples!$H$16))))))+Examples!$H$17*$A825^2)</f>
        <v>654076.60397569917</v>
      </c>
    </row>
    <row r="826" spans="1:13" x14ac:dyDescent="0.25">
      <c r="A826">
        <f>(826-2)/100</f>
        <v>8.24</v>
      </c>
      <c r="B826" s="33">
        <f>Examples!$C$18-(Examples!$C$10+Examples!$C$11)*$A826-(Examples!$C$6*Examples!$C$7*Examples!$C$8*EXP(-Examples!$C$9*$A826)*(1-(Examples!$C$12*(1-EXP(-Examples!$C$13*$A826))/(1+EXP(MIN(700,MAX(-700,(Examples!$C$14*$A826-Examples!$C$15)/Examples!$C$16))))))+Examples!$C$17*$A826^2)</f>
        <v>-757513.51499541174</v>
      </c>
      <c r="C826" s="33">
        <f>(Examples!$C$6*Examples!$C$7*Examples!$C$8*EXP(-Examples!$C$9*$A826)*(1-(Examples!$C$12*(1-EXP(-Examples!$C$13*$A826))/(1+EXP(MIN(700,MAX(-700,(Examples!$C$14*$A826-Examples!$C$15)/Examples!$C$16))))))+Examples!$C$17*$A826^2)</f>
        <v>1069113.5149954117</v>
      </c>
      <c r="D826" s="33">
        <f>Examples!$D$18-(Examples!$D$10+Examples!$D$11)*$A826-(Examples!$D$6*Examples!$D$7*Examples!$D$8*EXP(-Examples!$D$9*$A826)*(1-(Examples!$D$12*(1-EXP(-Examples!$D$13*$A826))/(1+EXP(MIN(700,MAX(-700,(Examples!$D$14*$A826-Examples!$D$15)/Examples!$D$16))))))+Examples!$D$17*$A826^2)</f>
        <v>1642827.4211643152</v>
      </c>
      <c r="E826" s="33">
        <f>(Examples!$D$6*Examples!$D$7*Examples!$D$8*EXP(-Examples!$D$9*$A826)*(1-(Examples!$D$12*(1-EXP(-Examples!$D$13*$A826))/(1+EXP(MIN(700,MAX(-700,(Examples!$D$14*$A826-Examples!$D$15)/Examples!$D$16))))))+Examples!$D$17*$A826^2)</f>
        <v>486372.57883568486</v>
      </c>
      <c r="F826" s="33">
        <f>Examples!$E$18-(Examples!$E$10+Examples!$E$11)*$A826-(Examples!$E$6*Examples!$E$7*Examples!$E$8*EXP(-Examples!$E$9*$A826)*(1-(Examples!$E$12*(1-EXP(-Examples!$E$13*$A826))/(1+EXP(MIN(700,MAX(-700,(Examples!$E$14*$A826-Examples!$E$15)/Examples!$E$16))))))+Examples!$E$17*$A826^2)</f>
        <v>2054635.7149941954</v>
      </c>
      <c r="G826" s="33">
        <f>(Examples!$E$6*Examples!$E$7*Examples!$E$8*EXP(-Examples!$E$9*$A826)*(1-(Examples!$E$12*(1-EXP(-Examples!$E$13*$A826))/(1+EXP(MIN(700,MAX(-700,(Examples!$E$14*$A826-Examples!$E$15)/Examples!$E$16))))))+Examples!$E$17*$A826^2)</f>
        <v>244964.28500580462</v>
      </c>
      <c r="H826" s="33">
        <f>Examples!$F$18-(Examples!$F$10+Examples!$F$11)*$A826-(Examples!$F$6*Examples!$F$7*Examples!$F$8*EXP(-Examples!$F$9*$A826)*(1-(Examples!$F$12*(1-EXP(-Examples!$F$13*$A826))/(1+EXP(MIN(700,MAX(-700,(Examples!$F$14*$A826-Examples!$F$15)/Examples!$F$16))))))+Examples!$F$17*$A826^2)</f>
        <v>-1374229.2775209593</v>
      </c>
      <c r="I826" s="33">
        <f>(Examples!$F$6*Examples!$F$7*Examples!$F$8*EXP(-Examples!$F$9*$A826)*(1-(Examples!$F$12*(1-EXP(-Examples!$F$13*$A826))/(1+EXP(MIN(700,MAX(-700,(Examples!$F$14*$A826-Examples!$F$15)/Examples!$F$16))))))+Examples!$F$17*$A826^2)</f>
        <v>1359429.2775209593</v>
      </c>
      <c r="J826" s="33">
        <f>Examples!$G$18-(Examples!$G$10+Examples!$G$11)*$A826-(Examples!$G$6*Examples!$G$7*Examples!$G$8*EXP(-Examples!$G$9*$A826)*(1-(Examples!$G$12*(1-EXP(-Examples!$G$13*$A826))/(1+EXP(MIN(700,MAX(-700,(Examples!$G$14*$A826-Examples!$G$15)/Examples!$G$16))))))+Examples!$G$17*$A826^2)</f>
        <v>433039.5899945139</v>
      </c>
      <c r="K826" s="33">
        <f>(Examples!$G$6*Examples!$G$7*Examples!$G$8*EXP(-Examples!$G$9*$A826)*(1-(Examples!$G$12*(1-EXP(-Examples!$G$13*$A826))/(1+EXP(MIN(700,MAX(-700,(Examples!$G$14*$A826-Examples!$G$15)/Examples!$G$16))))))+Examples!$G$17*$A826^2)</f>
        <v>654960.4100054861</v>
      </c>
      <c r="L826" s="33">
        <f>Examples!$H$18-(Examples!$H$10+Examples!$H$11)*$A826-(Examples!$H$6*Examples!$H$7*Examples!$H$8*EXP(-Examples!$H$9*$A826)*(1-(Examples!$H$12*(1-EXP(-Examples!$H$13*$A826))/(1+EXP(MIN(700,MAX(-700,(Examples!$H$14*$A826-Examples!$H$15)/Examples!$H$16))))))+Examples!$H$17*$A826^2)</f>
        <v>432997.85640218831</v>
      </c>
      <c r="M826" s="33">
        <f>(Examples!$H$6*Examples!$H$7*Examples!$H$8*EXP(-Examples!$H$9*$A826)*(1-(Examples!$H$12*(1-EXP(-Examples!$H$13*$A826))/(1+EXP(MIN(700,MAX(-700,(Examples!$H$14*$A826-Examples!$H$15)/Examples!$H$16))))))+Examples!$H$17*$A826^2)</f>
        <v>655002.14359781169</v>
      </c>
    </row>
    <row r="827" spans="1:13" x14ac:dyDescent="0.25">
      <c r="A827">
        <f>(827-2)/100</f>
        <v>8.25</v>
      </c>
      <c r="B827" s="33">
        <f>Examples!$C$18-(Examples!$C$10+Examples!$C$11)*$A827-(Examples!$C$6*Examples!$C$7*Examples!$C$8*EXP(-Examples!$C$9*$A827)*(1-(Examples!$C$12*(1-EXP(-Examples!$C$13*$A827))/(1+EXP(MIN(700,MAX(-700,(Examples!$C$14*$A827-Examples!$C$15)/Examples!$C$16))))))+Examples!$C$17*$A827^2)</f>
        <v>-760185.29414578131</v>
      </c>
      <c r="C827" s="33">
        <f>(Examples!$C$6*Examples!$C$7*Examples!$C$8*EXP(-Examples!$C$9*$A827)*(1-(Examples!$C$12*(1-EXP(-Examples!$C$13*$A827))/(1+EXP(MIN(700,MAX(-700,(Examples!$C$14*$A827-Examples!$C$15)/Examples!$C$16))))))+Examples!$C$17*$A827^2)</f>
        <v>1071435.2941457813</v>
      </c>
      <c r="D827" s="33">
        <f>Examples!$D$18-(Examples!$D$10+Examples!$D$11)*$A827-(Examples!$D$6*Examples!$D$7*Examples!$D$8*EXP(-Examples!$D$9*$A827)*(1-(Examples!$D$12*(1-EXP(-Examples!$D$13*$A827))/(1+EXP(MIN(700,MAX(-700,(Examples!$D$14*$A827-Examples!$D$15)/Examples!$D$16))))))+Examples!$D$17*$A827^2)</f>
        <v>1642208.8168193409</v>
      </c>
      <c r="E827" s="33">
        <f>(Examples!$D$6*Examples!$D$7*Examples!$D$8*EXP(-Examples!$D$9*$A827)*(1-(Examples!$D$12*(1-EXP(-Examples!$D$13*$A827))/(1+EXP(MIN(700,MAX(-700,(Examples!$D$14*$A827-Examples!$D$15)/Examples!$D$16))))))+Examples!$D$17*$A827^2)</f>
        <v>486541.18318065908</v>
      </c>
      <c r="F827" s="33">
        <f>Examples!$E$18-(Examples!$E$10+Examples!$E$11)*$A827-(Examples!$E$6*Examples!$E$7*Examples!$E$8*EXP(-Examples!$E$9*$A827)*(1-(Examples!$E$12*(1-EXP(-Examples!$E$13*$A827))/(1+EXP(MIN(700,MAX(-700,(Examples!$E$14*$A827-Examples!$E$15)/Examples!$E$16))))))+Examples!$E$17*$A827^2)</f>
        <v>2053477.8081795576</v>
      </c>
      <c r="G827" s="33">
        <f>(Examples!$E$6*Examples!$E$7*Examples!$E$8*EXP(-Examples!$E$9*$A827)*(1-(Examples!$E$12*(1-EXP(-Examples!$E$13*$A827))/(1+EXP(MIN(700,MAX(-700,(Examples!$E$14*$A827-Examples!$E$15)/Examples!$E$16))))))+Examples!$E$17*$A827^2)</f>
        <v>245272.19182044236</v>
      </c>
      <c r="H827" s="33">
        <f>Examples!$F$18-(Examples!$F$10+Examples!$F$11)*$A827-(Examples!$F$6*Examples!$F$7*Examples!$F$8*EXP(-Examples!$F$9*$A827)*(1-(Examples!$F$12*(1-EXP(-Examples!$F$13*$A827))/(1+EXP(MIN(700,MAX(-700,(Examples!$F$14*$A827-Examples!$F$15)/Examples!$F$16))))))+Examples!$F$17*$A827^2)</f>
        <v>-1377722.8523295023</v>
      </c>
      <c r="I827" s="33">
        <f>(Examples!$F$6*Examples!$F$7*Examples!$F$8*EXP(-Examples!$F$9*$A827)*(1-(Examples!$F$12*(1-EXP(-Examples!$F$13*$A827))/(1+EXP(MIN(700,MAX(-700,(Examples!$F$14*$A827-Examples!$F$15)/Examples!$F$16))))))+Examples!$F$17*$A827^2)</f>
        <v>1362722.8523295023</v>
      </c>
      <c r="J827" s="33">
        <f>Examples!$G$18-(Examples!$G$10+Examples!$G$11)*$A827-(Examples!$G$6*Examples!$G$7*Examples!$G$8*EXP(-Examples!$G$9*$A827)*(1-(Examples!$G$12*(1-EXP(-Examples!$G$13*$A827))/(1+EXP(MIN(700,MAX(-700,(Examples!$G$14*$A827-Examples!$G$15)/Examples!$G$16))))))+Examples!$G$17*$A827^2)</f>
        <v>431610.38757939392</v>
      </c>
      <c r="K827" s="33">
        <f>(Examples!$G$6*Examples!$G$7*Examples!$G$8*EXP(-Examples!$G$9*$A827)*(1-(Examples!$G$12*(1-EXP(-Examples!$G$13*$A827))/(1+EXP(MIN(700,MAX(-700,(Examples!$G$14*$A827-Examples!$G$15)/Examples!$G$16))))))+Examples!$G$17*$A827^2)</f>
        <v>655889.61242060608</v>
      </c>
      <c r="L827" s="33">
        <f>Examples!$H$18-(Examples!$H$10+Examples!$H$11)*$A827-(Examples!$H$6*Examples!$H$7*Examples!$H$8*EXP(-Examples!$H$9*$A827)*(1-(Examples!$H$12*(1-EXP(-Examples!$H$13*$A827))/(1+EXP(MIN(700,MAX(-700,(Examples!$H$14*$A827-Examples!$H$15)/Examples!$H$16))))))+Examples!$H$17*$A827^2)</f>
        <v>431569.34696837014</v>
      </c>
      <c r="M827" s="33">
        <f>(Examples!$H$6*Examples!$H$7*Examples!$H$8*EXP(-Examples!$H$9*$A827)*(1-(Examples!$H$12*(1-EXP(-Examples!$H$13*$A827))/(1+EXP(MIN(700,MAX(-700,(Examples!$H$14*$A827-Examples!$H$15)/Examples!$H$16))))))+Examples!$H$17*$A827^2)</f>
        <v>655930.65303162986</v>
      </c>
    </row>
    <row r="828" spans="1:13" x14ac:dyDescent="0.25">
      <c r="A828">
        <f>(828-2)/100</f>
        <v>8.26</v>
      </c>
      <c r="B828" s="33">
        <f>Examples!$C$18-(Examples!$C$10+Examples!$C$11)*$A828-(Examples!$C$6*Examples!$C$7*Examples!$C$8*EXP(-Examples!$C$9*$A828)*(1-(Examples!$C$12*(1-EXP(-Examples!$C$13*$A828))/(1+EXP(MIN(700,MAX(-700,(Examples!$C$14*$A828-Examples!$C$15)/Examples!$C$16))))))+Examples!$C$17*$A828^2)</f>
        <v>-762860.52777662757</v>
      </c>
      <c r="C828" s="33">
        <f>(Examples!$C$6*Examples!$C$7*Examples!$C$8*EXP(-Examples!$C$9*$A828)*(1-(Examples!$C$12*(1-EXP(-Examples!$C$13*$A828))/(1+EXP(MIN(700,MAX(-700,(Examples!$C$14*$A828-Examples!$C$15)/Examples!$C$16))))))+Examples!$C$17*$A828^2)</f>
        <v>1073760.5277766276</v>
      </c>
      <c r="D828" s="33">
        <f>Examples!$D$18-(Examples!$D$10+Examples!$D$11)*$A828-(Examples!$D$6*Examples!$D$7*Examples!$D$8*EXP(-Examples!$D$9*$A828)*(1-(Examples!$D$12*(1-EXP(-Examples!$D$13*$A828))/(1+EXP(MIN(700,MAX(-700,(Examples!$D$14*$A828-Examples!$D$15)/Examples!$D$16))))))+Examples!$D$17*$A828^2)</f>
        <v>1641586.3307513986</v>
      </c>
      <c r="E828" s="33">
        <f>(Examples!$D$6*Examples!$D$7*Examples!$D$8*EXP(-Examples!$D$9*$A828)*(1-(Examples!$D$12*(1-EXP(-Examples!$D$13*$A828))/(1+EXP(MIN(700,MAX(-700,(Examples!$D$14*$A828-Examples!$D$15)/Examples!$D$16))))))+Examples!$D$17*$A828^2)</f>
        <v>486713.66924860142</v>
      </c>
      <c r="F828" s="33">
        <f>Examples!$E$18-(Examples!$E$10+Examples!$E$11)*$A828-(Examples!$E$6*Examples!$E$7*Examples!$E$8*EXP(-Examples!$E$9*$A828)*(1-(Examples!$E$12*(1-EXP(-Examples!$E$13*$A828))/(1+EXP(MIN(700,MAX(-700,(Examples!$E$14*$A828-Examples!$E$15)/Examples!$E$16))))))+Examples!$E$17*$A828^2)</f>
        <v>2052318.5941260324</v>
      </c>
      <c r="G828" s="33">
        <f>(Examples!$E$6*Examples!$E$7*Examples!$E$8*EXP(-Examples!$E$9*$A828)*(1-(Examples!$E$12*(1-EXP(-Examples!$E$13*$A828))/(1+EXP(MIN(700,MAX(-700,(Examples!$E$14*$A828-Examples!$E$15)/Examples!$E$16))))))+Examples!$E$17*$A828^2)</f>
        <v>245581.40587396757</v>
      </c>
      <c r="H828" s="33">
        <f>Examples!$F$18-(Examples!$F$10+Examples!$F$11)*$A828-(Examples!$F$6*Examples!$F$7*Examples!$F$8*EXP(-Examples!$F$9*$A828)*(1-(Examples!$F$12*(1-EXP(-Examples!$F$13*$A828))/(1+EXP(MIN(700,MAX(-700,(Examples!$F$14*$A828-Examples!$F$15)/Examples!$F$16))))))+Examples!$F$17*$A828^2)</f>
        <v>-1381220.4403937266</v>
      </c>
      <c r="I828" s="33">
        <f>(Examples!$F$6*Examples!$F$7*Examples!$F$8*EXP(-Examples!$F$9*$A828)*(1-(Examples!$F$12*(1-EXP(-Examples!$F$13*$A828))/(1+EXP(MIN(700,MAX(-700,(Examples!$F$14*$A828-Examples!$F$15)/Examples!$F$16))))))+Examples!$F$17*$A828^2)</f>
        <v>1366020.4403937266</v>
      </c>
      <c r="J828" s="33">
        <f>Examples!$G$18-(Examples!$G$10+Examples!$G$11)*$A828-(Examples!$G$6*Examples!$G$7*Examples!$G$8*EXP(-Examples!$G$9*$A828)*(1-(Examples!$G$12*(1-EXP(-Examples!$G$13*$A828))/(1+EXP(MIN(700,MAX(-700,(Examples!$G$14*$A828-Examples!$G$15)/Examples!$G$16))))))+Examples!$G$17*$A828^2)</f>
        <v>430178.2316248524</v>
      </c>
      <c r="K828" s="33">
        <f>(Examples!$G$6*Examples!$G$7*Examples!$G$8*EXP(-Examples!$G$9*$A828)*(1-(Examples!$G$12*(1-EXP(-Examples!$G$13*$A828))/(1+EXP(MIN(700,MAX(-700,(Examples!$G$14*$A828-Examples!$G$15)/Examples!$G$16))))))+Examples!$G$17*$A828^2)</f>
        <v>656821.7683751476</v>
      </c>
      <c r="L828" s="33">
        <f>Examples!$H$18-(Examples!$H$10+Examples!$H$11)*$A828-(Examples!$H$6*Examples!$H$7*Examples!$H$8*EXP(-Examples!$H$9*$A828)*(1-(Examples!$H$12*(1-EXP(-Examples!$H$13*$A828))/(1+EXP(MIN(700,MAX(-700,(Examples!$H$14*$A828-Examples!$H$15)/Examples!$H$16))))))+Examples!$H$17*$A828^2)</f>
        <v>430137.87250877102</v>
      </c>
      <c r="M828" s="33">
        <f>(Examples!$H$6*Examples!$H$7*Examples!$H$8*EXP(-Examples!$H$9*$A828)*(1-(Examples!$H$12*(1-EXP(-Examples!$H$13*$A828))/(1+EXP(MIN(700,MAX(-700,(Examples!$H$14*$A828-Examples!$H$15)/Examples!$H$16))))))+Examples!$H$17*$A828^2)</f>
        <v>656862.12749122898</v>
      </c>
    </row>
    <row r="829" spans="1:13" x14ac:dyDescent="0.25">
      <c r="A829">
        <f>(829-2)/100</f>
        <v>8.27</v>
      </c>
      <c r="B829" s="33">
        <f>Examples!$C$18-(Examples!$C$10+Examples!$C$11)*$A829-(Examples!$C$6*Examples!$C$7*Examples!$C$8*EXP(-Examples!$C$9*$A829)*(1-(Examples!$C$12*(1-EXP(-Examples!$C$13*$A829))/(1+EXP(MIN(700,MAX(-700,(Examples!$C$14*$A829-Examples!$C$15)/Examples!$C$16))))))+Examples!$C$17*$A829^2)</f>
        <v>-765539.21452655341</v>
      </c>
      <c r="C829" s="33">
        <f>(Examples!$C$6*Examples!$C$7*Examples!$C$8*EXP(-Examples!$C$9*$A829)*(1-(Examples!$C$12*(1-EXP(-Examples!$C$13*$A829))/(1+EXP(MIN(700,MAX(-700,(Examples!$C$14*$A829-Examples!$C$15)/Examples!$C$16))))))+Examples!$C$17*$A829^2)</f>
        <v>1076089.2145265534</v>
      </c>
      <c r="D829" s="33">
        <f>Examples!$D$18-(Examples!$D$10+Examples!$D$11)*$A829-(Examples!$D$6*Examples!$D$7*Examples!$D$8*EXP(-Examples!$D$9*$A829)*(1-(Examples!$D$12*(1-EXP(-Examples!$D$13*$A829))/(1+EXP(MIN(700,MAX(-700,(Examples!$D$14*$A829-Examples!$D$15)/Examples!$D$16))))))+Examples!$D$17*$A829^2)</f>
        <v>1640959.9747947585</v>
      </c>
      <c r="E829" s="33">
        <f>(Examples!$D$6*Examples!$D$7*Examples!$D$8*EXP(-Examples!$D$9*$A829)*(1-(Examples!$D$12*(1-EXP(-Examples!$D$13*$A829))/(1+EXP(MIN(700,MAX(-700,(Examples!$D$14*$A829-Examples!$D$15)/Examples!$D$16))))))+Examples!$D$17*$A829^2)</f>
        <v>486890.02520524157</v>
      </c>
      <c r="F829" s="33">
        <f>Examples!$E$18-(Examples!$E$10+Examples!$E$11)*$A829-(Examples!$E$6*Examples!$E$7*Examples!$E$8*EXP(-Examples!$E$9*$A829)*(1-(Examples!$E$12*(1-EXP(-Examples!$E$13*$A829))/(1+EXP(MIN(700,MAX(-700,(Examples!$E$14*$A829-Examples!$E$15)/Examples!$E$16))))))+Examples!$E$17*$A829^2)</f>
        <v>2051158.0738765665</v>
      </c>
      <c r="G829" s="33">
        <f>(Examples!$E$6*Examples!$E$7*Examples!$E$8*EXP(-Examples!$E$9*$A829)*(1-(Examples!$E$12*(1-EXP(-Examples!$E$13*$A829))/(1+EXP(MIN(700,MAX(-700,(Examples!$E$14*$A829-Examples!$E$15)/Examples!$E$16))))))+Examples!$E$17*$A829^2)</f>
        <v>245891.92612343346</v>
      </c>
      <c r="H829" s="33">
        <f>Examples!$F$18-(Examples!$F$10+Examples!$F$11)*$A829-(Examples!$F$6*Examples!$F$7*Examples!$F$8*EXP(-Examples!$F$9*$A829)*(1-(Examples!$F$12*(1-EXP(-Examples!$F$13*$A829))/(1+EXP(MIN(700,MAX(-700,(Examples!$F$14*$A829-Examples!$F$15)/Examples!$F$16))))))+Examples!$F$17*$A829^2)</f>
        <v>-1384722.0416739241</v>
      </c>
      <c r="I829" s="33">
        <f>(Examples!$F$6*Examples!$F$7*Examples!$F$8*EXP(-Examples!$F$9*$A829)*(1-(Examples!$F$12*(1-EXP(-Examples!$F$13*$A829))/(1+EXP(MIN(700,MAX(-700,(Examples!$F$14*$A829-Examples!$F$15)/Examples!$F$16))))))+Examples!$F$17*$A829^2)</f>
        <v>1369322.0416739241</v>
      </c>
      <c r="J829" s="33">
        <f>Examples!$G$18-(Examples!$G$10+Examples!$G$11)*$A829-(Examples!$G$6*Examples!$G$7*Examples!$G$8*EXP(-Examples!$G$9*$A829)*(1-(Examples!$G$12*(1-EXP(-Examples!$G$13*$A829))/(1+EXP(MIN(700,MAX(-700,(Examples!$G$14*$A829-Examples!$G$15)/Examples!$G$16))))))+Examples!$G$17*$A829^2)</f>
        <v>428743.12671017938</v>
      </c>
      <c r="K829" s="33">
        <f>(Examples!$G$6*Examples!$G$7*Examples!$G$8*EXP(-Examples!$G$9*$A829)*(1-(Examples!$G$12*(1-EXP(-Examples!$G$13*$A829))/(1+EXP(MIN(700,MAX(-700,(Examples!$G$14*$A829-Examples!$G$15)/Examples!$G$16))))))+Examples!$G$17*$A829^2)</f>
        <v>657756.87328982062</v>
      </c>
      <c r="L829" s="33">
        <f>Examples!$H$18-(Examples!$H$10+Examples!$H$11)*$A829-(Examples!$H$6*Examples!$H$7*Examples!$H$8*EXP(-Examples!$H$9*$A829)*(1-(Examples!$H$12*(1-EXP(-Examples!$H$13*$A829))/(1+EXP(MIN(700,MAX(-700,(Examples!$H$14*$A829-Examples!$H$15)/Examples!$H$16))))))+Examples!$H$17*$A829^2)</f>
        <v>428703.43779259466</v>
      </c>
      <c r="M829" s="33">
        <f>(Examples!$H$6*Examples!$H$7*Examples!$H$8*EXP(-Examples!$H$9*$A829)*(1-(Examples!$H$12*(1-EXP(-Examples!$H$13*$A829))/(1+EXP(MIN(700,MAX(-700,(Examples!$H$14*$A829-Examples!$H$15)/Examples!$H$16))))))+Examples!$H$17*$A829^2)</f>
        <v>657796.56220740534</v>
      </c>
    </row>
    <row r="830" spans="1:13" x14ac:dyDescent="0.25">
      <c r="A830">
        <f>(830-2)/100</f>
        <v>8.2799999999999994</v>
      </c>
      <c r="B830" s="33">
        <f>Examples!$C$18-(Examples!$C$10+Examples!$C$11)*$A830-(Examples!$C$6*Examples!$C$7*Examples!$C$8*EXP(-Examples!$C$9*$A830)*(1-(Examples!$C$12*(1-EXP(-Examples!$C$13*$A830))/(1+EXP(MIN(700,MAX(-700,(Examples!$C$14*$A830-Examples!$C$15)/Examples!$C$16))))))+Examples!$C$17*$A830^2)</f>
        <v>-768221.35303823813</v>
      </c>
      <c r="C830" s="33">
        <f>(Examples!$C$6*Examples!$C$7*Examples!$C$8*EXP(-Examples!$C$9*$A830)*(1-(Examples!$C$12*(1-EXP(-Examples!$C$13*$A830))/(1+EXP(MIN(700,MAX(-700,(Examples!$C$14*$A830-Examples!$C$15)/Examples!$C$16))))))+Examples!$C$17*$A830^2)</f>
        <v>1078421.3530382381</v>
      </c>
      <c r="D830" s="33">
        <f>Examples!$D$18-(Examples!$D$10+Examples!$D$11)*$A830-(Examples!$D$6*Examples!$D$7*Examples!$D$8*EXP(-Examples!$D$9*$A830)*(1-(Examples!$D$12*(1-EXP(-Examples!$D$13*$A830))/(1+EXP(MIN(700,MAX(-700,(Examples!$D$14*$A830-Examples!$D$15)/Examples!$D$16))))))+Examples!$D$17*$A830^2)</f>
        <v>1640329.760749737</v>
      </c>
      <c r="E830" s="33">
        <f>(Examples!$D$6*Examples!$D$7*Examples!$D$8*EXP(-Examples!$D$9*$A830)*(1-(Examples!$D$12*(1-EXP(-Examples!$D$13*$A830))/(1+EXP(MIN(700,MAX(-700,(Examples!$D$14*$A830-Examples!$D$15)/Examples!$D$16))))))+Examples!$D$17*$A830^2)</f>
        <v>487070.23925026297</v>
      </c>
      <c r="F830" s="33">
        <f>Examples!$E$18-(Examples!$E$10+Examples!$E$11)*$A830-(Examples!$E$6*Examples!$E$7*Examples!$E$8*EXP(-Examples!$E$9*$A830)*(1-(Examples!$E$12*(1-EXP(-Examples!$E$13*$A830))/(1+EXP(MIN(700,MAX(-700,(Examples!$E$14*$A830-Examples!$E$15)/Examples!$E$16))))))+Examples!$E$17*$A830^2)</f>
        <v>2049996.248493335</v>
      </c>
      <c r="G830" s="33">
        <f>(Examples!$E$6*Examples!$E$7*Examples!$E$8*EXP(-Examples!$E$9*$A830)*(1-(Examples!$E$12*(1-EXP(-Examples!$E$13*$A830))/(1+EXP(MIN(700,MAX(-700,(Examples!$E$14*$A830-Examples!$E$15)/Examples!$E$16))))))+Examples!$E$17*$A830^2)</f>
        <v>246203.75150666502</v>
      </c>
      <c r="H830" s="33">
        <f>Examples!$F$18-(Examples!$F$10+Examples!$F$11)*$A830-(Examples!$F$6*Examples!$F$7*Examples!$F$8*EXP(-Examples!$F$9*$A830)*(1-(Examples!$F$12*(1-EXP(-Examples!$F$13*$A830))/(1+EXP(MIN(700,MAX(-700,(Examples!$F$14*$A830-Examples!$F$15)/Examples!$F$16))))))+Examples!$F$17*$A830^2)</f>
        <v>-1388227.6561305064</v>
      </c>
      <c r="I830" s="33">
        <f>(Examples!$F$6*Examples!$F$7*Examples!$F$8*EXP(-Examples!$F$9*$A830)*(1-(Examples!$F$12*(1-EXP(-Examples!$F$13*$A830))/(1+EXP(MIN(700,MAX(-700,(Examples!$F$14*$A830-Examples!$F$15)/Examples!$F$16))))))+Examples!$F$17*$A830^2)</f>
        <v>1372627.6561305064</v>
      </c>
      <c r="J830" s="33">
        <f>Examples!$G$18-(Examples!$G$10+Examples!$G$11)*$A830-(Examples!$G$6*Examples!$G$7*Examples!$G$8*EXP(-Examples!$G$9*$A830)*(1-(Examples!$G$12*(1-EXP(-Examples!$G$13*$A830))/(1+EXP(MIN(700,MAX(-700,(Examples!$G$14*$A830-Examples!$G$15)/Examples!$G$16))))))+Examples!$G$17*$A830^2)</f>
        <v>427305.07740113209</v>
      </c>
      <c r="K830" s="33">
        <f>(Examples!$G$6*Examples!$G$7*Examples!$G$8*EXP(-Examples!$G$9*$A830)*(1-(Examples!$G$12*(1-EXP(-Examples!$G$13*$A830))/(1+EXP(MIN(700,MAX(-700,(Examples!$G$14*$A830-Examples!$G$15)/Examples!$G$16))))))+Examples!$G$17*$A830^2)</f>
        <v>658694.92259886791</v>
      </c>
      <c r="L830" s="33">
        <f>Examples!$H$18-(Examples!$H$10+Examples!$H$11)*$A830-(Examples!$H$6*Examples!$H$7*Examples!$H$8*EXP(-Examples!$H$9*$A830)*(1-(Examples!$H$12*(1-EXP(-Examples!$H$13*$A830))/(1+EXP(MIN(700,MAX(-700,(Examples!$H$14*$A830-Examples!$H$15)/Examples!$H$16))))))+Examples!$H$17*$A830^2)</f>
        <v>427266.04757238354</v>
      </c>
      <c r="M830" s="33">
        <f>(Examples!$H$6*Examples!$H$7*Examples!$H$8*EXP(-Examples!$H$9*$A830)*(1-(Examples!$H$12*(1-EXP(-Examples!$H$13*$A830))/(1+EXP(MIN(700,MAX(-700,(Examples!$H$14*$A830-Examples!$H$15)/Examples!$H$16))))))+Examples!$H$17*$A830^2)</f>
        <v>658733.95242761646</v>
      </c>
    </row>
    <row r="831" spans="1:13" x14ac:dyDescent="0.25">
      <c r="A831">
        <f>(831-2)/100</f>
        <v>8.2899999999999991</v>
      </c>
      <c r="B831" s="33">
        <f>Examples!$C$18-(Examples!$C$10+Examples!$C$11)*$A831-(Examples!$C$6*Examples!$C$7*Examples!$C$8*EXP(-Examples!$C$9*$A831)*(1-(Examples!$C$12*(1-EXP(-Examples!$C$13*$A831))/(1+EXP(MIN(700,MAX(-700,(Examples!$C$14*$A831-Examples!$C$15)/Examples!$C$16))))))+Examples!$C$17*$A831^2)</f>
        <v>-770906.94195842789</v>
      </c>
      <c r="C831" s="33">
        <f>(Examples!$C$6*Examples!$C$7*Examples!$C$8*EXP(-Examples!$C$9*$A831)*(1-(Examples!$C$12*(1-EXP(-Examples!$C$13*$A831))/(1+EXP(MIN(700,MAX(-700,(Examples!$C$14*$A831-Examples!$C$15)/Examples!$C$16))))))+Examples!$C$17*$A831^2)</f>
        <v>1080756.9419584279</v>
      </c>
      <c r="D831" s="33">
        <f>Examples!$D$18-(Examples!$D$10+Examples!$D$11)*$A831-(Examples!$D$6*Examples!$D$7*Examples!$D$8*EXP(-Examples!$D$9*$A831)*(1-(Examples!$D$12*(1-EXP(-Examples!$D$13*$A831))/(1+EXP(MIN(700,MAX(-700,(Examples!$D$14*$A831-Examples!$D$15)/Examples!$D$16))))))+Examples!$D$17*$A831^2)</f>
        <v>1639695.7003825197</v>
      </c>
      <c r="E831" s="33">
        <f>(Examples!$D$6*Examples!$D$7*Examples!$D$8*EXP(-Examples!$D$9*$A831)*(1-(Examples!$D$12*(1-EXP(-Examples!$D$13*$A831))/(1+EXP(MIN(700,MAX(-700,(Examples!$D$14*$A831-Examples!$D$15)/Examples!$D$16))))))+Examples!$D$17*$A831^2)</f>
        <v>487254.29961748025</v>
      </c>
      <c r="F831" s="33">
        <f>Examples!$E$18-(Examples!$E$10+Examples!$E$11)*$A831-(Examples!$E$6*Examples!$E$7*Examples!$E$8*EXP(-Examples!$E$9*$A831)*(1-(Examples!$E$12*(1-EXP(-Examples!$E$13*$A831))/(1+EXP(MIN(700,MAX(-700,(Examples!$E$14*$A831-Examples!$E$15)/Examples!$E$16))))))+Examples!$E$17*$A831^2)</f>
        <v>2048833.1190574646</v>
      </c>
      <c r="G831" s="33">
        <f>(Examples!$E$6*Examples!$E$7*Examples!$E$8*EXP(-Examples!$E$9*$A831)*(1-(Examples!$E$12*(1-EXP(-Examples!$E$13*$A831))/(1+EXP(MIN(700,MAX(-700,(Examples!$E$14*$A831-Examples!$E$15)/Examples!$E$16))))))+Examples!$E$17*$A831^2)</f>
        <v>246516.88094253541</v>
      </c>
      <c r="H831" s="33">
        <f>Examples!$F$18-(Examples!$F$10+Examples!$F$11)*$A831-(Examples!$F$6*Examples!$F$7*Examples!$F$8*EXP(-Examples!$F$9*$A831)*(1-(Examples!$F$12*(1-EXP(-Examples!$F$13*$A831))/(1+EXP(MIN(700,MAX(-700,(Examples!$F$14*$A831-Examples!$F$15)/Examples!$F$16))))))+Examples!$F$17*$A831^2)</f>
        <v>-1391737.2837240039</v>
      </c>
      <c r="I831" s="33">
        <f>(Examples!$F$6*Examples!$F$7*Examples!$F$8*EXP(-Examples!$F$9*$A831)*(1-(Examples!$F$12*(1-EXP(-Examples!$F$13*$A831))/(1+EXP(MIN(700,MAX(-700,(Examples!$F$14*$A831-Examples!$F$15)/Examples!$F$16))))))+Examples!$F$17*$A831^2)</f>
        <v>1375937.2837240039</v>
      </c>
      <c r="J831" s="33">
        <f>Examples!$G$18-(Examples!$G$10+Examples!$G$11)*$A831-(Examples!$G$6*Examples!$G$7*Examples!$G$8*EXP(-Examples!$G$9*$A831)*(1-(Examples!$G$12*(1-EXP(-Examples!$G$13*$A831))/(1+EXP(MIN(700,MAX(-700,(Examples!$G$14*$A831-Examples!$G$15)/Examples!$G$16))))))+Examples!$G$17*$A831^2)</f>
        <v>425864.08824994171</v>
      </c>
      <c r="K831" s="33">
        <f>(Examples!$G$6*Examples!$G$7*Examples!$G$8*EXP(-Examples!$G$9*$A831)*(1-(Examples!$G$12*(1-EXP(-Examples!$G$13*$A831))/(1+EXP(MIN(700,MAX(-700,(Examples!$G$14*$A831-Examples!$G$15)/Examples!$G$16))))))+Examples!$G$17*$A831^2)</f>
        <v>659635.91175005829</v>
      </c>
      <c r="L831" s="33">
        <f>Examples!$H$18-(Examples!$H$10+Examples!$H$11)*$A831-(Examples!$H$6*Examples!$H$7*Examples!$H$8*EXP(-Examples!$H$9*$A831)*(1-(Examples!$H$12*(1-EXP(-Examples!$H$13*$A831))/(1+EXP(MIN(700,MAX(-700,(Examples!$H$14*$A831-Examples!$H$15)/Examples!$H$16))))))+Examples!$H$17*$A831^2)</f>
        <v>425825.70658407616</v>
      </c>
      <c r="M831" s="33">
        <f>(Examples!$H$6*Examples!$H$7*Examples!$H$8*EXP(-Examples!$H$9*$A831)*(1-(Examples!$H$12*(1-EXP(-Examples!$H$13*$A831))/(1+EXP(MIN(700,MAX(-700,(Examples!$H$14*$A831-Examples!$H$15)/Examples!$H$16))))))+Examples!$H$17*$A831^2)</f>
        <v>659674.29341592384</v>
      </c>
    </row>
    <row r="832" spans="1:13" x14ac:dyDescent="0.25">
      <c r="A832">
        <f>(832-2)/100</f>
        <v>8.3000000000000007</v>
      </c>
      <c r="B832" s="33">
        <f>Examples!$C$18-(Examples!$C$10+Examples!$C$11)*$A832-(Examples!$C$6*Examples!$C$7*Examples!$C$8*EXP(-Examples!$C$9*$A832)*(1-(Examples!$C$12*(1-EXP(-Examples!$C$13*$A832))/(1+EXP(MIN(700,MAX(-700,(Examples!$C$14*$A832-Examples!$C$15)/Examples!$C$16))))))+Examples!$C$17*$A832^2)</f>
        <v>-773595.97993792291</v>
      </c>
      <c r="C832" s="33">
        <f>(Examples!$C$6*Examples!$C$7*Examples!$C$8*EXP(-Examples!$C$9*$A832)*(1-(Examples!$C$12*(1-EXP(-Examples!$C$13*$A832))/(1+EXP(MIN(700,MAX(-700,(Examples!$C$14*$A832-Examples!$C$15)/Examples!$C$16))))))+Examples!$C$17*$A832^2)</f>
        <v>1083095.9799379229</v>
      </c>
      <c r="D832" s="33">
        <f>Examples!$D$18-(Examples!$D$10+Examples!$D$11)*$A832-(Examples!$D$6*Examples!$D$7*Examples!$D$8*EXP(-Examples!$D$9*$A832)*(1-(Examples!$D$12*(1-EXP(-Examples!$D$13*$A832))/(1+EXP(MIN(700,MAX(-700,(Examples!$D$14*$A832-Examples!$D$15)/Examples!$D$16))))))+Examples!$D$17*$A832^2)</f>
        <v>1639057.8054249901</v>
      </c>
      <c r="E832" s="33">
        <f>(Examples!$D$6*Examples!$D$7*Examples!$D$8*EXP(-Examples!$D$9*$A832)*(1-(Examples!$D$12*(1-EXP(-Examples!$D$13*$A832))/(1+EXP(MIN(700,MAX(-700,(Examples!$D$14*$A832-Examples!$D$15)/Examples!$D$16))))))+Examples!$D$17*$A832^2)</f>
        <v>487442.19457500981</v>
      </c>
      <c r="F832" s="33">
        <f>Examples!$E$18-(Examples!$E$10+Examples!$E$11)*$A832-(Examples!$E$6*Examples!$E$7*Examples!$E$8*EXP(-Examples!$E$9*$A832)*(1-(Examples!$E$12*(1-EXP(-Examples!$E$13*$A832))/(1+EXP(MIN(700,MAX(-700,(Examples!$E$14*$A832-Examples!$E$15)/Examples!$E$16))))))+Examples!$E$17*$A832^2)</f>
        <v>2047668.6866687587</v>
      </c>
      <c r="G832" s="33">
        <f>(Examples!$E$6*Examples!$E$7*Examples!$E$8*EXP(-Examples!$E$9*$A832)*(1-(Examples!$E$12*(1-EXP(-Examples!$E$13*$A832))/(1+EXP(MIN(700,MAX(-700,(Examples!$E$14*$A832-Examples!$E$15)/Examples!$E$16))))))+Examples!$E$17*$A832^2)</f>
        <v>246831.31333124114</v>
      </c>
      <c r="H832" s="33">
        <f>Examples!$F$18-(Examples!$F$10+Examples!$F$11)*$A832-(Examples!$F$6*Examples!$F$7*Examples!$F$8*EXP(-Examples!$F$9*$A832)*(1-(Examples!$F$12*(1-EXP(-Examples!$F$13*$A832))/(1+EXP(MIN(700,MAX(-700,(Examples!$F$14*$A832-Examples!$F$15)/Examples!$F$16))))))+Examples!$F$17*$A832^2)</f>
        <v>-1395250.9244150654</v>
      </c>
      <c r="I832" s="33">
        <f>(Examples!$F$6*Examples!$F$7*Examples!$F$8*EXP(-Examples!$F$9*$A832)*(1-(Examples!$F$12*(1-EXP(-Examples!$F$13*$A832))/(1+EXP(MIN(700,MAX(-700,(Examples!$F$14*$A832-Examples!$F$15)/Examples!$F$16))))))+Examples!$F$17*$A832^2)</f>
        <v>1379250.9244150654</v>
      </c>
      <c r="J832" s="33">
        <f>Examples!$G$18-(Examples!$G$10+Examples!$G$11)*$A832-(Examples!$G$6*Examples!$G$7*Examples!$G$8*EXP(-Examples!$G$9*$A832)*(1-(Examples!$G$12*(1-EXP(-Examples!$G$13*$A832))/(1+EXP(MIN(700,MAX(-700,(Examples!$G$14*$A832-Examples!$G$15)/Examples!$G$16))))))+Examples!$G$17*$A832^2)</f>
        <v>424420.16379532032</v>
      </c>
      <c r="K832" s="33">
        <f>(Examples!$G$6*Examples!$G$7*Examples!$G$8*EXP(-Examples!$G$9*$A832)*(1-(Examples!$G$12*(1-EXP(-Examples!$G$13*$A832))/(1+EXP(MIN(700,MAX(-700,(Examples!$G$14*$A832-Examples!$G$15)/Examples!$G$16))))))+Examples!$G$17*$A832^2)</f>
        <v>660579.83620467968</v>
      </c>
      <c r="L832" s="33">
        <f>Examples!$H$18-(Examples!$H$10+Examples!$H$11)*$A832-(Examples!$H$6*Examples!$H$7*Examples!$H$8*EXP(-Examples!$H$9*$A832)*(1-(Examples!$H$12*(1-EXP(-Examples!$H$13*$A832))/(1+EXP(MIN(700,MAX(-700,(Examples!$H$14*$A832-Examples!$H$15)/Examples!$H$16))))))+Examples!$H$17*$A832^2)</f>
        <v>424382.41954706551</v>
      </c>
      <c r="M832" s="33">
        <f>(Examples!$H$6*Examples!$H$7*Examples!$H$8*EXP(-Examples!$H$9*$A832)*(1-(Examples!$H$12*(1-EXP(-Examples!$H$13*$A832))/(1+EXP(MIN(700,MAX(-700,(Examples!$H$14*$A832-Examples!$H$15)/Examples!$H$16))))))+Examples!$H$17*$A832^2)</f>
        <v>660617.58045293449</v>
      </c>
    </row>
    <row r="833" spans="1:13" x14ac:dyDescent="0.25">
      <c r="A833">
        <f>(833-2)/100</f>
        <v>8.31</v>
      </c>
      <c r="B833" s="33">
        <f>Examples!$C$18-(Examples!$C$10+Examples!$C$11)*$A833-(Examples!$C$6*Examples!$C$7*Examples!$C$8*EXP(-Examples!$C$9*$A833)*(1-(Examples!$C$12*(1-EXP(-Examples!$C$13*$A833))/(1+EXP(MIN(700,MAX(-700,(Examples!$C$14*$A833-Examples!$C$15)/Examples!$C$16))))))+Examples!$C$17*$A833^2)</f>
        <v>-776288.46563156345</v>
      </c>
      <c r="C833" s="33">
        <f>(Examples!$C$6*Examples!$C$7*Examples!$C$8*EXP(-Examples!$C$9*$A833)*(1-(Examples!$C$12*(1-EXP(-Examples!$C$13*$A833))/(1+EXP(MIN(700,MAX(-700,(Examples!$C$14*$A833-Examples!$C$15)/Examples!$C$16))))))+Examples!$C$17*$A833^2)</f>
        <v>1085438.4656315634</v>
      </c>
      <c r="D833" s="33">
        <f>Examples!$D$18-(Examples!$D$10+Examples!$D$11)*$A833-(Examples!$D$6*Examples!$D$7*Examples!$D$8*EXP(-Examples!$D$9*$A833)*(1-(Examples!$D$12*(1-EXP(-Examples!$D$13*$A833))/(1+EXP(MIN(700,MAX(-700,(Examples!$D$14*$A833-Examples!$D$15)/Examples!$D$16))))))+Examples!$D$17*$A833^2)</f>
        <v>1638416.0875745658</v>
      </c>
      <c r="E833" s="33">
        <f>(Examples!$D$6*Examples!$D$7*Examples!$D$8*EXP(-Examples!$D$9*$A833)*(1-(Examples!$D$12*(1-EXP(-Examples!$D$13*$A833))/(1+EXP(MIN(700,MAX(-700,(Examples!$D$14*$A833-Examples!$D$15)/Examples!$D$16))))))+Examples!$D$17*$A833^2)</f>
        <v>487633.91242543422</v>
      </c>
      <c r="F833" s="33">
        <f>Examples!$E$18-(Examples!$E$10+Examples!$E$11)*$A833-(Examples!$E$6*Examples!$E$7*Examples!$E$8*EXP(-Examples!$E$9*$A833)*(1-(Examples!$E$12*(1-EXP(-Examples!$E$13*$A833))/(1+EXP(MIN(700,MAX(-700,(Examples!$E$14*$A833-Examples!$E$15)/Examples!$E$16))))))+Examples!$E$17*$A833^2)</f>
        <v>2046502.9524454246</v>
      </c>
      <c r="G833" s="33">
        <f>(Examples!$E$6*Examples!$E$7*Examples!$E$8*EXP(-Examples!$E$9*$A833)*(1-(Examples!$E$12*(1-EXP(-Examples!$E$13*$A833))/(1+EXP(MIN(700,MAX(-700,(Examples!$E$14*$A833-Examples!$E$15)/Examples!$E$16))))))+Examples!$E$17*$A833^2)</f>
        <v>247147.04755457526</v>
      </c>
      <c r="H833" s="33">
        <f>Examples!$F$18-(Examples!$F$10+Examples!$F$11)*$A833-(Examples!$F$6*Examples!$F$7*Examples!$F$8*EXP(-Examples!$F$9*$A833)*(1-(Examples!$F$12*(1-EXP(-Examples!$F$13*$A833))/(1+EXP(MIN(700,MAX(-700,(Examples!$F$14*$A833-Examples!$F$15)/Examples!$F$16))))))+Examples!$F$17*$A833^2)</f>
        <v>-1398768.5781644557</v>
      </c>
      <c r="I833" s="33">
        <f>(Examples!$F$6*Examples!$F$7*Examples!$F$8*EXP(-Examples!$F$9*$A833)*(1-(Examples!$F$12*(1-EXP(-Examples!$F$13*$A833))/(1+EXP(MIN(700,MAX(-700,(Examples!$F$14*$A833-Examples!$F$15)/Examples!$F$16))))))+Examples!$F$17*$A833^2)</f>
        <v>1382568.5781644557</v>
      </c>
      <c r="J833" s="33">
        <f>Examples!$G$18-(Examples!$G$10+Examples!$G$11)*$A833-(Examples!$G$6*Examples!$G$7*Examples!$G$8*EXP(-Examples!$G$9*$A833)*(1-(Examples!$G$12*(1-EXP(-Examples!$G$13*$A833))/(1+EXP(MIN(700,MAX(-700,(Examples!$G$14*$A833-Examples!$G$15)/Examples!$G$16))))))+Examples!$G$17*$A833^2)</f>
        <v>422973.30856247002</v>
      </c>
      <c r="K833" s="33">
        <f>(Examples!$G$6*Examples!$G$7*Examples!$G$8*EXP(-Examples!$G$9*$A833)*(1-(Examples!$G$12*(1-EXP(-Examples!$G$13*$A833))/(1+EXP(MIN(700,MAX(-700,(Examples!$G$14*$A833-Examples!$G$15)/Examples!$G$16))))))+Examples!$G$17*$A833^2)</f>
        <v>661526.69143752998</v>
      </c>
      <c r="L833" s="33">
        <f>Examples!$H$18-(Examples!$H$10+Examples!$H$11)*$A833-(Examples!$H$6*Examples!$H$7*Examples!$H$8*EXP(-Examples!$H$9*$A833)*(1-(Examples!$H$12*(1-EXP(-Examples!$H$13*$A833))/(1+EXP(MIN(700,MAX(-700,(Examples!$H$14*$A833-Examples!$H$15)/Examples!$H$16))))))+Examples!$H$17*$A833^2)</f>
        <v>422936.19116425654</v>
      </c>
      <c r="M833" s="33">
        <f>(Examples!$H$6*Examples!$H$7*Examples!$H$8*EXP(-Examples!$H$9*$A833)*(1-(Examples!$H$12*(1-EXP(-Examples!$H$13*$A833))/(1+EXP(MIN(700,MAX(-700,(Examples!$H$14*$A833-Examples!$H$15)/Examples!$H$16))))))+Examples!$H$17*$A833^2)</f>
        <v>661563.80883574346</v>
      </c>
    </row>
    <row r="834" spans="1:13" x14ac:dyDescent="0.25">
      <c r="A834">
        <f>(834-2)/100</f>
        <v>8.32</v>
      </c>
      <c r="B834" s="33">
        <f>Examples!$C$18-(Examples!$C$10+Examples!$C$11)*$A834-(Examples!$C$6*Examples!$C$7*Examples!$C$8*EXP(-Examples!$C$9*$A834)*(1-(Examples!$C$12*(1-EXP(-Examples!$C$13*$A834))/(1+EXP(MIN(700,MAX(-700,(Examples!$C$14*$A834-Examples!$C$15)/Examples!$C$16))))))+Examples!$C$17*$A834^2)</f>
        <v>-778984.39769822033</v>
      </c>
      <c r="C834" s="33">
        <f>(Examples!$C$6*Examples!$C$7*Examples!$C$8*EXP(-Examples!$C$9*$A834)*(1-(Examples!$C$12*(1-EXP(-Examples!$C$13*$A834))/(1+EXP(MIN(700,MAX(-700,(Examples!$C$14*$A834-Examples!$C$15)/Examples!$C$16))))))+Examples!$C$17*$A834^2)</f>
        <v>1087784.3976982203</v>
      </c>
      <c r="D834" s="33">
        <f>Examples!$D$18-(Examples!$D$10+Examples!$D$11)*$A834-(Examples!$D$6*Examples!$D$7*Examples!$D$8*EXP(-Examples!$D$9*$A834)*(1-(Examples!$D$12*(1-EXP(-Examples!$D$13*$A834))/(1+EXP(MIN(700,MAX(-700,(Examples!$D$14*$A834-Examples!$D$15)/Examples!$D$16))))))+Examples!$D$17*$A834^2)</f>
        <v>1637770.5584940389</v>
      </c>
      <c r="E834" s="33">
        <f>(Examples!$D$6*Examples!$D$7*Examples!$D$8*EXP(-Examples!$D$9*$A834)*(1-(Examples!$D$12*(1-EXP(-Examples!$D$13*$A834))/(1+EXP(MIN(700,MAX(-700,(Examples!$D$14*$A834-Examples!$D$15)/Examples!$D$16))))))+Examples!$D$17*$A834^2)</f>
        <v>487829.441505961</v>
      </c>
      <c r="F834" s="33">
        <f>Examples!$E$18-(Examples!$E$10+Examples!$E$11)*$A834-(Examples!$E$6*Examples!$E$7*Examples!$E$8*EXP(-Examples!$E$9*$A834)*(1-(Examples!$E$12*(1-EXP(-Examples!$E$13*$A834))/(1+EXP(MIN(700,MAX(-700,(Examples!$E$14*$A834-Examples!$E$15)/Examples!$E$16))))))+Examples!$E$17*$A834^2)</f>
        <v>2045335.9175238004</v>
      </c>
      <c r="G834" s="33">
        <f>(Examples!$E$6*Examples!$E$7*Examples!$E$8*EXP(-Examples!$E$9*$A834)*(1-(Examples!$E$12*(1-EXP(-Examples!$E$13*$A834))/(1+EXP(MIN(700,MAX(-700,(Examples!$E$14*$A834-Examples!$E$15)/Examples!$E$16))))))+Examples!$E$17*$A834^2)</f>
        <v>247464.08247619952</v>
      </c>
      <c r="H834" s="33">
        <f>Examples!$F$18-(Examples!$F$10+Examples!$F$11)*$A834-(Examples!$F$6*Examples!$F$7*Examples!$F$8*EXP(-Examples!$F$9*$A834)*(1-(Examples!$F$12*(1-EXP(-Examples!$F$13*$A834))/(1+EXP(MIN(700,MAX(-700,(Examples!$F$14*$A834-Examples!$F$15)/Examples!$F$16))))))+Examples!$F$17*$A834^2)</f>
        <v>-1402290.2449330594</v>
      </c>
      <c r="I834" s="33">
        <f>(Examples!$F$6*Examples!$F$7*Examples!$F$8*EXP(-Examples!$F$9*$A834)*(1-(Examples!$F$12*(1-EXP(-Examples!$F$13*$A834))/(1+EXP(MIN(700,MAX(-700,(Examples!$F$14*$A834-Examples!$F$15)/Examples!$F$16))))))+Examples!$F$17*$A834^2)</f>
        <v>1385890.2449330594</v>
      </c>
      <c r="J834" s="33">
        <f>Examples!$G$18-(Examples!$G$10+Examples!$G$11)*$A834-(Examples!$G$6*Examples!$G$7*Examples!$G$8*EXP(-Examples!$G$9*$A834)*(1-(Examples!$G$12*(1-EXP(-Examples!$G$13*$A834))/(1+EXP(MIN(700,MAX(-700,(Examples!$G$14*$A834-Examples!$G$15)/Examples!$G$16))))))+Examples!$G$17*$A834^2)</f>
        <v>421523.52706309105</v>
      </c>
      <c r="K834" s="33">
        <f>(Examples!$G$6*Examples!$G$7*Examples!$G$8*EXP(-Examples!$G$9*$A834)*(1-(Examples!$G$12*(1-EXP(-Examples!$G$13*$A834))/(1+EXP(MIN(700,MAX(-700,(Examples!$G$14*$A834-Examples!$G$15)/Examples!$G$16))))))+Examples!$G$17*$A834^2)</f>
        <v>662476.47293690895</v>
      </c>
      <c r="L834" s="33">
        <f>Examples!$H$18-(Examples!$H$10+Examples!$H$11)*$A834-(Examples!$H$6*Examples!$H$7*Examples!$H$8*EXP(-Examples!$H$9*$A834)*(1-(Examples!$H$12*(1-EXP(-Examples!$H$13*$A834))/(1+EXP(MIN(700,MAX(-700,(Examples!$H$14*$A834-Examples!$H$15)/Examples!$H$16))))))+Examples!$H$17*$A834^2)</f>
        <v>421487.02612212428</v>
      </c>
      <c r="M834" s="33">
        <f>(Examples!$H$6*Examples!$H$7*Examples!$H$8*EXP(-Examples!$H$9*$A834)*(1-(Examples!$H$12*(1-EXP(-Examples!$H$13*$A834))/(1+EXP(MIN(700,MAX(-700,(Examples!$H$14*$A834-Examples!$H$15)/Examples!$H$16))))))+Examples!$H$17*$A834^2)</f>
        <v>662512.97387787572</v>
      </c>
    </row>
    <row r="835" spans="1:13" x14ac:dyDescent="0.25">
      <c r="A835">
        <f>(835-2)/100</f>
        <v>8.33</v>
      </c>
      <c r="B835" s="33">
        <f>Examples!$C$18-(Examples!$C$10+Examples!$C$11)*$A835-(Examples!$C$6*Examples!$C$7*Examples!$C$8*EXP(-Examples!$C$9*$A835)*(1-(Examples!$C$12*(1-EXP(-Examples!$C$13*$A835))/(1+EXP(MIN(700,MAX(-700,(Examples!$C$14*$A835-Examples!$C$15)/Examples!$C$16))))))+Examples!$C$17*$A835^2)</f>
        <v>-781683.77480078163</v>
      </c>
      <c r="C835" s="33">
        <f>(Examples!$C$6*Examples!$C$7*Examples!$C$8*EXP(-Examples!$C$9*$A835)*(1-(Examples!$C$12*(1-EXP(-Examples!$C$13*$A835))/(1+EXP(MIN(700,MAX(-700,(Examples!$C$14*$A835-Examples!$C$15)/Examples!$C$16))))))+Examples!$C$17*$A835^2)</f>
        <v>1090133.7748007816</v>
      </c>
      <c r="D835" s="33">
        <f>Examples!$D$18-(Examples!$D$10+Examples!$D$11)*$A835-(Examples!$D$6*Examples!$D$7*Examples!$D$8*EXP(-Examples!$D$9*$A835)*(1-(Examples!$D$12*(1-EXP(-Examples!$D$13*$A835))/(1+EXP(MIN(700,MAX(-700,(Examples!$D$14*$A835-Examples!$D$15)/Examples!$D$16))))))+Examples!$D$17*$A835^2)</f>
        <v>1637121.2298114253</v>
      </c>
      <c r="E835" s="33">
        <f>(Examples!$D$6*Examples!$D$7*Examples!$D$8*EXP(-Examples!$D$9*$A835)*(1-(Examples!$D$12*(1-EXP(-Examples!$D$13*$A835))/(1+EXP(MIN(700,MAX(-700,(Examples!$D$14*$A835-Examples!$D$15)/Examples!$D$16))))))+Examples!$D$17*$A835^2)</f>
        <v>488028.77018857474</v>
      </c>
      <c r="F835" s="33">
        <f>Examples!$E$18-(Examples!$E$10+Examples!$E$11)*$A835-(Examples!$E$6*Examples!$E$7*Examples!$E$8*EXP(-Examples!$E$9*$A835)*(1-(Examples!$E$12*(1-EXP(-Examples!$E$13*$A835))/(1+EXP(MIN(700,MAX(-700,(Examples!$E$14*$A835-Examples!$E$15)/Examples!$E$16))))))+Examples!$E$17*$A835^2)</f>
        <v>2044167.5830580853</v>
      </c>
      <c r="G835" s="33">
        <f>(Examples!$E$6*Examples!$E$7*Examples!$E$8*EXP(-Examples!$E$9*$A835)*(1-(Examples!$E$12*(1-EXP(-Examples!$E$13*$A835))/(1+EXP(MIN(700,MAX(-700,(Examples!$E$14*$A835-Examples!$E$15)/Examples!$E$16))))))+Examples!$E$17*$A835^2)</f>
        <v>247782.41694191459</v>
      </c>
      <c r="H835" s="33">
        <f>Examples!$F$18-(Examples!$F$10+Examples!$F$11)*$A835-(Examples!$F$6*Examples!$F$7*Examples!$F$8*EXP(-Examples!$F$9*$A835)*(1-(Examples!$F$12*(1-EXP(-Examples!$F$13*$A835))/(1+EXP(MIN(700,MAX(-700,(Examples!$F$14*$A835-Examples!$F$15)/Examples!$F$16))))))+Examples!$F$17*$A835^2)</f>
        <v>-1405815.9246818773</v>
      </c>
      <c r="I835" s="33">
        <f>(Examples!$F$6*Examples!$F$7*Examples!$F$8*EXP(-Examples!$F$9*$A835)*(1-(Examples!$F$12*(1-EXP(-Examples!$F$13*$A835))/(1+EXP(MIN(700,MAX(-700,(Examples!$F$14*$A835-Examples!$F$15)/Examples!$F$16))))))+Examples!$F$17*$A835^2)</f>
        <v>1389215.9246818773</v>
      </c>
      <c r="J835" s="33">
        <f>Examples!$G$18-(Examples!$G$10+Examples!$G$11)*$A835-(Examples!$G$6*Examples!$G$7*Examples!$G$8*EXP(-Examples!$G$9*$A835)*(1-(Examples!$G$12*(1-EXP(-Examples!$G$13*$A835))/(1+EXP(MIN(700,MAX(-700,(Examples!$G$14*$A835-Examples!$G$15)/Examples!$G$16))))))+Examples!$G$17*$A835^2)</f>
        <v>420070.82379539101</v>
      </c>
      <c r="K835" s="33">
        <f>(Examples!$G$6*Examples!$G$7*Examples!$G$8*EXP(-Examples!$G$9*$A835)*(1-(Examples!$G$12*(1-EXP(-Examples!$G$13*$A835))/(1+EXP(MIN(700,MAX(-700,(Examples!$G$14*$A835-Examples!$G$15)/Examples!$G$16))))))+Examples!$G$17*$A835^2)</f>
        <v>663429.17620460899</v>
      </c>
      <c r="L835" s="33">
        <f>Examples!$H$18-(Examples!$H$10+Examples!$H$11)*$A835-(Examples!$H$6*Examples!$H$7*Examples!$H$8*EXP(-Examples!$H$9*$A835)*(1-(Examples!$H$12*(1-EXP(-Examples!$H$13*$A835))/(1+EXP(MIN(700,MAX(-700,(Examples!$H$14*$A835-Examples!$H$15)/Examples!$H$16))))))+Examples!$H$17*$A835^2)</f>
        <v>420034.92909076996</v>
      </c>
      <c r="M835" s="33">
        <f>(Examples!$H$6*Examples!$H$7*Examples!$H$8*EXP(-Examples!$H$9*$A835)*(1-(Examples!$H$12*(1-EXP(-Examples!$H$13*$A835))/(1+EXP(MIN(700,MAX(-700,(Examples!$H$14*$A835-Examples!$H$15)/Examples!$H$16))))))+Examples!$H$17*$A835^2)</f>
        <v>663465.07090923004</v>
      </c>
    </row>
    <row r="836" spans="1:13" x14ac:dyDescent="0.25">
      <c r="A836">
        <f>(836-2)/100</f>
        <v>8.34</v>
      </c>
      <c r="B836" s="33">
        <f>Examples!$C$18-(Examples!$C$10+Examples!$C$11)*$A836-(Examples!$C$6*Examples!$C$7*Examples!$C$8*EXP(-Examples!$C$9*$A836)*(1-(Examples!$C$12*(1-EXP(-Examples!$C$13*$A836))/(1+EXP(MIN(700,MAX(-700,(Examples!$C$14*$A836-Examples!$C$15)/Examples!$C$16))))))+Examples!$C$17*$A836^2)</f>
        <v>-784386.59560614056</v>
      </c>
      <c r="C836" s="33">
        <f>(Examples!$C$6*Examples!$C$7*Examples!$C$8*EXP(-Examples!$C$9*$A836)*(1-(Examples!$C$12*(1-EXP(-Examples!$C$13*$A836))/(1+EXP(MIN(700,MAX(-700,(Examples!$C$14*$A836-Examples!$C$15)/Examples!$C$16))))))+Examples!$C$17*$A836^2)</f>
        <v>1092486.5956061406</v>
      </c>
      <c r="D836" s="33">
        <f>Examples!$D$18-(Examples!$D$10+Examples!$D$11)*$A836-(Examples!$D$6*Examples!$D$7*Examples!$D$8*EXP(-Examples!$D$9*$A836)*(1-(Examples!$D$12*(1-EXP(-Examples!$D$13*$A836))/(1+EXP(MIN(700,MAX(-700,(Examples!$D$14*$A836-Examples!$D$15)/Examples!$D$16))))))+Examples!$D$17*$A836^2)</f>
        <v>1636468.1131198166</v>
      </c>
      <c r="E836" s="33">
        <f>(Examples!$D$6*Examples!$D$7*Examples!$D$8*EXP(-Examples!$D$9*$A836)*(1-(Examples!$D$12*(1-EXP(-Examples!$D$13*$A836))/(1+EXP(MIN(700,MAX(-700,(Examples!$D$14*$A836-Examples!$D$15)/Examples!$D$16))))))+Examples!$D$17*$A836^2)</f>
        <v>488231.88688018342</v>
      </c>
      <c r="F836" s="33">
        <f>Examples!$E$18-(Examples!$E$10+Examples!$E$11)*$A836-(Examples!$E$6*Examples!$E$7*Examples!$E$8*EXP(-Examples!$E$9*$A836)*(1-(Examples!$E$12*(1-EXP(-Examples!$E$13*$A836))/(1+EXP(MIN(700,MAX(-700,(Examples!$E$14*$A836-Examples!$E$15)/Examples!$E$16))))))+Examples!$E$17*$A836^2)</f>
        <v>2042997.9502200712</v>
      </c>
      <c r="G836" s="33">
        <f>(Examples!$E$6*Examples!$E$7*Examples!$E$8*EXP(-Examples!$E$9*$A836)*(1-(Examples!$E$12*(1-EXP(-Examples!$E$13*$A836))/(1+EXP(MIN(700,MAX(-700,(Examples!$E$14*$A836-Examples!$E$15)/Examples!$E$16))))))+Examples!$E$17*$A836^2)</f>
        <v>248102.04977992864</v>
      </c>
      <c r="H836" s="33">
        <f>Examples!$F$18-(Examples!$F$10+Examples!$F$11)*$A836-(Examples!$F$6*Examples!$F$7*Examples!$F$8*EXP(-Examples!$F$9*$A836)*(1-(Examples!$F$12*(1-EXP(-Examples!$F$13*$A836))/(1+EXP(MIN(700,MAX(-700,(Examples!$F$14*$A836-Examples!$F$15)/Examples!$F$16))))))+Examples!$F$17*$A836^2)</f>
        <v>-1409345.6173720267</v>
      </c>
      <c r="I836" s="33">
        <f>(Examples!$F$6*Examples!$F$7*Examples!$F$8*EXP(-Examples!$F$9*$A836)*(1-(Examples!$F$12*(1-EXP(-Examples!$F$13*$A836))/(1+EXP(MIN(700,MAX(-700,(Examples!$F$14*$A836-Examples!$F$15)/Examples!$F$16))))))+Examples!$F$17*$A836^2)</f>
        <v>1392545.6173720267</v>
      </c>
      <c r="J836" s="33">
        <f>Examples!$G$18-(Examples!$G$10+Examples!$G$11)*$A836-(Examples!$G$6*Examples!$G$7*Examples!$G$8*EXP(-Examples!$G$9*$A836)*(1-(Examples!$G$12*(1-EXP(-Examples!$G$13*$A836))/(1+EXP(MIN(700,MAX(-700,(Examples!$G$14*$A836-Examples!$G$15)/Examples!$G$16))))))+Examples!$G$17*$A836^2)</f>
        <v>418615.20324409544</v>
      </c>
      <c r="K836" s="33">
        <f>(Examples!$G$6*Examples!$G$7*Examples!$G$8*EXP(-Examples!$G$9*$A836)*(1-(Examples!$G$12*(1-EXP(-Examples!$G$13*$A836))/(1+EXP(MIN(700,MAX(-700,(Examples!$G$14*$A836-Examples!$G$15)/Examples!$G$16))))))+Examples!$G$17*$A836^2)</f>
        <v>664384.79675590456</v>
      </c>
      <c r="L836" s="33">
        <f>Examples!$H$18-(Examples!$H$10+Examples!$H$11)*$A836-(Examples!$H$6*Examples!$H$7*Examples!$H$8*EXP(-Examples!$H$9*$A836)*(1-(Examples!$H$12*(1-EXP(-Examples!$H$13*$A836))/(1+EXP(MIN(700,MAX(-700,(Examples!$H$14*$A836-Examples!$H$15)/Examples!$H$16))))))+Examples!$H$17*$A836^2)</f>
        <v>418579.90472398</v>
      </c>
      <c r="M836" s="33">
        <f>(Examples!$H$6*Examples!$H$7*Examples!$H$8*EXP(-Examples!$H$9*$A836)*(1-(Examples!$H$12*(1-EXP(-Examples!$H$13*$A836))/(1+EXP(MIN(700,MAX(-700,(Examples!$H$14*$A836-Examples!$H$15)/Examples!$H$16))))))+Examples!$H$17*$A836^2)</f>
        <v>664420.09527602</v>
      </c>
    </row>
    <row r="837" spans="1:13" x14ac:dyDescent="0.25">
      <c r="A837">
        <f>(837-2)/100</f>
        <v>8.35</v>
      </c>
      <c r="B837" s="33">
        <f>Examples!$C$18-(Examples!$C$10+Examples!$C$11)*$A837-(Examples!$C$6*Examples!$C$7*Examples!$C$8*EXP(-Examples!$C$9*$A837)*(1-(Examples!$C$12*(1-EXP(-Examples!$C$13*$A837))/(1+EXP(MIN(700,MAX(-700,(Examples!$C$14*$A837-Examples!$C$15)/Examples!$C$16))))))+Examples!$C$17*$A837^2)</f>
        <v>-787092.85878518363</v>
      </c>
      <c r="C837" s="33">
        <f>(Examples!$C$6*Examples!$C$7*Examples!$C$8*EXP(-Examples!$C$9*$A837)*(1-(Examples!$C$12*(1-EXP(-Examples!$C$13*$A837))/(1+EXP(MIN(700,MAX(-700,(Examples!$C$14*$A837-Examples!$C$15)/Examples!$C$16))))))+Examples!$C$17*$A837^2)</f>
        <v>1094842.8587851836</v>
      </c>
      <c r="D837" s="33">
        <f>Examples!$D$18-(Examples!$D$10+Examples!$D$11)*$A837-(Examples!$D$6*Examples!$D$7*Examples!$D$8*EXP(-Examples!$D$9*$A837)*(1-(Examples!$D$12*(1-EXP(-Examples!$D$13*$A837))/(1+EXP(MIN(700,MAX(-700,(Examples!$D$14*$A837-Examples!$D$15)/Examples!$D$16))))))+Examples!$D$17*$A837^2)</f>
        <v>1635811.2199772401</v>
      </c>
      <c r="E837" s="33">
        <f>(Examples!$D$6*Examples!$D$7*Examples!$D$8*EXP(-Examples!$D$9*$A837)*(1-(Examples!$D$12*(1-EXP(-Examples!$D$13*$A837))/(1+EXP(MIN(700,MAX(-700,(Examples!$D$14*$A837-Examples!$D$15)/Examples!$D$16))))))+Examples!$D$17*$A837^2)</f>
        <v>488438.78002275992</v>
      </c>
      <c r="F837" s="33">
        <f>Examples!$E$18-(Examples!$E$10+Examples!$E$11)*$A837-(Examples!$E$6*Examples!$E$7*Examples!$E$8*EXP(-Examples!$E$9*$A837)*(1-(Examples!$E$12*(1-EXP(-Examples!$E$13*$A837))/(1+EXP(MIN(700,MAX(-700,(Examples!$E$14*$A837-Examples!$E$15)/Examples!$E$16))))))+Examples!$E$17*$A837^2)</f>
        <v>2041827.0201988751</v>
      </c>
      <c r="G837" s="33">
        <f>(Examples!$E$6*Examples!$E$7*Examples!$E$8*EXP(-Examples!$E$9*$A837)*(1-(Examples!$E$12*(1-EXP(-Examples!$E$13*$A837))/(1+EXP(MIN(700,MAX(-700,(Examples!$E$14*$A837-Examples!$E$15)/Examples!$E$16))))))+Examples!$E$17*$A837^2)</f>
        <v>248422.97980112478</v>
      </c>
      <c r="H837" s="33">
        <f>Examples!$F$18-(Examples!$F$10+Examples!$F$11)*$A837-(Examples!$F$6*Examples!$F$7*Examples!$F$8*EXP(-Examples!$F$9*$A837)*(1-(Examples!$F$12*(1-EXP(-Examples!$F$13*$A837))/(1+EXP(MIN(700,MAX(-700,(Examples!$F$14*$A837-Examples!$F$15)/Examples!$F$16))))))+Examples!$F$17*$A837^2)</f>
        <v>-1412879.3229647423</v>
      </c>
      <c r="I837" s="33">
        <f>(Examples!$F$6*Examples!$F$7*Examples!$F$8*EXP(-Examples!$F$9*$A837)*(1-(Examples!$F$12*(1-EXP(-Examples!$F$13*$A837))/(1+EXP(MIN(700,MAX(-700,(Examples!$F$14*$A837-Examples!$F$15)/Examples!$F$16))))))+Examples!$F$17*$A837^2)</f>
        <v>1395879.3229647423</v>
      </c>
      <c r="J837" s="33">
        <f>Examples!$G$18-(Examples!$G$10+Examples!$G$11)*$A837-(Examples!$G$6*Examples!$G$7*Examples!$G$8*EXP(-Examples!$G$9*$A837)*(1-(Examples!$G$12*(1-EXP(-Examples!$G$13*$A837))/(1+EXP(MIN(700,MAX(-700,(Examples!$G$14*$A837-Examples!$G$15)/Examples!$G$16))))))+Examples!$G$17*$A837^2)</f>
        <v>417156.66988045734</v>
      </c>
      <c r="K837" s="33">
        <f>(Examples!$G$6*Examples!$G$7*Examples!$G$8*EXP(-Examples!$G$9*$A837)*(1-(Examples!$G$12*(1-EXP(-Examples!$G$13*$A837))/(1+EXP(MIN(700,MAX(-700,(Examples!$G$14*$A837-Examples!$G$15)/Examples!$G$16))))))+Examples!$G$17*$A837^2)</f>
        <v>665343.33011954266</v>
      </c>
      <c r="L837" s="33">
        <f>Examples!$H$18-(Examples!$H$10+Examples!$H$11)*$A837-(Examples!$H$6*Examples!$H$7*Examples!$H$8*EXP(-Examples!$H$9*$A837)*(1-(Examples!$H$12*(1-EXP(-Examples!$H$13*$A837))/(1+EXP(MIN(700,MAX(-700,(Examples!$H$14*$A837-Examples!$H$15)/Examples!$H$16))))))+Examples!$H$17*$A837^2)</f>
        <v>417121.95765928098</v>
      </c>
      <c r="M837" s="33">
        <f>(Examples!$H$6*Examples!$H$7*Examples!$H$8*EXP(-Examples!$H$9*$A837)*(1-(Examples!$H$12*(1-EXP(-Examples!$H$13*$A837))/(1+EXP(MIN(700,MAX(-700,(Examples!$H$14*$A837-Examples!$H$15)/Examples!$H$16))))))+Examples!$H$17*$A837^2)</f>
        <v>665378.04234071902</v>
      </c>
    </row>
    <row r="838" spans="1:13" x14ac:dyDescent="0.25">
      <c r="A838">
        <f>(838-2)/100</f>
        <v>8.36</v>
      </c>
      <c r="B838" s="33">
        <f>Examples!$C$18-(Examples!$C$10+Examples!$C$11)*$A838-(Examples!$C$6*Examples!$C$7*Examples!$C$8*EXP(-Examples!$C$9*$A838)*(1-(Examples!$C$12*(1-EXP(-Examples!$C$13*$A838))/(1+EXP(MIN(700,MAX(-700,(Examples!$C$14*$A838-Examples!$C$15)/Examples!$C$16))))))+Examples!$C$17*$A838^2)</f>
        <v>-789802.56301277853</v>
      </c>
      <c r="C838" s="33">
        <f>(Examples!$C$6*Examples!$C$7*Examples!$C$8*EXP(-Examples!$C$9*$A838)*(1-(Examples!$C$12*(1-EXP(-Examples!$C$13*$A838))/(1+EXP(MIN(700,MAX(-700,(Examples!$C$14*$A838-Examples!$C$15)/Examples!$C$16))))))+Examples!$C$17*$A838^2)</f>
        <v>1097202.5630127785</v>
      </c>
      <c r="D838" s="33">
        <f>Examples!$D$18-(Examples!$D$10+Examples!$D$11)*$A838-(Examples!$D$6*Examples!$D$7*Examples!$D$8*EXP(-Examples!$D$9*$A838)*(1-(Examples!$D$12*(1-EXP(-Examples!$D$13*$A838))/(1+EXP(MIN(700,MAX(-700,(Examples!$D$14*$A838-Examples!$D$15)/Examples!$D$16))))))+Examples!$D$17*$A838^2)</f>
        <v>1635150.5619065238</v>
      </c>
      <c r="E838" s="33">
        <f>(Examples!$D$6*Examples!$D$7*Examples!$D$8*EXP(-Examples!$D$9*$A838)*(1-(Examples!$D$12*(1-EXP(-Examples!$D$13*$A838))/(1+EXP(MIN(700,MAX(-700,(Examples!$D$14*$A838-Examples!$D$15)/Examples!$D$16))))))+Examples!$D$17*$A838^2)</f>
        <v>488649.43809347617</v>
      </c>
      <c r="F838" s="33">
        <f>Examples!$E$18-(Examples!$E$10+Examples!$E$11)*$A838-(Examples!$E$6*Examples!$E$7*Examples!$E$8*EXP(-Examples!$E$9*$A838)*(1-(Examples!$E$12*(1-EXP(-Examples!$E$13*$A838))/(1+EXP(MIN(700,MAX(-700,(Examples!$E$14*$A838-Examples!$E$15)/Examples!$E$16))))))+Examples!$E$17*$A838^2)</f>
        <v>2040654.7942006739</v>
      </c>
      <c r="G838" s="33">
        <f>(Examples!$E$6*Examples!$E$7*Examples!$E$8*EXP(-Examples!$E$9*$A838)*(1-(Examples!$E$12*(1-EXP(-Examples!$E$13*$A838))/(1+EXP(MIN(700,MAX(-700,(Examples!$E$14*$A838-Examples!$E$15)/Examples!$E$16))))))+Examples!$E$17*$A838^2)</f>
        <v>248745.20579932613</v>
      </c>
      <c r="H838" s="33">
        <f>Examples!$F$18-(Examples!$F$10+Examples!$F$11)*$A838-(Examples!$F$6*Examples!$F$7*Examples!$F$8*EXP(-Examples!$F$9*$A838)*(1-(Examples!$F$12*(1-EXP(-Examples!$F$13*$A838))/(1+EXP(MIN(700,MAX(-700,(Examples!$F$14*$A838-Examples!$F$15)/Examples!$F$16))))))+Examples!$F$17*$A838^2)</f>
        <v>-1416417.0414213741</v>
      </c>
      <c r="I838" s="33">
        <f>(Examples!$F$6*Examples!$F$7*Examples!$F$8*EXP(-Examples!$F$9*$A838)*(1-(Examples!$F$12*(1-EXP(-Examples!$F$13*$A838))/(1+EXP(MIN(700,MAX(-700,(Examples!$F$14*$A838-Examples!$F$15)/Examples!$F$16))))))+Examples!$F$17*$A838^2)</f>
        <v>1399217.0414213741</v>
      </c>
      <c r="J838" s="33">
        <f>Examples!$G$18-(Examples!$G$10+Examples!$G$11)*$A838-(Examples!$G$6*Examples!$G$7*Examples!$G$8*EXP(-Examples!$G$9*$A838)*(1-(Examples!$G$12*(1-EXP(-Examples!$G$13*$A838))/(1+EXP(MIN(700,MAX(-700,(Examples!$G$14*$A838-Examples!$G$15)/Examples!$G$16))))))+Examples!$G$17*$A838^2)</f>
        <v>415695.22816226946</v>
      </c>
      <c r="K838" s="33">
        <f>(Examples!$G$6*Examples!$G$7*Examples!$G$8*EXP(-Examples!$G$9*$A838)*(1-(Examples!$G$12*(1-EXP(-Examples!$G$13*$A838))/(1+EXP(MIN(700,MAX(-700,(Examples!$G$14*$A838-Examples!$G$15)/Examples!$G$16))))))+Examples!$G$17*$A838^2)</f>
        <v>666304.77183773054</v>
      </c>
      <c r="L838" s="33">
        <f>Examples!$H$18-(Examples!$H$10+Examples!$H$11)*$A838-(Examples!$H$6*Examples!$H$7*Examples!$H$8*EXP(-Examples!$H$9*$A838)*(1-(Examples!$H$12*(1-EXP(-Examples!$H$13*$A838))/(1+EXP(MIN(700,MAX(-700,(Examples!$H$14*$A838-Examples!$H$15)/Examples!$H$16))))))+Examples!$H$17*$A838^2)</f>
        <v>415661.09251799842</v>
      </c>
      <c r="M838" s="33">
        <f>(Examples!$H$6*Examples!$H$7*Examples!$H$8*EXP(-Examples!$H$9*$A838)*(1-(Examples!$H$12*(1-EXP(-Examples!$H$13*$A838))/(1+EXP(MIN(700,MAX(-700,(Examples!$H$14*$A838-Examples!$H$15)/Examples!$H$16))))))+Examples!$H$17*$A838^2)</f>
        <v>666338.90748200158</v>
      </c>
    </row>
    <row r="839" spans="1:13" x14ac:dyDescent="0.25">
      <c r="A839">
        <f>(839-2)/100</f>
        <v>8.3699999999999992</v>
      </c>
      <c r="B839" s="33">
        <f>Examples!$C$18-(Examples!$C$10+Examples!$C$11)*$A839-(Examples!$C$6*Examples!$C$7*Examples!$C$8*EXP(-Examples!$C$9*$A839)*(1-(Examples!$C$12*(1-EXP(-Examples!$C$13*$A839))/(1+EXP(MIN(700,MAX(-700,(Examples!$C$14*$A839-Examples!$C$15)/Examples!$C$16))))))+Examples!$C$17*$A839^2)</f>
        <v>-792515.70696776314</v>
      </c>
      <c r="C839" s="33">
        <f>(Examples!$C$6*Examples!$C$7*Examples!$C$8*EXP(-Examples!$C$9*$A839)*(1-(Examples!$C$12*(1-EXP(-Examples!$C$13*$A839))/(1+EXP(MIN(700,MAX(-700,(Examples!$C$14*$A839-Examples!$C$15)/Examples!$C$16))))))+Examples!$C$17*$A839^2)</f>
        <v>1099565.7069677631</v>
      </c>
      <c r="D839" s="33">
        <f>Examples!$D$18-(Examples!$D$10+Examples!$D$11)*$A839-(Examples!$D$6*Examples!$D$7*Examples!$D$8*EXP(-Examples!$D$9*$A839)*(1-(Examples!$D$12*(1-EXP(-Examples!$D$13*$A839))/(1+EXP(MIN(700,MAX(-700,(Examples!$D$14*$A839-Examples!$D$15)/Examples!$D$16))))))+Examples!$D$17*$A839^2)</f>
        <v>1634486.1503951666</v>
      </c>
      <c r="E839" s="33">
        <f>(Examples!$D$6*Examples!$D$7*Examples!$D$8*EXP(-Examples!$D$9*$A839)*(1-(Examples!$D$12*(1-EXP(-Examples!$D$13*$A839))/(1+EXP(MIN(700,MAX(-700,(Examples!$D$14*$A839-Examples!$D$15)/Examples!$D$16))))))+Examples!$D$17*$A839^2)</f>
        <v>488863.84960483341</v>
      </c>
      <c r="F839" s="33">
        <f>Examples!$E$18-(Examples!$E$10+Examples!$E$11)*$A839-(Examples!$E$6*Examples!$E$7*Examples!$E$8*EXP(-Examples!$E$9*$A839)*(1-(Examples!$E$12*(1-EXP(-Examples!$E$13*$A839))/(1+EXP(MIN(700,MAX(-700,(Examples!$E$14*$A839-Examples!$E$15)/Examples!$E$16))))))+Examples!$E$17*$A839^2)</f>
        <v>2039481.27344844</v>
      </c>
      <c r="G839" s="33">
        <f>(Examples!$E$6*Examples!$E$7*Examples!$E$8*EXP(-Examples!$E$9*$A839)*(1-(Examples!$E$12*(1-EXP(-Examples!$E$13*$A839))/(1+EXP(MIN(700,MAX(-700,(Examples!$E$14*$A839-Examples!$E$15)/Examples!$E$16))))))+Examples!$E$17*$A839^2)</f>
        <v>249068.72655155999</v>
      </c>
      <c r="H839" s="33">
        <f>Examples!$F$18-(Examples!$F$10+Examples!$F$11)*$A839-(Examples!$F$6*Examples!$F$7*Examples!$F$8*EXP(-Examples!$F$9*$A839)*(1-(Examples!$F$12*(1-EXP(-Examples!$F$13*$A839))/(1+EXP(MIN(700,MAX(-700,(Examples!$F$14*$A839-Examples!$F$15)/Examples!$F$16))))))+Examples!$F$17*$A839^2)</f>
        <v>-1419958.7727033885</v>
      </c>
      <c r="I839" s="33">
        <f>(Examples!$F$6*Examples!$F$7*Examples!$F$8*EXP(-Examples!$F$9*$A839)*(1-(Examples!$F$12*(1-EXP(-Examples!$F$13*$A839))/(1+EXP(MIN(700,MAX(-700,(Examples!$F$14*$A839-Examples!$F$15)/Examples!$F$16))))))+Examples!$F$17*$A839^2)</f>
        <v>1402558.7727033885</v>
      </c>
      <c r="J839" s="33">
        <f>Examples!$G$18-(Examples!$G$10+Examples!$G$11)*$A839-(Examples!$G$6*Examples!$G$7*Examples!$G$8*EXP(-Examples!$G$9*$A839)*(1-(Examples!$G$12*(1-EXP(-Examples!$G$13*$A839))/(1+EXP(MIN(700,MAX(-700,(Examples!$G$14*$A839-Examples!$G$15)/Examples!$G$16))))))+Examples!$G$17*$A839^2)</f>
        <v>414230.88253387506</v>
      </c>
      <c r="K839" s="33">
        <f>(Examples!$G$6*Examples!$G$7*Examples!$G$8*EXP(-Examples!$G$9*$A839)*(1-(Examples!$G$12*(1-EXP(-Examples!$G$13*$A839))/(1+EXP(MIN(700,MAX(-700,(Examples!$G$14*$A839-Examples!$G$15)/Examples!$G$16))))))+Examples!$G$17*$A839^2)</f>
        <v>667269.11746612494</v>
      </c>
      <c r="L839" s="33">
        <f>Examples!$H$18-(Examples!$H$10+Examples!$H$11)*$A839-(Examples!$H$6*Examples!$H$7*Examples!$H$8*EXP(-Examples!$H$9*$A839)*(1-(Examples!$H$12*(1-EXP(-Examples!$H$13*$A839))/(1+EXP(MIN(700,MAX(-700,(Examples!$H$14*$A839-Examples!$H$15)/Examples!$H$16))))))+Examples!$H$17*$A839^2)</f>
        <v>414197.31390531175</v>
      </c>
      <c r="M839" s="33">
        <f>(Examples!$H$6*Examples!$H$7*Examples!$H$8*EXP(-Examples!$H$9*$A839)*(1-(Examples!$H$12*(1-EXP(-Examples!$H$13*$A839))/(1+EXP(MIN(700,MAX(-700,(Examples!$H$14*$A839-Examples!$H$15)/Examples!$H$16))))))+Examples!$H$17*$A839^2)</f>
        <v>667302.68609468825</v>
      </c>
    </row>
    <row r="840" spans="1:13" x14ac:dyDescent="0.25">
      <c r="A840">
        <f>(840-2)/100</f>
        <v>8.3800000000000008</v>
      </c>
      <c r="B840" s="33">
        <f>Examples!$C$18-(Examples!$C$10+Examples!$C$11)*$A840-(Examples!$C$6*Examples!$C$7*Examples!$C$8*EXP(-Examples!$C$9*$A840)*(1-(Examples!$C$12*(1-EXP(-Examples!$C$13*$A840))/(1+EXP(MIN(700,MAX(-700,(Examples!$C$14*$A840-Examples!$C$15)/Examples!$C$16))))))+Examples!$C$17*$A840^2)</f>
        <v>-795232.28933293233</v>
      </c>
      <c r="C840" s="33">
        <f>(Examples!$C$6*Examples!$C$7*Examples!$C$8*EXP(-Examples!$C$9*$A840)*(1-(Examples!$C$12*(1-EXP(-Examples!$C$13*$A840))/(1+EXP(MIN(700,MAX(-700,(Examples!$C$14*$A840-Examples!$C$15)/Examples!$C$16))))))+Examples!$C$17*$A840^2)</f>
        <v>1101932.2893329323</v>
      </c>
      <c r="D840" s="33">
        <f>Examples!$D$18-(Examples!$D$10+Examples!$D$11)*$A840-(Examples!$D$6*Examples!$D$7*Examples!$D$8*EXP(-Examples!$D$9*$A840)*(1-(Examples!$D$12*(1-EXP(-Examples!$D$13*$A840))/(1+EXP(MIN(700,MAX(-700,(Examples!$D$14*$A840-Examples!$D$15)/Examples!$D$16))))))+Examples!$D$17*$A840^2)</f>
        <v>1633817.9968952145</v>
      </c>
      <c r="E840" s="33">
        <f>(Examples!$D$6*Examples!$D$7*Examples!$D$8*EXP(-Examples!$D$9*$A840)*(1-(Examples!$D$12*(1-EXP(-Examples!$D$13*$A840))/(1+EXP(MIN(700,MAX(-700,(Examples!$D$14*$A840-Examples!$D$15)/Examples!$D$16))))))+Examples!$D$17*$A840^2)</f>
        <v>489082.00310478557</v>
      </c>
      <c r="F840" s="33">
        <f>Examples!$E$18-(Examples!$E$10+Examples!$E$11)*$A840-(Examples!$E$6*Examples!$E$7*Examples!$E$8*EXP(-Examples!$E$9*$A840)*(1-(Examples!$E$12*(1-EXP(-Examples!$E$13*$A840))/(1+EXP(MIN(700,MAX(-700,(Examples!$E$14*$A840-Examples!$E$15)/Examples!$E$16))))))+Examples!$E$17*$A840^2)</f>
        <v>2038306.4591816801</v>
      </c>
      <c r="G840" s="33">
        <f>(Examples!$E$6*Examples!$E$7*Examples!$E$8*EXP(-Examples!$E$9*$A840)*(1-(Examples!$E$12*(1-EXP(-Examples!$E$13*$A840))/(1+EXP(MIN(700,MAX(-700,(Examples!$E$14*$A840-Examples!$E$15)/Examples!$E$16))))))+Examples!$E$17*$A840^2)</f>
        <v>249393.54081831983</v>
      </c>
      <c r="H840" s="33">
        <f>Examples!$F$18-(Examples!$F$10+Examples!$F$11)*$A840-(Examples!$F$6*Examples!$F$7*Examples!$F$8*EXP(-Examples!$F$9*$A840)*(1-(Examples!$F$12*(1-EXP(-Examples!$F$13*$A840))/(1+EXP(MIN(700,MAX(-700,(Examples!$F$14*$A840-Examples!$F$15)/Examples!$F$16))))))+Examples!$F$17*$A840^2)</f>
        <v>-1423504.5167723673</v>
      </c>
      <c r="I840" s="33">
        <f>(Examples!$F$6*Examples!$F$7*Examples!$F$8*EXP(-Examples!$F$9*$A840)*(1-(Examples!$F$12*(1-EXP(-Examples!$F$13*$A840))/(1+EXP(MIN(700,MAX(-700,(Examples!$F$14*$A840-Examples!$F$15)/Examples!$F$16))))))+Examples!$F$17*$A840^2)</f>
        <v>1405904.5167723673</v>
      </c>
      <c r="J840" s="33">
        <f>Examples!$G$18-(Examples!$G$10+Examples!$G$11)*$A840-(Examples!$G$6*Examples!$G$7*Examples!$G$8*EXP(-Examples!$G$9*$A840)*(1-(Examples!$G$12*(1-EXP(-Examples!$G$13*$A840))/(1+EXP(MIN(700,MAX(-700,(Examples!$G$14*$A840-Examples!$G$15)/Examples!$G$16))))))+Examples!$G$17*$A840^2)</f>
        <v>412763.6374261796</v>
      </c>
      <c r="K840" s="33">
        <f>(Examples!$G$6*Examples!$G$7*Examples!$G$8*EXP(-Examples!$G$9*$A840)*(1-(Examples!$G$12*(1-EXP(-Examples!$G$13*$A840))/(1+EXP(MIN(700,MAX(-700,(Examples!$G$14*$A840-Examples!$G$15)/Examples!$G$16))))))+Examples!$G$17*$A840^2)</f>
        <v>668236.3625738204</v>
      </c>
      <c r="L840" s="33">
        <f>Examples!$H$18-(Examples!$H$10+Examples!$H$11)*$A840-(Examples!$H$6*Examples!$H$7*Examples!$H$8*EXP(-Examples!$H$9*$A840)*(1-(Examples!$H$12*(1-EXP(-Examples!$H$13*$A840))/(1+EXP(MIN(700,MAX(-700,(Examples!$H$14*$A840-Examples!$H$15)/Examples!$H$16))))))+Examples!$H$17*$A840^2)</f>
        <v>412730.62641031097</v>
      </c>
      <c r="M840" s="33">
        <f>(Examples!$H$6*Examples!$H$7*Examples!$H$8*EXP(-Examples!$H$9*$A840)*(1-(Examples!$H$12*(1-EXP(-Examples!$H$13*$A840))/(1+EXP(MIN(700,MAX(-700,(Examples!$H$14*$A840-Examples!$H$15)/Examples!$H$16))))))+Examples!$H$17*$A840^2)</f>
        <v>668269.37358968903</v>
      </c>
    </row>
    <row r="841" spans="1:13" x14ac:dyDescent="0.25">
      <c r="A841">
        <f>(841-2)/100</f>
        <v>8.39</v>
      </c>
      <c r="B841" s="33">
        <f>Examples!$C$18-(Examples!$C$10+Examples!$C$11)*$A841-(Examples!$C$6*Examples!$C$7*Examples!$C$8*EXP(-Examples!$C$9*$A841)*(1-(Examples!$C$12*(1-EXP(-Examples!$C$13*$A841))/(1+EXP(MIN(700,MAX(-700,(Examples!$C$14*$A841-Examples!$C$15)/Examples!$C$16))))))+Examples!$C$17*$A841^2)</f>
        <v>-797952.30879502604</v>
      </c>
      <c r="C841" s="33">
        <f>(Examples!$C$6*Examples!$C$7*Examples!$C$8*EXP(-Examples!$C$9*$A841)*(1-(Examples!$C$12*(1-EXP(-Examples!$C$13*$A841))/(1+EXP(MIN(700,MAX(-700,(Examples!$C$14*$A841-Examples!$C$15)/Examples!$C$16))))))+Examples!$C$17*$A841^2)</f>
        <v>1104302.308795026</v>
      </c>
      <c r="D841" s="33">
        <f>Examples!$D$18-(Examples!$D$10+Examples!$D$11)*$A841-(Examples!$D$6*Examples!$D$7*Examples!$D$8*EXP(-Examples!$D$9*$A841)*(1-(Examples!$D$12*(1-EXP(-Examples!$D$13*$A841))/(1+EXP(MIN(700,MAX(-700,(Examples!$D$14*$A841-Examples!$D$15)/Examples!$D$16))))))+Examples!$D$17*$A841^2)</f>
        <v>1633146.1128231413</v>
      </c>
      <c r="E841" s="33">
        <f>(Examples!$D$6*Examples!$D$7*Examples!$D$8*EXP(-Examples!$D$9*$A841)*(1-(Examples!$D$12*(1-EXP(-Examples!$D$13*$A841))/(1+EXP(MIN(700,MAX(-700,(Examples!$D$14*$A841-Examples!$D$15)/Examples!$D$16))))))+Examples!$D$17*$A841^2)</f>
        <v>489303.88717685861</v>
      </c>
      <c r="F841" s="33">
        <f>Examples!$E$18-(Examples!$E$10+Examples!$E$11)*$A841-(Examples!$E$6*Examples!$E$7*Examples!$E$8*EXP(-Examples!$E$9*$A841)*(1-(Examples!$E$12*(1-EXP(-Examples!$E$13*$A841))/(1+EXP(MIN(700,MAX(-700,(Examples!$E$14*$A841-Examples!$E$15)/Examples!$E$16))))))+Examples!$E$17*$A841^2)</f>
        <v>2037130.3526561742</v>
      </c>
      <c r="G841" s="33">
        <f>(Examples!$E$6*Examples!$E$7*Examples!$E$8*EXP(-Examples!$E$9*$A841)*(1-(Examples!$E$12*(1-EXP(-Examples!$E$13*$A841))/(1+EXP(MIN(700,MAX(-700,(Examples!$E$14*$A841-Examples!$E$15)/Examples!$E$16))))))+Examples!$E$17*$A841^2)</f>
        <v>249719.64734382575</v>
      </c>
      <c r="H841" s="33">
        <f>Examples!$F$18-(Examples!$F$10+Examples!$F$11)*$A841-(Examples!$F$6*Examples!$F$7*Examples!$F$8*EXP(-Examples!$F$9*$A841)*(1-(Examples!$F$12*(1-EXP(-Examples!$F$13*$A841))/(1+EXP(MIN(700,MAX(-700,(Examples!$F$14*$A841-Examples!$F$15)/Examples!$F$16))))))+Examples!$F$17*$A841^2)</f>
        <v>-1427054.2735900062</v>
      </c>
      <c r="I841" s="33">
        <f>(Examples!$F$6*Examples!$F$7*Examples!$F$8*EXP(-Examples!$F$9*$A841)*(1-(Examples!$F$12*(1-EXP(-Examples!$F$13*$A841))/(1+EXP(MIN(700,MAX(-700,(Examples!$F$14*$A841-Examples!$F$15)/Examples!$F$16))))))+Examples!$F$17*$A841^2)</f>
        <v>1409254.2735900062</v>
      </c>
      <c r="J841" s="33">
        <f>Examples!$G$18-(Examples!$G$10+Examples!$G$11)*$A841-(Examples!$G$6*Examples!$G$7*Examples!$G$8*EXP(-Examples!$G$9*$A841)*(1-(Examples!$G$12*(1-EXP(-Examples!$G$13*$A841))/(1+EXP(MIN(700,MAX(-700,(Examples!$G$14*$A841-Examples!$G$15)/Examples!$G$16))))))+Examples!$G$17*$A841^2)</f>
        <v>411293.49725666561</v>
      </c>
      <c r="K841" s="33">
        <f>(Examples!$G$6*Examples!$G$7*Examples!$G$8*EXP(-Examples!$G$9*$A841)*(1-(Examples!$G$12*(1-EXP(-Examples!$G$13*$A841))/(1+EXP(MIN(700,MAX(-700,(Examples!$G$14*$A841-Examples!$G$15)/Examples!$G$16))))))+Examples!$G$17*$A841^2)</f>
        <v>669206.50274333439</v>
      </c>
      <c r="L841" s="33">
        <f>Examples!$H$18-(Examples!$H$10+Examples!$H$11)*$A841-(Examples!$H$6*Examples!$H$7*Examples!$H$8*EXP(-Examples!$H$9*$A841)*(1-(Examples!$H$12*(1-EXP(-Examples!$H$13*$A841))/(1+EXP(MIN(700,MAX(-700,(Examples!$H$14*$A841-Examples!$H$15)/Examples!$H$16))))))+Examples!$H$17*$A841^2)</f>
        <v>411261.03460605443</v>
      </c>
      <c r="M841" s="33">
        <f>(Examples!$H$6*Examples!$H$7*Examples!$H$8*EXP(-Examples!$H$9*$A841)*(1-(Examples!$H$12*(1-EXP(-Examples!$H$13*$A841))/(1+EXP(MIN(700,MAX(-700,(Examples!$H$14*$A841-Examples!$H$15)/Examples!$H$16))))))+Examples!$H$17*$A841^2)</f>
        <v>669238.96539394557</v>
      </c>
    </row>
    <row r="842" spans="1:13" x14ac:dyDescent="0.25">
      <c r="A842">
        <f>(842-2)/100</f>
        <v>8.4</v>
      </c>
      <c r="B842" s="33">
        <f>Examples!$C$18-(Examples!$C$10+Examples!$C$11)*$A842-(Examples!$C$6*Examples!$C$7*Examples!$C$8*EXP(-Examples!$C$9*$A842)*(1-(Examples!$C$12*(1-EXP(-Examples!$C$13*$A842))/(1+EXP(MIN(700,MAX(-700,(Examples!$C$14*$A842-Examples!$C$15)/Examples!$C$16))))))+Examples!$C$17*$A842^2)</f>
        <v>-800675.76404471882</v>
      </c>
      <c r="C842" s="33">
        <f>(Examples!$C$6*Examples!$C$7*Examples!$C$8*EXP(-Examples!$C$9*$A842)*(1-(Examples!$C$12*(1-EXP(-Examples!$C$13*$A842))/(1+EXP(MIN(700,MAX(-700,(Examples!$C$14*$A842-Examples!$C$15)/Examples!$C$16))))))+Examples!$C$17*$A842^2)</f>
        <v>1106675.7640447188</v>
      </c>
      <c r="D842" s="33">
        <f>Examples!$D$18-(Examples!$D$10+Examples!$D$11)*$A842-(Examples!$D$6*Examples!$D$7*Examples!$D$8*EXP(-Examples!$D$9*$A842)*(1-(Examples!$D$12*(1-EXP(-Examples!$D$13*$A842))/(1+EXP(MIN(700,MAX(-700,(Examples!$D$14*$A842-Examples!$D$15)/Examples!$D$16))))))+Examples!$D$17*$A842^2)</f>
        <v>1632470.5095597364</v>
      </c>
      <c r="E842" s="33">
        <f>(Examples!$D$6*Examples!$D$7*Examples!$D$8*EXP(-Examples!$D$9*$A842)*(1-(Examples!$D$12*(1-EXP(-Examples!$D$13*$A842))/(1+EXP(MIN(700,MAX(-700,(Examples!$D$14*$A842-Examples!$D$15)/Examples!$D$16))))))+Examples!$D$17*$A842^2)</f>
        <v>489529.49044026365</v>
      </c>
      <c r="F842" s="33">
        <f>Examples!$E$18-(Examples!$E$10+Examples!$E$11)*$A842-(Examples!$E$6*Examples!$E$7*Examples!$E$8*EXP(-Examples!$E$9*$A842)*(1-(Examples!$E$12*(1-EXP(-Examples!$E$13*$A842))/(1+EXP(MIN(700,MAX(-700,(Examples!$E$14*$A842-Examples!$E$15)/Examples!$E$16))))))+Examples!$E$17*$A842^2)</f>
        <v>2035952.9551437167</v>
      </c>
      <c r="G842" s="33">
        <f>(Examples!$E$6*Examples!$E$7*Examples!$E$8*EXP(-Examples!$E$9*$A842)*(1-(Examples!$E$12*(1-EXP(-Examples!$E$13*$A842))/(1+EXP(MIN(700,MAX(-700,(Examples!$E$14*$A842-Examples!$E$15)/Examples!$E$16))))))+Examples!$E$17*$A842^2)</f>
        <v>250047.04485628332</v>
      </c>
      <c r="H842" s="33">
        <f>Examples!$F$18-(Examples!$F$10+Examples!$F$11)*$A842-(Examples!$F$6*Examples!$F$7*Examples!$F$8*EXP(-Examples!$F$9*$A842)*(1-(Examples!$F$12*(1-EXP(-Examples!$F$13*$A842))/(1+EXP(MIN(700,MAX(-700,(Examples!$F$14*$A842-Examples!$F$15)/Examples!$F$16))))))+Examples!$F$17*$A842^2)</f>
        <v>-1430608.0431181164</v>
      </c>
      <c r="I842" s="33">
        <f>(Examples!$F$6*Examples!$F$7*Examples!$F$8*EXP(-Examples!$F$9*$A842)*(1-(Examples!$F$12*(1-EXP(-Examples!$F$13*$A842))/(1+EXP(MIN(700,MAX(-700,(Examples!$F$14*$A842-Examples!$F$15)/Examples!$F$16))))))+Examples!$F$17*$A842^2)</f>
        <v>1412608.0431181164</v>
      </c>
      <c r="J842" s="33">
        <f>Examples!$G$18-(Examples!$G$10+Examples!$G$11)*$A842-(Examples!$G$6*Examples!$G$7*Examples!$G$8*EXP(-Examples!$G$9*$A842)*(1-(Examples!$G$12*(1-EXP(-Examples!$G$13*$A842))/(1+EXP(MIN(700,MAX(-700,(Examples!$G$14*$A842-Examples!$G$15)/Examples!$G$16))))))+Examples!$G$17*$A842^2)</f>
        <v>409820.46642940317</v>
      </c>
      <c r="K842" s="33">
        <f>(Examples!$G$6*Examples!$G$7*Examples!$G$8*EXP(-Examples!$G$9*$A842)*(1-(Examples!$G$12*(1-EXP(-Examples!$G$13*$A842))/(1+EXP(MIN(700,MAX(-700,(Examples!$G$14*$A842-Examples!$G$15)/Examples!$G$16))))))+Examples!$G$17*$A842^2)</f>
        <v>670179.53357059683</v>
      </c>
      <c r="L842" s="33">
        <f>Examples!$H$18-(Examples!$H$10+Examples!$H$11)*$A842-(Examples!$H$6*Examples!$H$7*Examples!$H$8*EXP(-Examples!$H$9*$A842)*(1-(Examples!$H$12*(1-EXP(-Examples!$H$13*$A842))/(1+EXP(MIN(700,MAX(-700,(Examples!$H$14*$A842-Examples!$H$15)/Examples!$H$16))))))+Examples!$H$17*$A842^2)</f>
        <v>409788.54304962256</v>
      </c>
      <c r="M842" s="33">
        <f>(Examples!$H$6*Examples!$H$7*Examples!$H$8*EXP(-Examples!$H$9*$A842)*(1-(Examples!$H$12*(1-EXP(-Examples!$H$13*$A842))/(1+EXP(MIN(700,MAX(-700,(Examples!$H$14*$A842-Examples!$H$15)/Examples!$H$16))))))+Examples!$H$17*$A842^2)</f>
        <v>670211.45695037744</v>
      </c>
    </row>
    <row r="843" spans="1:13" x14ac:dyDescent="0.25">
      <c r="A843">
        <f>(843-2)/100</f>
        <v>8.41</v>
      </c>
      <c r="B843" s="33">
        <f>Examples!$C$18-(Examples!$C$10+Examples!$C$11)*$A843-(Examples!$C$6*Examples!$C$7*Examples!$C$8*EXP(-Examples!$C$9*$A843)*(1-(Examples!$C$12*(1-EXP(-Examples!$C$13*$A843))/(1+EXP(MIN(700,MAX(-700,(Examples!$C$14*$A843-Examples!$C$15)/Examples!$C$16))))))+Examples!$C$17*$A843^2)</f>
        <v>-803402.65377660748</v>
      </c>
      <c r="C843" s="33">
        <f>(Examples!$C$6*Examples!$C$7*Examples!$C$8*EXP(-Examples!$C$9*$A843)*(1-(Examples!$C$12*(1-EXP(-Examples!$C$13*$A843))/(1+EXP(MIN(700,MAX(-700,(Examples!$C$14*$A843-Examples!$C$15)/Examples!$C$16))))))+Examples!$C$17*$A843^2)</f>
        <v>1109052.6537766075</v>
      </c>
      <c r="D843" s="33">
        <f>Examples!$D$18-(Examples!$D$10+Examples!$D$11)*$A843-(Examples!$D$6*Examples!$D$7*Examples!$D$8*EXP(-Examples!$D$9*$A843)*(1-(Examples!$D$12*(1-EXP(-Examples!$D$13*$A843))/(1+EXP(MIN(700,MAX(-700,(Examples!$D$14*$A843-Examples!$D$15)/Examples!$D$16))))))+Examples!$D$17*$A843^2)</f>
        <v>1631791.1984499944</v>
      </c>
      <c r="E843" s="33">
        <f>(Examples!$D$6*Examples!$D$7*Examples!$D$8*EXP(-Examples!$D$9*$A843)*(1-(Examples!$D$12*(1-EXP(-Examples!$D$13*$A843))/(1+EXP(MIN(700,MAX(-700,(Examples!$D$14*$A843-Examples!$D$15)/Examples!$D$16))))))+Examples!$D$17*$A843^2)</f>
        <v>489758.8015500055</v>
      </c>
      <c r="F843" s="33">
        <f>Examples!$E$18-(Examples!$E$10+Examples!$E$11)*$A843-(Examples!$E$6*Examples!$E$7*Examples!$E$8*EXP(-Examples!$E$9*$A843)*(1-(Examples!$E$12*(1-EXP(-Examples!$E$13*$A843))/(1+EXP(MIN(700,MAX(-700,(Examples!$E$14*$A843-Examples!$E$15)/Examples!$E$16))))))+Examples!$E$17*$A843^2)</f>
        <v>2034774.2679318592</v>
      </c>
      <c r="G843" s="33">
        <f>(Examples!$E$6*Examples!$E$7*Examples!$E$8*EXP(-Examples!$E$9*$A843)*(1-(Examples!$E$12*(1-EXP(-Examples!$E$13*$A843))/(1+EXP(MIN(700,MAX(-700,(Examples!$E$14*$A843-Examples!$E$15)/Examples!$E$16))))))+Examples!$E$17*$A843^2)</f>
        <v>250375.73206814082</v>
      </c>
      <c r="H843" s="33">
        <f>Examples!$F$18-(Examples!$F$10+Examples!$F$11)*$A843-(Examples!$F$6*Examples!$F$7*Examples!$F$8*EXP(-Examples!$F$9*$A843)*(1-(Examples!$F$12*(1-EXP(-Examples!$F$13*$A843))/(1+EXP(MIN(700,MAX(-700,(Examples!$F$14*$A843-Examples!$F$15)/Examples!$F$16))))))+Examples!$F$17*$A843^2)</f>
        <v>-1434165.8253186247</v>
      </c>
      <c r="I843" s="33">
        <f>(Examples!$F$6*Examples!$F$7*Examples!$F$8*EXP(-Examples!$F$9*$A843)*(1-(Examples!$F$12*(1-EXP(-Examples!$F$13*$A843))/(1+EXP(MIN(700,MAX(-700,(Examples!$F$14*$A843-Examples!$F$15)/Examples!$F$16))))))+Examples!$F$17*$A843^2)</f>
        <v>1415965.8253186247</v>
      </c>
      <c r="J843" s="33">
        <f>Examples!$G$18-(Examples!$G$10+Examples!$G$11)*$A843-(Examples!$G$6*Examples!$G$7*Examples!$G$8*EXP(-Examples!$G$9*$A843)*(1-(Examples!$G$12*(1-EXP(-Examples!$G$13*$A843))/(1+EXP(MIN(700,MAX(-700,(Examples!$G$14*$A843-Examples!$G$15)/Examples!$G$16))))))+Examples!$G$17*$A843^2)</f>
        <v>408344.54933506483</v>
      </c>
      <c r="K843" s="33">
        <f>(Examples!$G$6*Examples!$G$7*Examples!$G$8*EXP(-Examples!$G$9*$A843)*(1-(Examples!$G$12*(1-EXP(-Examples!$G$13*$A843))/(1+EXP(MIN(700,MAX(-700,(Examples!$G$14*$A843-Examples!$G$15)/Examples!$G$16))))))+Examples!$G$17*$A843^2)</f>
        <v>671155.45066493517</v>
      </c>
      <c r="L843" s="33">
        <f>Examples!$H$18-(Examples!$H$10+Examples!$H$11)*$A843-(Examples!$H$6*Examples!$H$7*Examples!$H$8*EXP(-Examples!$H$9*$A843)*(1-(Examples!$H$12*(1-EXP(-Examples!$H$13*$A843))/(1+EXP(MIN(700,MAX(-700,(Examples!$H$14*$A843-Examples!$H$15)/Examples!$H$16))))))+Examples!$H$17*$A843^2)</f>
        <v>408313.15628217463</v>
      </c>
      <c r="M843" s="33">
        <f>(Examples!$H$6*Examples!$H$7*Examples!$H$8*EXP(-Examples!$H$9*$A843)*(1-(Examples!$H$12*(1-EXP(-Examples!$H$13*$A843))/(1+EXP(MIN(700,MAX(-700,(Examples!$H$14*$A843-Examples!$H$15)/Examples!$H$16))))))+Examples!$H$17*$A843^2)</f>
        <v>671186.84371782537</v>
      </c>
    </row>
    <row r="844" spans="1:13" x14ac:dyDescent="0.25">
      <c r="A844">
        <f>(844-2)/100</f>
        <v>8.42</v>
      </c>
      <c r="B844" s="33">
        <f>Examples!$C$18-(Examples!$C$10+Examples!$C$11)*$A844-(Examples!$C$6*Examples!$C$7*Examples!$C$8*EXP(-Examples!$C$9*$A844)*(1-(Examples!$C$12*(1-EXP(-Examples!$C$13*$A844))/(1+EXP(MIN(700,MAX(-700,(Examples!$C$14*$A844-Examples!$C$15)/Examples!$C$16))))))+Examples!$C$17*$A844^2)</f>
        <v>-806132.97668919875</v>
      </c>
      <c r="C844" s="33">
        <f>(Examples!$C$6*Examples!$C$7*Examples!$C$8*EXP(-Examples!$C$9*$A844)*(1-(Examples!$C$12*(1-EXP(-Examples!$C$13*$A844))/(1+EXP(MIN(700,MAX(-700,(Examples!$C$14*$A844-Examples!$C$15)/Examples!$C$16))))))+Examples!$C$17*$A844^2)</f>
        <v>1111432.9766891988</v>
      </c>
      <c r="D844" s="33">
        <f>Examples!$D$18-(Examples!$D$10+Examples!$D$11)*$A844-(Examples!$D$6*Examples!$D$7*Examples!$D$8*EXP(-Examples!$D$9*$A844)*(1-(Examples!$D$12*(1-EXP(-Examples!$D$13*$A844))/(1+EXP(MIN(700,MAX(-700,(Examples!$D$14*$A844-Examples!$D$15)/Examples!$D$16))))))+Examples!$D$17*$A844^2)</f>
        <v>1631108.1908030147</v>
      </c>
      <c r="E844" s="33">
        <f>(Examples!$D$6*Examples!$D$7*Examples!$D$8*EXP(-Examples!$D$9*$A844)*(1-(Examples!$D$12*(1-EXP(-Examples!$D$13*$A844))/(1+EXP(MIN(700,MAX(-700,(Examples!$D$14*$A844-Examples!$D$15)/Examples!$D$16))))))+Examples!$D$17*$A844^2)</f>
        <v>489991.80919698544</v>
      </c>
      <c r="F844" s="33">
        <f>Examples!$E$18-(Examples!$E$10+Examples!$E$11)*$A844-(Examples!$E$6*Examples!$E$7*Examples!$E$8*EXP(-Examples!$E$9*$A844)*(1-(Examples!$E$12*(1-EXP(-Examples!$E$13*$A844))/(1+EXP(MIN(700,MAX(-700,(Examples!$E$14*$A844-Examples!$E$15)/Examples!$E$16))))))+Examples!$E$17*$A844^2)</f>
        <v>2033594.2923236557</v>
      </c>
      <c r="G844" s="33">
        <f>(Examples!$E$6*Examples!$E$7*Examples!$E$8*EXP(-Examples!$E$9*$A844)*(1-(Examples!$E$12*(1-EXP(-Examples!$E$13*$A844))/(1+EXP(MIN(700,MAX(-700,(Examples!$E$14*$A844-Examples!$E$15)/Examples!$E$16))))))+Examples!$E$17*$A844^2)</f>
        <v>250705.70767634432</v>
      </c>
      <c r="H844" s="33">
        <f>Examples!$F$18-(Examples!$F$10+Examples!$F$11)*$A844-(Examples!$F$6*Examples!$F$7*Examples!$F$8*EXP(-Examples!$F$9*$A844)*(1-(Examples!$F$12*(1-EXP(-Examples!$F$13*$A844))/(1+EXP(MIN(700,MAX(-700,(Examples!$F$14*$A844-Examples!$F$15)/Examples!$F$16))))))+Examples!$F$17*$A844^2)</f>
        <v>-1437727.6201535703</v>
      </c>
      <c r="I844" s="33">
        <f>(Examples!$F$6*Examples!$F$7*Examples!$F$8*EXP(-Examples!$F$9*$A844)*(1-(Examples!$F$12*(1-EXP(-Examples!$F$13*$A844))/(1+EXP(MIN(700,MAX(-700,(Examples!$F$14*$A844-Examples!$F$15)/Examples!$F$16))))))+Examples!$F$17*$A844^2)</f>
        <v>1419327.6201535703</v>
      </c>
      <c r="J844" s="33">
        <f>Examples!$G$18-(Examples!$G$10+Examples!$G$11)*$A844-(Examples!$G$6*Examples!$G$7*Examples!$G$8*EXP(-Examples!$G$9*$A844)*(1-(Examples!$G$12*(1-EXP(-Examples!$G$13*$A844))/(1+EXP(MIN(700,MAX(-700,(Examples!$G$14*$A844-Examples!$G$15)/Examples!$G$16))))))+Examples!$G$17*$A844^2)</f>
        <v>406865.75035093981</v>
      </c>
      <c r="K844" s="33">
        <f>(Examples!$G$6*Examples!$G$7*Examples!$G$8*EXP(-Examples!$G$9*$A844)*(1-(Examples!$G$12*(1-EXP(-Examples!$G$13*$A844))/(1+EXP(MIN(700,MAX(-700,(Examples!$G$14*$A844-Examples!$G$15)/Examples!$G$16))))))+Examples!$G$17*$A844^2)</f>
        <v>672134.24964906019</v>
      </c>
      <c r="L844" s="33">
        <f>Examples!$H$18-(Examples!$H$10+Examples!$H$11)*$A844-(Examples!$H$6*Examples!$H$7*Examples!$H$8*EXP(-Examples!$H$9*$A844)*(1-(Examples!$H$12*(1-EXP(-Examples!$H$13*$A844))/(1+EXP(MIN(700,MAX(-700,(Examples!$H$14*$A844-Examples!$H$15)/Examples!$H$16))))))+Examples!$H$17*$A844^2)</f>
        <v>406834.87882900459</v>
      </c>
      <c r="M844" s="33">
        <f>(Examples!$H$6*Examples!$H$7*Examples!$H$8*EXP(-Examples!$H$9*$A844)*(1-(Examples!$H$12*(1-EXP(-Examples!$H$13*$A844))/(1+EXP(MIN(700,MAX(-700,(Examples!$H$14*$A844-Examples!$H$15)/Examples!$H$16))))))+Examples!$H$17*$A844^2)</f>
        <v>672165.12117099541</v>
      </c>
    </row>
    <row r="845" spans="1:13" x14ac:dyDescent="0.25">
      <c r="A845">
        <f>(845-2)/100</f>
        <v>8.43</v>
      </c>
      <c r="B845" s="33">
        <f>Examples!$C$18-(Examples!$C$10+Examples!$C$11)*$A845-(Examples!$C$6*Examples!$C$7*Examples!$C$8*EXP(-Examples!$C$9*$A845)*(1-(Examples!$C$12*(1-EXP(-Examples!$C$13*$A845))/(1+EXP(MIN(700,MAX(-700,(Examples!$C$14*$A845-Examples!$C$15)/Examples!$C$16))))))+Examples!$C$17*$A845^2)</f>
        <v>-808866.73148489813</v>
      </c>
      <c r="C845" s="33">
        <f>(Examples!$C$6*Examples!$C$7*Examples!$C$8*EXP(-Examples!$C$9*$A845)*(1-(Examples!$C$12*(1-EXP(-Examples!$C$13*$A845))/(1+EXP(MIN(700,MAX(-700,(Examples!$C$14*$A845-Examples!$C$15)/Examples!$C$16))))))+Examples!$C$17*$A845^2)</f>
        <v>1113816.7314848981</v>
      </c>
      <c r="D845" s="33">
        <f>Examples!$D$18-(Examples!$D$10+Examples!$D$11)*$A845-(Examples!$D$6*Examples!$D$7*Examples!$D$8*EXP(-Examples!$D$9*$A845)*(1-(Examples!$D$12*(1-EXP(-Examples!$D$13*$A845))/(1+EXP(MIN(700,MAX(-700,(Examples!$D$14*$A845-Examples!$D$15)/Examples!$D$16))))))+Examples!$D$17*$A845^2)</f>
        <v>1630421.4978918997</v>
      </c>
      <c r="E845" s="33">
        <f>(Examples!$D$6*Examples!$D$7*Examples!$D$8*EXP(-Examples!$D$9*$A845)*(1-(Examples!$D$12*(1-EXP(-Examples!$D$13*$A845))/(1+EXP(MIN(700,MAX(-700,(Examples!$D$14*$A845-Examples!$D$15)/Examples!$D$16))))))+Examples!$D$17*$A845^2)</f>
        <v>490228.50210810045</v>
      </c>
      <c r="F845" s="33">
        <f>Examples!$E$18-(Examples!$E$10+Examples!$E$11)*$A845-(Examples!$E$6*Examples!$E$7*Examples!$E$8*EXP(-Examples!$E$9*$A845)*(1-(Examples!$E$12*(1-EXP(-Examples!$E$13*$A845))/(1+EXP(MIN(700,MAX(-700,(Examples!$E$14*$A845-Examples!$E$15)/Examples!$E$16))))))+Examples!$E$17*$A845^2)</f>
        <v>2032413.0296374087</v>
      </c>
      <c r="G845" s="33">
        <f>(Examples!$E$6*Examples!$E$7*Examples!$E$8*EXP(-Examples!$E$9*$A845)*(1-(Examples!$E$12*(1-EXP(-Examples!$E$13*$A845))/(1+EXP(MIN(700,MAX(-700,(Examples!$E$14*$A845-Examples!$E$15)/Examples!$E$16))))))+Examples!$E$17*$A845^2)</f>
        <v>251036.97036259127</v>
      </c>
      <c r="H845" s="33">
        <f>Examples!$F$18-(Examples!$F$10+Examples!$F$11)*$A845-(Examples!$F$6*Examples!$F$7*Examples!$F$8*EXP(-Examples!$F$9*$A845)*(1-(Examples!$F$12*(1-EXP(-Examples!$F$13*$A845))/(1+EXP(MIN(700,MAX(-700,(Examples!$F$14*$A845-Examples!$F$15)/Examples!$F$16))))))+Examples!$F$17*$A845^2)</f>
        <v>-1441293.4275851068</v>
      </c>
      <c r="I845" s="33">
        <f>(Examples!$F$6*Examples!$F$7*Examples!$F$8*EXP(-Examples!$F$9*$A845)*(1-(Examples!$F$12*(1-EXP(-Examples!$F$13*$A845))/(1+EXP(MIN(700,MAX(-700,(Examples!$F$14*$A845-Examples!$F$15)/Examples!$F$16))))))+Examples!$F$17*$A845^2)</f>
        <v>1422693.4275851068</v>
      </c>
      <c r="J845" s="33">
        <f>Examples!$G$18-(Examples!$G$10+Examples!$G$11)*$A845-(Examples!$G$6*Examples!$G$7*Examples!$G$8*EXP(-Examples!$G$9*$A845)*(1-(Examples!$G$12*(1-EXP(-Examples!$G$13*$A845))/(1+EXP(MIN(700,MAX(-700,(Examples!$G$14*$A845-Examples!$G$15)/Examples!$G$16))))))+Examples!$G$17*$A845^2)</f>
        <v>405384.07384094899</v>
      </c>
      <c r="K845" s="33">
        <f>(Examples!$G$6*Examples!$G$7*Examples!$G$8*EXP(-Examples!$G$9*$A845)*(1-(Examples!$G$12*(1-EXP(-Examples!$G$13*$A845))/(1+EXP(MIN(700,MAX(-700,(Examples!$G$14*$A845-Examples!$G$15)/Examples!$G$16))))))+Examples!$G$17*$A845^2)</f>
        <v>673115.92615905101</v>
      </c>
      <c r="L845" s="33">
        <f>Examples!$H$18-(Examples!$H$10+Examples!$H$11)*$A845-(Examples!$H$6*Examples!$H$7*Examples!$H$8*EXP(-Examples!$H$9*$A845)*(1-(Examples!$H$12*(1-EXP(-Examples!$H$13*$A845))/(1+EXP(MIN(700,MAX(-700,(Examples!$H$14*$A845-Examples!$H$15)/Examples!$H$16))))))+Examples!$H$17*$A845^2)</f>
        <v>405353.71519959648</v>
      </c>
      <c r="M845" s="33">
        <f>(Examples!$H$6*Examples!$H$7*Examples!$H$8*EXP(-Examples!$H$9*$A845)*(1-(Examples!$H$12*(1-EXP(-Examples!$H$13*$A845))/(1+EXP(MIN(700,MAX(-700,(Examples!$H$14*$A845-Examples!$H$15)/Examples!$H$16))))))+Examples!$H$17*$A845^2)</f>
        <v>673146.28480040352</v>
      </c>
    </row>
    <row r="846" spans="1:13" x14ac:dyDescent="0.25">
      <c r="A846">
        <f>(846-2)/100</f>
        <v>8.44</v>
      </c>
      <c r="B846" s="33">
        <f>Examples!$C$18-(Examples!$C$10+Examples!$C$11)*$A846-(Examples!$C$6*Examples!$C$7*Examples!$C$8*EXP(-Examples!$C$9*$A846)*(1-(Examples!$C$12*(1-EXP(-Examples!$C$13*$A846))/(1+EXP(MIN(700,MAX(-700,(Examples!$C$14*$A846-Examples!$C$15)/Examples!$C$16))))))+Examples!$C$17*$A846^2)</f>
        <v>-811603.91686999798</v>
      </c>
      <c r="C846" s="33">
        <f>(Examples!$C$6*Examples!$C$7*Examples!$C$8*EXP(-Examples!$C$9*$A846)*(1-(Examples!$C$12*(1-EXP(-Examples!$C$13*$A846))/(1+EXP(MIN(700,MAX(-700,(Examples!$C$14*$A846-Examples!$C$15)/Examples!$C$16))))))+Examples!$C$17*$A846^2)</f>
        <v>1116203.916869998</v>
      </c>
      <c r="D846" s="33">
        <f>Examples!$D$18-(Examples!$D$10+Examples!$D$11)*$A846-(Examples!$D$6*Examples!$D$7*Examples!$D$8*EXP(-Examples!$D$9*$A846)*(1-(Examples!$D$12*(1-EXP(-Examples!$D$13*$A846))/(1+EXP(MIN(700,MAX(-700,(Examples!$D$14*$A846-Examples!$D$15)/Examples!$D$16))))))+Examples!$D$17*$A846^2)</f>
        <v>1629731.1309536642</v>
      </c>
      <c r="E846" s="33">
        <f>(Examples!$D$6*Examples!$D$7*Examples!$D$8*EXP(-Examples!$D$9*$A846)*(1-(Examples!$D$12*(1-EXP(-Examples!$D$13*$A846))/(1+EXP(MIN(700,MAX(-700,(Examples!$D$14*$A846-Examples!$D$15)/Examples!$D$16))))))+Examples!$D$17*$A846^2)</f>
        <v>490468.86904633581</v>
      </c>
      <c r="F846" s="33">
        <f>Examples!$E$18-(Examples!$E$10+Examples!$E$11)*$A846-(Examples!$E$6*Examples!$E$7*Examples!$E$8*EXP(-Examples!$E$9*$A846)*(1-(Examples!$E$12*(1-EXP(-Examples!$E$13*$A846))/(1+EXP(MIN(700,MAX(-700,(Examples!$E$14*$A846-Examples!$E$15)/Examples!$E$16))))))+Examples!$E$17*$A846^2)</f>
        <v>2031230.4812064173</v>
      </c>
      <c r="G846" s="33">
        <f>(Examples!$E$6*Examples!$E$7*Examples!$E$8*EXP(-Examples!$E$9*$A846)*(1-(Examples!$E$12*(1-EXP(-Examples!$E$13*$A846))/(1+EXP(MIN(700,MAX(-700,(Examples!$E$14*$A846-Examples!$E$15)/Examples!$E$16))))))+Examples!$E$17*$A846^2)</f>
        <v>251369.51879358271</v>
      </c>
      <c r="H846" s="33">
        <f>Examples!$F$18-(Examples!$F$10+Examples!$F$11)*$A846-(Examples!$F$6*Examples!$F$7*Examples!$F$8*EXP(-Examples!$F$9*$A846)*(1-(Examples!$F$12*(1-EXP(-Examples!$F$13*$A846))/(1+EXP(MIN(700,MAX(-700,(Examples!$F$14*$A846-Examples!$F$15)/Examples!$F$16))))))+Examples!$F$17*$A846^2)</f>
        <v>-1444863.247575501</v>
      </c>
      <c r="I846" s="33">
        <f>(Examples!$F$6*Examples!$F$7*Examples!$F$8*EXP(-Examples!$F$9*$A846)*(1-(Examples!$F$12*(1-EXP(-Examples!$F$13*$A846))/(1+EXP(MIN(700,MAX(-700,(Examples!$F$14*$A846-Examples!$F$15)/Examples!$F$16))))))+Examples!$F$17*$A846^2)</f>
        <v>1426063.247575501</v>
      </c>
      <c r="J846" s="33">
        <f>Examples!$G$18-(Examples!$G$10+Examples!$G$11)*$A846-(Examples!$G$6*Examples!$G$7*Examples!$G$8*EXP(-Examples!$G$9*$A846)*(1-(Examples!$G$12*(1-EXP(-Examples!$G$13*$A846))/(1+EXP(MIN(700,MAX(-700,(Examples!$G$14*$A846-Examples!$G$15)/Examples!$G$16))))))+Examples!$G$17*$A846^2)</f>
        <v>403899.52415565914</v>
      </c>
      <c r="K846" s="33">
        <f>(Examples!$G$6*Examples!$G$7*Examples!$G$8*EXP(-Examples!$G$9*$A846)*(1-(Examples!$G$12*(1-EXP(-Examples!$G$13*$A846))/(1+EXP(MIN(700,MAX(-700,(Examples!$G$14*$A846-Examples!$G$15)/Examples!$G$16))))))+Examples!$G$17*$A846^2)</f>
        <v>674100.47584434086</v>
      </c>
      <c r="L846" s="33">
        <f>Examples!$H$18-(Examples!$H$10+Examples!$H$11)*$A846-(Examples!$H$6*Examples!$H$7*Examples!$H$8*EXP(-Examples!$H$9*$A846)*(1-(Examples!$H$12*(1-EXP(-Examples!$H$13*$A846))/(1+EXP(MIN(700,MAX(-700,(Examples!$H$14*$A846-Examples!$H$15)/Examples!$H$16))))))+Examples!$H$17*$A846^2)</f>
        <v>403869.66988767916</v>
      </c>
      <c r="M846" s="33">
        <f>(Examples!$H$6*Examples!$H$7*Examples!$H$8*EXP(-Examples!$H$9*$A846)*(1-(Examples!$H$12*(1-EXP(-Examples!$H$13*$A846))/(1+EXP(MIN(700,MAX(-700,(Examples!$H$14*$A846-Examples!$H$15)/Examples!$H$16))))))+Examples!$H$17*$A846^2)</f>
        <v>674130.33011232084</v>
      </c>
    </row>
    <row r="847" spans="1:13" x14ac:dyDescent="0.25">
      <c r="A847">
        <f>(847-2)/100</f>
        <v>8.4499999999999993</v>
      </c>
      <c r="B847" s="33">
        <f>Examples!$C$18-(Examples!$C$10+Examples!$C$11)*$A847-(Examples!$C$6*Examples!$C$7*Examples!$C$8*EXP(-Examples!$C$9*$A847)*(1-(Examples!$C$12*(1-EXP(-Examples!$C$13*$A847))/(1+EXP(MIN(700,MAX(-700,(Examples!$C$14*$A847-Examples!$C$15)/Examples!$C$16))))))+Examples!$C$17*$A847^2)</f>
        <v>-814344.53155466588</v>
      </c>
      <c r="C847" s="33">
        <f>(Examples!$C$6*Examples!$C$7*Examples!$C$8*EXP(-Examples!$C$9*$A847)*(1-(Examples!$C$12*(1-EXP(-Examples!$C$13*$A847))/(1+EXP(MIN(700,MAX(-700,(Examples!$C$14*$A847-Examples!$C$15)/Examples!$C$16))))))+Examples!$C$17*$A847^2)</f>
        <v>1118594.5315546659</v>
      </c>
      <c r="D847" s="33">
        <f>Examples!$D$18-(Examples!$D$10+Examples!$D$11)*$A847-(Examples!$D$6*Examples!$D$7*Examples!$D$8*EXP(-Examples!$D$9*$A847)*(1-(Examples!$D$12*(1-EXP(-Examples!$D$13*$A847))/(1+EXP(MIN(700,MAX(-700,(Examples!$D$14*$A847-Examples!$D$15)/Examples!$D$16))))))+Examples!$D$17*$A847^2)</f>
        <v>1629037.1011891458</v>
      </c>
      <c r="E847" s="33">
        <f>(Examples!$D$6*Examples!$D$7*Examples!$D$8*EXP(-Examples!$D$9*$A847)*(1-(Examples!$D$12*(1-EXP(-Examples!$D$13*$A847))/(1+EXP(MIN(700,MAX(-700,(Examples!$D$14*$A847-Examples!$D$15)/Examples!$D$16))))))+Examples!$D$17*$A847^2)</f>
        <v>490712.8988108543</v>
      </c>
      <c r="F847" s="33">
        <f>Examples!$E$18-(Examples!$E$10+Examples!$E$11)*$A847-(Examples!$E$6*Examples!$E$7*Examples!$E$8*EXP(-Examples!$E$9*$A847)*(1-(Examples!$E$12*(1-EXP(-Examples!$E$13*$A847))/(1+EXP(MIN(700,MAX(-700,(Examples!$E$14*$A847-Examples!$E$15)/Examples!$E$16))))))+Examples!$E$17*$A847^2)</f>
        <v>2030046.648378727</v>
      </c>
      <c r="G847" s="33">
        <f>(Examples!$E$6*Examples!$E$7*Examples!$E$8*EXP(-Examples!$E$9*$A847)*(1-(Examples!$E$12*(1-EXP(-Examples!$E$13*$A847))/(1+EXP(MIN(700,MAX(-700,(Examples!$E$14*$A847-Examples!$E$15)/Examples!$E$16))))))+Examples!$E$17*$A847^2)</f>
        <v>251703.351621273</v>
      </c>
      <c r="H847" s="33">
        <f>Examples!$F$18-(Examples!$F$10+Examples!$F$11)*$A847-(Examples!$F$6*Examples!$F$7*Examples!$F$8*EXP(-Examples!$F$9*$A847)*(1-(Examples!$F$12*(1-EXP(-Examples!$F$13*$A847))/(1+EXP(MIN(700,MAX(-700,(Examples!$F$14*$A847-Examples!$F$15)/Examples!$F$16))))))+Examples!$F$17*$A847^2)</f>
        <v>-1448437.0800871323</v>
      </c>
      <c r="I847" s="33">
        <f>(Examples!$F$6*Examples!$F$7*Examples!$F$8*EXP(-Examples!$F$9*$A847)*(1-(Examples!$F$12*(1-EXP(-Examples!$F$13*$A847))/(1+EXP(MIN(700,MAX(-700,(Examples!$F$14*$A847-Examples!$F$15)/Examples!$F$16))))))+Examples!$F$17*$A847^2)</f>
        <v>1429437.0800871323</v>
      </c>
      <c r="J847" s="33">
        <f>Examples!$G$18-(Examples!$G$10+Examples!$G$11)*$A847-(Examples!$G$6*Examples!$G$7*Examples!$G$8*EXP(-Examples!$G$9*$A847)*(1-(Examples!$G$12*(1-EXP(-Examples!$G$13*$A847))/(1+EXP(MIN(700,MAX(-700,(Examples!$G$14*$A847-Examples!$G$15)/Examples!$G$16))))))+Examples!$G$17*$A847^2)</f>
        <v>402412.10563229932</v>
      </c>
      <c r="K847" s="33">
        <f>(Examples!$G$6*Examples!$G$7*Examples!$G$8*EXP(-Examples!$G$9*$A847)*(1-(Examples!$G$12*(1-EXP(-Examples!$G$13*$A847))/(1+EXP(MIN(700,MAX(-700,(Examples!$G$14*$A847-Examples!$G$15)/Examples!$G$16))))))+Examples!$G$17*$A847^2)</f>
        <v>675087.89436770068</v>
      </c>
      <c r="L847" s="33">
        <f>Examples!$H$18-(Examples!$H$10+Examples!$H$11)*$A847-(Examples!$H$6*Examples!$H$7*Examples!$H$8*EXP(-Examples!$H$9*$A847)*(1-(Examples!$H$12*(1-EXP(-Examples!$H$13*$A847))/(1+EXP(MIN(700,MAX(-700,(Examples!$H$14*$A847-Examples!$H$15)/Examples!$H$16))))))+Examples!$H$17*$A847^2)</f>
        <v>402382.74737128173</v>
      </c>
      <c r="M847" s="33">
        <f>(Examples!$H$6*Examples!$H$7*Examples!$H$8*EXP(-Examples!$H$9*$A847)*(1-(Examples!$H$12*(1-EXP(-Examples!$H$13*$A847))/(1+EXP(MIN(700,MAX(-700,(Examples!$H$14*$A847-Examples!$H$15)/Examples!$H$16))))))+Examples!$H$17*$A847^2)</f>
        <v>675117.25262871827</v>
      </c>
    </row>
    <row r="848" spans="1:13" x14ac:dyDescent="0.25">
      <c r="A848">
        <f>(848-2)/100</f>
        <v>8.4600000000000009</v>
      </c>
      <c r="B848" s="33">
        <f>Examples!$C$18-(Examples!$C$10+Examples!$C$11)*$A848-(Examples!$C$6*Examples!$C$7*Examples!$C$8*EXP(-Examples!$C$9*$A848)*(1-(Examples!$C$12*(1-EXP(-Examples!$C$13*$A848))/(1+EXP(MIN(700,MAX(-700,(Examples!$C$14*$A848-Examples!$C$15)/Examples!$C$16))))))+Examples!$C$17*$A848^2)</f>
        <v>-817088.57425293373</v>
      </c>
      <c r="C848" s="33">
        <f>(Examples!$C$6*Examples!$C$7*Examples!$C$8*EXP(-Examples!$C$9*$A848)*(1-(Examples!$C$12*(1-EXP(-Examples!$C$13*$A848))/(1+EXP(MIN(700,MAX(-700,(Examples!$C$14*$A848-Examples!$C$15)/Examples!$C$16))))))+Examples!$C$17*$A848^2)</f>
        <v>1120988.5742529337</v>
      </c>
      <c r="D848" s="33">
        <f>Examples!$D$18-(Examples!$D$10+Examples!$D$11)*$A848-(Examples!$D$6*Examples!$D$7*Examples!$D$8*EXP(-Examples!$D$9*$A848)*(1-(Examples!$D$12*(1-EXP(-Examples!$D$13*$A848))/(1+EXP(MIN(700,MAX(-700,(Examples!$D$14*$A848-Examples!$D$15)/Examples!$D$16))))))+Examples!$D$17*$A848^2)</f>
        <v>1628339.4197629197</v>
      </c>
      <c r="E848" s="33">
        <f>(Examples!$D$6*Examples!$D$7*Examples!$D$8*EXP(-Examples!$D$9*$A848)*(1-(Examples!$D$12*(1-EXP(-Examples!$D$13*$A848))/(1+EXP(MIN(700,MAX(-700,(Examples!$D$14*$A848-Examples!$D$15)/Examples!$D$16))))))+Examples!$D$17*$A848^2)</f>
        <v>490960.5802370804</v>
      </c>
      <c r="F848" s="33">
        <f>Examples!$E$18-(Examples!$E$10+Examples!$E$11)*$A848-(Examples!$E$6*Examples!$E$7*Examples!$E$8*EXP(-Examples!$E$9*$A848)*(1-(Examples!$E$12*(1-EXP(-Examples!$E$13*$A848))/(1+EXP(MIN(700,MAX(-700,(Examples!$E$14*$A848-Examples!$E$15)/Examples!$E$16))))))+Examples!$E$17*$A848^2)</f>
        <v>2028861.5325168816</v>
      </c>
      <c r="G848" s="33">
        <f>(Examples!$E$6*Examples!$E$7*Examples!$E$8*EXP(-Examples!$E$9*$A848)*(1-(Examples!$E$12*(1-EXP(-Examples!$E$13*$A848))/(1+EXP(MIN(700,MAX(-700,(Examples!$E$14*$A848-Examples!$E$15)/Examples!$E$16))))))+Examples!$E$17*$A848^2)</f>
        <v>252038.46748311841</v>
      </c>
      <c r="H848" s="33">
        <f>Examples!$F$18-(Examples!$F$10+Examples!$F$11)*$A848-(Examples!$F$6*Examples!$F$7*Examples!$F$8*EXP(-Examples!$F$9*$A848)*(1-(Examples!$F$12*(1-EXP(-Examples!$F$13*$A848))/(1+EXP(MIN(700,MAX(-700,(Examples!$F$14*$A848-Examples!$F$15)/Examples!$F$16))))))+Examples!$F$17*$A848^2)</f>
        <v>-1452014.925082495</v>
      </c>
      <c r="I848" s="33">
        <f>(Examples!$F$6*Examples!$F$7*Examples!$F$8*EXP(-Examples!$F$9*$A848)*(1-(Examples!$F$12*(1-EXP(-Examples!$F$13*$A848))/(1+EXP(MIN(700,MAX(-700,(Examples!$F$14*$A848-Examples!$F$15)/Examples!$F$16))))))+Examples!$F$17*$A848^2)</f>
        <v>1432814.925082495</v>
      </c>
      <c r="J848" s="33">
        <f>Examples!$G$18-(Examples!$G$10+Examples!$G$11)*$A848-(Examples!$G$6*Examples!$G$7*Examples!$G$8*EXP(-Examples!$G$9*$A848)*(1-(Examples!$G$12*(1-EXP(-Examples!$G$13*$A848))/(1+EXP(MIN(700,MAX(-700,(Examples!$G$14*$A848-Examples!$G$15)/Examples!$G$16))))))+Examples!$G$17*$A848^2)</f>
        <v>400921.82259477628</v>
      </c>
      <c r="K848" s="33">
        <f>(Examples!$G$6*Examples!$G$7*Examples!$G$8*EXP(-Examples!$G$9*$A848)*(1-(Examples!$G$12*(1-EXP(-Examples!$G$13*$A848))/(1+EXP(MIN(700,MAX(-700,(Examples!$G$14*$A848-Examples!$G$15)/Examples!$G$16))))))+Examples!$G$17*$A848^2)</f>
        <v>676078.17740522372</v>
      </c>
      <c r="L848" s="33">
        <f>Examples!$H$18-(Examples!$H$10+Examples!$H$11)*$A848-(Examples!$H$6*Examples!$H$7*Examples!$H$8*EXP(-Examples!$H$9*$A848)*(1-(Examples!$H$12*(1-EXP(-Examples!$H$13*$A848))/(1+EXP(MIN(700,MAX(-700,(Examples!$H$14*$A848-Examples!$H$15)/Examples!$H$16))))))+Examples!$H$17*$A848^2)</f>
        <v>400892.95211278787</v>
      </c>
      <c r="M848" s="33">
        <f>(Examples!$H$6*Examples!$H$7*Examples!$H$8*EXP(-Examples!$H$9*$A848)*(1-(Examples!$H$12*(1-EXP(-Examples!$H$13*$A848))/(1+EXP(MIN(700,MAX(-700,(Examples!$H$14*$A848-Examples!$H$15)/Examples!$H$16))))))+Examples!$H$17*$A848^2)</f>
        <v>676107.04788721213</v>
      </c>
    </row>
    <row r="849" spans="1:13" x14ac:dyDescent="0.25">
      <c r="A849">
        <f>(849-2)/100</f>
        <v>8.4700000000000006</v>
      </c>
      <c r="B849" s="33">
        <f>Examples!$C$18-(Examples!$C$10+Examples!$C$11)*$A849-(Examples!$C$6*Examples!$C$7*Examples!$C$8*EXP(-Examples!$C$9*$A849)*(1-(Examples!$C$12*(1-EXP(-Examples!$C$13*$A849))/(1+EXP(MIN(700,MAX(-700,(Examples!$C$14*$A849-Examples!$C$15)/Examples!$C$16))))))+Examples!$C$17*$A849^2)</f>
        <v>-819836.04368268442</v>
      </c>
      <c r="C849" s="33">
        <f>(Examples!$C$6*Examples!$C$7*Examples!$C$8*EXP(-Examples!$C$9*$A849)*(1-(Examples!$C$12*(1-EXP(-Examples!$C$13*$A849))/(1+EXP(MIN(700,MAX(-700,(Examples!$C$14*$A849-Examples!$C$15)/Examples!$C$16))))))+Examples!$C$17*$A849^2)</f>
        <v>1123386.0436826844</v>
      </c>
      <c r="D849" s="33">
        <f>Examples!$D$18-(Examples!$D$10+Examples!$D$11)*$A849-(Examples!$D$6*Examples!$D$7*Examples!$D$8*EXP(-Examples!$D$9*$A849)*(1-(Examples!$D$12*(1-EXP(-Examples!$D$13*$A849))/(1+EXP(MIN(700,MAX(-700,(Examples!$D$14*$A849-Examples!$D$15)/Examples!$D$16))))))+Examples!$D$17*$A849^2)</f>
        <v>1627638.0978032211</v>
      </c>
      <c r="E849" s="33">
        <f>(Examples!$D$6*Examples!$D$7*Examples!$D$8*EXP(-Examples!$D$9*$A849)*(1-(Examples!$D$12*(1-EXP(-Examples!$D$13*$A849))/(1+EXP(MIN(700,MAX(-700,(Examples!$D$14*$A849-Examples!$D$15)/Examples!$D$16))))))+Examples!$D$17*$A849^2)</f>
        <v>491211.90219677903</v>
      </c>
      <c r="F849" s="33">
        <f>Examples!$E$18-(Examples!$E$10+Examples!$E$11)*$A849-(Examples!$E$6*Examples!$E$7*Examples!$E$8*EXP(-Examples!$E$9*$A849)*(1-(Examples!$E$12*(1-EXP(-Examples!$E$13*$A849))/(1+EXP(MIN(700,MAX(-700,(Examples!$E$14*$A849-Examples!$E$15)/Examples!$E$16))))))+Examples!$E$17*$A849^2)</f>
        <v>2027675.1349976766</v>
      </c>
      <c r="G849" s="33">
        <f>(Examples!$E$6*Examples!$E$7*Examples!$E$8*EXP(-Examples!$E$9*$A849)*(1-(Examples!$E$12*(1-EXP(-Examples!$E$13*$A849))/(1+EXP(MIN(700,MAX(-700,(Examples!$E$14*$A849-Examples!$E$15)/Examples!$E$16))))))+Examples!$E$17*$A849^2)</f>
        <v>252374.86500232335</v>
      </c>
      <c r="H849" s="33">
        <f>Examples!$F$18-(Examples!$F$10+Examples!$F$11)*$A849-(Examples!$F$6*Examples!$F$7*Examples!$F$8*EXP(-Examples!$F$9*$A849)*(1-(Examples!$F$12*(1-EXP(-Examples!$F$13*$A849))/(1+EXP(MIN(700,MAX(-700,(Examples!$F$14*$A849-Examples!$F$15)/Examples!$F$16))))))+Examples!$F$17*$A849^2)</f>
        <v>-1455596.7825241915</v>
      </c>
      <c r="I849" s="33">
        <f>(Examples!$F$6*Examples!$F$7*Examples!$F$8*EXP(-Examples!$F$9*$A849)*(1-(Examples!$F$12*(1-EXP(-Examples!$F$13*$A849))/(1+EXP(MIN(700,MAX(-700,(Examples!$F$14*$A849-Examples!$F$15)/Examples!$F$16))))))+Examples!$F$17*$A849^2)</f>
        <v>1436196.7825241915</v>
      </c>
      <c r="J849" s="33">
        <f>Examples!$G$18-(Examples!$G$10+Examples!$G$11)*$A849-(Examples!$G$6*Examples!$G$7*Examples!$G$8*EXP(-Examples!$G$9*$A849)*(1-(Examples!$G$12*(1-EXP(-Examples!$G$13*$A849))/(1+EXP(MIN(700,MAX(-700,(Examples!$G$14*$A849-Examples!$G$15)/Examples!$G$16))))))+Examples!$G$17*$A849^2)</f>
        <v>399428.67935369175</v>
      </c>
      <c r="K849" s="33">
        <f>(Examples!$G$6*Examples!$G$7*Examples!$G$8*EXP(-Examples!$G$9*$A849)*(1-(Examples!$G$12*(1-EXP(-Examples!$G$13*$A849))/(1+EXP(MIN(700,MAX(-700,(Examples!$G$14*$A849-Examples!$G$15)/Examples!$G$16))))))+Examples!$G$17*$A849^2)</f>
        <v>677071.32064630825</v>
      </c>
      <c r="L849" s="33">
        <f>Examples!$H$18-(Examples!$H$10+Examples!$H$11)*$A849-(Examples!$H$6*Examples!$H$7*Examples!$H$8*EXP(-Examples!$H$9*$A849)*(1-(Examples!$H$12*(1-EXP(-Examples!$H$13*$A849))/(1+EXP(MIN(700,MAX(-700,(Examples!$H$14*$A849-Examples!$H$15)/Examples!$H$16))))))+Examples!$H$17*$A849^2)</f>
        <v>399400.28855899174</v>
      </c>
      <c r="M849" s="33">
        <f>(Examples!$H$6*Examples!$H$7*Examples!$H$8*EXP(-Examples!$H$9*$A849)*(1-(Examples!$H$12*(1-EXP(-Examples!$H$13*$A849))/(1+EXP(MIN(700,MAX(-700,(Examples!$H$14*$A849-Examples!$H$15)/Examples!$H$16))))))+Examples!$H$17*$A849^2)</f>
        <v>677099.71144100826</v>
      </c>
    </row>
    <row r="850" spans="1:13" x14ac:dyDescent="0.25">
      <c r="A850">
        <f>(850-2)/100</f>
        <v>8.48</v>
      </c>
      <c r="B850" s="33">
        <f>Examples!$C$18-(Examples!$C$10+Examples!$C$11)*$A850-(Examples!$C$6*Examples!$C$7*Examples!$C$8*EXP(-Examples!$C$9*$A850)*(1-(Examples!$C$12*(1-EXP(-Examples!$C$13*$A850))/(1+EXP(MIN(700,MAX(-700,(Examples!$C$14*$A850-Examples!$C$15)/Examples!$C$16))))))+Examples!$C$17*$A850^2)</f>
        <v>-822586.93856564234</v>
      </c>
      <c r="C850" s="33">
        <f>(Examples!$C$6*Examples!$C$7*Examples!$C$8*EXP(-Examples!$C$9*$A850)*(1-(Examples!$C$12*(1-EXP(-Examples!$C$13*$A850))/(1+EXP(MIN(700,MAX(-700,(Examples!$C$14*$A850-Examples!$C$15)/Examples!$C$16))))))+Examples!$C$17*$A850^2)</f>
        <v>1125786.9385656423</v>
      </c>
      <c r="D850" s="33">
        <f>Examples!$D$18-(Examples!$D$10+Examples!$D$11)*$A850-(Examples!$D$6*Examples!$D$7*Examples!$D$8*EXP(-Examples!$D$9*$A850)*(1-(Examples!$D$12*(1-EXP(-Examples!$D$13*$A850))/(1+EXP(MIN(700,MAX(-700,(Examples!$D$14*$A850-Examples!$D$15)/Examples!$D$16))))))+Examples!$D$17*$A850^2)</f>
        <v>1626933.1464018682</v>
      </c>
      <c r="E850" s="33">
        <f>(Examples!$D$6*Examples!$D$7*Examples!$D$8*EXP(-Examples!$D$9*$A850)*(1-(Examples!$D$12*(1-EXP(-Examples!$D$13*$A850))/(1+EXP(MIN(700,MAX(-700,(Examples!$D$14*$A850-Examples!$D$15)/Examples!$D$16))))))+Examples!$D$17*$A850^2)</f>
        <v>491466.85359813191</v>
      </c>
      <c r="F850" s="33">
        <f>Examples!$E$18-(Examples!$E$10+Examples!$E$11)*$A850-(Examples!$E$6*Examples!$E$7*Examples!$E$8*EXP(-Examples!$E$9*$A850)*(1-(Examples!$E$12*(1-EXP(-Examples!$E$13*$A850))/(1+EXP(MIN(700,MAX(-700,(Examples!$E$14*$A850-Examples!$E$15)/Examples!$E$16))))))+Examples!$E$17*$A850^2)</f>
        <v>2026487.4572119145</v>
      </c>
      <c r="G850" s="33">
        <f>(Examples!$E$6*Examples!$E$7*Examples!$E$8*EXP(-Examples!$E$9*$A850)*(1-(Examples!$E$12*(1-EXP(-Examples!$E$13*$A850))/(1+EXP(MIN(700,MAX(-700,(Examples!$E$14*$A850-Examples!$E$15)/Examples!$E$16))))))+Examples!$E$17*$A850^2)</f>
        <v>252712.54278808547</v>
      </c>
      <c r="H850" s="33">
        <f>Examples!$F$18-(Examples!$F$10+Examples!$F$11)*$A850-(Examples!$F$6*Examples!$F$7*Examples!$F$8*EXP(-Examples!$F$9*$A850)*(1-(Examples!$F$12*(1-EXP(-Examples!$F$13*$A850))/(1+EXP(MIN(700,MAX(-700,(Examples!$F$14*$A850-Examples!$F$15)/Examples!$F$16))))))+Examples!$F$17*$A850^2)</f>
        <v>-1459182.6523749405</v>
      </c>
      <c r="I850" s="33">
        <f>(Examples!$F$6*Examples!$F$7*Examples!$F$8*EXP(-Examples!$F$9*$A850)*(1-(Examples!$F$12*(1-EXP(-Examples!$F$13*$A850))/(1+EXP(MIN(700,MAX(-700,(Examples!$F$14*$A850-Examples!$F$15)/Examples!$F$16))))))+Examples!$F$17*$A850^2)</f>
        <v>1439582.6523749405</v>
      </c>
      <c r="J850" s="33">
        <f>Examples!$G$18-(Examples!$G$10+Examples!$G$11)*$A850-(Examples!$G$6*Examples!$G$7*Examples!$G$8*EXP(-Examples!$G$9*$A850)*(1-(Examples!$G$12*(1-EXP(-Examples!$G$13*$A850))/(1+EXP(MIN(700,MAX(-700,(Examples!$G$14*$A850-Examples!$G$15)/Examples!$G$16))))))+Examples!$G$17*$A850^2)</f>
        <v>397932.68020635832</v>
      </c>
      <c r="K850" s="33">
        <f>(Examples!$G$6*Examples!$G$7*Examples!$G$8*EXP(-Examples!$G$9*$A850)*(1-(Examples!$G$12*(1-EXP(-Examples!$G$13*$A850))/(1+EXP(MIN(700,MAX(-700,(Examples!$G$14*$A850-Examples!$G$15)/Examples!$G$16))))))+Examples!$G$17*$A850^2)</f>
        <v>678067.31979364168</v>
      </c>
      <c r="L850" s="33">
        <f>Examples!$H$18-(Examples!$H$10+Examples!$H$11)*$A850-(Examples!$H$6*Examples!$H$7*Examples!$H$8*EXP(-Examples!$H$9*$A850)*(1-(Examples!$H$12*(1-EXP(-Examples!$H$13*$A850))/(1+EXP(MIN(700,MAX(-700,(Examples!$H$14*$A850-Examples!$H$15)/Examples!$H$16))))))+Examples!$H$17*$A850^2)</f>
        <v>397904.76114115049</v>
      </c>
      <c r="M850" s="33">
        <f>(Examples!$H$6*Examples!$H$7*Examples!$H$8*EXP(-Examples!$H$9*$A850)*(1-(Examples!$H$12*(1-EXP(-Examples!$H$13*$A850))/(1+EXP(MIN(700,MAX(-700,(Examples!$H$14*$A850-Examples!$H$15)/Examples!$H$16))))))+Examples!$H$17*$A850^2)</f>
        <v>678095.23885884951</v>
      </c>
    </row>
    <row r="851" spans="1:13" x14ac:dyDescent="0.25">
      <c r="A851">
        <f>(851-2)/100</f>
        <v>8.49</v>
      </c>
      <c r="B851" s="33">
        <f>Examples!$C$18-(Examples!$C$10+Examples!$C$11)*$A851-(Examples!$C$6*Examples!$C$7*Examples!$C$8*EXP(-Examples!$C$9*$A851)*(1-(Examples!$C$12*(1-EXP(-Examples!$C$13*$A851))/(1+EXP(MIN(700,MAX(-700,(Examples!$C$14*$A851-Examples!$C$15)/Examples!$C$16))))))+Examples!$C$17*$A851^2)</f>
        <v>-825341.25762736029</v>
      </c>
      <c r="C851" s="33">
        <f>(Examples!$C$6*Examples!$C$7*Examples!$C$8*EXP(-Examples!$C$9*$A851)*(1-(Examples!$C$12*(1-EXP(-Examples!$C$13*$A851))/(1+EXP(MIN(700,MAX(-700,(Examples!$C$14*$A851-Examples!$C$15)/Examples!$C$16))))))+Examples!$C$17*$A851^2)</f>
        <v>1128191.2576273603</v>
      </c>
      <c r="D851" s="33">
        <f>Examples!$D$18-(Examples!$D$10+Examples!$D$11)*$A851-(Examples!$D$6*Examples!$D$7*Examples!$D$8*EXP(-Examples!$D$9*$A851)*(1-(Examples!$D$12*(1-EXP(-Examples!$D$13*$A851))/(1+EXP(MIN(700,MAX(-700,(Examples!$D$14*$A851-Examples!$D$15)/Examples!$D$16))))))+Examples!$D$17*$A851^2)</f>
        <v>1626224.5766141936</v>
      </c>
      <c r="E851" s="33">
        <f>(Examples!$D$6*Examples!$D$7*Examples!$D$8*EXP(-Examples!$D$9*$A851)*(1-(Examples!$D$12*(1-EXP(-Examples!$D$13*$A851))/(1+EXP(MIN(700,MAX(-700,(Examples!$D$14*$A851-Examples!$D$15)/Examples!$D$16))))))+Examples!$D$17*$A851^2)</f>
        <v>491725.4233858065</v>
      </c>
      <c r="F851" s="33">
        <f>Examples!$E$18-(Examples!$E$10+Examples!$E$11)*$A851-(Examples!$E$6*Examples!$E$7*Examples!$E$8*EXP(-Examples!$E$9*$A851)*(1-(Examples!$E$12*(1-EXP(-Examples!$E$13*$A851))/(1+EXP(MIN(700,MAX(-700,(Examples!$E$14*$A851-Examples!$E$15)/Examples!$E$16))))))+Examples!$E$17*$A851^2)</f>
        <v>2025298.5005641617</v>
      </c>
      <c r="G851" s="33">
        <f>(Examples!$E$6*Examples!$E$7*Examples!$E$8*EXP(-Examples!$E$9*$A851)*(1-(Examples!$E$12*(1-EXP(-Examples!$E$13*$A851))/(1+EXP(MIN(700,MAX(-700,(Examples!$E$14*$A851-Examples!$E$15)/Examples!$E$16))))))+Examples!$E$17*$A851^2)</f>
        <v>253051.4994358384</v>
      </c>
      <c r="H851" s="33">
        <f>Examples!$F$18-(Examples!$F$10+Examples!$F$11)*$A851-(Examples!$F$6*Examples!$F$7*Examples!$F$8*EXP(-Examples!$F$9*$A851)*(1-(Examples!$F$12*(1-EXP(-Examples!$F$13*$A851))/(1+EXP(MIN(700,MAX(-700,(Examples!$F$14*$A851-Examples!$F$15)/Examples!$F$16))))))+Examples!$F$17*$A851^2)</f>
        <v>-1462772.5345975698</v>
      </c>
      <c r="I851" s="33">
        <f>(Examples!$F$6*Examples!$F$7*Examples!$F$8*EXP(-Examples!$F$9*$A851)*(1-(Examples!$F$12*(1-EXP(-Examples!$F$13*$A851))/(1+EXP(MIN(700,MAX(-700,(Examples!$F$14*$A851-Examples!$F$15)/Examples!$F$16))))))+Examples!$F$17*$A851^2)</f>
        <v>1442972.5345975698</v>
      </c>
      <c r="J851" s="33">
        <f>Examples!$G$18-(Examples!$G$10+Examples!$G$11)*$A851-(Examples!$G$6*Examples!$G$7*Examples!$G$8*EXP(-Examples!$G$9*$A851)*(1-(Examples!$G$12*(1-EXP(-Examples!$G$13*$A851))/(1+EXP(MIN(700,MAX(-700,(Examples!$G$14*$A851-Examples!$G$15)/Examples!$G$16))))))+Examples!$G$17*$A851^2)</f>
        <v>396433.82943681767</v>
      </c>
      <c r="K851" s="33">
        <f>(Examples!$G$6*Examples!$G$7*Examples!$G$8*EXP(-Examples!$G$9*$A851)*(1-(Examples!$G$12*(1-EXP(-Examples!$G$13*$A851))/(1+EXP(MIN(700,MAX(-700,(Examples!$G$14*$A851-Examples!$G$15)/Examples!$G$16))))))+Examples!$G$17*$A851^2)</f>
        <v>679066.17056318233</v>
      </c>
      <c r="L851" s="33">
        <f>Examples!$H$18-(Examples!$H$10+Examples!$H$11)*$A851-(Examples!$H$6*Examples!$H$7*Examples!$H$8*EXP(-Examples!$H$9*$A851)*(1-(Examples!$H$12*(1-EXP(-Examples!$H$13*$A851))/(1+EXP(MIN(700,MAX(-700,(Examples!$H$14*$A851-Examples!$H$15)/Examples!$H$16))))))+Examples!$H$17*$A851^2)</f>
        <v>396406.37427504023</v>
      </c>
      <c r="M851" s="33">
        <f>(Examples!$H$6*Examples!$H$7*Examples!$H$8*EXP(-Examples!$H$9*$A851)*(1-(Examples!$H$12*(1-EXP(-Examples!$H$13*$A851))/(1+EXP(MIN(700,MAX(-700,(Examples!$H$14*$A851-Examples!$H$15)/Examples!$H$16))))))+Examples!$H$17*$A851^2)</f>
        <v>679093.62572495977</v>
      </c>
    </row>
    <row r="852" spans="1:13" x14ac:dyDescent="0.25">
      <c r="A852">
        <f>(852-2)/100</f>
        <v>8.5</v>
      </c>
      <c r="B852" s="33">
        <f>Examples!$C$18-(Examples!$C$10+Examples!$C$11)*$A852-(Examples!$C$6*Examples!$C$7*Examples!$C$8*EXP(-Examples!$C$9*$A852)*(1-(Examples!$C$12*(1-EXP(-Examples!$C$13*$A852))/(1+EXP(MIN(700,MAX(-700,(Examples!$C$14*$A852-Examples!$C$15)/Examples!$C$16))))))+Examples!$C$17*$A852^2)</f>
        <v>-828098.99959720974</v>
      </c>
      <c r="C852" s="33">
        <f>(Examples!$C$6*Examples!$C$7*Examples!$C$8*EXP(-Examples!$C$9*$A852)*(1-(Examples!$C$12*(1-EXP(-Examples!$C$13*$A852))/(1+EXP(MIN(700,MAX(-700,(Examples!$C$14*$A852-Examples!$C$15)/Examples!$C$16))))))+Examples!$C$17*$A852^2)</f>
        <v>1130598.9995972097</v>
      </c>
      <c r="D852" s="33">
        <f>Examples!$D$18-(Examples!$D$10+Examples!$D$11)*$A852-(Examples!$D$6*Examples!$D$7*Examples!$D$8*EXP(-Examples!$D$9*$A852)*(1-(Examples!$D$12*(1-EXP(-Examples!$D$13*$A852))/(1+EXP(MIN(700,MAX(-700,(Examples!$D$14*$A852-Examples!$D$15)/Examples!$D$16))))))+Examples!$D$17*$A852^2)</f>
        <v>1625512.399458976</v>
      </c>
      <c r="E852" s="33">
        <f>(Examples!$D$6*Examples!$D$7*Examples!$D$8*EXP(-Examples!$D$9*$A852)*(1-(Examples!$D$12*(1-EXP(-Examples!$D$13*$A852))/(1+EXP(MIN(700,MAX(-700,(Examples!$D$14*$A852-Examples!$D$15)/Examples!$D$16))))))+Examples!$D$17*$A852^2)</f>
        <v>491987.60054102389</v>
      </c>
      <c r="F852" s="33">
        <f>Examples!$E$18-(Examples!$E$10+Examples!$E$11)*$A852-(Examples!$E$6*Examples!$E$7*Examples!$E$8*EXP(-Examples!$E$9*$A852)*(1-(Examples!$E$12*(1-EXP(-Examples!$E$13*$A852))/(1+EXP(MIN(700,MAX(-700,(Examples!$E$14*$A852-Examples!$E$15)/Examples!$E$16))))))+Examples!$E$17*$A852^2)</f>
        <v>2024108.266472507</v>
      </c>
      <c r="G852" s="33">
        <f>(Examples!$E$6*Examples!$E$7*Examples!$E$8*EXP(-Examples!$E$9*$A852)*(1-(Examples!$E$12*(1-EXP(-Examples!$E$13*$A852))/(1+EXP(MIN(700,MAX(-700,(Examples!$E$14*$A852-Examples!$E$15)/Examples!$E$16))))))+Examples!$E$17*$A852^2)</f>
        <v>253391.73352749296</v>
      </c>
      <c r="H852" s="33">
        <f>Examples!$F$18-(Examples!$F$10+Examples!$F$11)*$A852-(Examples!$F$6*Examples!$F$7*Examples!$F$8*EXP(-Examples!$F$9*$A852)*(1-(Examples!$F$12*(1-EXP(-Examples!$F$13*$A852))/(1+EXP(MIN(700,MAX(-700,(Examples!$F$14*$A852-Examples!$F$15)/Examples!$F$16))))))+Examples!$F$17*$A852^2)</f>
        <v>-1466366.42915502</v>
      </c>
      <c r="I852" s="33">
        <f>(Examples!$F$6*Examples!$F$7*Examples!$F$8*EXP(-Examples!$F$9*$A852)*(1-(Examples!$F$12*(1-EXP(-Examples!$F$13*$A852))/(1+EXP(MIN(700,MAX(-700,(Examples!$F$14*$A852-Examples!$F$15)/Examples!$F$16))))))+Examples!$F$17*$A852^2)</f>
        <v>1446366.42915502</v>
      </c>
      <c r="J852" s="33">
        <f>Examples!$G$18-(Examples!$G$10+Examples!$G$11)*$A852-(Examples!$G$6*Examples!$G$7*Examples!$G$8*EXP(-Examples!$G$9*$A852)*(1-(Examples!$G$12*(1-EXP(-Examples!$G$13*$A852))/(1+EXP(MIN(700,MAX(-700,(Examples!$G$14*$A852-Examples!$G$15)/Examples!$G$16))))))+Examples!$G$17*$A852^2)</f>
        <v>394932.1313158581</v>
      </c>
      <c r="K852" s="33">
        <f>(Examples!$G$6*Examples!$G$7*Examples!$G$8*EXP(-Examples!$G$9*$A852)*(1-(Examples!$G$12*(1-EXP(-Examples!$G$13*$A852))/(1+EXP(MIN(700,MAX(-700,(Examples!$G$14*$A852-Examples!$G$15)/Examples!$G$16))))))+Examples!$G$17*$A852^2)</f>
        <v>680067.8686841419</v>
      </c>
      <c r="L852" s="33">
        <f>Examples!$H$18-(Examples!$H$10+Examples!$H$11)*$A852-(Examples!$H$6*Examples!$H$7*Examples!$H$8*EXP(-Examples!$H$9*$A852)*(1-(Examples!$H$12*(1-EXP(-Examples!$H$13*$A852))/(1+EXP(MIN(700,MAX(-700,(Examples!$H$14*$A852-Examples!$H$15)/Examples!$H$16))))))+Examples!$H$17*$A852^2)</f>
        <v>394905.13236100902</v>
      </c>
      <c r="M852" s="33">
        <f>(Examples!$H$6*Examples!$H$7*Examples!$H$8*EXP(-Examples!$H$9*$A852)*(1-(Examples!$H$12*(1-EXP(-Examples!$H$13*$A852))/(1+EXP(MIN(700,MAX(-700,(Examples!$H$14*$A852-Examples!$H$15)/Examples!$H$16))))))+Examples!$H$17*$A852^2)</f>
        <v>680094.86763899098</v>
      </c>
    </row>
    <row r="853" spans="1:13" x14ac:dyDescent="0.25">
      <c r="A853">
        <f>(853-2)/100</f>
        <v>8.51</v>
      </c>
      <c r="B853" s="33">
        <f>Examples!$C$18-(Examples!$C$10+Examples!$C$11)*$A853-(Examples!$C$6*Examples!$C$7*Examples!$C$8*EXP(-Examples!$C$9*$A853)*(1-(Examples!$C$12*(1-EXP(-Examples!$C$13*$A853))/(1+EXP(MIN(700,MAX(-700,(Examples!$C$14*$A853-Examples!$C$15)/Examples!$C$16))))))+Examples!$C$17*$A853^2)</f>
        <v>-830860.16320836684</v>
      </c>
      <c r="C853" s="33">
        <f>(Examples!$C$6*Examples!$C$7*Examples!$C$8*EXP(-Examples!$C$9*$A853)*(1-(Examples!$C$12*(1-EXP(-Examples!$C$13*$A853))/(1+EXP(MIN(700,MAX(-700,(Examples!$C$14*$A853-Examples!$C$15)/Examples!$C$16))))))+Examples!$C$17*$A853^2)</f>
        <v>1133010.1632083668</v>
      </c>
      <c r="D853" s="33">
        <f>Examples!$D$18-(Examples!$D$10+Examples!$D$11)*$A853-(Examples!$D$6*Examples!$D$7*Examples!$D$8*EXP(-Examples!$D$9*$A853)*(1-(Examples!$D$12*(1-EXP(-Examples!$D$13*$A853))/(1+EXP(MIN(700,MAX(-700,(Examples!$D$14*$A853-Examples!$D$15)/Examples!$D$16))))))+Examples!$D$17*$A853^2)</f>
        <v>1624796.62591838</v>
      </c>
      <c r="E853" s="33">
        <f>(Examples!$D$6*Examples!$D$7*Examples!$D$8*EXP(-Examples!$D$9*$A853)*(1-(Examples!$D$12*(1-EXP(-Examples!$D$13*$A853))/(1+EXP(MIN(700,MAX(-700,(Examples!$D$14*$A853-Examples!$D$15)/Examples!$D$16))))))+Examples!$D$17*$A853^2)</f>
        <v>492253.3740816199</v>
      </c>
      <c r="F853" s="33">
        <f>Examples!$E$18-(Examples!$E$10+Examples!$E$11)*$A853-(Examples!$E$6*Examples!$E$7*Examples!$E$8*EXP(-Examples!$E$9*$A853)*(1-(Examples!$E$12*(1-EXP(-Examples!$E$13*$A853))/(1+EXP(MIN(700,MAX(-700,(Examples!$E$14*$A853-Examples!$E$15)/Examples!$E$16))))))+Examples!$E$17*$A853^2)</f>
        <v>2022916.7563683237</v>
      </c>
      <c r="G853" s="33">
        <f>(Examples!$E$6*Examples!$E$7*Examples!$E$8*EXP(-Examples!$E$9*$A853)*(1-(Examples!$E$12*(1-EXP(-Examples!$E$13*$A853))/(1+EXP(MIN(700,MAX(-700,(Examples!$E$14*$A853-Examples!$E$15)/Examples!$E$16))))))+Examples!$E$17*$A853^2)</f>
        <v>253733.24363167636</v>
      </c>
      <c r="H853" s="33">
        <f>Examples!$F$18-(Examples!$F$10+Examples!$F$11)*$A853-(Examples!$F$6*Examples!$F$7*Examples!$F$8*EXP(-Examples!$F$9*$A853)*(1-(Examples!$F$12*(1-EXP(-Examples!$F$13*$A853))/(1+EXP(MIN(700,MAX(-700,(Examples!$F$14*$A853-Examples!$F$15)/Examples!$F$16))))))+Examples!$F$17*$A853^2)</f>
        <v>-1469964.3360103415</v>
      </c>
      <c r="I853" s="33">
        <f>(Examples!$F$6*Examples!$F$7*Examples!$F$8*EXP(-Examples!$F$9*$A853)*(1-(Examples!$F$12*(1-EXP(-Examples!$F$13*$A853))/(1+EXP(MIN(700,MAX(-700,(Examples!$F$14*$A853-Examples!$F$15)/Examples!$F$16))))))+Examples!$F$17*$A853^2)</f>
        <v>1449764.3360103415</v>
      </c>
      <c r="J853" s="33">
        <f>Examples!$G$18-(Examples!$G$10+Examples!$G$11)*$A853-(Examples!$G$6*Examples!$G$7*Examples!$G$8*EXP(-Examples!$G$9*$A853)*(1-(Examples!$G$12*(1-EXP(-Examples!$G$13*$A853))/(1+EXP(MIN(700,MAX(-700,(Examples!$G$14*$A853-Examples!$G$15)/Examples!$G$16))))))+Examples!$G$17*$A853^2)</f>
        <v>393427.59010103205</v>
      </c>
      <c r="K853" s="33">
        <f>(Examples!$G$6*Examples!$G$7*Examples!$G$8*EXP(-Examples!$G$9*$A853)*(1-(Examples!$G$12*(1-EXP(-Examples!$G$13*$A853))/(1+EXP(MIN(700,MAX(-700,(Examples!$G$14*$A853-Examples!$G$15)/Examples!$G$16))))))+Examples!$G$17*$A853^2)</f>
        <v>681072.40989896795</v>
      </c>
      <c r="L853" s="33">
        <f>Examples!$H$18-(Examples!$H$10+Examples!$H$11)*$A853-(Examples!$H$6*Examples!$H$7*Examples!$H$8*EXP(-Examples!$H$9*$A853)*(1-(Examples!$H$12*(1-EXP(-Examples!$H$13*$A853))/(1+EXP(MIN(700,MAX(-700,(Examples!$H$14*$A853-Examples!$H$15)/Examples!$H$16))))))+Examples!$H$17*$A853^2)</f>
        <v>393401.03978403157</v>
      </c>
      <c r="M853" s="33">
        <f>(Examples!$H$6*Examples!$H$7*Examples!$H$8*EXP(-Examples!$H$9*$A853)*(1-(Examples!$H$12*(1-EXP(-Examples!$H$13*$A853))/(1+EXP(MIN(700,MAX(-700,(Examples!$H$14*$A853-Examples!$H$15)/Examples!$H$16))))))+Examples!$H$17*$A853^2)</f>
        <v>681098.96021596843</v>
      </c>
    </row>
    <row r="854" spans="1:13" x14ac:dyDescent="0.25">
      <c r="A854">
        <f>(854-2)/100</f>
        <v>8.52</v>
      </c>
      <c r="B854" s="33">
        <f>Examples!$C$18-(Examples!$C$10+Examples!$C$11)*$A854-(Examples!$C$6*Examples!$C$7*Examples!$C$8*EXP(-Examples!$C$9*$A854)*(1-(Examples!$C$12*(1-EXP(-Examples!$C$13*$A854))/(1+EXP(MIN(700,MAX(-700,(Examples!$C$14*$A854-Examples!$C$15)/Examples!$C$16))))))+Examples!$C$17*$A854^2)</f>
        <v>-833624.74719780427</v>
      </c>
      <c r="C854" s="33">
        <f>(Examples!$C$6*Examples!$C$7*Examples!$C$8*EXP(-Examples!$C$9*$A854)*(1-(Examples!$C$12*(1-EXP(-Examples!$C$13*$A854))/(1+EXP(MIN(700,MAX(-700,(Examples!$C$14*$A854-Examples!$C$15)/Examples!$C$16))))))+Examples!$C$17*$A854^2)</f>
        <v>1135424.7471978043</v>
      </c>
      <c r="D854" s="33">
        <f>Examples!$D$18-(Examples!$D$10+Examples!$D$11)*$A854-(Examples!$D$6*Examples!$D$7*Examples!$D$8*EXP(-Examples!$D$9*$A854)*(1-(Examples!$D$12*(1-EXP(-Examples!$D$13*$A854))/(1+EXP(MIN(700,MAX(-700,(Examples!$D$14*$A854-Examples!$D$15)/Examples!$D$16))))))+Examples!$D$17*$A854^2)</f>
        <v>1624077.2669378966</v>
      </c>
      <c r="E854" s="33">
        <f>(Examples!$D$6*Examples!$D$7*Examples!$D$8*EXP(-Examples!$D$9*$A854)*(1-(Examples!$D$12*(1-EXP(-Examples!$D$13*$A854))/(1+EXP(MIN(700,MAX(-700,(Examples!$D$14*$A854-Examples!$D$15)/Examples!$D$16))))))+Examples!$D$17*$A854^2)</f>
        <v>492522.73306210333</v>
      </c>
      <c r="F854" s="33">
        <f>Examples!$E$18-(Examples!$E$10+Examples!$E$11)*$A854-(Examples!$E$6*Examples!$E$7*Examples!$E$8*EXP(-Examples!$E$9*$A854)*(1-(Examples!$E$12*(1-EXP(-Examples!$E$13*$A854))/(1+EXP(MIN(700,MAX(-700,(Examples!$E$14*$A854-Examples!$E$15)/Examples!$E$16))))))+Examples!$E$17*$A854^2)</f>
        <v>2021723.9716960301</v>
      </c>
      <c r="G854" s="33">
        <f>(Examples!$E$6*Examples!$E$7*Examples!$E$8*EXP(-Examples!$E$9*$A854)*(1-(Examples!$E$12*(1-EXP(-Examples!$E$13*$A854))/(1+EXP(MIN(700,MAX(-700,(Examples!$E$14*$A854-Examples!$E$15)/Examples!$E$16))))))+Examples!$E$17*$A854^2)</f>
        <v>254076.02830396994</v>
      </c>
      <c r="H854" s="33">
        <f>Examples!$F$18-(Examples!$F$10+Examples!$F$11)*$A854-(Examples!$F$6*Examples!$F$7*Examples!$F$8*EXP(-Examples!$F$9*$A854)*(1-(Examples!$F$12*(1-EXP(-Examples!$F$13*$A854))/(1+EXP(MIN(700,MAX(-700,(Examples!$F$14*$A854-Examples!$F$15)/Examples!$F$16))))))+Examples!$F$17*$A854^2)</f>
        <v>-1473566.2551266968</v>
      </c>
      <c r="I854" s="33">
        <f>(Examples!$F$6*Examples!$F$7*Examples!$F$8*EXP(-Examples!$F$9*$A854)*(1-(Examples!$F$12*(1-EXP(-Examples!$F$13*$A854))/(1+EXP(MIN(700,MAX(-700,(Examples!$F$14*$A854-Examples!$F$15)/Examples!$F$16))))))+Examples!$F$17*$A854^2)</f>
        <v>1453166.2551266968</v>
      </c>
      <c r="J854" s="33">
        <f>Examples!$G$18-(Examples!$G$10+Examples!$G$11)*$A854-(Examples!$G$6*Examples!$G$7*Examples!$G$8*EXP(-Examples!$G$9*$A854)*(1-(Examples!$G$12*(1-EXP(-Examples!$G$13*$A854))/(1+EXP(MIN(700,MAX(-700,(Examples!$G$14*$A854-Examples!$G$15)/Examples!$G$16))))))+Examples!$G$17*$A854^2)</f>
        <v>391920.21003667568</v>
      </c>
      <c r="K854" s="33">
        <f>(Examples!$G$6*Examples!$G$7*Examples!$G$8*EXP(-Examples!$G$9*$A854)*(1-(Examples!$G$12*(1-EXP(-Examples!$G$13*$A854))/(1+EXP(MIN(700,MAX(-700,(Examples!$G$14*$A854-Examples!$G$15)/Examples!$G$16))))))+Examples!$G$17*$A854^2)</f>
        <v>682079.78996332432</v>
      </c>
      <c r="L854" s="33">
        <f>Examples!$H$18-(Examples!$H$10+Examples!$H$11)*$A854-(Examples!$H$6*Examples!$H$7*Examples!$H$8*EXP(-Examples!$H$9*$A854)*(1-(Examples!$H$12*(1-EXP(-Examples!$H$13*$A854))/(1+EXP(MIN(700,MAX(-700,(Examples!$H$14*$A854-Examples!$H$15)/Examples!$H$16))))))+Examples!$H$17*$A854^2)</f>
        <v>391894.10091376211</v>
      </c>
      <c r="M854" s="33">
        <f>(Examples!$H$6*Examples!$H$7*Examples!$H$8*EXP(-Examples!$H$9*$A854)*(1-(Examples!$H$12*(1-EXP(-Examples!$H$13*$A854))/(1+EXP(MIN(700,MAX(-700,(Examples!$H$14*$A854-Examples!$H$15)/Examples!$H$16))))))+Examples!$H$17*$A854^2)</f>
        <v>682105.89908623789</v>
      </c>
    </row>
    <row r="855" spans="1:13" x14ac:dyDescent="0.25">
      <c r="A855">
        <f>(855-2)/100</f>
        <v>8.5299999999999994</v>
      </c>
      <c r="B855" s="33">
        <f>Examples!$C$18-(Examples!$C$10+Examples!$C$11)*$A855-(Examples!$C$6*Examples!$C$7*Examples!$C$8*EXP(-Examples!$C$9*$A855)*(1-(Examples!$C$12*(1-EXP(-Examples!$C$13*$A855))/(1+EXP(MIN(700,MAX(-700,(Examples!$C$14*$A855-Examples!$C$15)/Examples!$C$16))))))+Examples!$C$17*$A855^2)</f>
        <v>-836392.7503062766</v>
      </c>
      <c r="C855" s="33">
        <f>(Examples!$C$6*Examples!$C$7*Examples!$C$8*EXP(-Examples!$C$9*$A855)*(1-(Examples!$C$12*(1-EXP(-Examples!$C$13*$A855))/(1+EXP(MIN(700,MAX(-700,(Examples!$C$14*$A855-Examples!$C$15)/Examples!$C$16))))))+Examples!$C$17*$A855^2)</f>
        <v>1137842.7503062766</v>
      </c>
      <c r="D855" s="33">
        <f>Examples!$D$18-(Examples!$D$10+Examples!$D$11)*$A855-(Examples!$D$6*Examples!$D$7*Examples!$D$8*EXP(-Examples!$D$9*$A855)*(1-(Examples!$D$12*(1-EXP(-Examples!$D$13*$A855))/(1+EXP(MIN(700,MAX(-700,(Examples!$D$14*$A855-Examples!$D$15)/Examples!$D$16))))))+Examples!$D$17*$A855^2)</f>
        <v>1623354.33342629</v>
      </c>
      <c r="E855" s="33">
        <f>(Examples!$D$6*Examples!$D$7*Examples!$D$8*EXP(-Examples!$D$9*$A855)*(1-(Examples!$D$12*(1-EXP(-Examples!$D$13*$A855))/(1+EXP(MIN(700,MAX(-700,(Examples!$D$14*$A855-Examples!$D$15)/Examples!$D$16))))))+Examples!$D$17*$A855^2)</f>
        <v>492795.66657371004</v>
      </c>
      <c r="F855" s="33">
        <f>Examples!$E$18-(Examples!$E$10+Examples!$E$11)*$A855-(Examples!$E$6*Examples!$E$7*Examples!$E$8*EXP(-Examples!$E$9*$A855)*(1-(Examples!$E$12*(1-EXP(-Examples!$E$13*$A855))/(1+EXP(MIN(700,MAX(-700,(Examples!$E$14*$A855-Examples!$E$15)/Examples!$E$16))))))+Examples!$E$17*$A855^2)</f>
        <v>2020529.9139128556</v>
      </c>
      <c r="G855" s="33">
        <f>(Examples!$E$6*Examples!$E$7*Examples!$E$8*EXP(-Examples!$E$9*$A855)*(1-(Examples!$E$12*(1-EXP(-Examples!$E$13*$A855))/(1+EXP(MIN(700,MAX(-700,(Examples!$E$14*$A855-Examples!$E$15)/Examples!$E$16))))))+Examples!$E$17*$A855^2)</f>
        <v>254420.08608714453</v>
      </c>
      <c r="H855" s="33">
        <f>Examples!$F$18-(Examples!$F$10+Examples!$F$11)*$A855-(Examples!$F$6*Examples!$F$7*Examples!$F$8*EXP(-Examples!$F$9*$A855)*(1-(Examples!$F$12*(1-EXP(-Examples!$F$13*$A855))/(1+EXP(MIN(700,MAX(-700,(Examples!$F$14*$A855-Examples!$F$15)/Examples!$F$16))))))+Examples!$F$17*$A855^2)</f>
        <v>-1477172.1864673572</v>
      </c>
      <c r="I855" s="33">
        <f>(Examples!$F$6*Examples!$F$7*Examples!$F$8*EXP(-Examples!$F$9*$A855)*(1-(Examples!$F$12*(1-EXP(-Examples!$F$13*$A855))/(1+EXP(MIN(700,MAX(-700,(Examples!$F$14*$A855-Examples!$F$15)/Examples!$F$16))))))+Examples!$F$17*$A855^2)</f>
        <v>1456572.1864673572</v>
      </c>
      <c r="J855" s="33">
        <f>Examples!$G$18-(Examples!$G$10+Examples!$G$11)*$A855-(Examples!$G$6*Examples!$G$7*Examples!$G$8*EXP(-Examples!$G$9*$A855)*(1-(Examples!$G$12*(1-EXP(-Examples!$G$13*$A855))/(1+EXP(MIN(700,MAX(-700,(Examples!$G$14*$A855-Examples!$G$15)/Examples!$G$16))))))+Examples!$G$17*$A855^2)</f>
        <v>390409.99535392714</v>
      </c>
      <c r="K855" s="33">
        <f>(Examples!$G$6*Examples!$G$7*Examples!$G$8*EXP(-Examples!$G$9*$A855)*(1-(Examples!$G$12*(1-EXP(-Examples!$G$13*$A855))/(1+EXP(MIN(700,MAX(-700,(Examples!$G$14*$A855-Examples!$G$15)/Examples!$G$16))))))+Examples!$G$17*$A855^2)</f>
        <v>683090.00464607286</v>
      </c>
      <c r="L855" s="33">
        <f>Examples!$H$18-(Examples!$H$10+Examples!$H$11)*$A855-(Examples!$H$6*Examples!$H$7*Examples!$H$8*EXP(-Examples!$H$9*$A855)*(1-(Examples!$H$12*(1-EXP(-Examples!$H$13*$A855))/(1+EXP(MIN(700,MAX(-700,(Examples!$H$14*$A855-Examples!$H$15)/Examples!$H$16))))))+Examples!$H$17*$A855^2)</f>
        <v>390384.32010458852</v>
      </c>
      <c r="M855" s="33">
        <f>(Examples!$H$6*Examples!$H$7*Examples!$H$8*EXP(-Examples!$H$9*$A855)*(1-(Examples!$H$12*(1-EXP(-Examples!$H$13*$A855))/(1+EXP(MIN(700,MAX(-700,(Examples!$H$14*$A855-Examples!$H$15)/Examples!$H$16))))))+Examples!$H$17*$A855^2)</f>
        <v>683115.67989541148</v>
      </c>
    </row>
    <row r="856" spans="1:13" x14ac:dyDescent="0.25">
      <c r="A856">
        <f>(856-2)/100</f>
        <v>8.5399999999999991</v>
      </c>
      <c r="B856" s="33">
        <f>Examples!$C$18-(Examples!$C$10+Examples!$C$11)*$A856-(Examples!$C$6*Examples!$C$7*Examples!$C$8*EXP(-Examples!$C$9*$A856)*(1-(Examples!$C$12*(1-EXP(-Examples!$C$13*$A856))/(1+EXP(MIN(700,MAX(-700,(Examples!$C$14*$A856-Examples!$C$15)/Examples!$C$16))))))+Examples!$C$17*$A856^2)</f>
        <v>-839164.17127831047</v>
      </c>
      <c r="C856" s="33">
        <f>(Examples!$C$6*Examples!$C$7*Examples!$C$8*EXP(-Examples!$C$9*$A856)*(1-(Examples!$C$12*(1-EXP(-Examples!$C$13*$A856))/(1+EXP(MIN(700,MAX(-700,(Examples!$C$14*$A856-Examples!$C$15)/Examples!$C$16))))))+Examples!$C$17*$A856^2)</f>
        <v>1140264.1712783105</v>
      </c>
      <c r="D856" s="33">
        <f>Examples!$D$18-(Examples!$D$10+Examples!$D$11)*$A856-(Examples!$D$6*Examples!$D$7*Examples!$D$8*EXP(-Examples!$D$9*$A856)*(1-(Examples!$D$12*(1-EXP(-Examples!$D$13*$A856))/(1+EXP(MIN(700,MAX(-700,(Examples!$D$14*$A856-Examples!$D$15)/Examples!$D$16))))))+Examples!$D$17*$A856^2)</f>
        <v>1622627.8362555474</v>
      </c>
      <c r="E856" s="33">
        <f>(Examples!$D$6*Examples!$D$7*Examples!$D$8*EXP(-Examples!$D$9*$A856)*(1-(Examples!$D$12*(1-EXP(-Examples!$D$13*$A856))/(1+EXP(MIN(700,MAX(-700,(Examples!$D$14*$A856-Examples!$D$15)/Examples!$D$16))))))+Examples!$D$17*$A856^2)</f>
        <v>493072.1637444527</v>
      </c>
      <c r="F856" s="33">
        <f>Examples!$E$18-(Examples!$E$10+Examples!$E$11)*$A856-(Examples!$E$6*Examples!$E$7*Examples!$E$8*EXP(-Examples!$E$9*$A856)*(1-(Examples!$E$12*(1-EXP(-Examples!$E$13*$A856))/(1+EXP(MIN(700,MAX(-700,(Examples!$E$14*$A856-Examples!$E$15)/Examples!$E$16))))))+Examples!$E$17*$A856^2)</f>
        <v>2019334.5844886056</v>
      </c>
      <c r="G856" s="33">
        <f>(Examples!$E$6*Examples!$E$7*Examples!$E$8*EXP(-Examples!$E$9*$A856)*(1-(Examples!$E$12*(1-EXP(-Examples!$E$13*$A856))/(1+EXP(MIN(700,MAX(-700,(Examples!$E$14*$A856-Examples!$E$15)/Examples!$E$16))))))+Examples!$E$17*$A856^2)</f>
        <v>254765.41551139433</v>
      </c>
      <c r="H856" s="33">
        <f>Examples!$F$18-(Examples!$F$10+Examples!$F$11)*$A856-(Examples!$F$6*Examples!$F$7*Examples!$F$8*EXP(-Examples!$F$9*$A856)*(1-(Examples!$F$12*(1-EXP(-Examples!$F$13*$A856))/(1+EXP(MIN(700,MAX(-700,(Examples!$F$14*$A856-Examples!$F$15)/Examples!$F$16))))))+Examples!$F$17*$A856^2)</f>
        <v>-1480782.1299957049</v>
      </c>
      <c r="I856" s="33">
        <f>(Examples!$F$6*Examples!$F$7*Examples!$F$8*EXP(-Examples!$F$9*$A856)*(1-(Examples!$F$12*(1-EXP(-Examples!$F$13*$A856))/(1+EXP(MIN(700,MAX(-700,(Examples!$F$14*$A856-Examples!$F$15)/Examples!$F$16))))))+Examples!$F$17*$A856^2)</f>
        <v>1459982.1299957049</v>
      </c>
      <c r="J856" s="33">
        <f>Examples!$G$18-(Examples!$G$10+Examples!$G$11)*$A856-(Examples!$G$6*Examples!$G$7*Examples!$G$8*EXP(-Examples!$G$9*$A856)*(1-(Examples!$G$12*(1-EXP(-Examples!$G$13*$A856))/(1+EXP(MIN(700,MAX(-700,(Examples!$G$14*$A856-Examples!$G$15)/Examples!$G$16))))))+Examples!$G$17*$A856^2)</f>
        <v>388896.95027074614</v>
      </c>
      <c r="K856" s="33">
        <f>(Examples!$G$6*Examples!$G$7*Examples!$G$8*EXP(-Examples!$G$9*$A856)*(1-(Examples!$G$12*(1-EXP(-Examples!$G$13*$A856))/(1+EXP(MIN(700,MAX(-700,(Examples!$G$14*$A856-Examples!$G$15)/Examples!$G$16))))))+Examples!$G$17*$A856^2)</f>
        <v>684103.04972925386</v>
      </c>
      <c r="L856" s="33">
        <f>Examples!$H$18-(Examples!$H$10+Examples!$H$11)*$A856-(Examples!$H$6*Examples!$H$7*Examples!$H$8*EXP(-Examples!$H$9*$A856)*(1-(Examples!$H$12*(1-EXP(-Examples!$H$13*$A856))/(1+EXP(MIN(700,MAX(-700,(Examples!$H$14*$A856-Examples!$H$15)/Examples!$H$16))))))+Examples!$H$17*$A856^2)</f>
        <v>388871.70169568551</v>
      </c>
      <c r="M856" s="33">
        <f>(Examples!$H$6*Examples!$H$7*Examples!$H$8*EXP(-Examples!$H$9*$A856)*(1-(Examples!$H$12*(1-EXP(-Examples!$H$13*$A856))/(1+EXP(MIN(700,MAX(-700,(Examples!$H$14*$A856-Examples!$H$15)/Examples!$H$16))))))+Examples!$H$17*$A856^2)</f>
        <v>684128.29830431449</v>
      </c>
    </row>
    <row r="857" spans="1:13" x14ac:dyDescent="0.25">
      <c r="A857">
        <f>(857-2)/100</f>
        <v>8.5500000000000007</v>
      </c>
      <c r="B857" s="33">
        <f>Examples!$C$18-(Examples!$C$10+Examples!$C$11)*$A857-(Examples!$C$6*Examples!$C$7*Examples!$C$8*EXP(-Examples!$C$9*$A857)*(1-(Examples!$C$12*(1-EXP(-Examples!$C$13*$A857))/(1+EXP(MIN(700,MAX(-700,(Examples!$C$14*$A857-Examples!$C$15)/Examples!$C$16))))))+Examples!$C$17*$A857^2)</f>
        <v>-841939.00886219507</v>
      </c>
      <c r="C857" s="33">
        <f>(Examples!$C$6*Examples!$C$7*Examples!$C$8*EXP(-Examples!$C$9*$A857)*(1-(Examples!$C$12*(1-EXP(-Examples!$C$13*$A857))/(1+EXP(MIN(700,MAX(-700,(Examples!$C$14*$A857-Examples!$C$15)/Examples!$C$16))))))+Examples!$C$17*$A857^2)</f>
        <v>1142689.0088621951</v>
      </c>
      <c r="D857" s="33">
        <f>Examples!$D$18-(Examples!$D$10+Examples!$D$11)*$A857-(Examples!$D$6*Examples!$D$7*Examples!$D$8*EXP(-Examples!$D$9*$A857)*(1-(Examples!$D$12*(1-EXP(-Examples!$D$13*$A857))/(1+EXP(MIN(700,MAX(-700,(Examples!$D$14*$A857-Examples!$D$15)/Examples!$D$16))))))+Examples!$D$17*$A857^2)</f>
        <v>1621897.7862608333</v>
      </c>
      <c r="E857" s="33">
        <f>(Examples!$D$6*Examples!$D$7*Examples!$D$8*EXP(-Examples!$D$9*$A857)*(1-(Examples!$D$12*(1-EXP(-Examples!$D$13*$A857))/(1+EXP(MIN(700,MAX(-700,(Examples!$D$14*$A857-Examples!$D$15)/Examples!$D$16))))))+Examples!$D$17*$A857^2)</f>
        <v>493352.21373916673</v>
      </c>
      <c r="F857" s="33">
        <f>Examples!$E$18-(Examples!$E$10+Examples!$E$11)*$A857-(Examples!$E$6*Examples!$E$7*Examples!$E$8*EXP(-Examples!$E$9*$A857)*(1-(Examples!$E$12*(1-EXP(-Examples!$E$13*$A857))/(1+EXP(MIN(700,MAX(-700,(Examples!$E$14*$A857-Examples!$E$15)/Examples!$E$16))))))+Examples!$E$17*$A857^2)</f>
        <v>2018137.9849054308</v>
      </c>
      <c r="G857" s="33">
        <f>(Examples!$E$6*Examples!$E$7*Examples!$E$8*EXP(-Examples!$E$9*$A857)*(1-(Examples!$E$12*(1-EXP(-Examples!$E$13*$A857))/(1+EXP(MIN(700,MAX(-700,(Examples!$E$14*$A857-Examples!$E$15)/Examples!$E$16))))))+Examples!$E$17*$A857^2)</f>
        <v>255112.01509456913</v>
      </c>
      <c r="H857" s="33">
        <f>Examples!$F$18-(Examples!$F$10+Examples!$F$11)*$A857-(Examples!$F$6*Examples!$F$7*Examples!$F$8*EXP(-Examples!$F$9*$A857)*(1-(Examples!$F$12*(1-EXP(-Examples!$F$13*$A857))/(1+EXP(MIN(700,MAX(-700,(Examples!$F$14*$A857-Examples!$F$15)/Examples!$F$16))))))+Examples!$F$17*$A857^2)</f>
        <v>-1484396.0856752321</v>
      </c>
      <c r="I857" s="33">
        <f>(Examples!$F$6*Examples!$F$7*Examples!$F$8*EXP(-Examples!$F$9*$A857)*(1-(Examples!$F$12*(1-EXP(-Examples!$F$13*$A857))/(1+EXP(MIN(700,MAX(-700,(Examples!$F$14*$A857-Examples!$F$15)/Examples!$F$16))))))+Examples!$F$17*$A857^2)</f>
        <v>1463396.0856752321</v>
      </c>
      <c r="J857" s="33">
        <f>Examples!$G$18-(Examples!$G$10+Examples!$G$11)*$A857-(Examples!$G$6*Examples!$G$7*Examples!$G$8*EXP(-Examples!$G$9*$A857)*(1-(Examples!$G$12*(1-EXP(-Examples!$G$13*$A857))/(1+EXP(MIN(700,MAX(-700,(Examples!$G$14*$A857-Examples!$G$15)/Examples!$G$16))))))+Examples!$G$17*$A857^2)</f>
        <v>387381.07899193326</v>
      </c>
      <c r="K857" s="33">
        <f>(Examples!$G$6*Examples!$G$7*Examples!$G$8*EXP(-Examples!$G$9*$A857)*(1-(Examples!$G$12*(1-EXP(-Examples!$G$13*$A857))/(1+EXP(MIN(700,MAX(-700,(Examples!$G$14*$A857-Examples!$G$15)/Examples!$G$16))))))+Examples!$G$17*$A857^2)</f>
        <v>685118.92100806674</v>
      </c>
      <c r="L857" s="33">
        <f>Examples!$H$18-(Examples!$H$10+Examples!$H$11)*$A857-(Examples!$H$6*Examples!$H$7*Examples!$H$8*EXP(-Examples!$H$9*$A857)*(1-(Examples!$H$12*(1-EXP(-Examples!$H$13*$A857))/(1+EXP(MIN(700,MAX(-700,(Examples!$H$14*$A857-Examples!$H$15)/Examples!$H$16))))))+Examples!$H$17*$A857^2)</f>
        <v>387356.25001106772</v>
      </c>
      <c r="M857" s="33">
        <f>(Examples!$H$6*Examples!$H$7*Examples!$H$8*EXP(-Examples!$H$9*$A857)*(1-(Examples!$H$12*(1-EXP(-Examples!$H$13*$A857))/(1+EXP(MIN(700,MAX(-700,(Examples!$H$14*$A857-Examples!$H$15)/Examples!$H$16))))))+Examples!$H$17*$A857^2)</f>
        <v>685143.74998893228</v>
      </c>
    </row>
    <row r="858" spans="1:13" x14ac:dyDescent="0.25">
      <c r="A858">
        <f>(858-2)/100</f>
        <v>8.56</v>
      </c>
      <c r="B858" s="33">
        <f>Examples!$C$18-(Examples!$C$10+Examples!$C$11)*$A858-(Examples!$C$6*Examples!$C$7*Examples!$C$8*EXP(-Examples!$C$9*$A858)*(1-(Examples!$C$12*(1-EXP(-Examples!$C$13*$A858))/(1+EXP(MIN(700,MAX(-700,(Examples!$C$14*$A858-Examples!$C$15)/Examples!$C$16))))))+Examples!$C$17*$A858^2)</f>
        <v>-844717.26180996676</v>
      </c>
      <c r="C858" s="33">
        <f>(Examples!$C$6*Examples!$C$7*Examples!$C$8*EXP(-Examples!$C$9*$A858)*(1-(Examples!$C$12*(1-EXP(-Examples!$C$13*$A858))/(1+EXP(MIN(700,MAX(-700,(Examples!$C$14*$A858-Examples!$C$15)/Examples!$C$16))))))+Examples!$C$17*$A858^2)</f>
        <v>1145117.2618099668</v>
      </c>
      <c r="D858" s="33">
        <f>Examples!$D$18-(Examples!$D$10+Examples!$D$11)*$A858-(Examples!$D$6*Examples!$D$7*Examples!$D$8*EXP(-Examples!$D$9*$A858)*(1-(Examples!$D$12*(1-EXP(-Examples!$D$13*$A858))/(1+EXP(MIN(700,MAX(-700,(Examples!$D$14*$A858-Examples!$D$15)/Examples!$D$16))))))+Examples!$D$17*$A858^2)</f>
        <v>1621164.1942404471</v>
      </c>
      <c r="E858" s="33">
        <f>(Examples!$D$6*Examples!$D$7*Examples!$D$8*EXP(-Examples!$D$9*$A858)*(1-(Examples!$D$12*(1-EXP(-Examples!$D$13*$A858))/(1+EXP(MIN(700,MAX(-700,(Examples!$D$14*$A858-Examples!$D$15)/Examples!$D$16))))))+Examples!$D$17*$A858^2)</f>
        <v>493635.80575955292</v>
      </c>
      <c r="F858" s="33">
        <f>Examples!$E$18-(Examples!$E$10+Examples!$E$11)*$A858-(Examples!$E$6*Examples!$E$7*Examples!$E$8*EXP(-Examples!$E$9*$A858)*(1-(Examples!$E$12*(1-EXP(-Examples!$E$13*$A858))/(1+EXP(MIN(700,MAX(-700,(Examples!$E$14*$A858-Examples!$E$15)/Examples!$E$16))))))+Examples!$E$17*$A858^2)</f>
        <v>2016940.1166575961</v>
      </c>
      <c r="G858" s="33">
        <f>(Examples!$E$6*Examples!$E$7*Examples!$E$8*EXP(-Examples!$E$9*$A858)*(1-(Examples!$E$12*(1-EXP(-Examples!$E$13*$A858))/(1+EXP(MIN(700,MAX(-700,(Examples!$E$14*$A858-Examples!$E$15)/Examples!$E$16))))))+Examples!$E$17*$A858^2)</f>
        <v>255459.88334240403</v>
      </c>
      <c r="H858" s="33">
        <f>Examples!$F$18-(Examples!$F$10+Examples!$F$11)*$A858-(Examples!$F$6*Examples!$F$7*Examples!$F$8*EXP(-Examples!$F$9*$A858)*(1-(Examples!$F$12*(1-EXP(-Examples!$F$13*$A858))/(1+EXP(MIN(700,MAX(-700,(Examples!$F$14*$A858-Examples!$F$15)/Examples!$F$16))))))+Examples!$F$17*$A858^2)</f>
        <v>-1488014.0534695389</v>
      </c>
      <c r="I858" s="33">
        <f>(Examples!$F$6*Examples!$F$7*Examples!$F$8*EXP(-Examples!$F$9*$A858)*(1-(Examples!$F$12*(1-EXP(-Examples!$F$13*$A858))/(1+EXP(MIN(700,MAX(-700,(Examples!$F$14*$A858-Examples!$F$15)/Examples!$F$16))))))+Examples!$F$17*$A858^2)</f>
        <v>1466814.0534695389</v>
      </c>
      <c r="J858" s="33">
        <f>Examples!$G$18-(Examples!$G$10+Examples!$G$11)*$A858-(Examples!$G$6*Examples!$G$7*Examples!$G$8*EXP(-Examples!$G$9*$A858)*(1-(Examples!$G$12*(1-EXP(-Examples!$G$13*$A858))/(1+EXP(MIN(700,MAX(-700,(Examples!$G$14*$A858-Examples!$G$15)/Examples!$G$16))))))+Examples!$G$17*$A858^2)</f>
        <v>385862.38570915069</v>
      </c>
      <c r="K858" s="33">
        <f>(Examples!$G$6*Examples!$G$7*Examples!$G$8*EXP(-Examples!$G$9*$A858)*(1-(Examples!$G$12*(1-EXP(-Examples!$G$13*$A858))/(1+EXP(MIN(700,MAX(-700,(Examples!$G$14*$A858-Examples!$G$15)/Examples!$G$16))))))+Examples!$G$17*$A858^2)</f>
        <v>686137.61429084931</v>
      </c>
      <c r="L858" s="33">
        <f>Examples!$H$18-(Examples!$H$10+Examples!$H$11)*$A858-(Examples!$H$6*Examples!$H$7*Examples!$H$8*EXP(-Examples!$H$9*$A858)*(1-(Examples!$H$12*(1-EXP(-Examples!$H$13*$A858))/(1+EXP(MIN(700,MAX(-700,(Examples!$H$14*$A858-Examples!$H$15)/Examples!$H$16))))))+Examples!$H$17*$A858^2)</f>
        <v>385837.96935964236</v>
      </c>
      <c r="M858" s="33">
        <f>(Examples!$H$6*Examples!$H$7*Examples!$H$8*EXP(-Examples!$H$9*$A858)*(1-(Examples!$H$12*(1-EXP(-Examples!$H$13*$A858))/(1+EXP(MIN(700,MAX(-700,(Examples!$H$14*$A858-Examples!$H$15)/Examples!$H$16))))))+Examples!$H$17*$A858^2)</f>
        <v>686162.03064035764</v>
      </c>
    </row>
    <row r="859" spans="1:13" x14ac:dyDescent="0.25">
      <c r="A859">
        <f>(859-2)/100</f>
        <v>8.57</v>
      </c>
      <c r="B859" s="33">
        <f>Examples!$C$18-(Examples!$C$10+Examples!$C$11)*$A859-(Examples!$C$6*Examples!$C$7*Examples!$C$8*EXP(-Examples!$C$9*$A859)*(1-(Examples!$C$12*(1-EXP(-Examples!$C$13*$A859))/(1+EXP(MIN(700,MAX(-700,(Examples!$C$14*$A859-Examples!$C$15)/Examples!$C$16))))))+Examples!$C$17*$A859^2)</f>
        <v>-847498.92887740186</v>
      </c>
      <c r="C859" s="33">
        <f>(Examples!$C$6*Examples!$C$7*Examples!$C$8*EXP(-Examples!$C$9*$A859)*(1-(Examples!$C$12*(1-EXP(-Examples!$C$13*$A859))/(1+EXP(MIN(700,MAX(-700,(Examples!$C$14*$A859-Examples!$C$15)/Examples!$C$16))))))+Examples!$C$17*$A859^2)</f>
        <v>1147548.9288774019</v>
      </c>
      <c r="D859" s="33">
        <f>Examples!$D$18-(Examples!$D$10+Examples!$D$11)*$A859-(Examples!$D$6*Examples!$D$7*Examples!$D$8*EXP(-Examples!$D$9*$A859)*(1-(Examples!$D$12*(1-EXP(-Examples!$D$13*$A859))/(1+EXP(MIN(700,MAX(-700,(Examples!$D$14*$A859-Examples!$D$15)/Examples!$D$16))))))+Examples!$D$17*$A859^2)</f>
        <v>1620427.0709557843</v>
      </c>
      <c r="E859" s="33">
        <f>(Examples!$D$6*Examples!$D$7*Examples!$D$8*EXP(-Examples!$D$9*$A859)*(1-(Examples!$D$12*(1-EXP(-Examples!$D$13*$A859))/(1+EXP(MIN(700,MAX(-700,(Examples!$D$14*$A859-Examples!$D$15)/Examples!$D$16))))))+Examples!$D$17*$A859^2)</f>
        <v>493922.92904421571</v>
      </c>
      <c r="F859" s="33">
        <f>Examples!$E$18-(Examples!$E$10+Examples!$E$11)*$A859-(Examples!$E$6*Examples!$E$7*Examples!$E$8*EXP(-Examples!$E$9*$A859)*(1-(Examples!$E$12*(1-EXP(-Examples!$E$13*$A859))/(1+EXP(MIN(700,MAX(-700,(Examples!$E$14*$A859-Examples!$E$15)/Examples!$E$16))))))+Examples!$E$17*$A859^2)</f>
        <v>2015740.9812512519</v>
      </c>
      <c r="G859" s="33">
        <f>(Examples!$E$6*Examples!$E$7*Examples!$E$8*EXP(-Examples!$E$9*$A859)*(1-(Examples!$E$12*(1-EXP(-Examples!$E$13*$A859))/(1+EXP(MIN(700,MAX(-700,(Examples!$E$14*$A859-Examples!$E$15)/Examples!$E$16))))))+Examples!$E$17*$A859^2)</f>
        <v>255809.01874874803</v>
      </c>
      <c r="H859" s="33">
        <f>Examples!$F$18-(Examples!$F$10+Examples!$F$11)*$A859-(Examples!$F$6*Examples!$F$7*Examples!$F$8*EXP(-Examples!$F$9*$A859)*(1-(Examples!$F$12*(1-EXP(-Examples!$F$13*$A859))/(1+EXP(MIN(700,MAX(-700,(Examples!$F$14*$A859-Examples!$F$15)/Examples!$F$16))))))+Examples!$F$17*$A859^2)</f>
        <v>-1491636.0333423363</v>
      </c>
      <c r="I859" s="33">
        <f>(Examples!$F$6*Examples!$F$7*Examples!$F$8*EXP(-Examples!$F$9*$A859)*(1-(Examples!$F$12*(1-EXP(-Examples!$F$13*$A859))/(1+EXP(MIN(700,MAX(-700,(Examples!$F$14*$A859-Examples!$F$15)/Examples!$F$16))))))+Examples!$F$17*$A859^2)</f>
        <v>1470236.0333423363</v>
      </c>
      <c r="J859" s="33">
        <f>Examples!$G$18-(Examples!$G$10+Examples!$G$11)*$A859-(Examples!$G$6*Examples!$G$7*Examples!$G$8*EXP(-Examples!$G$9*$A859)*(1-(Examples!$G$12*(1-EXP(-Examples!$G$13*$A859))/(1+EXP(MIN(700,MAX(-700,(Examples!$G$14*$A859-Examples!$G$15)/Examples!$G$16))))))+Examples!$G$17*$A859^2)</f>
        <v>384340.87460094213</v>
      </c>
      <c r="K859" s="33">
        <f>(Examples!$G$6*Examples!$G$7*Examples!$G$8*EXP(-Examples!$G$9*$A859)*(1-(Examples!$G$12*(1-EXP(-Examples!$G$13*$A859))/(1+EXP(MIN(700,MAX(-700,(Examples!$G$14*$A859-Examples!$G$15)/Examples!$G$16))))))+Examples!$G$17*$A859^2)</f>
        <v>687159.12539905787</v>
      </c>
      <c r="L859" s="33">
        <f>Examples!$H$18-(Examples!$H$10+Examples!$H$11)*$A859-(Examples!$H$6*Examples!$H$7*Examples!$H$8*EXP(-Examples!$H$9*$A859)*(1-(Examples!$H$12*(1-EXP(-Examples!$H$13*$A859))/(1+EXP(MIN(700,MAX(-700,(Examples!$H$14*$A859-Examples!$H$15)/Examples!$H$16))))))+Examples!$H$17*$A859^2)</f>
        <v>384316.86403526249</v>
      </c>
      <c r="M859" s="33">
        <f>(Examples!$H$6*Examples!$H$7*Examples!$H$8*EXP(-Examples!$H$9*$A859)*(1-(Examples!$H$12*(1-EXP(-Examples!$H$13*$A859))/(1+EXP(MIN(700,MAX(-700,(Examples!$H$14*$A859-Examples!$H$15)/Examples!$H$16))))))+Examples!$H$17*$A859^2)</f>
        <v>687183.13596473751</v>
      </c>
    </row>
    <row r="860" spans="1:13" x14ac:dyDescent="0.25">
      <c r="A860">
        <f>(860-2)/100</f>
        <v>8.58</v>
      </c>
      <c r="B860" s="33">
        <f>Examples!$C$18-(Examples!$C$10+Examples!$C$11)*$A860-(Examples!$C$6*Examples!$C$7*Examples!$C$8*EXP(-Examples!$C$9*$A860)*(1-(Examples!$C$12*(1-EXP(-Examples!$C$13*$A860))/(1+EXP(MIN(700,MAX(-700,(Examples!$C$14*$A860-Examples!$C$15)/Examples!$C$16))))))+Examples!$C$17*$A860^2)</f>
        <v>-850284.00882400293</v>
      </c>
      <c r="C860" s="33">
        <f>(Examples!$C$6*Examples!$C$7*Examples!$C$8*EXP(-Examples!$C$9*$A860)*(1-(Examples!$C$12*(1-EXP(-Examples!$C$13*$A860))/(1+EXP(MIN(700,MAX(-700,(Examples!$C$14*$A860-Examples!$C$15)/Examples!$C$16))))))+Examples!$C$17*$A860^2)</f>
        <v>1149984.0088240029</v>
      </c>
      <c r="D860" s="33">
        <f>Examples!$D$18-(Examples!$D$10+Examples!$D$11)*$A860-(Examples!$D$6*Examples!$D$7*Examples!$D$8*EXP(-Examples!$D$9*$A860)*(1-(Examples!$D$12*(1-EXP(-Examples!$D$13*$A860))/(1+EXP(MIN(700,MAX(-700,(Examples!$D$14*$A860-Examples!$D$15)/Examples!$D$16))))))+Examples!$D$17*$A860^2)</f>
        <v>1619686.4271313022</v>
      </c>
      <c r="E860" s="33">
        <f>(Examples!$D$6*Examples!$D$7*Examples!$D$8*EXP(-Examples!$D$9*$A860)*(1-(Examples!$D$12*(1-EXP(-Examples!$D$13*$A860))/(1+EXP(MIN(700,MAX(-700,(Examples!$D$14*$A860-Examples!$D$15)/Examples!$D$16))))))+Examples!$D$17*$A860^2)</f>
        <v>494213.57286869775</v>
      </c>
      <c r="F860" s="33">
        <f>Examples!$E$18-(Examples!$E$10+Examples!$E$11)*$A860-(Examples!$E$6*Examples!$E$7*Examples!$E$8*EXP(-Examples!$E$9*$A860)*(1-(Examples!$E$12*(1-EXP(-Examples!$E$13*$A860))/(1+EXP(MIN(700,MAX(-700,(Examples!$E$14*$A860-Examples!$E$15)/Examples!$E$16))))))+Examples!$E$17*$A860^2)</f>
        <v>2014540.5802042098</v>
      </c>
      <c r="G860" s="33">
        <f>(Examples!$E$6*Examples!$E$7*Examples!$E$8*EXP(-Examples!$E$9*$A860)*(1-(Examples!$E$12*(1-EXP(-Examples!$E$13*$A860))/(1+EXP(MIN(700,MAX(-700,(Examples!$E$14*$A860-Examples!$E$15)/Examples!$E$16))))))+Examples!$E$17*$A860^2)</f>
        <v>256159.41979579025</v>
      </c>
      <c r="H860" s="33">
        <f>Examples!$F$18-(Examples!$F$10+Examples!$F$11)*$A860-(Examples!$F$6*Examples!$F$7*Examples!$F$8*EXP(-Examples!$F$9*$A860)*(1-(Examples!$F$12*(1-EXP(-Examples!$F$13*$A860))/(1+EXP(MIN(700,MAX(-700,(Examples!$F$14*$A860-Examples!$F$15)/Examples!$F$16))))))+Examples!$F$17*$A860^2)</f>
        <v>-1495262.0252574426</v>
      </c>
      <c r="I860" s="33">
        <f>(Examples!$F$6*Examples!$F$7*Examples!$F$8*EXP(-Examples!$F$9*$A860)*(1-(Examples!$F$12*(1-EXP(-Examples!$F$13*$A860))/(1+EXP(MIN(700,MAX(-700,(Examples!$F$14*$A860-Examples!$F$15)/Examples!$F$16))))))+Examples!$F$17*$A860^2)</f>
        <v>1473662.0252574426</v>
      </c>
      <c r="J860" s="33">
        <f>Examples!$G$18-(Examples!$G$10+Examples!$G$11)*$A860-(Examples!$G$6*Examples!$G$7*Examples!$G$8*EXP(-Examples!$G$9*$A860)*(1-(Examples!$G$12*(1-EXP(-Examples!$G$13*$A860))/(1+EXP(MIN(700,MAX(-700,(Examples!$G$14*$A860-Examples!$G$15)/Examples!$G$16))))))+Examples!$G$17*$A860^2)</f>
        <v>382816.5498327536</v>
      </c>
      <c r="K860" s="33">
        <f>(Examples!$G$6*Examples!$G$7*Examples!$G$8*EXP(-Examples!$G$9*$A860)*(1-(Examples!$G$12*(1-EXP(-Examples!$G$13*$A860))/(1+EXP(MIN(700,MAX(-700,(Examples!$G$14*$A860-Examples!$G$15)/Examples!$G$16))))))+Examples!$G$17*$A860^2)</f>
        <v>688183.4501672464</v>
      </c>
      <c r="L860" s="33">
        <f>Examples!$H$18-(Examples!$H$10+Examples!$H$11)*$A860-(Examples!$H$6*Examples!$H$7*Examples!$H$8*EXP(-Examples!$H$9*$A860)*(1-(Examples!$H$12*(1-EXP(-Examples!$H$13*$A860))/(1+EXP(MIN(700,MAX(-700,(Examples!$H$14*$A860-Examples!$H$15)/Examples!$H$16))))))+Examples!$H$17*$A860^2)</f>
        <v>382792.93831677968</v>
      </c>
      <c r="M860" s="33">
        <f>(Examples!$H$6*Examples!$H$7*Examples!$H$8*EXP(-Examples!$H$9*$A860)*(1-(Examples!$H$12*(1-EXP(-Examples!$H$13*$A860))/(1+EXP(MIN(700,MAX(-700,(Examples!$H$14*$A860-Examples!$H$15)/Examples!$H$16))))))+Examples!$H$17*$A860^2)</f>
        <v>688207.06168322032</v>
      </c>
    </row>
    <row r="861" spans="1:13" x14ac:dyDescent="0.25">
      <c r="A861">
        <f>(861-2)/100</f>
        <v>8.59</v>
      </c>
      <c r="B861" s="33">
        <f>Examples!$C$18-(Examples!$C$10+Examples!$C$11)*$A861-(Examples!$C$6*Examples!$C$7*Examples!$C$8*EXP(-Examples!$C$9*$A861)*(1-(Examples!$C$12*(1-EXP(-Examples!$C$13*$A861))/(1+EXP(MIN(700,MAX(-700,(Examples!$C$14*$A861-Examples!$C$15)/Examples!$C$16))))))+Examples!$C$17*$A861^2)</f>
        <v>-853072.50041298871</v>
      </c>
      <c r="C861" s="33">
        <f>(Examples!$C$6*Examples!$C$7*Examples!$C$8*EXP(-Examples!$C$9*$A861)*(1-(Examples!$C$12*(1-EXP(-Examples!$C$13*$A861))/(1+EXP(MIN(700,MAX(-700,(Examples!$C$14*$A861-Examples!$C$15)/Examples!$C$16))))))+Examples!$C$17*$A861^2)</f>
        <v>1152422.5004129887</v>
      </c>
      <c r="D861" s="33">
        <f>Examples!$D$18-(Examples!$D$10+Examples!$D$11)*$A861-(Examples!$D$6*Examples!$D$7*Examples!$D$8*EXP(-Examples!$D$9*$A861)*(1-(Examples!$D$12*(1-EXP(-Examples!$D$13*$A861))/(1+EXP(MIN(700,MAX(-700,(Examples!$D$14*$A861-Examples!$D$15)/Examples!$D$16))))))+Examples!$D$17*$A861^2)</f>
        <v>1618942.2734544883</v>
      </c>
      <c r="E861" s="33">
        <f>(Examples!$D$6*Examples!$D$7*Examples!$D$8*EXP(-Examples!$D$9*$A861)*(1-(Examples!$D$12*(1-EXP(-Examples!$D$13*$A861))/(1+EXP(MIN(700,MAX(-700,(Examples!$D$14*$A861-Examples!$D$15)/Examples!$D$16))))))+Examples!$D$17*$A861^2)</f>
        <v>494507.72654551169</v>
      </c>
      <c r="F861" s="33">
        <f>Examples!$E$18-(Examples!$E$10+Examples!$E$11)*$A861-(Examples!$E$6*Examples!$E$7*Examples!$E$8*EXP(-Examples!$E$9*$A861)*(1-(Examples!$E$12*(1-EXP(-Examples!$E$13*$A861))/(1+EXP(MIN(700,MAX(-700,(Examples!$E$14*$A861-Examples!$E$15)/Examples!$E$16))))))+Examples!$E$17*$A861^2)</f>
        <v>2013338.9150457154</v>
      </c>
      <c r="G861" s="33">
        <f>(Examples!$E$6*Examples!$E$7*Examples!$E$8*EXP(-Examples!$E$9*$A861)*(1-(Examples!$E$12*(1-EXP(-Examples!$E$13*$A861))/(1+EXP(MIN(700,MAX(-700,(Examples!$E$14*$A861-Examples!$E$15)/Examples!$E$16))))))+Examples!$E$17*$A861^2)</f>
        <v>256511.0849542846</v>
      </c>
      <c r="H861" s="33">
        <f>Examples!$F$18-(Examples!$F$10+Examples!$F$11)*$A861-(Examples!$F$6*Examples!$F$7*Examples!$F$8*EXP(-Examples!$F$9*$A861)*(1-(Examples!$F$12*(1-EXP(-Examples!$F$13*$A861))/(1+EXP(MIN(700,MAX(-700,(Examples!$F$14*$A861-Examples!$F$15)/Examples!$F$16))))))+Examples!$F$17*$A861^2)</f>
        <v>-1498892.0291787854</v>
      </c>
      <c r="I861" s="33">
        <f>(Examples!$F$6*Examples!$F$7*Examples!$F$8*EXP(-Examples!$F$9*$A861)*(1-(Examples!$F$12*(1-EXP(-Examples!$F$13*$A861))/(1+EXP(MIN(700,MAX(-700,(Examples!$F$14*$A861-Examples!$F$15)/Examples!$F$16))))))+Examples!$F$17*$A861^2)</f>
        <v>1477092.0291787854</v>
      </c>
      <c r="J861" s="33">
        <f>Examples!$G$18-(Examples!$G$10+Examples!$G$11)*$A861-(Examples!$G$6*Examples!$G$7*Examples!$G$8*EXP(-Examples!$G$9*$A861)*(1-(Examples!$G$12*(1-EXP(-Examples!$G$13*$A861))/(1+EXP(MIN(700,MAX(-700,(Examples!$G$14*$A861-Examples!$G$15)/Examples!$G$16))))))+Examples!$G$17*$A861^2)</f>
        <v>381289.41555695445</v>
      </c>
      <c r="K861" s="33">
        <f>(Examples!$G$6*Examples!$G$7*Examples!$G$8*EXP(-Examples!$G$9*$A861)*(1-(Examples!$G$12*(1-EXP(-Examples!$G$13*$A861))/(1+EXP(MIN(700,MAX(-700,(Examples!$G$14*$A861-Examples!$G$15)/Examples!$G$16))))))+Examples!$G$17*$A861^2)</f>
        <v>689210.58444304555</v>
      </c>
      <c r="L861" s="33">
        <f>Examples!$H$18-(Examples!$H$10+Examples!$H$11)*$A861-(Examples!$H$6*Examples!$H$7*Examples!$H$8*EXP(-Examples!$H$9*$A861)*(1-(Examples!$H$12*(1-EXP(-Examples!$H$13*$A861))/(1+EXP(MIN(700,MAX(-700,(Examples!$H$14*$A861-Examples!$H$15)/Examples!$H$16))))))+Examples!$H$17*$A861^2)</f>
        <v>381266.1964680953</v>
      </c>
      <c r="M861" s="33">
        <f>(Examples!$H$6*Examples!$H$7*Examples!$H$8*EXP(-Examples!$H$9*$A861)*(1-(Examples!$H$12*(1-EXP(-Examples!$H$13*$A861))/(1+EXP(MIN(700,MAX(-700,(Examples!$H$14*$A861-Examples!$H$15)/Examples!$H$16))))))+Examples!$H$17*$A861^2)</f>
        <v>689233.8035319047</v>
      </c>
    </row>
    <row r="862" spans="1:13" x14ac:dyDescent="0.25">
      <c r="A862">
        <f>(862-2)/100</f>
        <v>8.6</v>
      </c>
      <c r="B862" s="33">
        <f>Examples!$C$18-(Examples!$C$10+Examples!$C$11)*$A862-(Examples!$C$6*Examples!$C$7*Examples!$C$8*EXP(-Examples!$C$9*$A862)*(1-(Examples!$C$12*(1-EXP(-Examples!$C$13*$A862))/(1+EXP(MIN(700,MAX(-700,(Examples!$C$14*$A862-Examples!$C$15)/Examples!$C$16))))))+Examples!$C$17*$A862^2)</f>
        <v>-855864.40241128276</v>
      </c>
      <c r="C862" s="33">
        <f>(Examples!$C$6*Examples!$C$7*Examples!$C$8*EXP(-Examples!$C$9*$A862)*(1-(Examples!$C$12*(1-EXP(-Examples!$C$13*$A862))/(1+EXP(MIN(700,MAX(-700,(Examples!$C$14*$A862-Examples!$C$15)/Examples!$C$16))))))+Examples!$C$17*$A862^2)</f>
        <v>1154864.4024112828</v>
      </c>
      <c r="D862" s="33">
        <f>Examples!$D$18-(Examples!$D$10+Examples!$D$11)*$A862-(Examples!$D$6*Examples!$D$7*Examples!$D$8*EXP(-Examples!$D$9*$A862)*(1-(Examples!$D$12*(1-EXP(-Examples!$D$13*$A862))/(1+EXP(MIN(700,MAX(-700,(Examples!$D$14*$A862-Examples!$D$15)/Examples!$D$16))))))+Examples!$D$17*$A862^2)</f>
        <v>1618194.6205758324</v>
      </c>
      <c r="E862" s="33">
        <f>(Examples!$D$6*Examples!$D$7*Examples!$D$8*EXP(-Examples!$D$9*$A862)*(1-(Examples!$D$12*(1-EXP(-Examples!$D$13*$A862))/(1+EXP(MIN(700,MAX(-700,(Examples!$D$14*$A862-Examples!$D$15)/Examples!$D$16))))))+Examples!$D$17*$A862^2)</f>
        <v>494805.37942416751</v>
      </c>
      <c r="F862" s="33">
        <f>Examples!$E$18-(Examples!$E$10+Examples!$E$11)*$A862-(Examples!$E$6*Examples!$E$7*Examples!$E$8*EXP(-Examples!$E$9*$A862)*(1-(Examples!$E$12*(1-EXP(-Examples!$E$13*$A862))/(1+EXP(MIN(700,MAX(-700,(Examples!$E$14*$A862-Examples!$E$15)/Examples!$E$16))))))+Examples!$E$17*$A862^2)</f>
        <v>2012135.9873162278</v>
      </c>
      <c r="G862" s="33">
        <f>(Examples!$E$6*Examples!$E$7*Examples!$E$8*EXP(-Examples!$E$9*$A862)*(1-(Examples!$E$12*(1-EXP(-Examples!$E$13*$A862))/(1+EXP(MIN(700,MAX(-700,(Examples!$E$14*$A862-Examples!$E$15)/Examples!$E$16))))))+Examples!$E$17*$A862^2)</f>
        <v>256864.01268377216</v>
      </c>
      <c r="H862" s="33">
        <f>Examples!$F$18-(Examples!$F$10+Examples!$F$11)*$A862-(Examples!$F$6*Examples!$F$7*Examples!$F$8*EXP(-Examples!$F$9*$A862)*(1-(Examples!$F$12*(1-EXP(-Examples!$F$13*$A862))/(1+EXP(MIN(700,MAX(-700,(Examples!$F$14*$A862-Examples!$F$15)/Examples!$F$16))))))+Examples!$F$17*$A862^2)</f>
        <v>-1502526.0450703995</v>
      </c>
      <c r="I862" s="33">
        <f>(Examples!$F$6*Examples!$F$7*Examples!$F$8*EXP(-Examples!$F$9*$A862)*(1-(Examples!$F$12*(1-EXP(-Examples!$F$13*$A862))/(1+EXP(MIN(700,MAX(-700,(Examples!$F$14*$A862-Examples!$F$15)/Examples!$F$16))))))+Examples!$F$17*$A862^2)</f>
        <v>1480526.0450703995</v>
      </c>
      <c r="J862" s="33">
        <f>Examples!$G$18-(Examples!$G$10+Examples!$G$11)*$A862-(Examples!$G$6*Examples!$G$7*Examples!$G$8*EXP(-Examples!$G$9*$A862)*(1-(Examples!$G$12*(1-EXP(-Examples!$G$13*$A862))/(1+EXP(MIN(700,MAX(-700,(Examples!$G$14*$A862-Examples!$G$15)/Examples!$G$16))))))+Examples!$G$17*$A862^2)</f>
        <v>379759.47591285908</v>
      </c>
      <c r="K862" s="33">
        <f>(Examples!$G$6*Examples!$G$7*Examples!$G$8*EXP(-Examples!$G$9*$A862)*(1-(Examples!$G$12*(1-EXP(-Examples!$G$13*$A862))/(1+EXP(MIN(700,MAX(-700,(Examples!$G$14*$A862-Examples!$G$15)/Examples!$G$16))))))+Examples!$G$17*$A862^2)</f>
        <v>690240.52408714092</v>
      </c>
      <c r="L862" s="33">
        <f>Examples!$H$18-(Examples!$H$10+Examples!$H$11)*$A862-(Examples!$H$6*Examples!$H$7*Examples!$H$8*EXP(-Examples!$H$9*$A862)*(1-(Examples!$H$12*(1-EXP(-Examples!$H$13*$A862))/(1+EXP(MIN(700,MAX(-700,(Examples!$H$14*$A862-Examples!$H$15)/Examples!$H$16))))))+Examples!$H$17*$A862^2)</f>
        <v>379736.64273821434</v>
      </c>
      <c r="M862" s="33">
        <f>(Examples!$H$6*Examples!$H$7*Examples!$H$8*EXP(-Examples!$H$9*$A862)*(1-(Examples!$H$12*(1-EXP(-Examples!$H$13*$A862))/(1+EXP(MIN(700,MAX(-700,(Examples!$H$14*$A862-Examples!$H$15)/Examples!$H$16))))))+Examples!$H$17*$A862^2)</f>
        <v>690263.35726178566</v>
      </c>
    </row>
    <row r="863" spans="1:13" x14ac:dyDescent="0.25">
      <c r="A863">
        <f>(863-2)/100</f>
        <v>8.61</v>
      </c>
      <c r="B863" s="33">
        <f>Examples!$C$18-(Examples!$C$10+Examples!$C$11)*$A863-(Examples!$C$6*Examples!$C$7*Examples!$C$8*EXP(-Examples!$C$9*$A863)*(1-(Examples!$C$12*(1-EXP(-Examples!$C$13*$A863))/(1+EXP(MIN(700,MAX(-700,(Examples!$C$14*$A863-Examples!$C$15)/Examples!$C$16))))))+Examples!$C$17*$A863^2)</f>
        <v>-858659.71358950227</v>
      </c>
      <c r="C863" s="33">
        <f>(Examples!$C$6*Examples!$C$7*Examples!$C$8*EXP(-Examples!$C$9*$A863)*(1-(Examples!$C$12*(1-EXP(-Examples!$C$13*$A863))/(1+EXP(MIN(700,MAX(-700,(Examples!$C$14*$A863-Examples!$C$15)/Examples!$C$16))))))+Examples!$C$17*$A863^2)</f>
        <v>1157309.7135895023</v>
      </c>
      <c r="D863" s="33">
        <f>Examples!$D$18-(Examples!$D$10+Examples!$D$11)*$A863-(Examples!$D$6*Examples!$D$7*Examples!$D$8*EXP(-Examples!$D$9*$A863)*(1-(Examples!$D$12*(1-EXP(-Examples!$D$13*$A863))/(1+EXP(MIN(700,MAX(-700,(Examples!$D$14*$A863-Examples!$D$15)/Examples!$D$16))))))+Examples!$D$17*$A863^2)</f>
        <v>1617443.4791088027</v>
      </c>
      <c r="E863" s="33">
        <f>(Examples!$D$6*Examples!$D$7*Examples!$D$8*EXP(-Examples!$D$9*$A863)*(1-(Examples!$D$12*(1-EXP(-Examples!$D$13*$A863))/(1+EXP(MIN(700,MAX(-700,(Examples!$D$14*$A863-Examples!$D$15)/Examples!$D$16))))))+Examples!$D$17*$A863^2)</f>
        <v>495106.5208911972</v>
      </c>
      <c r="F863" s="33">
        <f>Examples!$E$18-(Examples!$E$10+Examples!$E$11)*$A863-(Examples!$E$6*Examples!$E$7*Examples!$E$8*EXP(-Examples!$E$9*$A863)*(1-(Examples!$E$12*(1-EXP(-Examples!$E$13*$A863))/(1+EXP(MIN(700,MAX(-700,(Examples!$E$14*$A863-Examples!$E$15)/Examples!$E$16))))))+Examples!$E$17*$A863^2)</f>
        <v>2010931.7985671975</v>
      </c>
      <c r="G863" s="33">
        <f>(Examples!$E$6*Examples!$E$7*Examples!$E$8*EXP(-Examples!$E$9*$A863)*(1-(Examples!$E$12*(1-EXP(-Examples!$E$13*$A863))/(1+EXP(MIN(700,MAX(-700,(Examples!$E$14*$A863-Examples!$E$15)/Examples!$E$16))))))+Examples!$E$17*$A863^2)</f>
        <v>257218.20143280239</v>
      </c>
      <c r="H863" s="33">
        <f>Examples!$F$18-(Examples!$F$10+Examples!$F$11)*$A863-(Examples!$F$6*Examples!$F$7*Examples!$F$8*EXP(-Examples!$F$9*$A863)*(1-(Examples!$F$12*(1-EXP(-Examples!$F$13*$A863))/(1+EXP(MIN(700,MAX(-700,(Examples!$F$14*$A863-Examples!$F$15)/Examples!$F$16))))))+Examples!$F$17*$A863^2)</f>
        <v>-1506164.0728964284</v>
      </c>
      <c r="I863" s="33">
        <f>(Examples!$F$6*Examples!$F$7*Examples!$F$8*EXP(-Examples!$F$9*$A863)*(1-(Examples!$F$12*(1-EXP(-Examples!$F$13*$A863))/(1+EXP(MIN(700,MAX(-700,(Examples!$F$14*$A863-Examples!$F$15)/Examples!$F$16))))))+Examples!$F$17*$A863^2)</f>
        <v>1483964.0728964284</v>
      </c>
      <c r="J863" s="33">
        <f>Examples!$G$18-(Examples!$G$10+Examples!$G$11)*$A863-(Examples!$G$6*Examples!$G$7*Examples!$G$8*EXP(-Examples!$G$9*$A863)*(1-(Examples!$G$12*(1-EXP(-Examples!$G$13*$A863))/(1+EXP(MIN(700,MAX(-700,(Examples!$G$14*$A863-Examples!$G$15)/Examples!$G$16))))))+Examples!$G$17*$A863^2)</f>
        <v>378226.7350267485</v>
      </c>
      <c r="K863" s="33">
        <f>(Examples!$G$6*Examples!$G$7*Examples!$G$8*EXP(-Examples!$G$9*$A863)*(1-(Examples!$G$12*(1-EXP(-Examples!$G$13*$A863))/(1+EXP(MIN(700,MAX(-700,(Examples!$G$14*$A863-Examples!$G$15)/Examples!$G$16))))))+Examples!$G$17*$A863^2)</f>
        <v>691273.2649732515</v>
      </c>
      <c r="L863" s="33">
        <f>Examples!$H$18-(Examples!$H$10+Examples!$H$11)*$A863-(Examples!$H$6*Examples!$H$7*Examples!$H$8*EXP(-Examples!$H$9*$A863)*(1-(Examples!$H$12*(1-EXP(-Examples!$H$13*$A863))/(1+EXP(MIN(700,MAX(-700,(Examples!$H$14*$A863-Examples!$H$15)/Examples!$H$16))))))+Examples!$H$17*$A863^2)</f>
        <v>378204.28136129619</v>
      </c>
      <c r="M863" s="33">
        <f>(Examples!$H$6*Examples!$H$7*Examples!$H$8*EXP(-Examples!$H$9*$A863)*(1-(Examples!$H$12*(1-EXP(-Examples!$H$13*$A863))/(1+EXP(MIN(700,MAX(-700,(Examples!$H$14*$A863-Examples!$H$15)/Examples!$H$16))))))+Examples!$H$17*$A863^2)</f>
        <v>691295.71863870381</v>
      </c>
    </row>
    <row r="864" spans="1:13" x14ac:dyDescent="0.25">
      <c r="A864">
        <f>(864-2)/100</f>
        <v>8.6199999999999992</v>
      </c>
      <c r="B864" s="33">
        <f>Examples!$C$18-(Examples!$C$10+Examples!$C$11)*$A864-(Examples!$C$6*Examples!$C$7*Examples!$C$8*EXP(-Examples!$C$9*$A864)*(1-(Examples!$C$12*(1-EXP(-Examples!$C$13*$A864))/(1+EXP(MIN(700,MAX(-700,(Examples!$C$14*$A864-Examples!$C$15)/Examples!$C$16))))))+Examples!$C$17*$A864^2)</f>
        <v>-861458.43272194662</v>
      </c>
      <c r="C864" s="33">
        <f>(Examples!$C$6*Examples!$C$7*Examples!$C$8*EXP(-Examples!$C$9*$A864)*(1-(Examples!$C$12*(1-EXP(-Examples!$C$13*$A864))/(1+EXP(MIN(700,MAX(-700,(Examples!$C$14*$A864-Examples!$C$15)/Examples!$C$16))))))+Examples!$C$17*$A864^2)</f>
        <v>1159758.4327219466</v>
      </c>
      <c r="D864" s="33">
        <f>Examples!$D$18-(Examples!$D$10+Examples!$D$11)*$A864-(Examples!$D$6*Examples!$D$7*Examples!$D$8*EXP(-Examples!$D$9*$A864)*(1-(Examples!$D$12*(1-EXP(-Examples!$D$13*$A864))/(1+EXP(MIN(700,MAX(-700,(Examples!$D$14*$A864-Examples!$D$15)/Examples!$D$16))))))+Examples!$D$17*$A864^2)</f>
        <v>1616688.8596298248</v>
      </c>
      <c r="E864" s="33">
        <f>(Examples!$D$6*Examples!$D$7*Examples!$D$8*EXP(-Examples!$D$9*$A864)*(1-(Examples!$D$12*(1-EXP(-Examples!$D$13*$A864))/(1+EXP(MIN(700,MAX(-700,(Examples!$D$14*$A864-Examples!$D$15)/Examples!$D$16))))))+Examples!$D$17*$A864^2)</f>
        <v>495411.14037017524</v>
      </c>
      <c r="F864" s="33">
        <f>Examples!$E$18-(Examples!$E$10+Examples!$E$11)*$A864-(Examples!$E$6*Examples!$E$7*Examples!$E$8*EXP(-Examples!$E$9*$A864)*(1-(Examples!$E$12*(1-EXP(-Examples!$E$13*$A864))/(1+EXP(MIN(700,MAX(-700,(Examples!$E$14*$A864-Examples!$E$15)/Examples!$E$16))))))+Examples!$E$17*$A864^2)</f>
        <v>2009726.3503608485</v>
      </c>
      <c r="G864" s="33">
        <f>(Examples!$E$6*Examples!$E$7*Examples!$E$8*EXP(-Examples!$E$9*$A864)*(1-(Examples!$E$12*(1-EXP(-Examples!$E$13*$A864))/(1+EXP(MIN(700,MAX(-700,(Examples!$E$14*$A864-Examples!$E$15)/Examples!$E$16))))))+Examples!$E$17*$A864^2)</f>
        <v>257573.64963915164</v>
      </c>
      <c r="H864" s="33">
        <f>Examples!$F$18-(Examples!$F$10+Examples!$F$11)*$A864-(Examples!$F$6*Examples!$F$7*Examples!$F$8*EXP(-Examples!$F$9*$A864)*(1-(Examples!$F$12*(1-EXP(-Examples!$F$13*$A864))/(1+EXP(MIN(700,MAX(-700,(Examples!$F$14*$A864-Examples!$F$15)/Examples!$F$16))))))+Examples!$F$17*$A864^2)</f>
        <v>-1509806.1126211223</v>
      </c>
      <c r="I864" s="33">
        <f>(Examples!$F$6*Examples!$F$7*Examples!$F$8*EXP(-Examples!$F$9*$A864)*(1-(Examples!$F$12*(1-EXP(-Examples!$F$13*$A864))/(1+EXP(MIN(700,MAX(-700,(Examples!$F$14*$A864-Examples!$F$15)/Examples!$F$16))))))+Examples!$F$17*$A864^2)</f>
        <v>1487406.1126211223</v>
      </c>
      <c r="J864" s="33">
        <f>Examples!$G$18-(Examples!$G$10+Examples!$G$11)*$A864-(Examples!$G$6*Examples!$G$7*Examples!$G$8*EXP(-Examples!$G$9*$A864)*(1-(Examples!$G$12*(1-EXP(-Examples!$G$13*$A864))/(1+EXP(MIN(700,MAX(-700,(Examples!$G$14*$A864-Examples!$G$15)/Examples!$G$16))))))+Examples!$G$17*$A864^2)</f>
        <v>376691.1970118921</v>
      </c>
      <c r="K864" s="33">
        <f>(Examples!$G$6*Examples!$G$7*Examples!$G$8*EXP(-Examples!$G$9*$A864)*(1-(Examples!$G$12*(1-EXP(-Examples!$G$13*$A864))/(1+EXP(MIN(700,MAX(-700,(Examples!$G$14*$A864-Examples!$G$15)/Examples!$G$16))))))+Examples!$G$17*$A864^2)</f>
        <v>692308.8029881079</v>
      </c>
      <c r="L864" s="33">
        <f>Examples!$H$18-(Examples!$H$10+Examples!$H$11)*$A864-(Examples!$H$6*Examples!$H$7*Examples!$H$8*EXP(-Examples!$H$9*$A864)*(1-(Examples!$H$12*(1-EXP(-Examples!$H$13*$A864))/(1+EXP(MIN(700,MAX(-700,(Examples!$H$14*$A864-Examples!$H$15)/Examples!$H$16))))))+Examples!$H$17*$A864^2)</f>
        <v>376669.11655670695</v>
      </c>
      <c r="M864" s="33">
        <f>(Examples!$H$6*Examples!$H$7*Examples!$H$8*EXP(-Examples!$H$9*$A864)*(1-(Examples!$H$12*(1-EXP(-Examples!$H$13*$A864))/(1+EXP(MIN(700,MAX(-700,(Examples!$H$14*$A864-Examples!$H$15)/Examples!$H$16))))))+Examples!$H$17*$A864^2)</f>
        <v>692330.88344329305</v>
      </c>
    </row>
    <row r="865" spans="1:13" x14ac:dyDescent="0.25">
      <c r="A865">
        <f>(865-2)/100</f>
        <v>8.6300000000000008</v>
      </c>
      <c r="B865" s="33">
        <f>Examples!$C$18-(Examples!$C$10+Examples!$C$11)*$A865-(Examples!$C$6*Examples!$C$7*Examples!$C$8*EXP(-Examples!$C$9*$A865)*(1-(Examples!$C$12*(1-EXP(-Examples!$C$13*$A865))/(1+EXP(MIN(700,MAX(-700,(Examples!$C$14*$A865-Examples!$C$15)/Examples!$C$16))))))+Examples!$C$17*$A865^2)</f>
        <v>-864260.55858658836</v>
      </c>
      <c r="C865" s="33">
        <f>(Examples!$C$6*Examples!$C$7*Examples!$C$8*EXP(-Examples!$C$9*$A865)*(1-(Examples!$C$12*(1-EXP(-Examples!$C$13*$A865))/(1+EXP(MIN(700,MAX(-700,(Examples!$C$14*$A865-Examples!$C$15)/Examples!$C$16))))))+Examples!$C$17*$A865^2)</f>
        <v>1162210.5585865884</v>
      </c>
      <c r="D865" s="33">
        <f>Examples!$D$18-(Examples!$D$10+Examples!$D$11)*$A865-(Examples!$D$6*Examples!$D$7*Examples!$D$8*EXP(-Examples!$D$9*$A865)*(1-(Examples!$D$12*(1-EXP(-Examples!$D$13*$A865))/(1+EXP(MIN(700,MAX(-700,(Examples!$D$14*$A865-Examples!$D$15)/Examples!$D$16))))))+Examples!$D$17*$A865^2)</f>
        <v>1615930.7726782635</v>
      </c>
      <c r="E865" s="33">
        <f>(Examples!$D$6*Examples!$D$7*Examples!$D$8*EXP(-Examples!$D$9*$A865)*(1-(Examples!$D$12*(1-EXP(-Examples!$D$13*$A865))/(1+EXP(MIN(700,MAX(-700,(Examples!$D$14*$A865-Examples!$D$15)/Examples!$D$16))))))+Examples!$D$17*$A865^2)</f>
        <v>495719.2273217364</v>
      </c>
      <c r="F865" s="33">
        <f>Examples!$E$18-(Examples!$E$10+Examples!$E$11)*$A865-(Examples!$E$6*Examples!$E$7*Examples!$E$8*EXP(-Examples!$E$9*$A865)*(1-(Examples!$E$12*(1-EXP(-Examples!$E$13*$A865))/(1+EXP(MIN(700,MAX(-700,(Examples!$E$14*$A865-Examples!$E$15)/Examples!$E$16))))))+Examples!$E$17*$A865^2)</f>
        <v>2008519.6442699595</v>
      </c>
      <c r="G865" s="33">
        <f>(Examples!$E$6*Examples!$E$7*Examples!$E$8*EXP(-Examples!$E$9*$A865)*(1-(Examples!$E$12*(1-EXP(-Examples!$E$13*$A865))/(1+EXP(MIN(700,MAX(-700,(Examples!$E$14*$A865-Examples!$E$15)/Examples!$E$16))))))+Examples!$E$17*$A865^2)</f>
        <v>257930.35573004058</v>
      </c>
      <c r="H865" s="33">
        <f>Examples!$F$18-(Examples!$F$10+Examples!$F$11)*$A865-(Examples!$F$6*Examples!$F$7*Examples!$F$8*EXP(-Examples!$F$9*$A865)*(1-(Examples!$F$12*(1-EXP(-Examples!$F$13*$A865))/(1+EXP(MIN(700,MAX(-700,(Examples!$F$14*$A865-Examples!$F$15)/Examples!$F$16))))))+Examples!$F$17*$A865^2)</f>
        <v>-1513452.1642088389</v>
      </c>
      <c r="I865" s="33">
        <f>(Examples!$F$6*Examples!$F$7*Examples!$F$8*EXP(-Examples!$F$9*$A865)*(1-(Examples!$F$12*(1-EXP(-Examples!$F$13*$A865))/(1+EXP(MIN(700,MAX(-700,(Examples!$F$14*$A865-Examples!$F$15)/Examples!$F$16))))))+Examples!$F$17*$A865^2)</f>
        <v>1490852.1642088389</v>
      </c>
      <c r="J865" s="33">
        <f>Examples!$G$18-(Examples!$G$10+Examples!$G$11)*$A865-(Examples!$G$6*Examples!$G$7*Examples!$G$8*EXP(-Examples!$G$9*$A865)*(1-(Examples!$G$12*(1-EXP(-Examples!$G$13*$A865))/(1+EXP(MIN(700,MAX(-700,(Examples!$G$14*$A865-Examples!$G$15)/Examples!$G$16))))))+Examples!$G$17*$A865^2)</f>
        <v>375152.8659685707</v>
      </c>
      <c r="K865" s="33">
        <f>(Examples!$G$6*Examples!$G$7*Examples!$G$8*EXP(-Examples!$G$9*$A865)*(1-(Examples!$G$12*(1-EXP(-Examples!$G$13*$A865))/(1+EXP(MIN(700,MAX(-700,(Examples!$G$14*$A865-Examples!$G$15)/Examples!$G$16))))))+Examples!$G$17*$A865^2)</f>
        <v>693347.1340314293</v>
      </c>
      <c r="L865" s="33">
        <f>Examples!$H$18-(Examples!$H$10+Examples!$H$11)*$A865-(Examples!$H$6*Examples!$H$7*Examples!$H$8*EXP(-Examples!$H$9*$A865)*(1-(Examples!$H$12*(1-EXP(-Examples!$H$13*$A865))/(1+EXP(MIN(700,MAX(-700,(Examples!$H$14*$A865-Examples!$H$15)/Examples!$H$16))))))+Examples!$H$17*$A865^2)</f>
        <v>375131.15252907143</v>
      </c>
      <c r="M865" s="33">
        <f>(Examples!$H$6*Examples!$H$7*Examples!$H$8*EXP(-Examples!$H$9*$A865)*(1-(Examples!$H$12*(1-EXP(-Examples!$H$13*$A865))/(1+EXP(MIN(700,MAX(-700,(Examples!$H$14*$A865-Examples!$H$15)/Examples!$H$16))))))+Examples!$H$17*$A865^2)</f>
        <v>693368.84747092857</v>
      </c>
    </row>
    <row r="866" spans="1:13" x14ac:dyDescent="0.25">
      <c r="A866">
        <f>(866-2)/100</f>
        <v>8.64</v>
      </c>
      <c r="B866" s="33">
        <f>Examples!$C$18-(Examples!$C$10+Examples!$C$11)*$A866-(Examples!$C$6*Examples!$C$7*Examples!$C$8*EXP(-Examples!$C$9*$A866)*(1-(Examples!$C$12*(1-EXP(-Examples!$C$13*$A866))/(1+EXP(MIN(700,MAX(-700,(Examples!$C$14*$A866-Examples!$C$15)/Examples!$C$16))))))+Examples!$C$17*$A866^2)</f>
        <v>-867066.08996505802</v>
      </c>
      <c r="C866" s="33">
        <f>(Examples!$C$6*Examples!$C$7*Examples!$C$8*EXP(-Examples!$C$9*$A866)*(1-(Examples!$C$12*(1-EXP(-Examples!$C$13*$A866))/(1+EXP(MIN(700,MAX(-700,(Examples!$C$14*$A866-Examples!$C$15)/Examples!$C$16))))))+Examples!$C$17*$A866^2)</f>
        <v>1164666.089965058</v>
      </c>
      <c r="D866" s="33">
        <f>Examples!$D$18-(Examples!$D$10+Examples!$D$11)*$A866-(Examples!$D$6*Examples!$D$7*Examples!$D$8*EXP(-Examples!$D$9*$A866)*(1-(Examples!$D$12*(1-EXP(-Examples!$D$13*$A866))/(1+EXP(MIN(700,MAX(-700,(Examples!$D$14*$A866-Examples!$D$15)/Examples!$D$16))))))+Examples!$D$17*$A866^2)</f>
        <v>1615169.2287564094</v>
      </c>
      <c r="E866" s="33">
        <f>(Examples!$D$6*Examples!$D$7*Examples!$D$8*EXP(-Examples!$D$9*$A866)*(1-(Examples!$D$12*(1-EXP(-Examples!$D$13*$A866))/(1+EXP(MIN(700,MAX(-700,(Examples!$D$14*$A866-Examples!$D$15)/Examples!$D$16))))))+Examples!$D$17*$A866^2)</f>
        <v>496030.77124359057</v>
      </c>
      <c r="F866" s="33">
        <f>Examples!$E$18-(Examples!$E$10+Examples!$E$11)*$A866-(Examples!$E$6*Examples!$E$7*Examples!$E$8*EXP(-Examples!$E$9*$A866)*(1-(Examples!$E$12*(1-EXP(-Examples!$E$13*$A866))/(1+EXP(MIN(700,MAX(-700,(Examples!$E$14*$A866-Examples!$E$15)/Examples!$E$16))))))+Examples!$E$17*$A866^2)</f>
        <v>2007311.6818776513</v>
      </c>
      <c r="G866" s="33">
        <f>(Examples!$E$6*Examples!$E$7*Examples!$E$8*EXP(-Examples!$E$9*$A866)*(1-(Examples!$E$12*(1-EXP(-Examples!$E$13*$A866))/(1+EXP(MIN(700,MAX(-700,(Examples!$E$14*$A866-Examples!$E$15)/Examples!$E$16))))))+Examples!$E$17*$A866^2)</f>
        <v>258288.31812234886</v>
      </c>
      <c r="H866" s="33">
        <f>Examples!$F$18-(Examples!$F$10+Examples!$F$11)*$A866-(Examples!$F$6*Examples!$F$7*Examples!$F$8*EXP(-Examples!$F$9*$A866)*(1-(Examples!$F$12*(1-EXP(-Examples!$F$13*$A866))/(1+EXP(MIN(700,MAX(-700,(Examples!$F$14*$A866-Examples!$F$15)/Examples!$F$16))))))+Examples!$F$17*$A866^2)</f>
        <v>-1517102.2276240422</v>
      </c>
      <c r="I866" s="33">
        <f>(Examples!$F$6*Examples!$F$7*Examples!$F$8*EXP(-Examples!$F$9*$A866)*(1-(Examples!$F$12*(1-EXP(-Examples!$F$13*$A866))/(1+EXP(MIN(700,MAX(-700,(Examples!$F$14*$A866-Examples!$F$15)/Examples!$F$16))))))+Examples!$F$17*$A866^2)</f>
        <v>1494302.2276240422</v>
      </c>
      <c r="J866" s="33">
        <f>Examples!$G$18-(Examples!$G$10+Examples!$G$11)*$A866-(Examples!$G$6*Examples!$G$7*Examples!$G$8*EXP(-Examples!$G$9*$A866)*(1-(Examples!$G$12*(1-EXP(-Examples!$G$13*$A866))/(1+EXP(MIN(700,MAX(-700,(Examples!$G$14*$A866-Examples!$G$15)/Examples!$G$16))))))+Examples!$G$17*$A866^2)</f>
        <v>373611.74598409841</v>
      </c>
      <c r="K866" s="33">
        <f>(Examples!$G$6*Examples!$G$7*Examples!$G$8*EXP(-Examples!$G$9*$A866)*(1-(Examples!$G$12*(1-EXP(-Examples!$G$13*$A866))/(1+EXP(MIN(700,MAX(-700,(Examples!$G$14*$A866-Examples!$G$15)/Examples!$G$16))))))+Examples!$G$17*$A866^2)</f>
        <v>694388.25401590159</v>
      </c>
      <c r="L866" s="33">
        <f>Examples!$H$18-(Examples!$H$10+Examples!$H$11)*$A866-(Examples!$H$6*Examples!$H$7*Examples!$H$8*EXP(-Examples!$H$9*$A866)*(1-(Examples!$H$12*(1-EXP(-Examples!$H$13*$A866))/(1+EXP(MIN(700,MAX(-700,(Examples!$H$14*$A866-Examples!$H$15)/Examples!$H$16))))))+Examples!$H$17*$A866^2)</f>
        <v>373590.39346832421</v>
      </c>
      <c r="M866" s="33">
        <f>(Examples!$H$6*Examples!$H$7*Examples!$H$8*EXP(-Examples!$H$9*$A866)*(1-(Examples!$H$12*(1-EXP(-Examples!$H$13*$A866))/(1+EXP(MIN(700,MAX(-700,(Examples!$H$14*$A866-Examples!$H$15)/Examples!$H$16))))))+Examples!$H$17*$A866^2)</f>
        <v>694409.60653167579</v>
      </c>
    </row>
    <row r="867" spans="1:13" x14ac:dyDescent="0.25">
      <c r="A867">
        <f>(867-2)/100</f>
        <v>8.65</v>
      </c>
      <c r="B867" s="33">
        <f>Examples!$C$18-(Examples!$C$10+Examples!$C$11)*$A867-(Examples!$C$6*Examples!$C$7*Examples!$C$8*EXP(-Examples!$C$9*$A867)*(1-(Examples!$C$12*(1-EXP(-Examples!$C$13*$A867))/(1+EXP(MIN(700,MAX(-700,(Examples!$C$14*$A867-Examples!$C$15)/Examples!$C$16))))))+Examples!$C$17*$A867^2)</f>
        <v>-869875.02564263809</v>
      </c>
      <c r="C867" s="33">
        <f>(Examples!$C$6*Examples!$C$7*Examples!$C$8*EXP(-Examples!$C$9*$A867)*(1-(Examples!$C$12*(1-EXP(-Examples!$C$13*$A867))/(1+EXP(MIN(700,MAX(-700,(Examples!$C$14*$A867-Examples!$C$15)/Examples!$C$16))))))+Examples!$C$17*$A867^2)</f>
        <v>1167125.0256426381</v>
      </c>
      <c r="D867" s="33">
        <f>Examples!$D$18-(Examples!$D$10+Examples!$D$11)*$A867-(Examples!$D$6*Examples!$D$7*Examples!$D$8*EXP(-Examples!$D$9*$A867)*(1-(Examples!$D$12*(1-EXP(-Examples!$D$13*$A867))/(1+EXP(MIN(700,MAX(-700,(Examples!$D$14*$A867-Examples!$D$15)/Examples!$D$16))))))+Examples!$D$17*$A867^2)</f>
        <v>1614404.2383294667</v>
      </c>
      <c r="E867" s="33">
        <f>(Examples!$D$6*Examples!$D$7*Examples!$D$8*EXP(-Examples!$D$9*$A867)*(1-(Examples!$D$12*(1-EXP(-Examples!$D$13*$A867))/(1+EXP(MIN(700,MAX(-700,(Examples!$D$14*$A867-Examples!$D$15)/Examples!$D$16))))))+Examples!$D$17*$A867^2)</f>
        <v>496345.76167053333</v>
      </c>
      <c r="F867" s="33">
        <f>Examples!$E$18-(Examples!$E$10+Examples!$E$11)*$A867-(Examples!$E$6*Examples!$E$7*Examples!$E$8*EXP(-Examples!$E$9*$A867)*(1-(Examples!$E$12*(1-EXP(-Examples!$E$13*$A867))/(1+EXP(MIN(700,MAX(-700,(Examples!$E$14*$A867-Examples!$E$15)/Examples!$E$16))))))+Examples!$E$17*$A867^2)</f>
        <v>2006102.4647771709</v>
      </c>
      <c r="G867" s="33">
        <f>(Examples!$E$6*Examples!$E$7*Examples!$E$8*EXP(-Examples!$E$9*$A867)*(1-(Examples!$E$12*(1-EXP(-Examples!$E$13*$A867))/(1+EXP(MIN(700,MAX(-700,(Examples!$E$14*$A867-Examples!$E$15)/Examples!$E$16))))))+Examples!$E$17*$A867^2)</f>
        <v>258647.53522282903</v>
      </c>
      <c r="H867" s="33">
        <f>Examples!$F$18-(Examples!$F$10+Examples!$F$11)*$A867-(Examples!$F$6*Examples!$F$7*Examples!$F$8*EXP(-Examples!$F$9*$A867)*(1-(Examples!$F$12*(1-EXP(-Examples!$F$13*$A867))/(1+EXP(MIN(700,MAX(-700,(Examples!$F$14*$A867-Examples!$F$15)/Examples!$F$16))))))+Examples!$F$17*$A867^2)</f>
        <v>-1520756.3028313026</v>
      </c>
      <c r="I867" s="33">
        <f>(Examples!$F$6*Examples!$F$7*Examples!$F$8*EXP(-Examples!$F$9*$A867)*(1-(Examples!$F$12*(1-EXP(-Examples!$F$13*$A867))/(1+EXP(MIN(700,MAX(-700,(Examples!$F$14*$A867-Examples!$F$15)/Examples!$F$16))))))+Examples!$F$17*$A867^2)</f>
        <v>1497756.3028313026</v>
      </c>
      <c r="J867" s="33">
        <f>Examples!$G$18-(Examples!$G$10+Examples!$G$11)*$A867-(Examples!$G$6*Examples!$G$7*Examples!$G$8*EXP(-Examples!$G$9*$A867)*(1-(Examples!$G$12*(1-EXP(-Examples!$G$13*$A867))/(1+EXP(MIN(700,MAX(-700,(Examples!$G$14*$A867-Examples!$G$15)/Examples!$G$16))))))+Examples!$G$17*$A867^2)</f>
        <v>372067.84113284643</v>
      </c>
      <c r="K867" s="33">
        <f>(Examples!$G$6*Examples!$G$7*Examples!$G$8*EXP(-Examples!$G$9*$A867)*(1-(Examples!$G$12*(1-EXP(-Examples!$G$13*$A867))/(1+EXP(MIN(700,MAX(-700,(Examples!$G$14*$A867-Examples!$G$15)/Examples!$G$16))))))+Examples!$G$17*$A867^2)</f>
        <v>695432.15886715357</v>
      </c>
      <c r="L867" s="33">
        <f>Examples!$H$18-(Examples!$H$10+Examples!$H$11)*$A867-(Examples!$H$6*Examples!$H$7*Examples!$H$8*EXP(-Examples!$H$9*$A867)*(1-(Examples!$H$12*(1-EXP(-Examples!$H$13*$A867))/(1+EXP(MIN(700,MAX(-700,(Examples!$H$14*$A867-Examples!$H$15)/Examples!$H$16))))))+Examples!$H$17*$A867^2)</f>
        <v>372046.84354976076</v>
      </c>
      <c r="M867" s="33">
        <f>(Examples!$H$6*Examples!$H$7*Examples!$H$8*EXP(-Examples!$H$9*$A867)*(1-(Examples!$H$12*(1-EXP(-Examples!$H$13*$A867))/(1+EXP(MIN(700,MAX(-700,(Examples!$H$14*$A867-Examples!$H$15)/Examples!$H$16))))))+Examples!$H$17*$A867^2)</f>
        <v>695453.15645023924</v>
      </c>
    </row>
    <row r="868" spans="1:13" x14ac:dyDescent="0.25">
      <c r="A868">
        <f>(868-2)/100</f>
        <v>8.66</v>
      </c>
      <c r="B868" s="33">
        <f>Examples!$C$18-(Examples!$C$10+Examples!$C$11)*$A868-(Examples!$C$6*Examples!$C$7*Examples!$C$8*EXP(-Examples!$C$9*$A868)*(1-(Examples!$C$12*(1-EXP(-Examples!$C$13*$A868))/(1+EXP(MIN(700,MAX(-700,(Examples!$C$14*$A868-Examples!$C$15)/Examples!$C$16))))))+Examples!$C$17*$A868^2)</f>
        <v>-872687.3644082488</v>
      </c>
      <c r="C868" s="33">
        <f>(Examples!$C$6*Examples!$C$7*Examples!$C$8*EXP(-Examples!$C$9*$A868)*(1-(Examples!$C$12*(1-EXP(-Examples!$C$13*$A868))/(1+EXP(MIN(700,MAX(-700,(Examples!$C$14*$A868-Examples!$C$15)/Examples!$C$16))))))+Examples!$C$17*$A868^2)</f>
        <v>1169587.3644082488</v>
      </c>
      <c r="D868" s="33">
        <f>Examples!$D$18-(Examples!$D$10+Examples!$D$11)*$A868-(Examples!$D$6*Examples!$D$7*Examples!$D$8*EXP(-Examples!$D$9*$A868)*(1-(Examples!$D$12*(1-EXP(-Examples!$D$13*$A868))/(1+EXP(MIN(700,MAX(-700,(Examples!$D$14*$A868-Examples!$D$15)/Examples!$D$16))))))+Examples!$D$17*$A868^2)</f>
        <v>1613635.8118255455</v>
      </c>
      <c r="E868" s="33">
        <f>(Examples!$D$6*Examples!$D$7*Examples!$D$8*EXP(-Examples!$D$9*$A868)*(1-(Examples!$D$12*(1-EXP(-Examples!$D$13*$A868))/(1+EXP(MIN(700,MAX(-700,(Examples!$D$14*$A868-Examples!$D$15)/Examples!$D$16))))))+Examples!$D$17*$A868^2)</f>
        <v>496664.18817445455</v>
      </c>
      <c r="F868" s="33">
        <f>Examples!$E$18-(Examples!$E$10+Examples!$E$11)*$A868-(Examples!$E$6*Examples!$E$7*Examples!$E$8*EXP(-Examples!$E$9*$A868)*(1-(Examples!$E$12*(1-EXP(-Examples!$E$13*$A868))/(1+EXP(MIN(700,MAX(-700,(Examples!$E$14*$A868-Examples!$E$15)/Examples!$E$16))))))+Examples!$E$17*$A868^2)</f>
        <v>2004891.9945716825</v>
      </c>
      <c r="G868" s="33">
        <f>(Examples!$E$6*Examples!$E$7*Examples!$E$8*EXP(-Examples!$E$9*$A868)*(1-(Examples!$E$12*(1-EXP(-Examples!$E$13*$A868))/(1+EXP(MIN(700,MAX(-700,(Examples!$E$14*$A868-Examples!$E$15)/Examples!$E$16))))))+Examples!$E$17*$A868^2)</f>
        <v>259008.00542831741</v>
      </c>
      <c r="H868" s="33">
        <f>Examples!$F$18-(Examples!$F$10+Examples!$F$11)*$A868-(Examples!$F$6*Examples!$F$7*Examples!$F$8*EXP(-Examples!$F$9*$A868)*(1-(Examples!$F$12*(1-EXP(-Examples!$F$13*$A868))/(1+EXP(MIN(700,MAX(-700,(Examples!$F$14*$A868-Examples!$F$15)/Examples!$F$16))))))+Examples!$F$17*$A868^2)</f>
        <v>-1524414.3897952975</v>
      </c>
      <c r="I868" s="33">
        <f>(Examples!$F$6*Examples!$F$7*Examples!$F$8*EXP(-Examples!$F$9*$A868)*(1-(Examples!$F$12*(1-EXP(-Examples!$F$13*$A868))/(1+EXP(MIN(700,MAX(-700,(Examples!$F$14*$A868-Examples!$F$15)/Examples!$F$16))))))+Examples!$F$17*$A868^2)</f>
        <v>1501214.3897952975</v>
      </c>
      <c r="J868" s="33">
        <f>Examples!$G$18-(Examples!$G$10+Examples!$G$11)*$A868-(Examples!$G$6*Examples!$G$7*Examples!$G$8*EXP(-Examples!$G$9*$A868)*(1-(Examples!$G$12*(1-EXP(-Examples!$G$13*$A868))/(1+EXP(MIN(700,MAX(-700,(Examples!$G$14*$A868-Examples!$G$15)/Examples!$G$16))))))+Examples!$G$17*$A868^2)</f>
        <v>370521.15547626512</v>
      </c>
      <c r="K868" s="33">
        <f>(Examples!$G$6*Examples!$G$7*Examples!$G$8*EXP(-Examples!$G$9*$A868)*(1-(Examples!$G$12*(1-EXP(-Examples!$G$13*$A868))/(1+EXP(MIN(700,MAX(-700,(Examples!$G$14*$A868-Examples!$G$15)/Examples!$G$16))))))+Examples!$G$17*$A868^2)</f>
        <v>696478.84452373488</v>
      </c>
      <c r="L868" s="33">
        <f>Examples!$H$18-(Examples!$H$10+Examples!$H$11)*$A868-(Examples!$H$6*Examples!$H$7*Examples!$H$8*EXP(-Examples!$H$9*$A868)*(1-(Examples!$H$12*(1-EXP(-Examples!$H$13*$A868))/(1+EXP(MIN(700,MAX(-700,(Examples!$H$14*$A868-Examples!$H$15)/Examples!$H$16))))))+Examples!$H$17*$A868^2)</f>
        <v>370500.50693408935</v>
      </c>
      <c r="M868" s="33">
        <f>(Examples!$H$6*Examples!$H$7*Examples!$H$8*EXP(-Examples!$H$9*$A868)*(1-(Examples!$H$12*(1-EXP(-Examples!$H$13*$A868))/(1+EXP(MIN(700,MAX(-700,(Examples!$H$14*$A868-Examples!$H$15)/Examples!$H$16))))))+Examples!$H$17*$A868^2)</f>
        <v>696499.49306591065</v>
      </c>
    </row>
    <row r="869" spans="1:13" x14ac:dyDescent="0.25">
      <c r="A869">
        <f>(869-2)/100</f>
        <v>8.67</v>
      </c>
      <c r="B869" s="33">
        <f>Examples!$C$18-(Examples!$C$10+Examples!$C$11)*$A869-(Examples!$C$6*Examples!$C$7*Examples!$C$8*EXP(-Examples!$C$9*$A869)*(1-(Examples!$C$12*(1-EXP(-Examples!$C$13*$A869))/(1+EXP(MIN(700,MAX(-700,(Examples!$C$14*$A869-Examples!$C$15)/Examples!$C$16))))))+Examples!$C$17*$A869^2)</f>
        <v>-875503.10505443788</v>
      </c>
      <c r="C869" s="33">
        <f>(Examples!$C$6*Examples!$C$7*Examples!$C$8*EXP(-Examples!$C$9*$A869)*(1-(Examples!$C$12*(1-EXP(-Examples!$C$13*$A869))/(1+EXP(MIN(700,MAX(-700,(Examples!$C$14*$A869-Examples!$C$15)/Examples!$C$16))))))+Examples!$C$17*$A869^2)</f>
        <v>1172053.1050544379</v>
      </c>
      <c r="D869" s="33">
        <f>Examples!$D$18-(Examples!$D$10+Examples!$D$11)*$A869-(Examples!$D$6*Examples!$D$7*Examples!$D$8*EXP(-Examples!$D$9*$A869)*(1-(Examples!$D$12*(1-EXP(-Examples!$D$13*$A869))/(1+EXP(MIN(700,MAX(-700,(Examples!$D$14*$A869-Examples!$D$15)/Examples!$D$16))))))+Examples!$D$17*$A869^2)</f>
        <v>1612863.9596356568</v>
      </c>
      <c r="E869" s="33">
        <f>(Examples!$D$6*Examples!$D$7*Examples!$D$8*EXP(-Examples!$D$9*$A869)*(1-(Examples!$D$12*(1-EXP(-Examples!$D$13*$A869))/(1+EXP(MIN(700,MAX(-700,(Examples!$D$14*$A869-Examples!$D$15)/Examples!$D$16))))))+Examples!$D$17*$A869^2)</f>
        <v>496986.04036434332</v>
      </c>
      <c r="F869" s="33">
        <f>Examples!$E$18-(Examples!$E$10+Examples!$E$11)*$A869-(Examples!$E$6*Examples!$E$7*Examples!$E$8*EXP(-Examples!$E$9*$A869)*(1-(Examples!$E$12*(1-EXP(-Examples!$E$13*$A869))/(1+EXP(MIN(700,MAX(-700,(Examples!$E$14*$A869-Examples!$E$15)/Examples!$E$16))))))+Examples!$E$17*$A869^2)</f>
        <v>2003680.2728740561</v>
      </c>
      <c r="G869" s="33">
        <f>(Examples!$E$6*Examples!$E$7*Examples!$E$8*EXP(-Examples!$E$9*$A869)*(1-(Examples!$E$12*(1-EXP(-Examples!$E$13*$A869))/(1+EXP(MIN(700,MAX(-700,(Examples!$E$14*$A869-Examples!$E$15)/Examples!$E$16))))))+Examples!$E$17*$A869^2)</f>
        <v>259369.7271259439</v>
      </c>
      <c r="H869" s="33">
        <f>Examples!$F$18-(Examples!$F$10+Examples!$F$11)*$A869-(Examples!$F$6*Examples!$F$7*Examples!$F$8*EXP(-Examples!$F$9*$A869)*(1-(Examples!$F$12*(1-EXP(-Examples!$F$13*$A869))/(1+EXP(MIN(700,MAX(-700,(Examples!$F$14*$A869-Examples!$F$15)/Examples!$F$16))))))+Examples!$F$17*$A869^2)</f>
        <v>-1528076.4884808089</v>
      </c>
      <c r="I869" s="33">
        <f>(Examples!$F$6*Examples!$F$7*Examples!$F$8*EXP(-Examples!$F$9*$A869)*(1-(Examples!$F$12*(1-EXP(-Examples!$F$13*$A869))/(1+EXP(MIN(700,MAX(-700,(Examples!$F$14*$A869-Examples!$F$15)/Examples!$F$16))))))+Examples!$F$17*$A869^2)</f>
        <v>1504676.4884808089</v>
      </c>
      <c r="J869" s="33">
        <f>Examples!$G$18-(Examples!$G$10+Examples!$G$11)*$A869-(Examples!$G$6*Examples!$G$7*Examples!$G$8*EXP(-Examples!$G$9*$A869)*(1-(Examples!$G$12*(1-EXP(-Examples!$G$13*$A869))/(1+EXP(MIN(700,MAX(-700,(Examples!$G$14*$A869-Examples!$G$15)/Examples!$G$16))))))+Examples!$G$17*$A869^2)</f>
        <v>368971.69306290883</v>
      </c>
      <c r="K869" s="33">
        <f>(Examples!$G$6*Examples!$G$7*Examples!$G$8*EXP(-Examples!$G$9*$A869)*(1-(Examples!$G$12*(1-EXP(-Examples!$G$13*$A869))/(1+EXP(MIN(700,MAX(-700,(Examples!$G$14*$A869-Examples!$G$15)/Examples!$G$16))))))+Examples!$G$17*$A869^2)</f>
        <v>697528.30693709117</v>
      </c>
      <c r="L869" s="33">
        <f>Examples!$H$18-(Examples!$H$10+Examples!$H$11)*$A869-(Examples!$H$6*Examples!$H$7*Examples!$H$8*EXP(-Examples!$H$9*$A869)*(1-(Examples!$H$12*(1-EXP(-Examples!$H$13*$A869))/(1+EXP(MIN(700,MAX(-700,(Examples!$H$14*$A869-Examples!$H$15)/Examples!$H$16))))))+Examples!$H$17*$A869^2)</f>
        <v>368951.38776748092</v>
      </c>
      <c r="M869" s="33">
        <f>(Examples!$H$6*Examples!$H$7*Examples!$H$8*EXP(-Examples!$H$9*$A869)*(1-(Examples!$H$12*(1-EXP(-Examples!$H$13*$A869))/(1+EXP(MIN(700,MAX(-700,(Examples!$H$14*$A869-Examples!$H$15)/Examples!$H$16))))))+Examples!$H$17*$A869^2)</f>
        <v>697548.61223251908</v>
      </c>
    </row>
    <row r="870" spans="1:13" x14ac:dyDescent="0.25">
      <c r="A870">
        <f>(870-2)/100</f>
        <v>8.68</v>
      </c>
      <c r="B870" s="33">
        <f>Examples!$C$18-(Examples!$C$10+Examples!$C$11)*$A870-(Examples!$C$6*Examples!$C$7*Examples!$C$8*EXP(-Examples!$C$9*$A870)*(1-(Examples!$C$12*(1-EXP(-Examples!$C$13*$A870))/(1+EXP(MIN(700,MAX(-700,(Examples!$C$14*$A870-Examples!$C$15)/Examples!$C$16))))))+Examples!$C$17*$A870^2)</f>
        <v>-878322.24637737055</v>
      </c>
      <c r="C870" s="33">
        <f>(Examples!$C$6*Examples!$C$7*Examples!$C$8*EXP(-Examples!$C$9*$A870)*(1-(Examples!$C$12*(1-EXP(-Examples!$C$13*$A870))/(1+EXP(MIN(700,MAX(-700,(Examples!$C$14*$A870-Examples!$C$15)/Examples!$C$16))))))+Examples!$C$17*$A870^2)</f>
        <v>1174522.2463773706</v>
      </c>
      <c r="D870" s="33">
        <f>Examples!$D$18-(Examples!$D$10+Examples!$D$11)*$A870-(Examples!$D$6*Examples!$D$7*Examples!$D$8*EXP(-Examples!$D$9*$A870)*(1-(Examples!$D$12*(1-EXP(-Examples!$D$13*$A870))/(1+EXP(MIN(700,MAX(-700,(Examples!$D$14*$A870-Examples!$D$15)/Examples!$D$16))))))+Examples!$D$17*$A870^2)</f>
        <v>1612088.6921137096</v>
      </c>
      <c r="E870" s="33">
        <f>(Examples!$D$6*Examples!$D$7*Examples!$D$8*EXP(-Examples!$D$9*$A870)*(1-(Examples!$D$12*(1-EXP(-Examples!$D$13*$A870))/(1+EXP(MIN(700,MAX(-700,(Examples!$D$14*$A870-Examples!$D$15)/Examples!$D$16))))))+Examples!$D$17*$A870^2)</f>
        <v>497311.30788629025</v>
      </c>
      <c r="F870" s="33">
        <f>Examples!$E$18-(Examples!$E$10+Examples!$E$11)*$A870-(Examples!$E$6*Examples!$E$7*Examples!$E$8*EXP(-Examples!$E$9*$A870)*(1-(Examples!$E$12*(1-EXP(-Examples!$E$13*$A870))/(1+EXP(MIN(700,MAX(-700,(Examples!$E$14*$A870-Examples!$E$15)/Examples!$E$16))))))+Examples!$E$17*$A870^2)</f>
        <v>2002467.3013066605</v>
      </c>
      <c r="G870" s="33">
        <f>(Examples!$E$6*Examples!$E$7*Examples!$E$8*EXP(-Examples!$E$9*$A870)*(1-(Examples!$E$12*(1-EXP(-Examples!$E$13*$A870))/(1+EXP(MIN(700,MAX(-700,(Examples!$E$14*$A870-Examples!$E$15)/Examples!$E$16))))))+Examples!$E$17*$A870^2)</f>
        <v>259732.69869333957</v>
      </c>
      <c r="H870" s="33">
        <f>Examples!$F$18-(Examples!$F$10+Examples!$F$11)*$A870-(Examples!$F$6*Examples!$F$7*Examples!$F$8*EXP(-Examples!$F$9*$A870)*(1-(Examples!$F$12*(1-EXP(-Examples!$F$13*$A870))/(1+EXP(MIN(700,MAX(-700,(Examples!$F$14*$A870-Examples!$F$15)/Examples!$F$16))))))+Examples!$F$17*$A870^2)</f>
        <v>-1531742.5988527262</v>
      </c>
      <c r="I870" s="33">
        <f>(Examples!$F$6*Examples!$F$7*Examples!$F$8*EXP(-Examples!$F$9*$A870)*(1-(Examples!$F$12*(1-EXP(-Examples!$F$13*$A870))/(1+EXP(MIN(700,MAX(-700,(Examples!$F$14*$A870-Examples!$F$15)/Examples!$F$16))))))+Examples!$F$17*$A870^2)</f>
        <v>1508142.5988527262</v>
      </c>
      <c r="J870" s="33">
        <f>Examples!$G$18-(Examples!$G$10+Examples!$G$11)*$A870-(Examples!$G$6*Examples!$G$7*Examples!$G$8*EXP(-Examples!$G$9*$A870)*(1-(Examples!$G$12*(1-EXP(-Examples!$G$13*$A870))/(1+EXP(MIN(700,MAX(-700,(Examples!$G$14*$A870-Examples!$G$15)/Examples!$G$16))))))+Examples!$G$17*$A870^2)</f>
        <v>367419.45792845858</v>
      </c>
      <c r="K870" s="33">
        <f>(Examples!$G$6*Examples!$G$7*Examples!$G$8*EXP(-Examples!$G$9*$A870)*(1-(Examples!$G$12*(1-EXP(-Examples!$G$13*$A870))/(1+EXP(MIN(700,MAX(-700,(Examples!$G$14*$A870-Examples!$G$15)/Examples!$G$16))))))+Examples!$G$17*$A870^2)</f>
        <v>698580.54207154142</v>
      </c>
      <c r="L870" s="33">
        <f>Examples!$H$18-(Examples!$H$10+Examples!$H$11)*$A870-(Examples!$H$6*Examples!$H$7*Examples!$H$8*EXP(-Examples!$H$9*$A870)*(1-(Examples!$H$12*(1-EXP(-Examples!$H$13*$A870))/(1+EXP(MIN(700,MAX(-700,(Examples!$H$14*$A870-Examples!$H$15)/Examples!$H$16))))))+Examples!$H$17*$A870^2)</f>
        <v>367399.49018162116</v>
      </c>
      <c r="M870" s="33">
        <f>(Examples!$H$6*Examples!$H$7*Examples!$H$8*EXP(-Examples!$H$9*$A870)*(1-(Examples!$H$12*(1-EXP(-Examples!$H$13*$A870))/(1+EXP(MIN(700,MAX(-700,(Examples!$H$14*$A870-Examples!$H$15)/Examples!$H$16))))))+Examples!$H$17*$A870^2)</f>
        <v>698600.50981837884</v>
      </c>
    </row>
    <row r="871" spans="1:13" x14ac:dyDescent="0.25">
      <c r="A871">
        <f>(871-2)/100</f>
        <v>8.69</v>
      </c>
      <c r="B871" s="33">
        <f>Examples!$C$18-(Examples!$C$10+Examples!$C$11)*$A871-(Examples!$C$6*Examples!$C$7*Examples!$C$8*EXP(-Examples!$C$9*$A871)*(1-(Examples!$C$12*(1-EXP(-Examples!$C$13*$A871))/(1+EXP(MIN(700,MAX(-700,(Examples!$C$14*$A871-Examples!$C$15)/Examples!$C$16))))))+Examples!$C$17*$A871^2)</f>
        <v>-881144.78717681789</v>
      </c>
      <c r="C871" s="33">
        <f>(Examples!$C$6*Examples!$C$7*Examples!$C$8*EXP(-Examples!$C$9*$A871)*(1-(Examples!$C$12*(1-EXP(-Examples!$C$13*$A871))/(1+EXP(MIN(700,MAX(-700,(Examples!$C$14*$A871-Examples!$C$15)/Examples!$C$16))))))+Examples!$C$17*$A871^2)</f>
        <v>1176994.7871768179</v>
      </c>
      <c r="D871" s="33">
        <f>Examples!$D$18-(Examples!$D$10+Examples!$D$11)*$A871-(Examples!$D$6*Examples!$D$7*Examples!$D$8*EXP(-Examples!$D$9*$A871)*(1-(Examples!$D$12*(1-EXP(-Examples!$D$13*$A871))/(1+EXP(MIN(700,MAX(-700,(Examples!$D$14*$A871-Examples!$D$15)/Examples!$D$16))))))+Examples!$D$17*$A871^2)</f>
        <v>1611310.0195765134</v>
      </c>
      <c r="E871" s="33">
        <f>(Examples!$D$6*Examples!$D$7*Examples!$D$8*EXP(-Examples!$D$9*$A871)*(1-(Examples!$D$12*(1-EXP(-Examples!$D$13*$A871))/(1+EXP(MIN(700,MAX(-700,(Examples!$D$14*$A871-Examples!$D$15)/Examples!$D$16))))))+Examples!$D$17*$A871^2)</f>
        <v>497639.9804234865</v>
      </c>
      <c r="F871" s="33">
        <f>Examples!$E$18-(Examples!$E$10+Examples!$E$11)*$A871-(Examples!$E$6*Examples!$E$7*Examples!$E$8*EXP(-Examples!$E$9*$A871)*(1-(Examples!$E$12*(1-EXP(-Examples!$E$13*$A871))/(1+EXP(MIN(700,MAX(-700,(Examples!$E$14*$A871-Examples!$E$15)/Examples!$E$16))))))+Examples!$E$17*$A871^2)</f>
        <v>2001253.0815011577</v>
      </c>
      <c r="G871" s="33">
        <f>(Examples!$E$6*Examples!$E$7*Examples!$E$8*EXP(-Examples!$E$9*$A871)*(1-(Examples!$E$12*(1-EXP(-Examples!$E$13*$A871))/(1+EXP(MIN(700,MAX(-700,(Examples!$E$14*$A871-Examples!$E$15)/Examples!$E$16))))))+Examples!$E$17*$A871^2)</f>
        <v>260096.91849884237</v>
      </c>
      <c r="H871" s="33">
        <f>Examples!$F$18-(Examples!$F$10+Examples!$F$11)*$A871-(Examples!$F$6*Examples!$F$7*Examples!$F$8*EXP(-Examples!$F$9*$A871)*(1-(Examples!$F$12*(1-EXP(-Examples!$F$13*$A871))/(1+EXP(MIN(700,MAX(-700,(Examples!$F$14*$A871-Examples!$F$15)/Examples!$F$16))))))+Examples!$F$17*$A871^2)</f>
        <v>-1535412.7208760416</v>
      </c>
      <c r="I871" s="33">
        <f>(Examples!$F$6*Examples!$F$7*Examples!$F$8*EXP(-Examples!$F$9*$A871)*(1-(Examples!$F$12*(1-EXP(-Examples!$F$13*$A871))/(1+EXP(MIN(700,MAX(-700,(Examples!$F$14*$A871-Examples!$F$15)/Examples!$F$16))))))+Examples!$F$17*$A871^2)</f>
        <v>1511612.7208760416</v>
      </c>
      <c r="J871" s="33">
        <f>Examples!$G$18-(Examples!$G$10+Examples!$G$11)*$A871-(Examples!$G$6*Examples!$G$7*Examples!$G$8*EXP(-Examples!$G$9*$A871)*(1-(Examples!$G$12*(1-EXP(-Examples!$G$13*$A871))/(1+EXP(MIN(700,MAX(-700,(Examples!$G$14*$A871-Examples!$G$15)/Examples!$G$16))))))+Examples!$G$17*$A871^2)</f>
        <v>365864.45409574697</v>
      </c>
      <c r="K871" s="33">
        <f>(Examples!$G$6*Examples!$G$7*Examples!$G$8*EXP(-Examples!$G$9*$A871)*(1-(Examples!$G$12*(1-EXP(-Examples!$G$13*$A871))/(1+EXP(MIN(700,MAX(-700,(Examples!$G$14*$A871-Examples!$G$15)/Examples!$G$16))))))+Examples!$G$17*$A871^2)</f>
        <v>699635.54590425303</v>
      </c>
      <c r="L871" s="33">
        <f>Examples!$H$18-(Examples!$H$10+Examples!$H$11)*$A871-(Examples!$H$6*Examples!$H$7*Examples!$H$8*EXP(-Examples!$H$9*$A871)*(1-(Examples!$H$12*(1-EXP(-Examples!$H$13*$A871))/(1+EXP(MIN(700,MAX(-700,(Examples!$H$14*$A871-Examples!$H$15)/Examples!$H$16))))))+Examples!$H$17*$A871^2)</f>
        <v>365844.81829375995</v>
      </c>
      <c r="M871" s="33">
        <f>(Examples!$H$6*Examples!$H$7*Examples!$H$8*EXP(-Examples!$H$9*$A871)*(1-(Examples!$H$12*(1-EXP(-Examples!$H$13*$A871))/(1+EXP(MIN(700,MAX(-700,(Examples!$H$14*$A871-Examples!$H$15)/Examples!$H$16))))))+Examples!$H$17*$A871^2)</f>
        <v>699655.18170624005</v>
      </c>
    </row>
    <row r="872" spans="1:13" x14ac:dyDescent="0.25">
      <c r="A872">
        <f>(872-2)/100</f>
        <v>8.6999999999999993</v>
      </c>
      <c r="B872" s="33">
        <f>Examples!$C$18-(Examples!$C$10+Examples!$C$11)*$A872-(Examples!$C$6*Examples!$C$7*Examples!$C$8*EXP(-Examples!$C$9*$A872)*(1-(Examples!$C$12*(1-EXP(-Examples!$C$13*$A872))/(1+EXP(MIN(700,MAX(-700,(Examples!$C$14*$A872-Examples!$C$15)/Examples!$C$16))))))+Examples!$C$17*$A872^2)</f>
        <v>-883970.72625614586</v>
      </c>
      <c r="C872" s="33">
        <f>(Examples!$C$6*Examples!$C$7*Examples!$C$8*EXP(-Examples!$C$9*$A872)*(1-(Examples!$C$12*(1-EXP(-Examples!$C$13*$A872))/(1+EXP(MIN(700,MAX(-700,(Examples!$C$14*$A872-Examples!$C$15)/Examples!$C$16))))))+Examples!$C$17*$A872^2)</f>
        <v>1179470.7262561459</v>
      </c>
      <c r="D872" s="33">
        <f>Examples!$D$18-(Examples!$D$10+Examples!$D$11)*$A872-(Examples!$D$6*Examples!$D$7*Examples!$D$8*EXP(-Examples!$D$9*$A872)*(1-(Examples!$D$12*(1-EXP(-Examples!$D$13*$A872))/(1+EXP(MIN(700,MAX(-700,(Examples!$D$14*$A872-Examples!$D$15)/Examples!$D$16))))))+Examples!$D$17*$A872^2)</f>
        <v>1610527.9523037798</v>
      </c>
      <c r="E872" s="33">
        <f>(Examples!$D$6*Examples!$D$7*Examples!$D$8*EXP(-Examples!$D$9*$A872)*(1-(Examples!$D$12*(1-EXP(-Examples!$D$13*$A872))/(1+EXP(MIN(700,MAX(-700,(Examples!$D$14*$A872-Examples!$D$15)/Examples!$D$16))))))+Examples!$D$17*$A872^2)</f>
        <v>497972.04769622028</v>
      </c>
      <c r="F872" s="33">
        <f>Examples!$E$18-(Examples!$E$10+Examples!$E$11)*$A872-(Examples!$E$6*Examples!$E$7*Examples!$E$8*EXP(-Examples!$E$9*$A872)*(1-(Examples!$E$12*(1-EXP(-Examples!$E$13*$A872))/(1+EXP(MIN(700,MAX(-700,(Examples!$E$14*$A872-Examples!$E$15)/Examples!$E$16))))))+Examples!$E$17*$A872^2)</f>
        <v>2000037.615098299</v>
      </c>
      <c r="G872" s="33">
        <f>(Examples!$E$6*Examples!$E$7*Examples!$E$8*EXP(-Examples!$E$9*$A872)*(1-(Examples!$E$12*(1-EXP(-Examples!$E$13*$A872))/(1+EXP(MIN(700,MAX(-700,(Examples!$E$14*$A872-Examples!$E$15)/Examples!$E$16))))))+Examples!$E$17*$A872^2)</f>
        <v>260462.38490170101</v>
      </c>
      <c r="H872" s="33">
        <f>Examples!$F$18-(Examples!$F$10+Examples!$F$11)*$A872-(Examples!$F$6*Examples!$F$7*Examples!$F$8*EXP(-Examples!$F$9*$A872)*(1-(Examples!$F$12*(1-EXP(-Examples!$F$13*$A872))/(1+EXP(MIN(700,MAX(-700,(Examples!$F$14*$A872-Examples!$F$15)/Examples!$F$16))))))+Examples!$F$17*$A872^2)</f>
        <v>-1539086.8545158531</v>
      </c>
      <c r="I872" s="33">
        <f>(Examples!$F$6*Examples!$F$7*Examples!$F$8*EXP(-Examples!$F$9*$A872)*(1-(Examples!$F$12*(1-EXP(-Examples!$F$13*$A872))/(1+EXP(MIN(700,MAX(-700,(Examples!$F$14*$A872-Examples!$F$15)/Examples!$F$16))))))+Examples!$F$17*$A872^2)</f>
        <v>1515086.8545158531</v>
      </c>
      <c r="J872" s="33">
        <f>Examples!$G$18-(Examples!$G$10+Examples!$G$11)*$A872-(Examples!$G$6*Examples!$G$7*Examples!$G$8*EXP(-Examples!$G$9*$A872)*(1-(Examples!$G$12*(1-EXP(-Examples!$G$13*$A872))/(1+EXP(MIN(700,MAX(-700,(Examples!$G$14*$A872-Examples!$G$15)/Examples!$G$16))))))+Examples!$G$17*$A872^2)</f>
        <v>364306.68557478185</v>
      </c>
      <c r="K872" s="33">
        <f>(Examples!$G$6*Examples!$G$7*Examples!$G$8*EXP(-Examples!$G$9*$A872)*(1-(Examples!$G$12*(1-EXP(-Examples!$G$13*$A872))/(1+EXP(MIN(700,MAX(-700,(Examples!$G$14*$A872-Examples!$G$15)/Examples!$G$16))))))+Examples!$G$17*$A872^2)</f>
        <v>700693.31442521815</v>
      </c>
      <c r="L872" s="33">
        <f>Examples!$H$18-(Examples!$H$10+Examples!$H$11)*$A872-(Examples!$H$6*Examples!$H$7*Examples!$H$8*EXP(-Examples!$H$9*$A872)*(1-(Examples!$H$12*(1-EXP(-Examples!$H$13*$A872))/(1+EXP(MIN(700,MAX(-700,(Examples!$H$14*$A872-Examples!$H$15)/Examples!$H$16))))))+Examples!$H$17*$A872^2)</f>
        <v>364287.37620676251</v>
      </c>
      <c r="M872" s="33">
        <f>(Examples!$H$6*Examples!$H$7*Examples!$H$8*EXP(-Examples!$H$9*$A872)*(1-(Examples!$H$12*(1-EXP(-Examples!$H$13*$A872))/(1+EXP(MIN(700,MAX(-700,(Examples!$H$14*$A872-Examples!$H$15)/Examples!$H$16))))))+Examples!$H$17*$A872^2)</f>
        <v>700712.62379323749</v>
      </c>
    </row>
    <row r="873" spans="1:13" x14ac:dyDescent="0.25">
      <c r="A873">
        <f>(873-2)/100</f>
        <v>8.7100000000000009</v>
      </c>
      <c r="B873" s="33">
        <f>Examples!$C$18-(Examples!$C$10+Examples!$C$11)*$A873-(Examples!$C$6*Examples!$C$7*Examples!$C$8*EXP(-Examples!$C$9*$A873)*(1-(Examples!$C$12*(1-EXP(-Examples!$C$13*$A873))/(1+EXP(MIN(700,MAX(-700,(Examples!$C$14*$A873-Examples!$C$15)/Examples!$C$16))))))+Examples!$C$17*$A873^2)</f>
        <v>-886800.06242230651</v>
      </c>
      <c r="C873" s="33">
        <f>(Examples!$C$6*Examples!$C$7*Examples!$C$8*EXP(-Examples!$C$9*$A873)*(1-(Examples!$C$12*(1-EXP(-Examples!$C$13*$A873))/(1+EXP(MIN(700,MAX(-700,(Examples!$C$14*$A873-Examples!$C$15)/Examples!$C$16))))))+Examples!$C$17*$A873^2)</f>
        <v>1181950.0624223065</v>
      </c>
      <c r="D873" s="33">
        <f>Examples!$D$18-(Examples!$D$10+Examples!$D$11)*$A873-(Examples!$D$6*Examples!$D$7*Examples!$D$8*EXP(-Examples!$D$9*$A873)*(1-(Examples!$D$12*(1-EXP(-Examples!$D$13*$A873))/(1+EXP(MIN(700,MAX(-700,(Examples!$D$14*$A873-Examples!$D$15)/Examples!$D$16))))))+Examples!$D$17*$A873^2)</f>
        <v>1609742.5005381294</v>
      </c>
      <c r="E873" s="33">
        <f>(Examples!$D$6*Examples!$D$7*Examples!$D$8*EXP(-Examples!$D$9*$A873)*(1-(Examples!$D$12*(1-EXP(-Examples!$D$13*$A873))/(1+EXP(MIN(700,MAX(-700,(Examples!$D$14*$A873-Examples!$D$15)/Examples!$D$16))))))+Examples!$D$17*$A873^2)</f>
        <v>498307.49946187064</v>
      </c>
      <c r="F873" s="33">
        <f>Examples!$E$18-(Examples!$E$10+Examples!$E$11)*$A873-(Examples!$E$6*Examples!$E$7*Examples!$E$8*EXP(-Examples!$E$9*$A873)*(1-(Examples!$E$12*(1-EXP(-Examples!$E$13*$A873))/(1+EXP(MIN(700,MAX(-700,(Examples!$E$14*$A873-Examples!$E$15)/Examples!$E$16))))))+Examples!$E$17*$A873^2)</f>
        <v>1998820.9037477227</v>
      </c>
      <c r="G873" s="33">
        <f>(Examples!$E$6*Examples!$E$7*Examples!$E$8*EXP(-Examples!$E$9*$A873)*(1-(Examples!$E$12*(1-EXP(-Examples!$E$13*$A873))/(1+EXP(MIN(700,MAX(-700,(Examples!$E$14*$A873-Examples!$E$15)/Examples!$E$16))))))+Examples!$E$17*$A873^2)</f>
        <v>260829.09625227732</v>
      </c>
      <c r="H873" s="33">
        <f>Examples!$F$18-(Examples!$F$10+Examples!$F$11)*$A873-(Examples!$F$6*Examples!$F$7*Examples!$F$8*EXP(-Examples!$F$9*$A873)*(1-(Examples!$F$12*(1-EXP(-Examples!$F$13*$A873))/(1+EXP(MIN(700,MAX(-700,(Examples!$F$14*$A873-Examples!$F$15)/Examples!$F$16))))))+Examples!$F$17*$A873^2)</f>
        <v>-1542764.9997373652</v>
      </c>
      <c r="I873" s="33">
        <f>(Examples!$F$6*Examples!$F$7*Examples!$F$8*EXP(-Examples!$F$9*$A873)*(1-(Examples!$F$12*(1-EXP(-Examples!$F$13*$A873))/(1+EXP(MIN(700,MAX(-700,(Examples!$F$14*$A873-Examples!$F$15)/Examples!$F$16))))))+Examples!$F$17*$A873^2)</f>
        <v>1518564.9997373652</v>
      </c>
      <c r="J873" s="33">
        <f>Examples!$G$18-(Examples!$G$10+Examples!$G$11)*$A873-(Examples!$G$6*Examples!$G$7*Examples!$G$8*EXP(-Examples!$G$9*$A873)*(1-(Examples!$G$12*(1-EXP(-Examples!$G$13*$A873))/(1+EXP(MIN(700,MAX(-700,(Examples!$G$14*$A873-Examples!$G$15)/Examples!$G$16))))))+Examples!$G$17*$A873^2)</f>
        <v>362746.15636277106</v>
      </c>
      <c r="K873" s="33">
        <f>(Examples!$G$6*Examples!$G$7*Examples!$G$8*EXP(-Examples!$G$9*$A873)*(1-(Examples!$G$12*(1-EXP(-Examples!$G$13*$A873))/(1+EXP(MIN(700,MAX(-700,(Examples!$G$14*$A873-Examples!$G$15)/Examples!$G$16))))))+Examples!$G$17*$A873^2)</f>
        <v>701753.84363722894</v>
      </c>
      <c r="L873" s="33">
        <f>Examples!$H$18-(Examples!$H$10+Examples!$H$11)*$A873-(Examples!$H$6*Examples!$H$7*Examples!$H$8*EXP(-Examples!$H$9*$A873)*(1-(Examples!$H$12*(1-EXP(-Examples!$H$13*$A873))/(1+EXP(MIN(700,MAX(-700,(Examples!$H$14*$A873-Examples!$H$15)/Examples!$H$16))))))+Examples!$H$17*$A873^2)</f>
        <v>362727.16800915892</v>
      </c>
      <c r="M873" s="33">
        <f>(Examples!$H$6*Examples!$H$7*Examples!$H$8*EXP(-Examples!$H$9*$A873)*(1-(Examples!$H$12*(1-EXP(-Examples!$H$13*$A873))/(1+EXP(MIN(700,MAX(-700,(Examples!$H$14*$A873-Examples!$H$15)/Examples!$H$16))))))+Examples!$H$17*$A873^2)</f>
        <v>701772.83199084108</v>
      </c>
    </row>
    <row r="874" spans="1:13" x14ac:dyDescent="0.25">
      <c r="A874">
        <f>(874-2)/100</f>
        <v>8.7200000000000006</v>
      </c>
      <c r="B874" s="33">
        <f>Examples!$C$18-(Examples!$C$10+Examples!$C$11)*$A874-(Examples!$C$6*Examples!$C$7*Examples!$C$8*EXP(-Examples!$C$9*$A874)*(1-(Examples!$C$12*(1-EXP(-Examples!$C$13*$A874))/(1+EXP(MIN(700,MAX(-700,(Examples!$C$14*$A874-Examples!$C$15)/Examples!$C$16))))))+Examples!$C$17*$A874^2)</f>
        <v>-889632.79448582348</v>
      </c>
      <c r="C874" s="33">
        <f>(Examples!$C$6*Examples!$C$7*Examples!$C$8*EXP(-Examples!$C$9*$A874)*(1-(Examples!$C$12*(1-EXP(-Examples!$C$13*$A874))/(1+EXP(MIN(700,MAX(-700,(Examples!$C$14*$A874-Examples!$C$15)/Examples!$C$16))))))+Examples!$C$17*$A874^2)</f>
        <v>1184432.7944858235</v>
      </c>
      <c r="D874" s="33">
        <f>Examples!$D$18-(Examples!$D$10+Examples!$D$11)*$A874-(Examples!$D$6*Examples!$D$7*Examples!$D$8*EXP(-Examples!$D$9*$A874)*(1-(Examples!$D$12*(1-EXP(-Examples!$D$13*$A874))/(1+EXP(MIN(700,MAX(-700,(Examples!$D$14*$A874-Examples!$D$15)/Examples!$D$16))))))+Examples!$D$17*$A874^2)</f>
        <v>1608953.6744851021</v>
      </c>
      <c r="E874" s="33">
        <f>(Examples!$D$6*Examples!$D$7*Examples!$D$8*EXP(-Examples!$D$9*$A874)*(1-(Examples!$D$12*(1-EXP(-Examples!$D$13*$A874))/(1+EXP(MIN(700,MAX(-700,(Examples!$D$14*$A874-Examples!$D$15)/Examples!$D$16))))))+Examples!$D$17*$A874^2)</f>
        <v>498646.32551489794</v>
      </c>
      <c r="F874" s="33">
        <f>Examples!$E$18-(Examples!$E$10+Examples!$E$11)*$A874-(Examples!$E$6*Examples!$E$7*Examples!$E$8*EXP(-Examples!$E$9*$A874)*(1-(Examples!$E$12*(1-EXP(-Examples!$E$13*$A874))/(1+EXP(MIN(700,MAX(-700,(Examples!$E$14*$A874-Examples!$E$15)/Examples!$E$16))))))+Examples!$E$17*$A874^2)</f>
        <v>1997602.9491077545</v>
      </c>
      <c r="G874" s="33">
        <f>(Examples!$E$6*Examples!$E$7*Examples!$E$8*EXP(-Examples!$E$9*$A874)*(1-(Examples!$E$12*(1-EXP(-Examples!$E$13*$A874))/(1+EXP(MIN(700,MAX(-700,(Examples!$E$14*$A874-Examples!$E$15)/Examples!$E$16))))))+Examples!$E$17*$A874^2)</f>
        <v>261197.05089224555</v>
      </c>
      <c r="H874" s="33">
        <f>Examples!$F$18-(Examples!$F$10+Examples!$F$11)*$A874-(Examples!$F$6*Examples!$F$7*Examples!$F$8*EXP(-Examples!$F$9*$A874)*(1-(Examples!$F$12*(1-EXP(-Examples!$F$13*$A874))/(1+EXP(MIN(700,MAX(-700,(Examples!$F$14*$A874-Examples!$F$15)/Examples!$F$16))))))+Examples!$F$17*$A874^2)</f>
        <v>-1546447.1565058825</v>
      </c>
      <c r="I874" s="33">
        <f>(Examples!$F$6*Examples!$F$7*Examples!$F$8*EXP(-Examples!$F$9*$A874)*(1-(Examples!$F$12*(1-EXP(-Examples!$F$13*$A874))/(1+EXP(MIN(700,MAX(-700,(Examples!$F$14*$A874-Examples!$F$15)/Examples!$F$16))))))+Examples!$F$17*$A874^2)</f>
        <v>1522047.1565058825</v>
      </c>
      <c r="J874" s="33">
        <f>Examples!$G$18-(Examples!$G$10+Examples!$G$11)*$A874-(Examples!$G$6*Examples!$G$7*Examples!$G$8*EXP(-Examples!$G$9*$A874)*(1-(Examples!$G$12*(1-EXP(-Examples!$G$13*$A874))/(1+EXP(MIN(700,MAX(-700,(Examples!$G$14*$A874-Examples!$G$15)/Examples!$G$16))))))+Examples!$G$17*$A874^2)</f>
        <v>361182.87044414785</v>
      </c>
      <c r="K874" s="33">
        <f>(Examples!$G$6*Examples!$G$7*Examples!$G$8*EXP(-Examples!$G$9*$A874)*(1-(Examples!$G$12*(1-EXP(-Examples!$G$13*$A874))/(1+EXP(MIN(700,MAX(-700,(Examples!$G$14*$A874-Examples!$G$15)/Examples!$G$16))))))+Examples!$G$17*$A874^2)</f>
        <v>702817.12955585215</v>
      </c>
      <c r="L874" s="33">
        <f>Examples!$H$18-(Examples!$H$10+Examples!$H$11)*$A874-(Examples!$H$6*Examples!$H$7*Examples!$H$8*EXP(-Examples!$H$9*$A874)*(1-(Examples!$H$12*(1-EXP(-Examples!$H$13*$A874))/(1+EXP(MIN(700,MAX(-700,(Examples!$H$14*$A874-Examples!$H$15)/Examples!$H$16))))))+Examples!$H$17*$A874^2)</f>
        <v>361164.1977751957</v>
      </c>
      <c r="M874" s="33">
        <f>(Examples!$H$6*Examples!$H$7*Examples!$H$8*EXP(-Examples!$H$9*$A874)*(1-(Examples!$H$12*(1-EXP(-Examples!$H$13*$A874))/(1+EXP(MIN(700,MAX(-700,(Examples!$H$14*$A874-Examples!$H$15)/Examples!$H$16))))))+Examples!$H$17*$A874^2)</f>
        <v>702835.8022248043</v>
      </c>
    </row>
    <row r="875" spans="1:13" x14ac:dyDescent="0.25">
      <c r="A875">
        <f>(875-2)/100</f>
        <v>8.73</v>
      </c>
      <c r="B875" s="33">
        <f>Examples!$C$18-(Examples!$C$10+Examples!$C$11)*$A875-(Examples!$C$6*Examples!$C$7*Examples!$C$8*EXP(-Examples!$C$9*$A875)*(1-(Examples!$C$12*(1-EXP(-Examples!$C$13*$A875))/(1+EXP(MIN(700,MAX(-700,(Examples!$C$14*$A875-Examples!$C$15)/Examples!$C$16))))))+Examples!$C$17*$A875^2)</f>
        <v>-892468.92126078438</v>
      </c>
      <c r="C875" s="33">
        <f>(Examples!$C$6*Examples!$C$7*Examples!$C$8*EXP(-Examples!$C$9*$A875)*(1-(Examples!$C$12*(1-EXP(-Examples!$C$13*$A875))/(1+EXP(MIN(700,MAX(-700,(Examples!$C$14*$A875-Examples!$C$15)/Examples!$C$16))))))+Examples!$C$17*$A875^2)</f>
        <v>1186918.9212607844</v>
      </c>
      <c r="D875" s="33">
        <f>Examples!$D$18-(Examples!$D$10+Examples!$D$11)*$A875-(Examples!$D$6*Examples!$D$7*Examples!$D$8*EXP(-Examples!$D$9*$A875)*(1-(Examples!$D$12*(1-EXP(-Examples!$D$13*$A875))/(1+EXP(MIN(700,MAX(-700,(Examples!$D$14*$A875-Examples!$D$15)/Examples!$D$16))))))+Examples!$D$17*$A875^2)</f>
        <v>1608161.4843131674</v>
      </c>
      <c r="E875" s="33">
        <f>(Examples!$D$6*Examples!$D$7*Examples!$D$8*EXP(-Examples!$D$9*$A875)*(1-(Examples!$D$12*(1-EXP(-Examples!$D$13*$A875))/(1+EXP(MIN(700,MAX(-700,(Examples!$D$14*$A875-Examples!$D$15)/Examples!$D$16))))))+Examples!$D$17*$A875^2)</f>
        <v>498988.5156868326</v>
      </c>
      <c r="F875" s="33">
        <f>Examples!$E$18-(Examples!$E$10+Examples!$E$11)*$A875-(Examples!$E$6*Examples!$E$7*Examples!$E$8*EXP(-Examples!$E$9*$A875)*(1-(Examples!$E$12*(1-EXP(-Examples!$E$13*$A875))/(1+EXP(MIN(700,MAX(-700,(Examples!$E$14*$A875-Examples!$E$15)/Examples!$E$16))))))+Examples!$E$17*$A875^2)</f>
        <v>1996383.7528452084</v>
      </c>
      <c r="G875" s="33">
        <f>(Examples!$E$6*Examples!$E$7*Examples!$E$8*EXP(-Examples!$E$9*$A875)*(1-(Examples!$E$12*(1-EXP(-Examples!$E$13*$A875))/(1+EXP(MIN(700,MAX(-700,(Examples!$E$14*$A875-Examples!$E$15)/Examples!$E$16))))))+Examples!$E$17*$A875^2)</f>
        <v>261566.24715479166</v>
      </c>
      <c r="H875" s="33">
        <f>Examples!$F$18-(Examples!$F$10+Examples!$F$11)*$A875-(Examples!$F$6*Examples!$F$7*Examples!$F$8*EXP(-Examples!$F$9*$A875)*(1-(Examples!$F$12*(1-EXP(-Examples!$F$13*$A875))/(1+EXP(MIN(700,MAX(-700,(Examples!$F$14*$A875-Examples!$F$15)/Examples!$F$16))))))+Examples!$F$17*$A875^2)</f>
        <v>-1550133.324786817</v>
      </c>
      <c r="I875" s="33">
        <f>(Examples!$F$6*Examples!$F$7*Examples!$F$8*EXP(-Examples!$F$9*$A875)*(1-(Examples!$F$12*(1-EXP(-Examples!$F$13*$A875))/(1+EXP(MIN(700,MAX(-700,(Examples!$F$14*$A875-Examples!$F$15)/Examples!$F$16))))))+Examples!$F$17*$A875^2)</f>
        <v>1525533.324786817</v>
      </c>
      <c r="J875" s="33">
        <f>Examples!$G$18-(Examples!$G$10+Examples!$G$11)*$A875-(Examples!$G$6*Examples!$G$7*Examples!$G$8*EXP(-Examples!$G$9*$A875)*(1-(Examples!$G$12*(1-EXP(-Examples!$G$13*$A875))/(1+EXP(MIN(700,MAX(-700,(Examples!$G$14*$A875-Examples!$G$15)/Examples!$G$16))))))+Examples!$G$17*$A875^2)</f>
        <v>359616.8317905945</v>
      </c>
      <c r="K875" s="33">
        <f>(Examples!$G$6*Examples!$G$7*Examples!$G$8*EXP(-Examples!$G$9*$A875)*(1-(Examples!$G$12*(1-EXP(-Examples!$G$13*$A875))/(1+EXP(MIN(700,MAX(-700,(Examples!$G$14*$A875-Examples!$G$15)/Examples!$G$16))))))+Examples!$G$17*$A875^2)</f>
        <v>703883.1682094055</v>
      </c>
      <c r="L875" s="33">
        <f>Examples!$H$18-(Examples!$H$10+Examples!$H$11)*$A875-(Examples!$H$6*Examples!$H$7*Examples!$H$8*EXP(-Examples!$H$9*$A875)*(1-(Examples!$H$12*(1-EXP(-Examples!$H$13*$A875))/(1+EXP(MIN(700,MAX(-700,(Examples!$H$14*$A875-Examples!$H$15)/Examples!$H$16))))))+Examples!$H$17*$A875^2)</f>
        <v>359598.46956488362</v>
      </c>
      <c r="M875" s="33">
        <f>(Examples!$H$6*Examples!$H$7*Examples!$H$8*EXP(-Examples!$H$9*$A875)*(1-(Examples!$H$12*(1-EXP(-Examples!$H$13*$A875))/(1+EXP(MIN(700,MAX(-700,(Examples!$H$14*$A875-Examples!$H$15)/Examples!$H$16))))))+Examples!$H$17*$A875^2)</f>
        <v>703901.53043511638</v>
      </c>
    </row>
    <row r="876" spans="1:13" x14ac:dyDescent="0.25">
      <c r="A876">
        <f>(876-2)/100</f>
        <v>8.74</v>
      </c>
      <c r="B876" s="33">
        <f>Examples!$C$18-(Examples!$C$10+Examples!$C$11)*$A876-(Examples!$C$6*Examples!$C$7*Examples!$C$8*EXP(-Examples!$C$9*$A876)*(1-(Examples!$C$12*(1-EXP(-Examples!$C$13*$A876))/(1+EXP(MIN(700,MAX(-700,(Examples!$C$14*$A876-Examples!$C$15)/Examples!$C$16))))))+Examples!$C$17*$A876^2)</f>
        <v>-895308.44156483002</v>
      </c>
      <c r="C876" s="33">
        <f>(Examples!$C$6*Examples!$C$7*Examples!$C$8*EXP(-Examples!$C$9*$A876)*(1-(Examples!$C$12*(1-EXP(-Examples!$C$13*$A876))/(1+EXP(MIN(700,MAX(-700,(Examples!$C$14*$A876-Examples!$C$15)/Examples!$C$16))))))+Examples!$C$17*$A876^2)</f>
        <v>1189408.44156483</v>
      </c>
      <c r="D876" s="33">
        <f>Examples!$D$18-(Examples!$D$10+Examples!$D$11)*$A876-(Examples!$D$6*Examples!$D$7*Examples!$D$8*EXP(-Examples!$D$9*$A876)*(1-(Examples!$D$12*(1-EXP(-Examples!$D$13*$A876))/(1+EXP(MIN(700,MAX(-700,(Examples!$D$14*$A876-Examples!$D$15)/Examples!$D$16))))))+Examples!$D$17*$A876^2)</f>
        <v>1607365.9401537396</v>
      </c>
      <c r="E876" s="33">
        <f>(Examples!$D$6*Examples!$D$7*Examples!$D$8*EXP(-Examples!$D$9*$A876)*(1-(Examples!$D$12*(1-EXP(-Examples!$D$13*$A876))/(1+EXP(MIN(700,MAX(-700,(Examples!$D$14*$A876-Examples!$D$15)/Examples!$D$16))))))+Examples!$D$17*$A876^2)</f>
        <v>499334.05984626035</v>
      </c>
      <c r="F876" s="33">
        <f>Examples!$E$18-(Examples!$E$10+Examples!$E$11)*$A876-(Examples!$E$6*Examples!$E$7*Examples!$E$8*EXP(-Examples!$E$9*$A876)*(1-(Examples!$E$12*(1-EXP(-Examples!$E$13*$A876))/(1+EXP(MIN(700,MAX(-700,(Examples!$E$14*$A876-Examples!$E$15)/Examples!$E$16))))))+Examples!$E$17*$A876^2)</f>
        <v>1995163.316635191</v>
      </c>
      <c r="G876" s="33">
        <f>(Examples!$E$6*Examples!$E$7*Examples!$E$8*EXP(-Examples!$E$9*$A876)*(1-(Examples!$E$12*(1-EXP(-Examples!$E$13*$A876))/(1+EXP(MIN(700,MAX(-700,(Examples!$E$14*$A876-Examples!$E$15)/Examples!$E$16))))))+Examples!$E$17*$A876^2)</f>
        <v>261936.68336480911</v>
      </c>
      <c r="H876" s="33">
        <f>Examples!$F$18-(Examples!$F$10+Examples!$F$11)*$A876-(Examples!$F$6*Examples!$F$7*Examples!$F$8*EXP(-Examples!$F$9*$A876)*(1-(Examples!$F$12*(1-EXP(-Examples!$F$13*$A876))/(1+EXP(MIN(700,MAX(-700,(Examples!$F$14*$A876-Examples!$F$15)/Examples!$F$16))))))+Examples!$F$17*$A876^2)</f>
        <v>-1553823.5045456837</v>
      </c>
      <c r="I876" s="33">
        <f>(Examples!$F$6*Examples!$F$7*Examples!$F$8*EXP(-Examples!$F$9*$A876)*(1-(Examples!$F$12*(1-EXP(-Examples!$F$13*$A876))/(1+EXP(MIN(700,MAX(-700,(Examples!$F$14*$A876-Examples!$F$15)/Examples!$F$16))))))+Examples!$F$17*$A876^2)</f>
        <v>1529023.5045456837</v>
      </c>
      <c r="J876" s="33">
        <f>Examples!$G$18-(Examples!$G$10+Examples!$G$11)*$A876-(Examples!$G$6*Examples!$G$7*Examples!$G$8*EXP(-Examples!$G$9*$A876)*(1-(Examples!$G$12*(1-EXP(-Examples!$G$13*$A876))/(1+EXP(MIN(700,MAX(-700,(Examples!$G$14*$A876-Examples!$G$15)/Examples!$G$16))))))+Examples!$G$17*$A876^2)</f>
        <v>358048.04436106922</v>
      </c>
      <c r="K876" s="33">
        <f>(Examples!$G$6*Examples!$G$7*Examples!$G$8*EXP(-Examples!$G$9*$A876)*(1-(Examples!$G$12*(1-EXP(-Examples!$G$13*$A876))/(1+EXP(MIN(700,MAX(-700,(Examples!$G$14*$A876-Examples!$G$15)/Examples!$G$16))))))+Examples!$G$17*$A876^2)</f>
        <v>704951.95563893078</v>
      </c>
      <c r="L876" s="33">
        <f>Examples!$H$18-(Examples!$H$10+Examples!$H$11)*$A876-(Examples!$H$6*Examples!$H$7*Examples!$H$8*EXP(-Examples!$H$9*$A876)*(1-(Examples!$H$12*(1-EXP(-Examples!$H$13*$A876))/(1+EXP(MIN(700,MAX(-700,(Examples!$H$14*$A876-Examples!$H$15)/Examples!$H$16))))))+Examples!$H$17*$A876^2)</f>
        <v>358029.98742404894</v>
      </c>
      <c r="M876" s="33">
        <f>(Examples!$H$6*Examples!$H$7*Examples!$H$8*EXP(-Examples!$H$9*$A876)*(1-(Examples!$H$12*(1-EXP(-Examples!$H$13*$A876))/(1+EXP(MIN(700,MAX(-700,(Examples!$H$14*$A876-Examples!$H$15)/Examples!$H$16))))))+Examples!$H$17*$A876^2)</f>
        <v>704970.01257595106</v>
      </c>
    </row>
    <row r="877" spans="1:13" x14ac:dyDescent="0.25">
      <c r="A877">
        <f>(877-2)/100</f>
        <v>8.75</v>
      </c>
      <c r="B877" s="33">
        <f>Examples!$C$18-(Examples!$C$10+Examples!$C$11)*$A877-(Examples!$C$6*Examples!$C$7*Examples!$C$8*EXP(-Examples!$C$9*$A877)*(1-(Examples!$C$12*(1-EXP(-Examples!$C$13*$A877))/(1+EXP(MIN(700,MAX(-700,(Examples!$C$14*$A877-Examples!$C$15)/Examples!$C$16))))))+Examples!$C$17*$A877^2)</f>
        <v>-898151.35421914235</v>
      </c>
      <c r="C877" s="33">
        <f>(Examples!$C$6*Examples!$C$7*Examples!$C$8*EXP(-Examples!$C$9*$A877)*(1-(Examples!$C$12*(1-EXP(-Examples!$C$13*$A877))/(1+EXP(MIN(700,MAX(-700,(Examples!$C$14*$A877-Examples!$C$15)/Examples!$C$16))))))+Examples!$C$17*$A877^2)</f>
        <v>1191901.3542191423</v>
      </c>
      <c r="D877" s="33">
        <f>Examples!$D$18-(Examples!$D$10+Examples!$D$11)*$A877-(Examples!$D$6*Examples!$D$7*Examples!$D$8*EXP(-Examples!$D$9*$A877)*(1-(Examples!$D$12*(1-EXP(-Examples!$D$13*$A877))/(1+EXP(MIN(700,MAX(-700,(Examples!$D$14*$A877-Examples!$D$15)/Examples!$D$16))))))+Examples!$D$17*$A877^2)</f>
        <v>1606567.0521011946</v>
      </c>
      <c r="E877" s="33">
        <f>(Examples!$D$6*Examples!$D$7*Examples!$D$8*EXP(-Examples!$D$9*$A877)*(1-(Examples!$D$12*(1-EXP(-Examples!$D$13*$A877))/(1+EXP(MIN(700,MAX(-700,(Examples!$D$14*$A877-Examples!$D$15)/Examples!$D$16))))))+Examples!$D$17*$A877^2)</f>
        <v>499682.94789880537</v>
      </c>
      <c r="F877" s="33">
        <f>Examples!$E$18-(Examples!$E$10+Examples!$E$11)*$A877-(Examples!$E$6*Examples!$E$7*Examples!$E$8*EXP(-Examples!$E$9*$A877)*(1-(Examples!$E$12*(1-EXP(-Examples!$E$13*$A877))/(1+EXP(MIN(700,MAX(-700,(Examples!$E$14*$A877-Examples!$E$15)/Examples!$E$16))))))+Examples!$E$17*$A877^2)</f>
        <v>1993941.6421609067</v>
      </c>
      <c r="G877" s="33">
        <f>(Examples!$E$6*Examples!$E$7*Examples!$E$8*EXP(-Examples!$E$9*$A877)*(1-(Examples!$E$12*(1-EXP(-Examples!$E$13*$A877))/(1+EXP(MIN(700,MAX(-700,(Examples!$E$14*$A877-Examples!$E$15)/Examples!$E$16))))))+Examples!$E$17*$A877^2)</f>
        <v>262308.35783909337</v>
      </c>
      <c r="H877" s="33">
        <f>Examples!$F$18-(Examples!$F$10+Examples!$F$11)*$A877-(Examples!$F$6*Examples!$F$7*Examples!$F$8*EXP(-Examples!$F$9*$A877)*(1-(Examples!$F$12*(1-EXP(-Examples!$F$13*$A877))/(1+EXP(MIN(700,MAX(-700,(Examples!$F$14*$A877-Examples!$F$15)/Examples!$F$16))))))+Examples!$F$17*$A877^2)</f>
        <v>-1557517.6957480994</v>
      </c>
      <c r="I877" s="33">
        <f>(Examples!$F$6*Examples!$F$7*Examples!$F$8*EXP(-Examples!$F$9*$A877)*(1-(Examples!$F$12*(1-EXP(-Examples!$F$13*$A877))/(1+EXP(MIN(700,MAX(-700,(Examples!$F$14*$A877-Examples!$F$15)/Examples!$F$16))))))+Examples!$F$17*$A877^2)</f>
        <v>1532517.6957480994</v>
      </c>
      <c r="J877" s="33">
        <f>Examples!$G$18-(Examples!$G$10+Examples!$G$11)*$A877-(Examples!$G$6*Examples!$G$7*Examples!$G$8*EXP(-Examples!$G$9*$A877)*(1-(Examples!$G$12*(1-EXP(-Examples!$G$13*$A877))/(1+EXP(MIN(700,MAX(-700,(Examples!$G$14*$A877-Examples!$G$15)/Examples!$G$16))))))+Examples!$G$17*$A877^2)</f>
        <v>356476.51210183045</v>
      </c>
      <c r="K877" s="33">
        <f>(Examples!$G$6*Examples!$G$7*Examples!$G$8*EXP(-Examples!$G$9*$A877)*(1-(Examples!$G$12*(1-EXP(-Examples!$G$13*$A877))/(1+EXP(MIN(700,MAX(-700,(Examples!$G$14*$A877-Examples!$G$15)/Examples!$G$16))))))+Examples!$G$17*$A877^2)</f>
        <v>706023.48789816955</v>
      </c>
      <c r="L877" s="33">
        <f>Examples!$H$18-(Examples!$H$10+Examples!$H$11)*$A877-(Examples!$H$6*Examples!$H$7*Examples!$H$8*EXP(-Examples!$H$9*$A877)*(1-(Examples!$H$12*(1-EXP(-Examples!$H$13*$A877))/(1+EXP(MIN(700,MAX(-700,(Examples!$H$14*$A877-Examples!$H$15)/Examples!$H$16))))))+Examples!$H$17*$A877^2)</f>
        <v>356458.75538438268</v>
      </c>
      <c r="M877" s="33">
        <f>(Examples!$H$6*Examples!$H$7*Examples!$H$8*EXP(-Examples!$H$9*$A877)*(1-(Examples!$H$12*(1-EXP(-Examples!$H$13*$A877))/(1+EXP(MIN(700,MAX(-700,(Examples!$H$14*$A877-Examples!$H$15)/Examples!$H$16))))))+Examples!$H$17*$A877^2)</f>
        <v>706041.24461561732</v>
      </c>
    </row>
    <row r="878" spans="1:13" x14ac:dyDescent="0.25">
      <c r="A878">
        <f>(878-2)/100</f>
        <v>8.76</v>
      </c>
      <c r="B878" s="33">
        <f>Examples!$C$18-(Examples!$C$10+Examples!$C$11)*$A878-(Examples!$C$6*Examples!$C$7*Examples!$C$8*EXP(-Examples!$C$9*$A878)*(1-(Examples!$C$12*(1-EXP(-Examples!$C$13*$A878))/(1+EXP(MIN(700,MAX(-700,(Examples!$C$14*$A878-Examples!$C$15)/Examples!$C$16))))))+Examples!$C$17*$A878^2)</f>
        <v>-900997.65804843395</v>
      </c>
      <c r="C878" s="33">
        <f>(Examples!$C$6*Examples!$C$7*Examples!$C$8*EXP(-Examples!$C$9*$A878)*(1-(Examples!$C$12*(1-EXP(-Examples!$C$13*$A878))/(1+EXP(MIN(700,MAX(-700,(Examples!$C$14*$A878-Examples!$C$15)/Examples!$C$16))))))+Examples!$C$17*$A878^2)</f>
        <v>1194397.658048434</v>
      </c>
      <c r="D878" s="33">
        <f>Examples!$D$18-(Examples!$D$10+Examples!$D$11)*$A878-(Examples!$D$6*Examples!$D$7*Examples!$D$8*EXP(-Examples!$D$9*$A878)*(1-(Examples!$D$12*(1-EXP(-Examples!$D$13*$A878))/(1+EXP(MIN(700,MAX(-700,(Examples!$D$14*$A878-Examples!$D$15)/Examples!$D$16))))))+Examples!$D$17*$A878^2)</f>
        <v>1605764.830212889</v>
      </c>
      <c r="E878" s="33">
        <f>(Examples!$D$6*Examples!$D$7*Examples!$D$8*EXP(-Examples!$D$9*$A878)*(1-(Examples!$D$12*(1-EXP(-Examples!$D$13*$A878))/(1+EXP(MIN(700,MAX(-700,(Examples!$D$14*$A878-Examples!$D$15)/Examples!$D$16))))))+Examples!$D$17*$A878^2)</f>
        <v>500035.16978711105</v>
      </c>
      <c r="F878" s="33">
        <f>Examples!$E$18-(Examples!$E$10+Examples!$E$11)*$A878-(Examples!$E$6*Examples!$E$7*Examples!$E$8*EXP(-Examples!$E$9*$A878)*(1-(Examples!$E$12*(1-EXP(-Examples!$E$13*$A878))/(1+EXP(MIN(700,MAX(-700,(Examples!$E$14*$A878-Examples!$E$15)/Examples!$E$16))))))+Examples!$E$17*$A878^2)</f>
        <v>1992718.731113465</v>
      </c>
      <c r="G878" s="33">
        <f>(Examples!$E$6*Examples!$E$7*Examples!$E$8*EXP(-Examples!$E$9*$A878)*(1-(Examples!$E$12*(1-EXP(-Examples!$E$13*$A878))/(1+EXP(MIN(700,MAX(-700,(Examples!$E$14*$A878-Examples!$E$15)/Examples!$E$16))))))+Examples!$E$17*$A878^2)</f>
        <v>262681.26888653485</v>
      </c>
      <c r="H878" s="33">
        <f>Examples!$F$18-(Examples!$F$10+Examples!$F$11)*$A878-(Examples!$F$6*Examples!$F$7*Examples!$F$8*EXP(-Examples!$F$9*$A878)*(1-(Examples!$F$12*(1-EXP(-Examples!$F$13*$A878))/(1+EXP(MIN(700,MAX(-700,(Examples!$F$14*$A878-Examples!$F$15)/Examples!$F$16))))))+Examples!$F$17*$A878^2)</f>
        <v>-1561215.8983597856</v>
      </c>
      <c r="I878" s="33">
        <f>(Examples!$F$6*Examples!$F$7*Examples!$F$8*EXP(-Examples!$F$9*$A878)*(1-(Examples!$F$12*(1-EXP(-Examples!$F$13*$A878))/(1+EXP(MIN(700,MAX(-700,(Examples!$F$14*$A878-Examples!$F$15)/Examples!$F$16))))))+Examples!$F$17*$A878^2)</f>
        <v>1536015.8983597856</v>
      </c>
      <c r="J878" s="33">
        <f>Examples!$G$18-(Examples!$G$10+Examples!$G$11)*$A878-(Examples!$G$6*Examples!$G$7*Examples!$G$8*EXP(-Examples!$G$9*$A878)*(1-(Examples!$G$12*(1-EXP(-Examples!$G$13*$A878))/(1+EXP(MIN(700,MAX(-700,(Examples!$G$14*$A878-Examples!$G$15)/Examples!$G$16))))))+Examples!$G$17*$A878^2)</f>
        <v>354902.23894646321</v>
      </c>
      <c r="K878" s="33">
        <f>(Examples!$G$6*Examples!$G$7*Examples!$G$8*EXP(-Examples!$G$9*$A878)*(1-(Examples!$G$12*(1-EXP(-Examples!$G$13*$A878))/(1+EXP(MIN(700,MAX(-700,(Examples!$G$14*$A878-Examples!$G$15)/Examples!$G$16))))))+Examples!$G$17*$A878^2)</f>
        <v>707097.76105353679</v>
      </c>
      <c r="L878" s="33">
        <f>Examples!$H$18-(Examples!$H$10+Examples!$H$11)*$A878-(Examples!$H$6*Examples!$H$7*Examples!$H$8*EXP(-Examples!$H$9*$A878)*(1-(Examples!$H$12*(1-EXP(-Examples!$H$13*$A878))/(1+EXP(MIN(700,MAX(-700,(Examples!$H$14*$A878-Examples!$H$15)/Examples!$H$16))))))+Examples!$H$17*$A878^2)</f>
        <v>354884.77746348933</v>
      </c>
      <c r="M878" s="33">
        <f>(Examples!$H$6*Examples!$H$7*Examples!$H$8*EXP(-Examples!$H$9*$A878)*(1-(Examples!$H$12*(1-EXP(-Examples!$H$13*$A878))/(1+EXP(MIN(700,MAX(-700,(Examples!$H$14*$A878-Examples!$H$15)/Examples!$H$16))))))+Examples!$H$17*$A878^2)</f>
        <v>707115.22253651067</v>
      </c>
    </row>
    <row r="879" spans="1:13" x14ac:dyDescent="0.25">
      <c r="A879">
        <f>(879-2)/100</f>
        <v>8.77</v>
      </c>
      <c r="B879" s="33">
        <f>Examples!$C$18-(Examples!$C$10+Examples!$C$11)*$A879-(Examples!$C$6*Examples!$C$7*Examples!$C$8*EXP(-Examples!$C$9*$A879)*(1-(Examples!$C$12*(1-EXP(-Examples!$C$13*$A879))/(1+EXP(MIN(700,MAX(-700,(Examples!$C$14*$A879-Examples!$C$15)/Examples!$C$16))))))+Examples!$C$17*$A879^2)</f>
        <v>-903847.35188093875</v>
      </c>
      <c r="C879" s="33">
        <f>(Examples!$C$6*Examples!$C$7*Examples!$C$8*EXP(-Examples!$C$9*$A879)*(1-(Examples!$C$12*(1-EXP(-Examples!$C$13*$A879))/(1+EXP(MIN(700,MAX(-700,(Examples!$C$14*$A879-Examples!$C$15)/Examples!$C$16))))))+Examples!$C$17*$A879^2)</f>
        <v>1196897.3518809387</v>
      </c>
      <c r="D879" s="33">
        <f>Examples!$D$18-(Examples!$D$10+Examples!$D$11)*$A879-(Examples!$D$6*Examples!$D$7*Examples!$D$8*EXP(-Examples!$D$9*$A879)*(1-(Examples!$D$12*(1-EXP(-Examples!$D$13*$A879))/(1+EXP(MIN(700,MAX(-700,(Examples!$D$14*$A879-Examples!$D$15)/Examples!$D$16))))))+Examples!$D$17*$A879^2)</f>
        <v>1604959.284509182</v>
      </c>
      <c r="E879" s="33">
        <f>(Examples!$D$6*Examples!$D$7*Examples!$D$8*EXP(-Examples!$D$9*$A879)*(1-(Examples!$D$12*(1-EXP(-Examples!$D$13*$A879))/(1+EXP(MIN(700,MAX(-700,(Examples!$D$14*$A879-Examples!$D$15)/Examples!$D$16))))))+Examples!$D$17*$A879^2)</f>
        <v>500390.71549081791</v>
      </c>
      <c r="F879" s="33">
        <f>Examples!$E$18-(Examples!$E$10+Examples!$E$11)*$A879-(Examples!$E$6*Examples!$E$7*Examples!$E$8*EXP(-Examples!$E$9*$A879)*(1-(Examples!$E$12*(1-EXP(-Examples!$E$13*$A879))/(1+EXP(MIN(700,MAX(-700,(Examples!$E$14*$A879-Examples!$E$15)/Examples!$E$16))))))+Examples!$E$17*$A879^2)</f>
        <v>1991494.5851916906</v>
      </c>
      <c r="G879" s="33">
        <f>(Examples!$E$6*Examples!$E$7*Examples!$E$8*EXP(-Examples!$E$9*$A879)*(1-(Examples!$E$12*(1-EXP(-Examples!$E$13*$A879))/(1+EXP(MIN(700,MAX(-700,(Examples!$E$14*$A879-Examples!$E$15)/Examples!$E$16))))))+Examples!$E$17*$A879^2)</f>
        <v>263055.41480830946</v>
      </c>
      <c r="H879" s="33">
        <f>Examples!$F$18-(Examples!$F$10+Examples!$F$11)*$A879-(Examples!$F$6*Examples!$F$7*Examples!$F$8*EXP(-Examples!$F$9*$A879)*(1-(Examples!$F$12*(1-EXP(-Examples!$F$13*$A879))/(1+EXP(MIN(700,MAX(-700,(Examples!$F$14*$A879-Examples!$F$15)/Examples!$F$16))))))+Examples!$F$17*$A879^2)</f>
        <v>-1564918.1123465654</v>
      </c>
      <c r="I879" s="33">
        <f>(Examples!$F$6*Examples!$F$7*Examples!$F$8*EXP(-Examples!$F$9*$A879)*(1-(Examples!$F$12*(1-EXP(-Examples!$F$13*$A879))/(1+EXP(MIN(700,MAX(-700,(Examples!$F$14*$A879-Examples!$F$15)/Examples!$F$16))))))+Examples!$F$17*$A879^2)</f>
        <v>1539518.1123465654</v>
      </c>
      <c r="J879" s="33">
        <f>Examples!$G$18-(Examples!$G$10+Examples!$G$11)*$A879-(Examples!$G$6*Examples!$G$7*Examples!$G$8*EXP(-Examples!$G$9*$A879)*(1-(Examples!$G$12*(1-EXP(-Examples!$G$13*$A879))/(1+EXP(MIN(700,MAX(-700,(Examples!$G$14*$A879-Examples!$G$15)/Examples!$G$16))))))+Examples!$G$17*$A879^2)</f>
        <v>353325.22881590482</v>
      </c>
      <c r="K879" s="33">
        <f>(Examples!$G$6*Examples!$G$7*Examples!$G$8*EXP(-Examples!$G$9*$A879)*(1-(Examples!$G$12*(1-EXP(-Examples!$G$13*$A879))/(1+EXP(MIN(700,MAX(-700,(Examples!$G$14*$A879-Examples!$G$15)/Examples!$G$16))))))+Examples!$G$17*$A879^2)</f>
        <v>708174.77118409518</v>
      </c>
      <c r="L879" s="33">
        <f>Examples!$H$18-(Examples!$H$10+Examples!$H$11)*$A879-(Examples!$H$6*Examples!$H$7*Examples!$H$8*EXP(-Examples!$H$9*$A879)*(1-(Examples!$H$12*(1-EXP(-Examples!$H$13*$A879))/(1+EXP(MIN(700,MAX(-700,(Examples!$H$14*$A879-Examples!$H$15)/Examples!$H$16))))))+Examples!$H$17*$A879^2)</f>
        <v>353308.05766493711</v>
      </c>
      <c r="M879" s="33">
        <f>(Examples!$H$6*Examples!$H$7*Examples!$H$8*EXP(-Examples!$H$9*$A879)*(1-(Examples!$H$12*(1-EXP(-Examples!$H$13*$A879))/(1+EXP(MIN(700,MAX(-700,(Examples!$H$14*$A879-Examples!$H$15)/Examples!$H$16))))))+Examples!$H$17*$A879^2)</f>
        <v>708191.94233506289</v>
      </c>
    </row>
    <row r="880" spans="1:13" x14ac:dyDescent="0.25">
      <c r="A880">
        <f>(880-2)/100</f>
        <v>8.7799999999999994</v>
      </c>
      <c r="B880" s="33">
        <f>Examples!$C$18-(Examples!$C$10+Examples!$C$11)*$A880-(Examples!$C$6*Examples!$C$7*Examples!$C$8*EXP(-Examples!$C$9*$A880)*(1-(Examples!$C$12*(1-EXP(-Examples!$C$13*$A880))/(1+EXP(MIN(700,MAX(-700,(Examples!$C$14*$A880-Examples!$C$15)/Examples!$C$16))))))+Examples!$C$17*$A880^2)</f>
        <v>-906700.43454840058</v>
      </c>
      <c r="C880" s="33">
        <f>(Examples!$C$6*Examples!$C$7*Examples!$C$8*EXP(-Examples!$C$9*$A880)*(1-(Examples!$C$12*(1-EXP(-Examples!$C$13*$A880))/(1+EXP(MIN(700,MAX(-700,(Examples!$C$14*$A880-Examples!$C$15)/Examples!$C$16))))))+Examples!$C$17*$A880^2)</f>
        <v>1199400.4345484006</v>
      </c>
      <c r="D880" s="33">
        <f>Examples!$D$18-(Examples!$D$10+Examples!$D$11)*$A880-(Examples!$D$6*Examples!$D$7*Examples!$D$8*EXP(-Examples!$D$9*$A880)*(1-(Examples!$D$12*(1-EXP(-Examples!$D$13*$A880))/(1+EXP(MIN(700,MAX(-700,(Examples!$D$14*$A880-Examples!$D$15)/Examples!$D$16))))))+Examples!$D$17*$A880^2)</f>
        <v>1604150.4249734604</v>
      </c>
      <c r="E880" s="33">
        <f>(Examples!$D$6*Examples!$D$7*Examples!$D$8*EXP(-Examples!$D$9*$A880)*(1-(Examples!$D$12*(1-EXP(-Examples!$D$13*$A880))/(1+EXP(MIN(700,MAX(-700,(Examples!$D$14*$A880-Examples!$D$15)/Examples!$D$16))))))+Examples!$D$17*$A880^2)</f>
        <v>500749.5750265395</v>
      </c>
      <c r="F880" s="33">
        <f>Examples!$E$18-(Examples!$E$10+Examples!$E$11)*$A880-(Examples!$E$6*Examples!$E$7*Examples!$E$8*EXP(-Examples!$E$9*$A880)*(1-(Examples!$E$12*(1-EXP(-Examples!$E$13*$A880))/(1+EXP(MIN(700,MAX(-700,(Examples!$E$14*$A880-Examples!$E$15)/Examples!$E$16))))))+Examples!$E$17*$A880^2)</f>
        <v>1990269.2061019323</v>
      </c>
      <c r="G880" s="33">
        <f>(Examples!$E$6*Examples!$E$7*Examples!$E$8*EXP(-Examples!$E$9*$A880)*(1-(Examples!$E$12*(1-EXP(-Examples!$E$13*$A880))/(1+EXP(MIN(700,MAX(-700,(Examples!$E$14*$A880-Examples!$E$15)/Examples!$E$16))))))+Examples!$E$17*$A880^2)</f>
        <v>263430.79389806767</v>
      </c>
      <c r="H880" s="33">
        <f>Examples!$F$18-(Examples!$F$10+Examples!$F$11)*$A880-(Examples!$F$6*Examples!$F$7*Examples!$F$8*EXP(-Examples!$F$9*$A880)*(1-(Examples!$F$12*(1-EXP(-Examples!$F$13*$A880))/(1+EXP(MIN(700,MAX(-700,(Examples!$F$14*$A880-Examples!$F$15)/Examples!$F$16))))))+Examples!$F$17*$A880^2)</f>
        <v>-1568624.3376743649</v>
      </c>
      <c r="I880" s="33">
        <f>(Examples!$F$6*Examples!$F$7*Examples!$F$8*EXP(-Examples!$F$9*$A880)*(1-(Examples!$F$12*(1-EXP(-Examples!$F$13*$A880))/(1+EXP(MIN(700,MAX(-700,(Examples!$F$14*$A880-Examples!$F$15)/Examples!$F$16))))))+Examples!$F$17*$A880^2)</f>
        <v>1543024.3376743649</v>
      </c>
      <c r="J880" s="33">
        <f>Examples!$G$18-(Examples!$G$10+Examples!$G$11)*$A880-(Examples!$G$6*Examples!$G$7*Examples!$G$8*EXP(-Examples!$G$9*$A880)*(1-(Examples!$G$12*(1-EXP(-Examples!$G$13*$A880))/(1+EXP(MIN(700,MAX(-700,(Examples!$G$14*$A880-Examples!$G$15)/Examples!$G$16))))))+Examples!$G$17*$A880^2)</f>
        <v>351745.48561847105</v>
      </c>
      <c r="K880" s="33">
        <f>(Examples!$G$6*Examples!$G$7*Examples!$G$8*EXP(-Examples!$G$9*$A880)*(1-(Examples!$G$12*(1-EXP(-Examples!$G$13*$A880))/(1+EXP(MIN(700,MAX(-700,(Examples!$G$14*$A880-Examples!$G$15)/Examples!$G$16))))))+Examples!$G$17*$A880^2)</f>
        <v>709254.51438152895</v>
      </c>
      <c r="L880" s="33">
        <f>Examples!$H$18-(Examples!$H$10+Examples!$H$11)*$A880-(Examples!$H$6*Examples!$H$7*Examples!$H$8*EXP(-Examples!$H$9*$A880)*(1-(Examples!$H$12*(1-EXP(-Examples!$H$13*$A880))/(1+EXP(MIN(700,MAX(-700,(Examples!$H$14*$A880-Examples!$H$15)/Examples!$H$16))))))+Examples!$H$17*$A880^2)</f>
        <v>351728.5999783061</v>
      </c>
      <c r="M880" s="33">
        <f>(Examples!$H$6*Examples!$H$7*Examples!$H$8*EXP(-Examples!$H$9*$A880)*(1-(Examples!$H$12*(1-EXP(-Examples!$H$13*$A880))/(1+EXP(MIN(700,MAX(-700,(Examples!$H$14*$A880-Examples!$H$15)/Examples!$H$16))))))+Examples!$H$17*$A880^2)</f>
        <v>709271.4000216939</v>
      </c>
    </row>
    <row r="881" spans="1:13" x14ac:dyDescent="0.25">
      <c r="A881">
        <f>(881-2)/100</f>
        <v>8.7899999999999991</v>
      </c>
      <c r="B881" s="33">
        <f>Examples!$C$18-(Examples!$C$10+Examples!$C$11)*$A881-(Examples!$C$6*Examples!$C$7*Examples!$C$8*EXP(-Examples!$C$9*$A881)*(1-(Examples!$C$12*(1-EXP(-Examples!$C$13*$A881))/(1+EXP(MIN(700,MAX(-700,(Examples!$C$14*$A881-Examples!$C$15)/Examples!$C$16))))))+Examples!$C$17*$A881^2)</f>
        <v>-909556.90488606202</v>
      </c>
      <c r="C881" s="33">
        <f>(Examples!$C$6*Examples!$C$7*Examples!$C$8*EXP(-Examples!$C$9*$A881)*(1-(Examples!$C$12*(1-EXP(-Examples!$C$13*$A881))/(1+EXP(MIN(700,MAX(-700,(Examples!$C$14*$A881-Examples!$C$15)/Examples!$C$16))))))+Examples!$C$17*$A881^2)</f>
        <v>1201906.904886062</v>
      </c>
      <c r="D881" s="33">
        <f>Examples!$D$18-(Examples!$D$10+Examples!$D$11)*$A881-(Examples!$D$6*Examples!$D$7*Examples!$D$8*EXP(-Examples!$D$9*$A881)*(1-(Examples!$D$12*(1-EXP(-Examples!$D$13*$A881))/(1+EXP(MIN(700,MAX(-700,(Examples!$D$14*$A881-Examples!$D$15)/Examples!$D$16))))))+Examples!$D$17*$A881^2)</f>
        <v>1603338.2615521643</v>
      </c>
      <c r="E881" s="33">
        <f>(Examples!$D$6*Examples!$D$7*Examples!$D$8*EXP(-Examples!$D$9*$A881)*(1-(Examples!$D$12*(1-EXP(-Examples!$D$13*$A881))/(1+EXP(MIN(700,MAX(-700,(Examples!$D$14*$A881-Examples!$D$15)/Examples!$D$16))))))+Examples!$D$17*$A881^2)</f>
        <v>501111.73844783567</v>
      </c>
      <c r="F881" s="33">
        <f>Examples!$E$18-(Examples!$E$10+Examples!$E$11)*$A881-(Examples!$E$6*Examples!$E$7*Examples!$E$8*EXP(-Examples!$E$9*$A881)*(1-(Examples!$E$12*(1-EXP(-Examples!$E$13*$A881))/(1+EXP(MIN(700,MAX(-700,(Examples!$E$14*$A881-Examples!$E$15)/Examples!$E$16))))))+Examples!$E$17*$A881^2)</f>
        <v>1989042.5955578783</v>
      </c>
      <c r="G881" s="33">
        <f>(Examples!$E$6*Examples!$E$7*Examples!$E$8*EXP(-Examples!$E$9*$A881)*(1-(Examples!$E$12*(1-EXP(-Examples!$E$13*$A881))/(1+EXP(MIN(700,MAX(-700,(Examples!$E$14*$A881-Examples!$E$15)/Examples!$E$16))))))+Examples!$E$17*$A881^2)</f>
        <v>263807.40444212162</v>
      </c>
      <c r="H881" s="33">
        <f>Examples!$F$18-(Examples!$F$10+Examples!$F$11)*$A881-(Examples!$F$6*Examples!$F$7*Examples!$F$8*EXP(-Examples!$F$9*$A881)*(1-(Examples!$F$12*(1-EXP(-Examples!$F$13*$A881))/(1+EXP(MIN(700,MAX(-700,(Examples!$F$14*$A881-Examples!$F$15)/Examples!$F$16))))))+Examples!$F$17*$A881^2)</f>
        <v>-1572334.5743092122</v>
      </c>
      <c r="I881" s="33">
        <f>(Examples!$F$6*Examples!$F$7*Examples!$F$8*EXP(-Examples!$F$9*$A881)*(1-(Examples!$F$12*(1-EXP(-Examples!$F$13*$A881))/(1+EXP(MIN(700,MAX(-700,(Examples!$F$14*$A881-Examples!$F$15)/Examples!$F$16))))))+Examples!$F$17*$A881^2)</f>
        <v>1546534.5743092122</v>
      </c>
      <c r="J881" s="33">
        <f>Examples!$G$18-(Examples!$G$10+Examples!$G$11)*$A881-(Examples!$G$6*Examples!$G$7*Examples!$G$8*EXP(-Examples!$G$9*$A881)*(1-(Examples!$G$12*(1-EXP(-Examples!$G$13*$A881))/(1+EXP(MIN(700,MAX(-700,(Examples!$G$14*$A881-Examples!$G$15)/Examples!$G$16))))))+Examples!$G$17*$A881^2)</f>
        <v>350163.01324988261</v>
      </c>
      <c r="K881" s="33">
        <f>(Examples!$G$6*Examples!$G$7*Examples!$G$8*EXP(-Examples!$G$9*$A881)*(1-(Examples!$G$12*(1-EXP(-Examples!$G$13*$A881))/(1+EXP(MIN(700,MAX(-700,(Examples!$G$14*$A881-Examples!$G$15)/Examples!$G$16))))))+Examples!$G$17*$A881^2)</f>
        <v>710336.98675011739</v>
      </c>
      <c r="L881" s="33">
        <f>Examples!$H$18-(Examples!$H$10+Examples!$H$11)*$A881-(Examples!$H$6*Examples!$H$7*Examples!$H$8*EXP(-Examples!$H$9*$A881)*(1-(Examples!$H$12*(1-EXP(-Examples!$H$13*$A881))/(1+EXP(MIN(700,MAX(-700,(Examples!$H$14*$A881-Examples!$H$15)/Examples!$H$16))))))+Examples!$H$17*$A881^2)</f>
        <v>350146.40837923752</v>
      </c>
      <c r="M881" s="33">
        <f>(Examples!$H$6*Examples!$H$7*Examples!$H$8*EXP(-Examples!$H$9*$A881)*(1-(Examples!$H$12*(1-EXP(-Examples!$H$13*$A881))/(1+EXP(MIN(700,MAX(-700,(Examples!$H$14*$A881-Examples!$H$15)/Examples!$H$16))))))+Examples!$H$17*$A881^2)</f>
        <v>710353.59162076248</v>
      </c>
    </row>
    <row r="882" spans="1:13" x14ac:dyDescent="0.25">
      <c r="A882">
        <f>(882-2)/100</f>
        <v>8.8000000000000007</v>
      </c>
      <c r="B882" s="33">
        <f>Examples!$C$18-(Examples!$C$10+Examples!$C$11)*$A882-(Examples!$C$6*Examples!$C$7*Examples!$C$8*EXP(-Examples!$C$9*$A882)*(1-(Examples!$C$12*(1-EXP(-Examples!$C$13*$A882))/(1+EXP(MIN(700,MAX(-700,(Examples!$C$14*$A882-Examples!$C$15)/Examples!$C$16))))))+Examples!$C$17*$A882^2)</f>
        <v>-912416.76173265651</v>
      </c>
      <c r="C882" s="33">
        <f>(Examples!$C$6*Examples!$C$7*Examples!$C$8*EXP(-Examples!$C$9*$A882)*(1-(Examples!$C$12*(1-EXP(-Examples!$C$13*$A882))/(1+EXP(MIN(700,MAX(-700,(Examples!$C$14*$A882-Examples!$C$15)/Examples!$C$16))))))+Examples!$C$17*$A882^2)</f>
        <v>1204416.7617326565</v>
      </c>
      <c r="D882" s="33">
        <f>Examples!$D$18-(Examples!$D$10+Examples!$D$11)*$A882-(Examples!$D$6*Examples!$D$7*Examples!$D$8*EXP(-Examples!$D$9*$A882)*(1-(Examples!$D$12*(1-EXP(-Examples!$D$13*$A882))/(1+EXP(MIN(700,MAX(-700,(Examples!$D$14*$A882-Examples!$D$15)/Examples!$D$16))))))+Examples!$D$17*$A882^2)</f>
        <v>1602522.8041548161</v>
      </c>
      <c r="E882" s="33">
        <f>(Examples!$D$6*Examples!$D$7*Examples!$D$8*EXP(-Examples!$D$9*$A882)*(1-(Examples!$D$12*(1-EXP(-Examples!$D$13*$A882))/(1+EXP(MIN(700,MAX(-700,(Examples!$D$14*$A882-Examples!$D$15)/Examples!$D$16))))))+Examples!$D$17*$A882^2)</f>
        <v>501477.19584518403</v>
      </c>
      <c r="F882" s="33">
        <f>Examples!$E$18-(Examples!$E$10+Examples!$E$11)*$A882-(Examples!$E$6*Examples!$E$7*Examples!$E$8*EXP(-Examples!$E$9*$A882)*(1-(Examples!$E$12*(1-EXP(-Examples!$E$13*$A882))/(1+EXP(MIN(700,MAX(-700,(Examples!$E$14*$A882-Examples!$E$15)/Examples!$E$16))))))+Examples!$E$17*$A882^2)</f>
        <v>1987814.7552803697</v>
      </c>
      <c r="G882" s="33">
        <f>(Examples!$E$6*Examples!$E$7*Examples!$E$8*EXP(-Examples!$E$9*$A882)*(1-(Examples!$E$12*(1-EXP(-Examples!$E$13*$A882))/(1+EXP(MIN(700,MAX(-700,(Examples!$E$14*$A882-Examples!$E$15)/Examples!$E$16))))))+Examples!$E$17*$A882^2)</f>
        <v>264185.24471963034</v>
      </c>
      <c r="H882" s="33">
        <f>Examples!$F$18-(Examples!$F$10+Examples!$F$11)*$A882-(Examples!$F$6*Examples!$F$7*Examples!$F$8*EXP(-Examples!$F$9*$A882)*(1-(Examples!$F$12*(1-EXP(-Examples!$F$13*$A882))/(1+EXP(MIN(700,MAX(-700,(Examples!$F$14*$A882-Examples!$F$15)/Examples!$F$16))))))+Examples!$F$17*$A882^2)</f>
        <v>-1576048.822217237</v>
      </c>
      <c r="I882" s="33">
        <f>(Examples!$F$6*Examples!$F$7*Examples!$F$8*EXP(-Examples!$F$9*$A882)*(1-(Examples!$F$12*(1-EXP(-Examples!$F$13*$A882))/(1+EXP(MIN(700,MAX(-700,(Examples!$F$14*$A882-Examples!$F$15)/Examples!$F$16))))))+Examples!$F$17*$A882^2)</f>
        <v>1550048.822217237</v>
      </c>
      <c r="J882" s="33">
        <f>Examples!$G$18-(Examples!$G$10+Examples!$G$11)*$A882-(Examples!$G$6*Examples!$G$7*Examples!$G$8*EXP(-Examples!$G$9*$A882)*(1-(Examples!$G$12*(1-EXP(-Examples!$G$13*$A882))/(1+EXP(MIN(700,MAX(-700,(Examples!$G$14*$A882-Examples!$G$15)/Examples!$G$16))))))+Examples!$G$17*$A882^2)</f>
        <v>348577.81559329131</v>
      </c>
      <c r="K882" s="33">
        <f>(Examples!$G$6*Examples!$G$7*Examples!$G$8*EXP(-Examples!$G$9*$A882)*(1-(Examples!$G$12*(1-EXP(-Examples!$G$13*$A882))/(1+EXP(MIN(700,MAX(-700,(Examples!$G$14*$A882-Examples!$G$15)/Examples!$G$16))))))+Examples!$G$17*$A882^2)</f>
        <v>711422.18440670869</v>
      </c>
      <c r="L882" s="33">
        <f>Examples!$H$18-(Examples!$H$10+Examples!$H$11)*$A882-(Examples!$H$6*Examples!$H$7*Examples!$H$8*EXP(-Examples!$H$9*$A882)*(1-(Examples!$H$12*(1-EXP(-Examples!$H$13*$A882))/(1+EXP(MIN(700,MAX(-700,(Examples!$H$14*$A882-Examples!$H$15)/Examples!$H$16))))))+Examples!$H$17*$A882^2)</f>
        <v>348561.48682948225</v>
      </c>
      <c r="M882" s="33">
        <f>(Examples!$H$6*Examples!$H$7*Examples!$H$8*EXP(-Examples!$H$9*$A882)*(1-(Examples!$H$12*(1-EXP(-Examples!$H$13*$A882))/(1+EXP(MIN(700,MAX(-700,(Examples!$H$14*$A882-Examples!$H$15)/Examples!$H$16))))))+Examples!$H$17*$A882^2)</f>
        <v>711438.51317051775</v>
      </c>
    </row>
    <row r="883" spans="1:13" x14ac:dyDescent="0.25">
      <c r="A883">
        <f>(883-2)/100</f>
        <v>8.81</v>
      </c>
      <c r="B883" s="33">
        <f>Examples!$C$18-(Examples!$C$10+Examples!$C$11)*$A883-(Examples!$C$6*Examples!$C$7*Examples!$C$8*EXP(-Examples!$C$9*$A883)*(1-(Examples!$C$12*(1-EXP(-Examples!$C$13*$A883))/(1+EXP(MIN(700,MAX(-700,(Examples!$C$14*$A883-Examples!$C$15)/Examples!$C$16))))))+Examples!$C$17*$A883^2)</f>
        <v>-915280.00393039337</v>
      </c>
      <c r="C883" s="33">
        <f>(Examples!$C$6*Examples!$C$7*Examples!$C$8*EXP(-Examples!$C$9*$A883)*(1-(Examples!$C$12*(1-EXP(-Examples!$C$13*$A883))/(1+EXP(MIN(700,MAX(-700,(Examples!$C$14*$A883-Examples!$C$15)/Examples!$C$16))))))+Examples!$C$17*$A883^2)</f>
        <v>1206930.0039303934</v>
      </c>
      <c r="D883" s="33">
        <f>Examples!$D$18-(Examples!$D$10+Examples!$D$11)*$A883-(Examples!$D$6*Examples!$D$7*Examples!$D$8*EXP(-Examples!$D$9*$A883)*(1-(Examples!$D$12*(1-EXP(-Examples!$D$13*$A883))/(1+EXP(MIN(700,MAX(-700,(Examples!$D$14*$A883-Examples!$D$15)/Examples!$D$16))))))+Examples!$D$17*$A883^2)</f>
        <v>1601704.0626540517</v>
      </c>
      <c r="E883" s="33">
        <f>(Examples!$D$6*Examples!$D$7*Examples!$D$8*EXP(-Examples!$D$9*$A883)*(1-(Examples!$D$12*(1-EXP(-Examples!$D$13*$A883))/(1+EXP(MIN(700,MAX(-700,(Examples!$D$14*$A883-Examples!$D$15)/Examples!$D$16))))))+Examples!$D$17*$A883^2)</f>
        <v>501845.93734594824</v>
      </c>
      <c r="F883" s="33">
        <f>Examples!$E$18-(Examples!$E$10+Examples!$E$11)*$A883-(Examples!$E$6*Examples!$E$7*Examples!$E$8*EXP(-Examples!$E$9*$A883)*(1-(Examples!$E$12*(1-EXP(-Examples!$E$13*$A883))/(1+EXP(MIN(700,MAX(-700,(Examples!$E$14*$A883-Examples!$E$15)/Examples!$E$16))))))+Examples!$E$17*$A883^2)</f>
        <v>1986585.6869972171</v>
      </c>
      <c r="G883" s="33">
        <f>(Examples!$E$6*Examples!$E$7*Examples!$E$8*EXP(-Examples!$E$9*$A883)*(1-(Examples!$E$12*(1-EXP(-Examples!$E$13*$A883))/(1+EXP(MIN(700,MAX(-700,(Examples!$E$14*$A883-Examples!$E$15)/Examples!$E$16))))))+Examples!$E$17*$A883^2)</f>
        <v>264564.31300278276</v>
      </c>
      <c r="H883" s="33">
        <f>Examples!$F$18-(Examples!$F$10+Examples!$F$11)*$A883-(Examples!$F$6*Examples!$F$7*Examples!$F$8*EXP(-Examples!$F$9*$A883)*(1-(Examples!$F$12*(1-EXP(-Examples!$F$13*$A883))/(1+EXP(MIN(700,MAX(-700,(Examples!$F$14*$A883-Examples!$F$15)/Examples!$F$16))))))+Examples!$F$17*$A883^2)</f>
        <v>-1579767.0813646694</v>
      </c>
      <c r="I883" s="33">
        <f>(Examples!$F$6*Examples!$F$7*Examples!$F$8*EXP(-Examples!$F$9*$A883)*(1-(Examples!$F$12*(1-EXP(-Examples!$F$13*$A883))/(1+EXP(MIN(700,MAX(-700,(Examples!$F$14*$A883-Examples!$F$15)/Examples!$F$16))))))+Examples!$F$17*$A883^2)</f>
        <v>1553567.0813646694</v>
      </c>
      <c r="J883" s="33">
        <f>Examples!$G$18-(Examples!$G$10+Examples!$G$11)*$A883-(Examples!$G$6*Examples!$G$7*Examples!$G$8*EXP(-Examples!$G$9*$A883)*(1-(Examples!$G$12*(1-EXP(-Examples!$G$13*$A883))/(1+EXP(MIN(700,MAX(-700,(Examples!$G$14*$A883-Examples!$G$15)/Examples!$G$16))))))+Examples!$G$17*$A883^2)</f>
        <v>346989.89651930786</v>
      </c>
      <c r="K883" s="33">
        <f>(Examples!$G$6*Examples!$G$7*Examples!$G$8*EXP(-Examples!$G$9*$A883)*(1-(Examples!$G$12*(1-EXP(-Examples!$G$13*$A883))/(1+EXP(MIN(700,MAX(-700,(Examples!$G$14*$A883-Examples!$G$15)/Examples!$G$16))))))+Examples!$G$17*$A883^2)</f>
        <v>712510.10348069214</v>
      </c>
      <c r="L883" s="33">
        <f>Examples!$H$18-(Examples!$H$10+Examples!$H$11)*$A883-(Examples!$H$6*Examples!$H$7*Examples!$H$8*EXP(-Examples!$H$9*$A883)*(1-(Examples!$H$12*(1-EXP(-Examples!$H$13*$A883))/(1+EXP(MIN(700,MAX(-700,(Examples!$H$14*$A883-Examples!$H$15)/Examples!$H$16))))))+Examples!$H$17*$A883^2)</f>
        <v>346973.83927695011</v>
      </c>
      <c r="M883" s="33">
        <f>(Examples!$H$6*Examples!$H$7*Examples!$H$8*EXP(-Examples!$H$9*$A883)*(1-(Examples!$H$12*(1-EXP(-Examples!$H$13*$A883))/(1+EXP(MIN(700,MAX(-700,(Examples!$H$14*$A883-Examples!$H$15)/Examples!$H$16))))))+Examples!$H$17*$A883^2)</f>
        <v>712526.16072304989</v>
      </c>
    </row>
    <row r="884" spans="1:13" x14ac:dyDescent="0.25">
      <c r="A884">
        <f>(884-2)/100</f>
        <v>8.82</v>
      </c>
      <c r="B884" s="33">
        <f>Examples!$C$18-(Examples!$C$10+Examples!$C$11)*$A884-(Examples!$C$6*Examples!$C$7*Examples!$C$8*EXP(-Examples!$C$9*$A884)*(1-(Examples!$C$12*(1-EXP(-Examples!$C$13*$A884))/(1+EXP(MIN(700,MAX(-700,(Examples!$C$14*$A884-Examples!$C$15)/Examples!$C$16))))))+Examples!$C$17*$A884^2)</f>
        <v>-918146.63032495254</v>
      </c>
      <c r="C884" s="33">
        <f>(Examples!$C$6*Examples!$C$7*Examples!$C$8*EXP(-Examples!$C$9*$A884)*(1-(Examples!$C$12*(1-EXP(-Examples!$C$13*$A884))/(1+EXP(MIN(700,MAX(-700,(Examples!$C$14*$A884-Examples!$C$15)/Examples!$C$16))))))+Examples!$C$17*$A884^2)</f>
        <v>1209446.6303249525</v>
      </c>
      <c r="D884" s="33">
        <f>Examples!$D$18-(Examples!$D$10+Examples!$D$11)*$A884-(Examples!$D$6*Examples!$D$7*Examples!$D$8*EXP(-Examples!$D$9*$A884)*(1-(Examples!$D$12*(1-EXP(-Examples!$D$13*$A884))/(1+EXP(MIN(700,MAX(-700,(Examples!$D$14*$A884-Examples!$D$15)/Examples!$D$16))))))+Examples!$D$17*$A884^2)</f>
        <v>1600882.0468856546</v>
      </c>
      <c r="E884" s="33">
        <f>(Examples!$D$6*Examples!$D$7*Examples!$D$8*EXP(-Examples!$D$9*$A884)*(1-(Examples!$D$12*(1-EXP(-Examples!$D$13*$A884))/(1+EXP(MIN(700,MAX(-700,(Examples!$D$14*$A884-Examples!$D$15)/Examples!$D$16))))))+Examples!$D$17*$A884^2)</f>
        <v>502217.95311434544</v>
      </c>
      <c r="F884" s="33">
        <f>Examples!$E$18-(Examples!$E$10+Examples!$E$11)*$A884-(Examples!$E$6*Examples!$E$7*Examples!$E$8*EXP(-Examples!$E$9*$A884)*(1-(Examples!$E$12*(1-EXP(-Examples!$E$13*$A884))/(1+EXP(MIN(700,MAX(-700,(Examples!$E$14*$A884-Examples!$E$15)/Examples!$E$16))))))+Examples!$E$17*$A884^2)</f>
        <v>1985355.3924430201</v>
      </c>
      <c r="G884" s="33">
        <f>(Examples!$E$6*Examples!$E$7*Examples!$E$8*EXP(-Examples!$E$9*$A884)*(1-(Examples!$E$12*(1-EXP(-Examples!$E$13*$A884))/(1+EXP(MIN(700,MAX(-700,(Examples!$E$14*$A884-Examples!$E$15)/Examples!$E$16))))))+Examples!$E$17*$A884^2)</f>
        <v>264944.60755697987</v>
      </c>
      <c r="H884" s="33">
        <f>Examples!$F$18-(Examples!$F$10+Examples!$F$11)*$A884-(Examples!$F$6*Examples!$F$7*Examples!$F$8*EXP(-Examples!$F$9*$A884)*(1-(Examples!$F$12*(1-EXP(-Examples!$F$13*$A884))/(1+EXP(MIN(700,MAX(-700,(Examples!$F$14*$A884-Examples!$F$15)/Examples!$F$16))))))+Examples!$F$17*$A884^2)</f>
        <v>-1583489.351717843</v>
      </c>
      <c r="I884" s="33">
        <f>(Examples!$F$6*Examples!$F$7*Examples!$F$8*EXP(-Examples!$F$9*$A884)*(1-(Examples!$F$12*(1-EXP(-Examples!$F$13*$A884))/(1+EXP(MIN(700,MAX(-700,(Examples!$F$14*$A884-Examples!$F$15)/Examples!$F$16))))))+Examples!$F$17*$A884^2)</f>
        <v>1557089.351717843</v>
      </c>
      <c r="J884" s="33">
        <f>Examples!$G$18-(Examples!$G$10+Examples!$G$11)*$A884-(Examples!$G$6*Examples!$G$7*Examples!$G$8*EXP(-Examples!$G$9*$A884)*(1-(Examples!$G$12*(1-EXP(-Examples!$G$13*$A884))/(1+EXP(MIN(700,MAX(-700,(Examples!$G$14*$A884-Examples!$G$15)/Examples!$G$16))))))+Examples!$G$17*$A884^2)</f>
        <v>345399.25988602708</v>
      </c>
      <c r="K884" s="33">
        <f>(Examples!$G$6*Examples!$G$7*Examples!$G$8*EXP(-Examples!$G$9*$A884)*(1-(Examples!$G$12*(1-EXP(-Examples!$G$13*$A884))/(1+EXP(MIN(700,MAX(-700,(Examples!$G$14*$A884-Examples!$G$15)/Examples!$G$16))))))+Examples!$G$17*$A884^2)</f>
        <v>713600.74011397292</v>
      </c>
      <c r="L884" s="33">
        <f>Examples!$H$18-(Examples!$H$10+Examples!$H$11)*$A884-(Examples!$H$6*Examples!$H$7*Examples!$H$8*EXP(-Examples!$H$9*$A884)*(1-(Examples!$H$12*(1-EXP(-Examples!$H$13*$A884))/(1+EXP(MIN(700,MAX(-700,(Examples!$H$14*$A884-Examples!$H$15)/Examples!$H$16))))))+Examples!$H$17*$A884^2)</f>
        <v>345383.46965575661</v>
      </c>
      <c r="M884" s="33">
        <f>(Examples!$H$6*Examples!$H$7*Examples!$H$8*EXP(-Examples!$H$9*$A884)*(1-(Examples!$H$12*(1-EXP(-Examples!$H$13*$A884))/(1+EXP(MIN(700,MAX(-700,(Examples!$H$14*$A884-Examples!$H$15)/Examples!$H$16))))))+Examples!$H$17*$A884^2)</f>
        <v>713616.53034424339</v>
      </c>
    </row>
    <row r="885" spans="1:13" x14ac:dyDescent="0.25">
      <c r="A885">
        <f>(885-2)/100</f>
        <v>8.83</v>
      </c>
      <c r="B885" s="33">
        <f>Examples!$C$18-(Examples!$C$10+Examples!$C$11)*$A885-(Examples!$C$6*Examples!$C$7*Examples!$C$8*EXP(-Examples!$C$9*$A885)*(1-(Examples!$C$12*(1-EXP(-Examples!$C$13*$A885))/(1+EXP(MIN(700,MAX(-700,(Examples!$C$14*$A885-Examples!$C$15)/Examples!$C$16))))))+Examples!$C$17*$A885^2)</f>
        <v>-921016.63976547052</v>
      </c>
      <c r="C885" s="33">
        <f>(Examples!$C$6*Examples!$C$7*Examples!$C$8*EXP(-Examples!$C$9*$A885)*(1-(Examples!$C$12*(1-EXP(-Examples!$C$13*$A885))/(1+EXP(MIN(700,MAX(-700,(Examples!$C$14*$A885-Examples!$C$15)/Examples!$C$16))))))+Examples!$C$17*$A885^2)</f>
        <v>1211966.6397654705</v>
      </c>
      <c r="D885" s="33">
        <f>Examples!$D$18-(Examples!$D$10+Examples!$D$11)*$A885-(Examples!$D$6*Examples!$D$7*Examples!$D$8*EXP(-Examples!$D$9*$A885)*(1-(Examples!$D$12*(1-EXP(-Examples!$D$13*$A885))/(1+EXP(MIN(700,MAX(-700,(Examples!$D$14*$A885-Examples!$D$15)/Examples!$D$16))))))+Examples!$D$17*$A885^2)</f>
        <v>1600056.7666485894</v>
      </c>
      <c r="E885" s="33">
        <f>(Examples!$D$6*Examples!$D$7*Examples!$D$8*EXP(-Examples!$D$9*$A885)*(1-(Examples!$D$12*(1-EXP(-Examples!$D$13*$A885))/(1+EXP(MIN(700,MAX(-700,(Examples!$D$14*$A885-Examples!$D$15)/Examples!$D$16))))))+Examples!$D$17*$A885^2)</f>
        <v>502593.2333514106</v>
      </c>
      <c r="F885" s="33">
        <f>Examples!$E$18-(Examples!$E$10+Examples!$E$11)*$A885-(Examples!$E$6*Examples!$E$7*Examples!$E$8*EXP(-Examples!$E$9*$A885)*(1-(Examples!$E$12*(1-EXP(-Examples!$E$13*$A885))/(1+EXP(MIN(700,MAX(-700,(Examples!$E$14*$A885-Examples!$E$15)/Examples!$E$16))))))+Examples!$E$17*$A885^2)</f>
        <v>1984123.8733589859</v>
      </c>
      <c r="G885" s="33">
        <f>(Examples!$E$6*Examples!$E$7*Examples!$E$8*EXP(-Examples!$E$9*$A885)*(1-(Examples!$E$12*(1-EXP(-Examples!$E$13*$A885))/(1+EXP(MIN(700,MAX(-700,(Examples!$E$14*$A885-Examples!$E$15)/Examples!$E$16))))))+Examples!$E$17*$A885^2)</f>
        <v>265326.12664101407</v>
      </c>
      <c r="H885" s="33">
        <f>Examples!$F$18-(Examples!$F$10+Examples!$F$11)*$A885-(Examples!$F$6*Examples!$F$7*Examples!$F$8*EXP(-Examples!$F$9*$A885)*(1-(Examples!$F$12*(1-EXP(-Examples!$F$13*$A885))/(1+EXP(MIN(700,MAX(-700,(Examples!$F$14*$A885-Examples!$F$15)/Examples!$F$16))))))+Examples!$F$17*$A885^2)</f>
        <v>-1587215.6332431904</v>
      </c>
      <c r="I885" s="33">
        <f>(Examples!$F$6*Examples!$F$7*Examples!$F$8*EXP(-Examples!$F$9*$A885)*(1-(Examples!$F$12*(1-EXP(-Examples!$F$13*$A885))/(1+EXP(MIN(700,MAX(-700,(Examples!$F$14*$A885-Examples!$F$15)/Examples!$F$16))))))+Examples!$F$17*$A885^2)</f>
        <v>1560615.6332431904</v>
      </c>
      <c r="J885" s="33">
        <f>Examples!$G$18-(Examples!$G$10+Examples!$G$11)*$A885-(Examples!$G$6*Examples!$G$7*Examples!$G$8*EXP(-Examples!$G$9*$A885)*(1-(Examples!$G$12*(1-EXP(-Examples!$G$13*$A885))/(1+EXP(MIN(700,MAX(-700,(Examples!$G$14*$A885-Examples!$G$15)/Examples!$G$16))))))+Examples!$G$17*$A885^2)</f>
        <v>343805.90953905648</v>
      </c>
      <c r="K885" s="33">
        <f>(Examples!$G$6*Examples!$G$7*Examples!$G$8*EXP(-Examples!$G$9*$A885)*(1-(Examples!$G$12*(1-EXP(-Examples!$G$13*$A885))/(1+EXP(MIN(700,MAX(-700,(Examples!$G$14*$A885-Examples!$G$15)/Examples!$G$16))))))+Examples!$G$17*$A885^2)</f>
        <v>714694.09046094352</v>
      </c>
      <c r="L885" s="33">
        <f>Examples!$H$18-(Examples!$H$10+Examples!$H$11)*$A885-(Examples!$H$6*Examples!$H$7*Examples!$H$8*EXP(-Examples!$H$9*$A885)*(1-(Examples!$H$12*(1-EXP(-Examples!$H$13*$A885))/(1+EXP(MIN(700,MAX(-700,(Examples!$H$14*$A885-Examples!$H$15)/Examples!$H$16))))))+Examples!$H$17*$A885^2)</f>
        <v>343790.38188627269</v>
      </c>
      <c r="M885" s="33">
        <f>(Examples!$H$6*Examples!$H$7*Examples!$H$8*EXP(-Examples!$H$9*$A885)*(1-(Examples!$H$12*(1-EXP(-Examples!$H$13*$A885))/(1+EXP(MIN(700,MAX(-700,(Examples!$H$14*$A885-Examples!$H$15)/Examples!$H$16))))))+Examples!$H$17*$A885^2)</f>
        <v>714709.61811372731</v>
      </c>
    </row>
    <row r="886" spans="1:13" x14ac:dyDescent="0.25">
      <c r="A886">
        <f>(886-2)/100</f>
        <v>8.84</v>
      </c>
      <c r="B886" s="33">
        <f>Examples!$C$18-(Examples!$C$10+Examples!$C$11)*$A886-(Examples!$C$6*Examples!$C$7*Examples!$C$8*EXP(-Examples!$C$9*$A886)*(1-(Examples!$C$12*(1-EXP(-Examples!$C$13*$A886))/(1+EXP(MIN(700,MAX(-700,(Examples!$C$14*$A886-Examples!$C$15)/Examples!$C$16))))))+Examples!$C$17*$A886^2)</f>
        <v>-923890.03110453137</v>
      </c>
      <c r="C886" s="33">
        <f>(Examples!$C$6*Examples!$C$7*Examples!$C$8*EXP(-Examples!$C$9*$A886)*(1-(Examples!$C$12*(1-EXP(-Examples!$C$13*$A886))/(1+EXP(MIN(700,MAX(-700,(Examples!$C$14*$A886-Examples!$C$15)/Examples!$C$16))))))+Examples!$C$17*$A886^2)</f>
        <v>1214490.0311045314</v>
      </c>
      <c r="D886" s="33">
        <f>Examples!$D$18-(Examples!$D$10+Examples!$D$11)*$A886-(Examples!$D$6*Examples!$D$7*Examples!$D$8*EXP(-Examples!$D$9*$A886)*(1-(Examples!$D$12*(1-EXP(-Examples!$D$13*$A886))/(1+EXP(MIN(700,MAX(-700,(Examples!$D$14*$A886-Examples!$D$15)/Examples!$D$16))))))+Examples!$D$17*$A886^2)</f>
        <v>1599228.2317050416</v>
      </c>
      <c r="E886" s="33">
        <f>(Examples!$D$6*Examples!$D$7*Examples!$D$8*EXP(-Examples!$D$9*$A886)*(1-(Examples!$D$12*(1-EXP(-Examples!$D$13*$A886))/(1+EXP(MIN(700,MAX(-700,(Examples!$D$14*$A886-Examples!$D$15)/Examples!$D$16))))))+Examples!$D$17*$A886^2)</f>
        <v>502971.76829495851</v>
      </c>
      <c r="F886" s="33">
        <f>Examples!$E$18-(Examples!$E$10+Examples!$E$11)*$A886-(Examples!$E$6*Examples!$E$7*Examples!$E$8*EXP(-Examples!$E$9*$A886)*(1-(Examples!$E$12*(1-EXP(-Examples!$E$13*$A886))/(1+EXP(MIN(700,MAX(-700,(Examples!$E$14*$A886-Examples!$E$15)/Examples!$E$16))))))+Examples!$E$17*$A886^2)</f>
        <v>1982891.131492753</v>
      </c>
      <c r="G886" s="33">
        <f>(Examples!$E$6*Examples!$E$7*Examples!$E$8*EXP(-Examples!$E$9*$A886)*(1-(Examples!$E$12*(1-EXP(-Examples!$E$13*$A886))/(1+EXP(MIN(700,MAX(-700,(Examples!$E$14*$A886-Examples!$E$15)/Examples!$E$16))))))+Examples!$E$17*$A886^2)</f>
        <v>265708.86850724707</v>
      </c>
      <c r="H886" s="33">
        <f>Examples!$F$18-(Examples!$F$10+Examples!$F$11)*$A886-(Examples!$F$6*Examples!$F$7*Examples!$F$8*EXP(-Examples!$F$9*$A886)*(1-(Examples!$F$12*(1-EXP(-Examples!$F$13*$A886))/(1+EXP(MIN(700,MAX(-700,(Examples!$F$14*$A886-Examples!$F$15)/Examples!$F$16))))))+Examples!$F$17*$A886^2)</f>
        <v>-1590945.9259072451</v>
      </c>
      <c r="I886" s="33">
        <f>(Examples!$F$6*Examples!$F$7*Examples!$F$8*EXP(-Examples!$F$9*$A886)*(1-(Examples!$F$12*(1-EXP(-Examples!$F$13*$A886))/(1+EXP(MIN(700,MAX(-700,(Examples!$F$14*$A886-Examples!$F$15)/Examples!$F$16))))))+Examples!$F$17*$A886^2)</f>
        <v>1564145.9259072451</v>
      </c>
      <c r="J886" s="33">
        <f>Examples!$G$18-(Examples!$G$10+Examples!$G$11)*$A886-(Examples!$G$6*Examples!$G$7*Examples!$G$8*EXP(-Examples!$G$9*$A886)*(1-(Examples!$G$12*(1-EXP(-Examples!$G$13*$A886))/(1+EXP(MIN(700,MAX(-700,(Examples!$G$14*$A886-Examples!$G$15)/Examples!$G$16))))))+Examples!$G$17*$A886^2)</f>
        <v>342209.84931154305</v>
      </c>
      <c r="K886" s="33">
        <f>(Examples!$G$6*Examples!$G$7*Examples!$G$8*EXP(-Examples!$G$9*$A886)*(1-(Examples!$G$12*(1-EXP(-Examples!$G$13*$A886))/(1+EXP(MIN(700,MAX(-700,(Examples!$G$14*$A886-Examples!$G$15)/Examples!$G$16))))))+Examples!$G$17*$A886^2)</f>
        <v>715790.15068845695</v>
      </c>
      <c r="L886" s="33">
        <f>Examples!$H$18-(Examples!$H$10+Examples!$H$11)*$A886-(Examples!$H$6*Examples!$H$7*Examples!$H$8*EXP(-Examples!$H$9*$A886)*(1-(Examples!$H$12*(1-EXP(-Examples!$H$13*$A886))/(1+EXP(MIN(700,MAX(-700,(Examples!$H$14*$A886-Examples!$H$15)/Examples!$H$16))))))+Examples!$H$17*$A886^2)</f>
        <v>342194.57987517212</v>
      </c>
      <c r="M886" s="33">
        <f>(Examples!$H$6*Examples!$H$7*Examples!$H$8*EXP(-Examples!$H$9*$A886)*(1-(Examples!$H$12*(1-EXP(-Examples!$H$13*$A886))/(1+EXP(MIN(700,MAX(-700,(Examples!$H$14*$A886-Examples!$H$15)/Examples!$H$16))))))+Examples!$H$17*$A886^2)</f>
        <v>715805.42012482788</v>
      </c>
    </row>
    <row r="887" spans="1:13" x14ac:dyDescent="0.25">
      <c r="A887">
        <f>(887-2)/100</f>
        <v>8.85</v>
      </c>
      <c r="B887" s="33">
        <f>Examples!$C$18-(Examples!$C$10+Examples!$C$11)*$A887-(Examples!$C$6*Examples!$C$7*Examples!$C$8*EXP(-Examples!$C$9*$A887)*(1-(Examples!$C$12*(1-EXP(-Examples!$C$13*$A887))/(1+EXP(MIN(700,MAX(-700,(Examples!$C$14*$A887-Examples!$C$15)/Examples!$C$16))))))+Examples!$C$17*$A887^2)</f>
        <v>-926766.80319815618</v>
      </c>
      <c r="C887" s="33">
        <f>(Examples!$C$6*Examples!$C$7*Examples!$C$8*EXP(-Examples!$C$9*$A887)*(1-(Examples!$C$12*(1-EXP(-Examples!$C$13*$A887))/(1+EXP(MIN(700,MAX(-700,(Examples!$C$14*$A887-Examples!$C$15)/Examples!$C$16))))))+Examples!$C$17*$A887^2)</f>
        <v>1217016.8031981562</v>
      </c>
      <c r="D887" s="33">
        <f>Examples!$D$18-(Examples!$D$10+Examples!$D$11)*$A887-(Examples!$D$6*Examples!$D$7*Examples!$D$8*EXP(-Examples!$D$9*$A887)*(1-(Examples!$D$12*(1-EXP(-Examples!$D$13*$A887))/(1+EXP(MIN(700,MAX(-700,(Examples!$D$14*$A887-Examples!$D$15)/Examples!$D$16))))))+Examples!$D$17*$A887^2)</f>
        <v>1598396.4517804547</v>
      </c>
      <c r="E887" s="33">
        <f>(Examples!$D$6*Examples!$D$7*Examples!$D$8*EXP(-Examples!$D$9*$A887)*(1-(Examples!$D$12*(1-EXP(-Examples!$D$13*$A887))/(1+EXP(MIN(700,MAX(-700,(Examples!$D$14*$A887-Examples!$D$15)/Examples!$D$16))))))+Examples!$D$17*$A887^2)</f>
        <v>503353.54821954534</v>
      </c>
      <c r="F887" s="33">
        <f>Examples!$E$18-(Examples!$E$10+Examples!$E$11)*$A887-(Examples!$E$6*Examples!$E$7*Examples!$E$8*EXP(-Examples!$E$9*$A887)*(1-(Examples!$E$12*(1-EXP(-Examples!$E$13*$A887))/(1+EXP(MIN(700,MAX(-700,(Examples!$E$14*$A887-Examples!$E$15)/Examples!$E$16))))))+Examples!$E$17*$A887^2)</f>
        <v>1981657.1685982142</v>
      </c>
      <c r="G887" s="33">
        <f>(Examples!$E$6*Examples!$E$7*Examples!$E$8*EXP(-Examples!$E$9*$A887)*(1-(Examples!$E$12*(1-EXP(-Examples!$E$13*$A887))/(1+EXP(MIN(700,MAX(-700,(Examples!$E$14*$A887-Examples!$E$15)/Examples!$E$16))))))+Examples!$E$17*$A887^2)</f>
        <v>266092.83140178584</v>
      </c>
      <c r="H887" s="33">
        <f>Examples!$F$18-(Examples!$F$10+Examples!$F$11)*$A887-(Examples!$F$6*Examples!$F$7*Examples!$F$8*EXP(-Examples!$F$9*$A887)*(1-(Examples!$F$12*(1-EXP(-Examples!$F$13*$A887))/(1+EXP(MIN(700,MAX(-700,(Examples!$F$14*$A887-Examples!$F$15)/Examples!$F$16))))))+Examples!$F$17*$A887^2)</f>
        <v>-1594680.2296766413</v>
      </c>
      <c r="I887" s="33">
        <f>(Examples!$F$6*Examples!$F$7*Examples!$F$8*EXP(-Examples!$F$9*$A887)*(1-(Examples!$F$12*(1-EXP(-Examples!$F$13*$A887))/(1+EXP(MIN(700,MAX(-700,(Examples!$F$14*$A887-Examples!$F$15)/Examples!$F$16))))))+Examples!$F$17*$A887^2)</f>
        <v>1567680.2296766413</v>
      </c>
      <c r="J887" s="33">
        <f>Examples!$G$18-(Examples!$G$10+Examples!$G$11)*$A887-(Examples!$G$6*Examples!$G$7*Examples!$G$8*EXP(-Examples!$G$9*$A887)*(1-(Examples!$G$12*(1-EXP(-Examples!$G$13*$A887))/(1+EXP(MIN(700,MAX(-700,(Examples!$G$14*$A887-Examples!$G$15)/Examples!$G$16))))))+Examples!$G$17*$A887^2)</f>
        <v>340611.08302420075</v>
      </c>
      <c r="K887" s="33">
        <f>(Examples!$G$6*Examples!$G$7*Examples!$G$8*EXP(-Examples!$G$9*$A887)*(1-(Examples!$G$12*(1-EXP(-Examples!$G$13*$A887))/(1+EXP(MIN(700,MAX(-700,(Examples!$G$14*$A887-Examples!$G$15)/Examples!$G$16))))))+Examples!$G$17*$A887^2)</f>
        <v>716888.91697579925</v>
      </c>
      <c r="L887" s="33">
        <f>Examples!$H$18-(Examples!$H$10+Examples!$H$11)*$A887-(Examples!$H$6*Examples!$H$7*Examples!$H$8*EXP(-Examples!$H$9*$A887)*(1-(Examples!$H$12*(1-EXP(-Examples!$H$13*$A887))/(1+EXP(MIN(700,MAX(-700,(Examples!$H$14*$A887-Examples!$H$15)/Examples!$H$16))))))+Examples!$H$17*$A887^2)</f>
        <v>340596.06751547928</v>
      </c>
      <c r="M887" s="33">
        <f>(Examples!$H$6*Examples!$H$7*Examples!$H$8*EXP(-Examples!$H$9*$A887)*(1-(Examples!$H$12*(1-EXP(-Examples!$H$13*$A887))/(1+EXP(MIN(700,MAX(-700,(Examples!$H$14*$A887-Examples!$H$15)/Examples!$H$16))))))+Examples!$H$17*$A887^2)</f>
        <v>716903.93248452072</v>
      </c>
    </row>
    <row r="888" spans="1:13" x14ac:dyDescent="0.25">
      <c r="A888">
        <f>(888-2)/100</f>
        <v>8.86</v>
      </c>
      <c r="B888" s="33">
        <f>Examples!$C$18-(Examples!$C$10+Examples!$C$11)*$A888-(Examples!$C$6*Examples!$C$7*Examples!$C$8*EXP(-Examples!$C$9*$A888)*(1-(Examples!$C$12*(1-EXP(-Examples!$C$13*$A888))/(1+EXP(MIN(700,MAX(-700,(Examples!$C$14*$A888-Examples!$C$15)/Examples!$C$16))))))+Examples!$C$17*$A888^2)</f>
        <v>-929646.95490579354</v>
      </c>
      <c r="C888" s="33">
        <f>(Examples!$C$6*Examples!$C$7*Examples!$C$8*EXP(-Examples!$C$9*$A888)*(1-(Examples!$C$12*(1-EXP(-Examples!$C$13*$A888))/(1+EXP(MIN(700,MAX(-700,(Examples!$C$14*$A888-Examples!$C$15)/Examples!$C$16))))))+Examples!$C$17*$A888^2)</f>
        <v>1219546.9549057935</v>
      </c>
      <c r="D888" s="33">
        <f>Examples!$D$18-(Examples!$D$10+Examples!$D$11)*$A888-(Examples!$D$6*Examples!$D$7*Examples!$D$8*EXP(-Examples!$D$9*$A888)*(1-(Examples!$D$12*(1-EXP(-Examples!$D$13*$A888))/(1+EXP(MIN(700,MAX(-700,(Examples!$D$14*$A888-Examples!$D$15)/Examples!$D$16))))))+Examples!$D$17*$A888^2)</f>
        <v>1597561.436563574</v>
      </c>
      <c r="E888" s="33">
        <f>(Examples!$D$6*Examples!$D$7*Examples!$D$8*EXP(-Examples!$D$9*$A888)*(1-(Examples!$D$12*(1-EXP(-Examples!$D$13*$A888))/(1+EXP(MIN(700,MAX(-700,(Examples!$D$14*$A888-Examples!$D$15)/Examples!$D$16))))))+Examples!$D$17*$A888^2)</f>
        <v>503738.56343642605</v>
      </c>
      <c r="F888" s="33">
        <f>Examples!$E$18-(Examples!$E$10+Examples!$E$11)*$A888-(Examples!$E$6*Examples!$E$7*Examples!$E$8*EXP(-Examples!$E$9*$A888)*(1-(Examples!$E$12*(1-EXP(-Examples!$E$13*$A888))/(1+EXP(MIN(700,MAX(-700,(Examples!$E$14*$A888-Examples!$E$15)/Examples!$E$16))))))+Examples!$E$17*$A888^2)</f>
        <v>1980421.9864353428</v>
      </c>
      <c r="G888" s="33">
        <f>(Examples!$E$6*Examples!$E$7*Examples!$E$8*EXP(-Examples!$E$9*$A888)*(1-(Examples!$E$12*(1-EXP(-Examples!$E$13*$A888))/(1+EXP(MIN(700,MAX(-700,(Examples!$E$14*$A888-Examples!$E$15)/Examples!$E$16))))))+Examples!$E$17*$A888^2)</f>
        <v>266478.01356465719</v>
      </c>
      <c r="H888" s="33">
        <f>Examples!$F$18-(Examples!$F$10+Examples!$F$11)*$A888-(Examples!$F$6*Examples!$F$7*Examples!$F$8*EXP(-Examples!$F$9*$A888)*(1-(Examples!$F$12*(1-EXP(-Examples!$F$13*$A888))/(1+EXP(MIN(700,MAX(-700,(Examples!$F$14*$A888-Examples!$F$15)/Examples!$F$16))))))+Examples!$F$17*$A888^2)</f>
        <v>-1598418.5445181129</v>
      </c>
      <c r="I888" s="33">
        <f>(Examples!$F$6*Examples!$F$7*Examples!$F$8*EXP(-Examples!$F$9*$A888)*(1-(Examples!$F$12*(1-EXP(-Examples!$F$13*$A888))/(1+EXP(MIN(700,MAX(-700,(Examples!$F$14*$A888-Examples!$F$15)/Examples!$F$16))))))+Examples!$F$17*$A888^2)</f>
        <v>1571218.5445181129</v>
      </c>
      <c r="J888" s="33">
        <f>Examples!$G$18-(Examples!$G$10+Examples!$G$11)*$A888-(Examples!$G$6*Examples!$G$7*Examples!$G$8*EXP(-Examples!$G$9*$A888)*(1-(Examples!$G$12*(1-EXP(-Examples!$G$13*$A888))/(1+EXP(MIN(700,MAX(-700,(Examples!$G$14*$A888-Examples!$G$15)/Examples!$G$16))))))+Examples!$G$17*$A888^2)</f>
        <v>339009.61448533763</v>
      </c>
      <c r="K888" s="33">
        <f>(Examples!$G$6*Examples!$G$7*Examples!$G$8*EXP(-Examples!$G$9*$A888)*(1-(Examples!$G$12*(1-EXP(-Examples!$G$13*$A888))/(1+EXP(MIN(700,MAX(-700,(Examples!$G$14*$A888-Examples!$G$15)/Examples!$G$16))))))+Examples!$G$17*$A888^2)</f>
        <v>717990.38551466237</v>
      </c>
      <c r="L888" s="33">
        <f>Examples!$H$18-(Examples!$H$10+Examples!$H$11)*$A888-(Examples!$H$6*Examples!$H$7*Examples!$H$8*EXP(-Examples!$H$9*$A888)*(1-(Examples!$H$12*(1-EXP(-Examples!$H$13*$A888))/(1+EXP(MIN(700,MAX(-700,(Examples!$H$14*$A888-Examples!$H$15)/Examples!$H$16))))))+Examples!$H$17*$A888^2)</f>
        <v>338994.84868661675</v>
      </c>
      <c r="M888" s="33">
        <f>(Examples!$H$6*Examples!$H$7*Examples!$H$8*EXP(-Examples!$H$9*$A888)*(1-(Examples!$H$12*(1-EXP(-Examples!$H$13*$A888))/(1+EXP(MIN(700,MAX(-700,(Examples!$H$14*$A888-Examples!$H$15)/Examples!$H$16))))))+Examples!$H$17*$A888^2)</f>
        <v>718005.15131338325</v>
      </c>
    </row>
    <row r="889" spans="1:13" x14ac:dyDescent="0.25">
      <c r="A889">
        <f>(889-2)/100</f>
        <v>8.8699999999999992</v>
      </c>
      <c r="B889" s="33">
        <f>Examples!$C$18-(Examples!$C$10+Examples!$C$11)*$A889-(Examples!$C$6*Examples!$C$7*Examples!$C$8*EXP(-Examples!$C$9*$A889)*(1-(Examples!$C$12*(1-EXP(-Examples!$C$13*$A889))/(1+EXP(MIN(700,MAX(-700,(Examples!$C$14*$A889-Examples!$C$15)/Examples!$C$16))))))+Examples!$C$17*$A889^2)</f>
        <v>-932530.48509030743</v>
      </c>
      <c r="C889" s="33">
        <f>(Examples!$C$6*Examples!$C$7*Examples!$C$8*EXP(-Examples!$C$9*$A889)*(1-(Examples!$C$12*(1-EXP(-Examples!$C$13*$A889))/(1+EXP(MIN(700,MAX(-700,(Examples!$C$14*$A889-Examples!$C$15)/Examples!$C$16))))))+Examples!$C$17*$A889^2)</f>
        <v>1222080.4850903074</v>
      </c>
      <c r="D889" s="33">
        <f>Examples!$D$18-(Examples!$D$10+Examples!$D$11)*$A889-(Examples!$D$6*Examples!$D$7*Examples!$D$8*EXP(-Examples!$D$9*$A889)*(1-(Examples!$D$12*(1-EXP(-Examples!$D$13*$A889))/(1+EXP(MIN(700,MAX(-700,(Examples!$D$14*$A889-Examples!$D$15)/Examples!$D$16))))))+Examples!$D$17*$A889^2)</f>
        <v>1596723.1957064886</v>
      </c>
      <c r="E889" s="33">
        <f>(Examples!$D$6*Examples!$D$7*Examples!$D$8*EXP(-Examples!$D$9*$A889)*(1-(Examples!$D$12*(1-EXP(-Examples!$D$13*$A889))/(1+EXP(MIN(700,MAX(-700,(Examples!$D$14*$A889-Examples!$D$15)/Examples!$D$16))))))+Examples!$D$17*$A889^2)</f>
        <v>504126.80429351149</v>
      </c>
      <c r="F889" s="33">
        <f>Examples!$E$18-(Examples!$E$10+Examples!$E$11)*$A889-(Examples!$E$6*Examples!$E$7*Examples!$E$8*EXP(-Examples!$E$9*$A889)*(1-(Examples!$E$12*(1-EXP(-Examples!$E$13*$A889))/(1+EXP(MIN(700,MAX(-700,(Examples!$E$14*$A889-Examples!$E$15)/Examples!$E$16))))))+Examples!$E$17*$A889^2)</f>
        <v>1979185.5867700202</v>
      </c>
      <c r="G889" s="33">
        <f>(Examples!$E$6*Examples!$E$7*Examples!$E$8*EXP(-Examples!$E$9*$A889)*(1-(Examples!$E$12*(1-EXP(-Examples!$E$13*$A889))/(1+EXP(MIN(700,MAX(-700,(Examples!$E$14*$A889-Examples!$E$15)/Examples!$E$16))))))+Examples!$E$17*$A889^2)</f>
        <v>266864.41322997975</v>
      </c>
      <c r="H889" s="33">
        <f>Examples!$F$18-(Examples!$F$10+Examples!$F$11)*$A889-(Examples!$F$6*Examples!$F$7*Examples!$F$8*EXP(-Examples!$F$9*$A889)*(1-(Examples!$F$12*(1-EXP(-Examples!$F$13*$A889))/(1+EXP(MIN(700,MAX(-700,(Examples!$F$14*$A889-Examples!$F$15)/Examples!$F$16))))))+Examples!$F$17*$A889^2)</f>
        <v>-1602160.8703984937</v>
      </c>
      <c r="I889" s="33">
        <f>(Examples!$F$6*Examples!$F$7*Examples!$F$8*EXP(-Examples!$F$9*$A889)*(1-(Examples!$F$12*(1-EXP(-Examples!$F$13*$A889))/(1+EXP(MIN(700,MAX(-700,(Examples!$F$14*$A889-Examples!$F$15)/Examples!$F$16))))))+Examples!$F$17*$A889^2)</f>
        <v>1574760.8703984937</v>
      </c>
      <c r="J889" s="33">
        <f>Examples!$G$18-(Examples!$G$10+Examples!$G$11)*$A889-(Examples!$G$6*Examples!$G$7*Examples!$G$8*EXP(-Examples!$G$9*$A889)*(1-(Examples!$G$12*(1-EXP(-Examples!$G$13*$A889))/(1+EXP(MIN(700,MAX(-700,(Examples!$G$14*$A889-Examples!$G$15)/Examples!$G$16))))))+Examples!$G$17*$A889^2)</f>
        <v>337405.44749088481</v>
      </c>
      <c r="K889" s="33">
        <f>(Examples!$G$6*Examples!$G$7*Examples!$G$8*EXP(-Examples!$G$9*$A889)*(1-(Examples!$G$12*(1-EXP(-Examples!$G$13*$A889))/(1+EXP(MIN(700,MAX(-700,(Examples!$G$14*$A889-Examples!$G$15)/Examples!$G$16))))))+Examples!$G$17*$A889^2)</f>
        <v>719094.55250911519</v>
      </c>
      <c r="L889" s="33">
        <f>Examples!$H$18-(Examples!$H$10+Examples!$H$11)*$A889-(Examples!$H$6*Examples!$H$7*Examples!$H$8*EXP(-Examples!$H$9*$A889)*(1-(Examples!$H$12*(1-EXP(-Examples!$H$13*$A889))/(1+EXP(MIN(700,MAX(-700,(Examples!$H$14*$A889-Examples!$H$15)/Examples!$H$16))))))+Examples!$H$17*$A889^2)</f>
        <v>337390.9272544533</v>
      </c>
      <c r="M889" s="33">
        <f>(Examples!$H$6*Examples!$H$7*Examples!$H$8*EXP(-Examples!$H$9*$A889)*(1-(Examples!$H$12*(1-EXP(-Examples!$H$13*$A889))/(1+EXP(MIN(700,MAX(-700,(Examples!$H$14*$A889-Examples!$H$15)/Examples!$H$16))))))+Examples!$H$17*$A889^2)</f>
        <v>719109.0727455467</v>
      </c>
    </row>
    <row r="890" spans="1:13" x14ac:dyDescent="0.25">
      <c r="A890">
        <f>(890-2)/100</f>
        <v>8.8800000000000008</v>
      </c>
      <c r="B890" s="33">
        <f>Examples!$C$18-(Examples!$C$10+Examples!$C$11)*$A890-(Examples!$C$6*Examples!$C$7*Examples!$C$8*EXP(-Examples!$C$9*$A890)*(1-(Examples!$C$12*(1-EXP(-Examples!$C$13*$A890))/(1+EXP(MIN(700,MAX(-700,(Examples!$C$14*$A890-Examples!$C$15)/Examples!$C$16))))))+Examples!$C$17*$A890^2)</f>
        <v>-935417.39261796954</v>
      </c>
      <c r="C890" s="33">
        <f>(Examples!$C$6*Examples!$C$7*Examples!$C$8*EXP(-Examples!$C$9*$A890)*(1-(Examples!$C$12*(1-EXP(-Examples!$C$13*$A890))/(1+EXP(MIN(700,MAX(-700,(Examples!$C$14*$A890-Examples!$C$15)/Examples!$C$16))))))+Examples!$C$17*$A890^2)</f>
        <v>1224617.3926179695</v>
      </c>
      <c r="D890" s="33">
        <f>Examples!$D$18-(Examples!$D$10+Examples!$D$11)*$A890-(Examples!$D$6*Examples!$D$7*Examples!$D$8*EXP(-Examples!$D$9*$A890)*(1-(Examples!$D$12*(1-EXP(-Examples!$D$13*$A890))/(1+EXP(MIN(700,MAX(-700,(Examples!$D$14*$A890-Examples!$D$15)/Examples!$D$16))))))+Examples!$D$17*$A890^2)</f>
        <v>1595881.738824677</v>
      </c>
      <c r="E890" s="33">
        <f>(Examples!$D$6*Examples!$D$7*Examples!$D$8*EXP(-Examples!$D$9*$A890)*(1-(Examples!$D$12*(1-EXP(-Examples!$D$13*$A890))/(1+EXP(MIN(700,MAX(-700,(Examples!$D$14*$A890-Examples!$D$15)/Examples!$D$16))))))+Examples!$D$17*$A890^2)</f>
        <v>504518.26117532304</v>
      </c>
      <c r="F890" s="33">
        <f>Examples!$E$18-(Examples!$E$10+Examples!$E$11)*$A890-(Examples!$E$6*Examples!$E$7*Examples!$E$8*EXP(-Examples!$E$9*$A890)*(1-(Examples!$E$12*(1-EXP(-Examples!$E$13*$A890))/(1+EXP(MIN(700,MAX(-700,(Examples!$E$14*$A890-Examples!$E$15)/Examples!$E$16))))))+Examples!$E$17*$A890^2)</f>
        <v>1977947.9713738651</v>
      </c>
      <c r="G890" s="33">
        <f>(Examples!$E$6*Examples!$E$7*Examples!$E$8*EXP(-Examples!$E$9*$A890)*(1-(Examples!$E$12*(1-EXP(-Examples!$E$13*$A890))/(1+EXP(MIN(700,MAX(-700,(Examples!$E$14*$A890-Examples!$E$15)/Examples!$E$16))))))+Examples!$E$17*$A890^2)</f>
        <v>267252.02862613485</v>
      </c>
      <c r="H890" s="33">
        <f>Examples!$F$18-(Examples!$F$10+Examples!$F$11)*$A890-(Examples!$F$6*Examples!$F$7*Examples!$F$8*EXP(-Examples!$F$9*$A890)*(1-(Examples!$F$12*(1-EXP(-Examples!$F$13*$A890))/(1+EXP(MIN(700,MAX(-700,(Examples!$F$14*$A890-Examples!$F$15)/Examples!$F$16))))))+Examples!$F$17*$A890^2)</f>
        <v>-1605907.2072847167</v>
      </c>
      <c r="I890" s="33">
        <f>(Examples!$F$6*Examples!$F$7*Examples!$F$8*EXP(-Examples!$F$9*$A890)*(1-(Examples!$F$12*(1-EXP(-Examples!$F$13*$A890))/(1+EXP(MIN(700,MAX(-700,(Examples!$F$14*$A890-Examples!$F$15)/Examples!$F$16))))))+Examples!$F$17*$A890^2)</f>
        <v>1578307.2072847167</v>
      </c>
      <c r="J890" s="33">
        <f>Examples!$G$18-(Examples!$G$10+Examples!$G$11)*$A890-(Examples!$G$6*Examples!$G$7*Examples!$G$8*EXP(-Examples!$G$9*$A890)*(1-(Examples!$G$12*(1-EXP(-Examples!$G$13*$A890))/(1+EXP(MIN(700,MAX(-700,(Examples!$G$14*$A890-Examples!$G$15)/Examples!$G$16))))))+Examples!$G$17*$A890^2)</f>
        <v>335798.58582442324</v>
      </c>
      <c r="K890" s="33">
        <f>(Examples!$G$6*Examples!$G$7*Examples!$G$8*EXP(-Examples!$G$9*$A890)*(1-(Examples!$G$12*(1-EXP(-Examples!$G$13*$A890))/(1+EXP(MIN(700,MAX(-700,(Examples!$G$14*$A890-Examples!$G$15)/Examples!$G$16))))))+Examples!$G$17*$A890^2)</f>
        <v>720201.41417557676</v>
      </c>
      <c r="L890" s="33">
        <f>Examples!$H$18-(Examples!$H$10+Examples!$H$11)*$A890-(Examples!$H$6*Examples!$H$7*Examples!$H$8*EXP(-Examples!$H$9*$A890)*(1-(Examples!$H$12*(1-EXP(-Examples!$H$13*$A890))/(1+EXP(MIN(700,MAX(-700,(Examples!$H$14*$A890-Examples!$H$15)/Examples!$H$16))))))+Examples!$H$17*$A890^2)</f>
        <v>335784.30707135086</v>
      </c>
      <c r="M890" s="33">
        <f>(Examples!$H$6*Examples!$H$7*Examples!$H$8*EXP(-Examples!$H$9*$A890)*(1-(Examples!$H$12*(1-EXP(-Examples!$H$13*$A890))/(1+EXP(MIN(700,MAX(-700,(Examples!$H$14*$A890-Examples!$H$15)/Examples!$H$16))))))+Examples!$H$17*$A890^2)</f>
        <v>720215.69292864914</v>
      </c>
    </row>
    <row r="891" spans="1:13" x14ac:dyDescent="0.25">
      <c r="A891">
        <f>(891-2)/100</f>
        <v>8.89</v>
      </c>
      <c r="B891" s="33">
        <f>Examples!$C$18-(Examples!$C$10+Examples!$C$11)*$A891-(Examples!$C$6*Examples!$C$7*Examples!$C$8*EXP(-Examples!$C$9*$A891)*(1-(Examples!$C$12*(1-EXP(-Examples!$C$13*$A891))/(1+EXP(MIN(700,MAX(-700,(Examples!$C$14*$A891-Examples!$C$15)/Examples!$C$16))))))+Examples!$C$17*$A891^2)</f>
        <v>-938307.67635844578</v>
      </c>
      <c r="C891" s="33">
        <f>(Examples!$C$6*Examples!$C$7*Examples!$C$8*EXP(-Examples!$C$9*$A891)*(1-(Examples!$C$12*(1-EXP(-Examples!$C$13*$A891))/(1+EXP(MIN(700,MAX(-700,(Examples!$C$14*$A891-Examples!$C$15)/Examples!$C$16))))))+Examples!$C$17*$A891^2)</f>
        <v>1227157.6763584458</v>
      </c>
      <c r="D891" s="33">
        <f>Examples!$D$18-(Examples!$D$10+Examples!$D$11)*$A891-(Examples!$D$6*Examples!$D$7*Examples!$D$8*EXP(-Examples!$D$9*$A891)*(1-(Examples!$D$12*(1-EXP(-Examples!$D$13*$A891))/(1+EXP(MIN(700,MAX(-700,(Examples!$D$14*$A891-Examples!$D$15)/Examples!$D$16))))))+Examples!$D$17*$A891^2)</f>
        <v>1595037.0754970547</v>
      </c>
      <c r="E891" s="33">
        <f>(Examples!$D$6*Examples!$D$7*Examples!$D$8*EXP(-Examples!$D$9*$A891)*(1-(Examples!$D$12*(1-EXP(-Examples!$D$13*$A891))/(1+EXP(MIN(700,MAX(-700,(Examples!$D$14*$A891-Examples!$D$15)/Examples!$D$16))))))+Examples!$D$17*$A891^2)</f>
        <v>504912.92450294521</v>
      </c>
      <c r="F891" s="33">
        <f>Examples!$E$18-(Examples!$E$10+Examples!$E$11)*$A891-(Examples!$E$6*Examples!$E$7*Examples!$E$8*EXP(-Examples!$E$9*$A891)*(1-(Examples!$E$12*(1-EXP(-Examples!$E$13*$A891))/(1+EXP(MIN(700,MAX(-700,(Examples!$E$14*$A891-Examples!$E$15)/Examples!$E$16))))))+Examples!$E$17*$A891^2)</f>
        <v>1976709.1420240649</v>
      </c>
      <c r="G891" s="33">
        <f>(Examples!$E$6*Examples!$E$7*Examples!$E$8*EXP(-Examples!$E$9*$A891)*(1-(Examples!$E$12*(1-EXP(-Examples!$E$13*$A891))/(1+EXP(MIN(700,MAX(-700,(Examples!$E$14*$A891-Examples!$E$15)/Examples!$E$16))))))+Examples!$E$17*$A891^2)</f>
        <v>267640.85797593516</v>
      </c>
      <c r="H891" s="33">
        <f>Examples!$F$18-(Examples!$F$10+Examples!$F$11)*$A891-(Examples!$F$6*Examples!$F$7*Examples!$F$8*EXP(-Examples!$F$9*$A891)*(1-(Examples!$F$12*(1-EXP(-Examples!$F$13*$A891))/(1+EXP(MIN(700,MAX(-700,(Examples!$F$14*$A891-Examples!$F$15)/Examples!$F$16))))))+Examples!$F$17*$A891^2)</f>
        <v>-1609657.5551438129</v>
      </c>
      <c r="I891" s="33">
        <f>(Examples!$F$6*Examples!$F$7*Examples!$F$8*EXP(-Examples!$F$9*$A891)*(1-(Examples!$F$12*(1-EXP(-Examples!$F$13*$A891))/(1+EXP(MIN(700,MAX(-700,(Examples!$F$14*$A891-Examples!$F$15)/Examples!$F$16))))))+Examples!$F$17*$A891^2)</f>
        <v>1581857.5551438129</v>
      </c>
      <c r="J891" s="33">
        <f>Examples!$G$18-(Examples!$G$10+Examples!$G$11)*$A891-(Examples!$G$6*Examples!$G$7*Examples!$G$8*EXP(-Examples!$G$9*$A891)*(1-(Examples!$G$12*(1-EXP(-Examples!$G$13*$A891))/(1+EXP(MIN(700,MAX(-700,(Examples!$G$14*$A891-Examples!$G$15)/Examples!$G$16))))))+Examples!$G$17*$A891^2)</f>
        <v>334189.03325721249</v>
      </c>
      <c r="K891" s="33">
        <f>(Examples!$G$6*Examples!$G$7*Examples!$G$8*EXP(-Examples!$G$9*$A891)*(1-(Examples!$G$12*(1-EXP(-Examples!$G$13*$A891))/(1+EXP(MIN(700,MAX(-700,(Examples!$G$14*$A891-Examples!$G$15)/Examples!$G$16))))))+Examples!$G$17*$A891^2)</f>
        <v>721310.96674278751</v>
      </c>
      <c r="L891" s="33">
        <f>Examples!$H$18-(Examples!$H$10+Examples!$H$11)*$A891-(Examples!$H$6*Examples!$H$7*Examples!$H$8*EXP(-Examples!$H$9*$A891)*(1-(Examples!$H$12*(1-EXP(-Examples!$H$13*$A891))/(1+EXP(MIN(700,MAX(-700,(Examples!$H$14*$A891-Examples!$H$15)/Examples!$H$16))))))+Examples!$H$17*$A891^2)</f>
        <v>334174.99197621178</v>
      </c>
      <c r="M891" s="33">
        <f>(Examples!$H$6*Examples!$H$7*Examples!$H$8*EXP(-Examples!$H$9*$A891)*(1-(Examples!$H$12*(1-EXP(-Examples!$H$13*$A891))/(1+EXP(MIN(700,MAX(-700,(Examples!$H$14*$A891-Examples!$H$15)/Examples!$H$16))))))+Examples!$H$17*$A891^2)</f>
        <v>721325.00802378822</v>
      </c>
    </row>
    <row r="892" spans="1:13" x14ac:dyDescent="0.25">
      <c r="A892">
        <f>(892-2)/100</f>
        <v>8.9</v>
      </c>
      <c r="B892" s="33">
        <f>Examples!$C$18-(Examples!$C$10+Examples!$C$11)*$A892-(Examples!$C$6*Examples!$C$7*Examples!$C$8*EXP(-Examples!$C$9*$A892)*(1-(Examples!$C$12*(1-EXP(-Examples!$C$13*$A892))/(1+EXP(MIN(700,MAX(-700,(Examples!$C$14*$A892-Examples!$C$15)/Examples!$C$16))))))+Examples!$C$17*$A892^2)</f>
        <v>-941201.3351847895</v>
      </c>
      <c r="C892" s="33">
        <f>(Examples!$C$6*Examples!$C$7*Examples!$C$8*EXP(-Examples!$C$9*$A892)*(1-(Examples!$C$12*(1-EXP(-Examples!$C$13*$A892))/(1+EXP(MIN(700,MAX(-700,(Examples!$C$14*$A892-Examples!$C$15)/Examples!$C$16))))))+Examples!$C$17*$A892^2)</f>
        <v>1229701.3351847895</v>
      </c>
      <c r="D892" s="33">
        <f>Examples!$D$18-(Examples!$D$10+Examples!$D$11)*$A892-(Examples!$D$6*Examples!$D$7*Examples!$D$8*EXP(-Examples!$D$9*$A892)*(1-(Examples!$D$12*(1-EXP(-Examples!$D$13*$A892))/(1+EXP(MIN(700,MAX(-700,(Examples!$D$14*$A892-Examples!$D$15)/Examples!$D$16))))))+Examples!$D$17*$A892^2)</f>
        <v>1594189.2152660233</v>
      </c>
      <c r="E892" s="33">
        <f>(Examples!$D$6*Examples!$D$7*Examples!$D$8*EXP(-Examples!$D$9*$A892)*(1-(Examples!$D$12*(1-EXP(-Examples!$D$13*$A892))/(1+EXP(MIN(700,MAX(-700,(Examples!$D$14*$A892-Examples!$D$15)/Examples!$D$16))))))+Examples!$D$17*$A892^2)</f>
        <v>505310.78473397676</v>
      </c>
      <c r="F892" s="33">
        <f>Examples!$E$18-(Examples!$E$10+Examples!$E$11)*$A892-(Examples!$E$6*Examples!$E$7*Examples!$E$8*EXP(-Examples!$E$9*$A892)*(1-(Examples!$E$12*(1-EXP(-Examples!$E$13*$A892))/(1+EXP(MIN(700,MAX(-700,(Examples!$E$14*$A892-Examples!$E$15)/Examples!$E$16))))))+Examples!$E$17*$A892^2)</f>
        <v>1975469.1005032083</v>
      </c>
      <c r="G892" s="33">
        <f>(Examples!$E$6*Examples!$E$7*Examples!$E$8*EXP(-Examples!$E$9*$A892)*(1-(Examples!$E$12*(1-EXP(-Examples!$E$13*$A892))/(1+EXP(MIN(700,MAX(-700,(Examples!$E$14*$A892-Examples!$E$15)/Examples!$E$16))))))+Examples!$E$17*$A892^2)</f>
        <v>268030.89949679171</v>
      </c>
      <c r="H892" s="33">
        <f>Examples!$F$18-(Examples!$F$10+Examples!$F$11)*$A892-(Examples!$F$6*Examples!$F$7*Examples!$F$8*EXP(-Examples!$F$9*$A892)*(1-(Examples!$F$12*(1-EXP(-Examples!$F$13*$A892))/(1+EXP(MIN(700,MAX(-700,(Examples!$F$14*$A892-Examples!$F$15)/Examples!$F$16))))))+Examples!$F$17*$A892^2)</f>
        <v>-1613411.9139429138</v>
      </c>
      <c r="I892" s="33">
        <f>(Examples!$F$6*Examples!$F$7*Examples!$F$8*EXP(-Examples!$F$9*$A892)*(1-(Examples!$F$12*(1-EXP(-Examples!$F$13*$A892))/(1+EXP(MIN(700,MAX(-700,(Examples!$F$14*$A892-Examples!$F$15)/Examples!$F$16))))))+Examples!$F$17*$A892^2)</f>
        <v>1585411.9139429138</v>
      </c>
      <c r="J892" s="33">
        <f>Examples!$G$18-(Examples!$G$10+Examples!$G$11)*$A892-(Examples!$G$6*Examples!$G$7*Examples!$G$8*EXP(-Examples!$G$9*$A892)*(1-(Examples!$G$12*(1-EXP(-Examples!$G$13*$A892))/(1+EXP(MIN(700,MAX(-700,(Examples!$G$14*$A892-Examples!$G$15)/Examples!$G$16))))))+Examples!$G$17*$A892^2)</f>
        <v>332576.79354821902</v>
      </c>
      <c r="K892" s="33">
        <f>(Examples!$G$6*Examples!$G$7*Examples!$G$8*EXP(-Examples!$G$9*$A892)*(1-(Examples!$G$12*(1-EXP(-Examples!$G$13*$A892))/(1+EXP(MIN(700,MAX(-700,(Examples!$G$14*$A892-Examples!$G$15)/Examples!$G$16))))))+Examples!$G$17*$A892^2)</f>
        <v>722423.20645178098</v>
      </c>
      <c r="L892" s="33">
        <f>Examples!$H$18-(Examples!$H$10+Examples!$H$11)*$A892-(Examples!$H$6*Examples!$H$7*Examples!$H$8*EXP(-Examples!$H$9*$A892)*(1-(Examples!$H$12*(1-EXP(-Examples!$H$13*$A892))/(1+EXP(MIN(700,MAX(-700,(Examples!$H$14*$A892-Examples!$H$15)/Examples!$H$16))))))+Examples!$H$17*$A892^2)</f>
        <v>332562.98579452606</v>
      </c>
      <c r="M892" s="33">
        <f>(Examples!$H$6*Examples!$H$7*Examples!$H$8*EXP(-Examples!$H$9*$A892)*(1-(Examples!$H$12*(1-EXP(-Examples!$H$13*$A892))/(1+EXP(MIN(700,MAX(-700,(Examples!$H$14*$A892-Examples!$H$15)/Examples!$H$16))))))+Examples!$H$17*$A892^2)</f>
        <v>722437.01420547394</v>
      </c>
    </row>
    <row r="893" spans="1:13" x14ac:dyDescent="0.25">
      <c r="A893">
        <f>(893-2)/100</f>
        <v>8.91</v>
      </c>
      <c r="B893" s="33">
        <f>Examples!$C$18-(Examples!$C$10+Examples!$C$11)*$A893-(Examples!$C$6*Examples!$C$7*Examples!$C$8*EXP(-Examples!$C$9*$A893)*(1-(Examples!$C$12*(1-EXP(-Examples!$C$13*$A893))/(1+EXP(MIN(700,MAX(-700,(Examples!$C$14*$A893-Examples!$C$15)/Examples!$C$16))))))+Examples!$C$17*$A893^2)</f>
        <v>-944098.36797342938</v>
      </c>
      <c r="C893" s="33">
        <f>(Examples!$C$6*Examples!$C$7*Examples!$C$8*EXP(-Examples!$C$9*$A893)*(1-(Examples!$C$12*(1-EXP(-Examples!$C$13*$A893))/(1+EXP(MIN(700,MAX(-700,(Examples!$C$14*$A893-Examples!$C$15)/Examples!$C$16))))))+Examples!$C$17*$A893^2)</f>
        <v>1232248.3679734294</v>
      </c>
      <c r="D893" s="33">
        <f>Examples!$D$18-(Examples!$D$10+Examples!$D$11)*$A893-(Examples!$D$6*Examples!$D$7*Examples!$D$8*EXP(-Examples!$D$9*$A893)*(1-(Examples!$D$12*(1-EXP(-Examples!$D$13*$A893))/(1+EXP(MIN(700,MAX(-700,(Examples!$D$14*$A893-Examples!$D$15)/Examples!$D$16))))))+Examples!$D$17*$A893^2)</f>
        <v>1593338.1676375202</v>
      </c>
      <c r="E893" s="33">
        <f>(Examples!$D$6*Examples!$D$7*Examples!$D$8*EXP(-Examples!$D$9*$A893)*(1-(Examples!$D$12*(1-EXP(-Examples!$D$13*$A893))/(1+EXP(MIN(700,MAX(-700,(Examples!$D$14*$A893-Examples!$D$15)/Examples!$D$16))))))+Examples!$D$17*$A893^2)</f>
        <v>505711.8323624797</v>
      </c>
      <c r="F893" s="33">
        <f>Examples!$E$18-(Examples!$E$10+Examples!$E$11)*$A893-(Examples!$E$6*Examples!$E$7*Examples!$E$8*EXP(-Examples!$E$9*$A893)*(1-(Examples!$E$12*(1-EXP(-Examples!$E$13*$A893))/(1+EXP(MIN(700,MAX(-700,(Examples!$E$14*$A893-Examples!$E$15)/Examples!$E$16))))))+Examples!$E$17*$A893^2)</f>
        <v>1974227.8485991205</v>
      </c>
      <c r="G893" s="33">
        <f>(Examples!$E$6*Examples!$E$7*Examples!$E$8*EXP(-Examples!$E$9*$A893)*(1-(Examples!$E$12*(1-EXP(-Examples!$E$13*$A893))/(1+EXP(MIN(700,MAX(-700,(Examples!$E$14*$A893-Examples!$E$15)/Examples!$E$16))))))+Examples!$E$17*$A893^2)</f>
        <v>268422.15140087937</v>
      </c>
      <c r="H893" s="33">
        <f>Examples!$F$18-(Examples!$F$10+Examples!$F$11)*$A893-(Examples!$F$6*Examples!$F$7*Examples!$F$8*EXP(-Examples!$F$9*$A893)*(1-(Examples!$F$12*(1-EXP(-Examples!$F$13*$A893))/(1+EXP(MIN(700,MAX(-700,(Examples!$F$14*$A893-Examples!$F$15)/Examples!$F$16))))))+Examples!$F$17*$A893^2)</f>
        <v>-1617170.2836492483</v>
      </c>
      <c r="I893" s="33">
        <f>(Examples!$F$6*Examples!$F$7*Examples!$F$8*EXP(-Examples!$F$9*$A893)*(1-(Examples!$F$12*(1-EXP(-Examples!$F$13*$A893))/(1+EXP(MIN(700,MAX(-700,(Examples!$F$14*$A893-Examples!$F$15)/Examples!$F$16))))))+Examples!$F$17*$A893^2)</f>
        <v>1588970.2836492483</v>
      </c>
      <c r="J893" s="33">
        <f>Examples!$G$18-(Examples!$G$10+Examples!$G$11)*$A893-(Examples!$G$6*Examples!$G$7*Examples!$G$8*EXP(-Examples!$G$9*$A893)*(1-(Examples!$G$12*(1-EXP(-Examples!$G$13*$A893))/(1+EXP(MIN(700,MAX(-700,(Examples!$G$14*$A893-Examples!$G$15)/Examples!$G$16))))))+Examples!$G$17*$A893^2)</f>
        <v>330961.87044414401</v>
      </c>
      <c r="K893" s="33">
        <f>(Examples!$G$6*Examples!$G$7*Examples!$G$8*EXP(-Examples!$G$9*$A893)*(1-(Examples!$G$12*(1-EXP(-Examples!$G$13*$A893))/(1+EXP(MIN(700,MAX(-700,(Examples!$G$14*$A893-Examples!$G$15)/Examples!$G$16))))))+Examples!$G$17*$A893^2)</f>
        <v>723538.12955585599</v>
      </c>
      <c r="L893" s="33">
        <f>Examples!$H$18-(Examples!$H$10+Examples!$H$11)*$A893-(Examples!$H$6*Examples!$H$7*Examples!$H$8*EXP(-Examples!$H$9*$A893)*(1-(Examples!$H$12*(1-EXP(-Examples!$H$13*$A893))/(1+EXP(MIN(700,MAX(-700,(Examples!$H$14*$A893-Examples!$H$15)/Examples!$H$16))))))+Examples!$H$17*$A893^2)</f>
        <v>330948.29233841761</v>
      </c>
      <c r="M893" s="33">
        <f>(Examples!$H$6*Examples!$H$7*Examples!$H$8*EXP(-Examples!$H$9*$A893)*(1-(Examples!$H$12*(1-EXP(-Examples!$H$13*$A893))/(1+EXP(MIN(700,MAX(-700,(Examples!$H$14*$A893-Examples!$H$15)/Examples!$H$16))))))+Examples!$H$17*$A893^2)</f>
        <v>723551.70766158239</v>
      </c>
    </row>
    <row r="894" spans="1:13" x14ac:dyDescent="0.25">
      <c r="A894">
        <f>(894-2)/100</f>
        <v>8.92</v>
      </c>
      <c r="B894" s="33">
        <f>Examples!$C$18-(Examples!$C$10+Examples!$C$11)*$A894-(Examples!$C$6*Examples!$C$7*Examples!$C$8*EXP(-Examples!$C$9*$A894)*(1-(Examples!$C$12*(1-EXP(-Examples!$C$13*$A894))/(1+EXP(MIN(700,MAX(-700,(Examples!$C$14*$A894-Examples!$C$15)/Examples!$C$16))))))+Examples!$C$17*$A894^2)</f>
        <v>-946998.77360415924</v>
      </c>
      <c r="C894" s="33">
        <f>(Examples!$C$6*Examples!$C$7*Examples!$C$8*EXP(-Examples!$C$9*$A894)*(1-(Examples!$C$12*(1-EXP(-Examples!$C$13*$A894))/(1+EXP(MIN(700,MAX(-700,(Examples!$C$14*$A894-Examples!$C$15)/Examples!$C$16))))))+Examples!$C$17*$A894^2)</f>
        <v>1234798.7736041592</v>
      </c>
      <c r="D894" s="33">
        <f>Examples!$D$18-(Examples!$D$10+Examples!$D$11)*$A894-(Examples!$D$6*Examples!$D$7*Examples!$D$8*EXP(-Examples!$D$9*$A894)*(1-(Examples!$D$12*(1-EXP(-Examples!$D$13*$A894))/(1+EXP(MIN(700,MAX(-700,(Examples!$D$14*$A894-Examples!$D$15)/Examples!$D$16))))))+Examples!$D$17*$A894^2)</f>
        <v>1592483.9420810728</v>
      </c>
      <c r="E894" s="33">
        <f>(Examples!$D$6*Examples!$D$7*Examples!$D$8*EXP(-Examples!$D$9*$A894)*(1-(Examples!$D$12*(1-EXP(-Examples!$D$13*$A894))/(1+EXP(MIN(700,MAX(-700,(Examples!$D$14*$A894-Examples!$D$15)/Examples!$D$16))))))+Examples!$D$17*$A894^2)</f>
        <v>506116.05791892711</v>
      </c>
      <c r="F894" s="33">
        <f>Examples!$E$18-(Examples!$E$10+Examples!$E$11)*$A894-(Examples!$E$6*Examples!$E$7*Examples!$E$8*EXP(-Examples!$E$9*$A894)*(1-(Examples!$E$12*(1-EXP(-Examples!$E$13*$A894))/(1+EXP(MIN(700,MAX(-700,(Examples!$E$14*$A894-Examples!$E$15)/Examples!$E$16))))))+Examples!$E$17*$A894^2)</f>
        <v>1972985.3881047003</v>
      </c>
      <c r="G894" s="33">
        <f>(Examples!$E$6*Examples!$E$7*Examples!$E$8*EXP(-Examples!$E$9*$A894)*(1-(Examples!$E$12*(1-EXP(-Examples!$E$13*$A894))/(1+EXP(MIN(700,MAX(-700,(Examples!$E$14*$A894-Examples!$E$15)/Examples!$E$16))))))+Examples!$E$17*$A894^2)</f>
        <v>268814.61189529981</v>
      </c>
      <c r="H894" s="33">
        <f>Examples!$F$18-(Examples!$F$10+Examples!$F$11)*$A894-(Examples!$F$6*Examples!$F$7*Examples!$F$8*EXP(-Examples!$F$9*$A894)*(1-(Examples!$F$12*(1-EXP(-Examples!$F$13*$A894))/(1+EXP(MIN(700,MAX(-700,(Examples!$F$14*$A894-Examples!$F$15)/Examples!$F$16))))))+Examples!$F$17*$A894^2)</f>
        <v>-1620932.6642301434</v>
      </c>
      <c r="I894" s="33">
        <f>(Examples!$F$6*Examples!$F$7*Examples!$F$8*EXP(-Examples!$F$9*$A894)*(1-(Examples!$F$12*(1-EXP(-Examples!$F$13*$A894))/(1+EXP(MIN(700,MAX(-700,(Examples!$F$14*$A894-Examples!$F$15)/Examples!$F$16))))))+Examples!$F$17*$A894^2)</f>
        <v>1592532.6642301434</v>
      </c>
      <c r="J894" s="33">
        <f>Examples!$G$18-(Examples!$G$10+Examples!$G$11)*$A894-(Examples!$G$6*Examples!$G$7*Examples!$G$8*EXP(-Examples!$G$9*$A894)*(1-(Examples!$G$12*(1-EXP(-Examples!$G$13*$A894))/(1+EXP(MIN(700,MAX(-700,(Examples!$G$14*$A894-Examples!$G$15)/Examples!$G$16))))))+Examples!$G$17*$A894^2)</f>
        <v>329344.26767945208</v>
      </c>
      <c r="K894" s="33">
        <f>(Examples!$G$6*Examples!$G$7*Examples!$G$8*EXP(-Examples!$G$9*$A894)*(1-(Examples!$G$12*(1-EXP(-Examples!$G$13*$A894))/(1+EXP(MIN(700,MAX(-700,(Examples!$G$14*$A894-Examples!$G$15)/Examples!$G$16))))))+Examples!$G$17*$A894^2)</f>
        <v>724655.73232054792</v>
      </c>
      <c r="L894" s="33">
        <f>Examples!$H$18-(Examples!$H$10+Examples!$H$11)*$A894-(Examples!$H$6*Examples!$H$7*Examples!$H$8*EXP(-Examples!$H$9*$A894)*(1-(Examples!$H$12*(1-EXP(-Examples!$H$13*$A894))/(1+EXP(MIN(700,MAX(-700,(Examples!$H$14*$A894-Examples!$H$15)/Examples!$H$16))))))+Examples!$H$17*$A894^2)</f>
        <v>329330.91540669173</v>
      </c>
      <c r="M894" s="33">
        <f>(Examples!$H$6*Examples!$H$7*Examples!$H$8*EXP(-Examples!$H$9*$A894)*(1-(Examples!$H$12*(1-EXP(-Examples!$H$13*$A894))/(1+EXP(MIN(700,MAX(-700,(Examples!$H$14*$A894-Examples!$H$15)/Examples!$H$16))))))+Examples!$H$17*$A894^2)</f>
        <v>724669.08459330827</v>
      </c>
    </row>
    <row r="895" spans="1:13" x14ac:dyDescent="0.25">
      <c r="A895">
        <f>(895-2)/100</f>
        <v>8.93</v>
      </c>
      <c r="B895" s="33">
        <f>Examples!$C$18-(Examples!$C$10+Examples!$C$11)*$A895-(Examples!$C$6*Examples!$C$7*Examples!$C$8*EXP(-Examples!$C$9*$A895)*(1-(Examples!$C$12*(1-EXP(-Examples!$C$13*$A895))/(1+EXP(MIN(700,MAX(-700,(Examples!$C$14*$A895-Examples!$C$15)/Examples!$C$16))))))+Examples!$C$17*$A895^2)</f>
        <v>-949902.55096012959</v>
      </c>
      <c r="C895" s="33">
        <f>(Examples!$C$6*Examples!$C$7*Examples!$C$8*EXP(-Examples!$C$9*$A895)*(1-(Examples!$C$12*(1-EXP(-Examples!$C$13*$A895))/(1+EXP(MIN(700,MAX(-700,(Examples!$C$14*$A895-Examples!$C$15)/Examples!$C$16))))))+Examples!$C$17*$A895^2)</f>
        <v>1237352.5509601296</v>
      </c>
      <c r="D895" s="33">
        <f>Examples!$D$18-(Examples!$D$10+Examples!$D$11)*$A895-(Examples!$D$6*Examples!$D$7*Examples!$D$8*EXP(-Examples!$D$9*$A895)*(1-(Examples!$D$12*(1-EXP(-Examples!$D$13*$A895))/(1+EXP(MIN(700,MAX(-700,(Examples!$D$14*$A895-Examples!$D$15)/Examples!$D$16))))))+Examples!$D$17*$A895^2)</f>
        <v>1591626.5480298512</v>
      </c>
      <c r="E895" s="33">
        <f>(Examples!$D$6*Examples!$D$7*Examples!$D$8*EXP(-Examples!$D$9*$A895)*(1-(Examples!$D$12*(1-EXP(-Examples!$D$13*$A895))/(1+EXP(MIN(700,MAX(-700,(Examples!$D$14*$A895-Examples!$D$15)/Examples!$D$16))))))+Examples!$D$17*$A895^2)</f>
        <v>506523.45197014883</v>
      </c>
      <c r="F895" s="33">
        <f>Examples!$E$18-(Examples!$E$10+Examples!$E$11)*$A895-(Examples!$E$6*Examples!$E$7*Examples!$E$8*EXP(-Examples!$E$9*$A895)*(1-(Examples!$E$12*(1-EXP(-Examples!$E$13*$A895))/(1+EXP(MIN(700,MAX(-700,(Examples!$E$14*$A895-Examples!$E$15)/Examples!$E$16))))))+Examples!$E$17*$A895^2)</f>
        <v>1971741.7208177564</v>
      </c>
      <c r="G895" s="33">
        <f>(Examples!$E$6*Examples!$E$7*Examples!$E$8*EXP(-Examples!$E$9*$A895)*(1-(Examples!$E$12*(1-EXP(-Examples!$E$13*$A895))/(1+EXP(MIN(700,MAX(-700,(Examples!$E$14*$A895-Examples!$E$15)/Examples!$E$16))))))+Examples!$E$17*$A895^2)</f>
        <v>269208.27918224368</v>
      </c>
      <c r="H895" s="33">
        <f>Examples!$F$18-(Examples!$F$10+Examples!$F$11)*$A895-(Examples!$F$6*Examples!$F$7*Examples!$F$8*EXP(-Examples!$F$9*$A895)*(1-(Examples!$F$12*(1-EXP(-Examples!$F$13*$A895))/(1+EXP(MIN(700,MAX(-700,(Examples!$F$14*$A895-Examples!$F$15)/Examples!$F$16))))))+Examples!$F$17*$A895^2)</f>
        <v>-1624699.0556530252</v>
      </c>
      <c r="I895" s="33">
        <f>(Examples!$F$6*Examples!$F$7*Examples!$F$8*EXP(-Examples!$F$9*$A895)*(1-(Examples!$F$12*(1-EXP(-Examples!$F$13*$A895))/(1+EXP(MIN(700,MAX(-700,(Examples!$F$14*$A895-Examples!$F$15)/Examples!$F$16))))))+Examples!$F$17*$A895^2)</f>
        <v>1596099.0556530252</v>
      </c>
      <c r="J895" s="33">
        <f>Examples!$G$18-(Examples!$G$10+Examples!$G$11)*$A895-(Examples!$G$6*Examples!$G$7*Examples!$G$8*EXP(-Examples!$G$9*$A895)*(1-(Examples!$G$12*(1-EXP(-Examples!$G$13*$A895))/(1+EXP(MIN(700,MAX(-700,(Examples!$G$14*$A895-Examples!$G$15)/Examples!$G$16))))))+Examples!$G$17*$A895^2)</f>
        <v>327723.98897640081</v>
      </c>
      <c r="K895" s="33">
        <f>(Examples!$G$6*Examples!$G$7*Examples!$G$8*EXP(-Examples!$G$9*$A895)*(1-(Examples!$G$12*(1-EXP(-Examples!$G$13*$A895))/(1+EXP(MIN(700,MAX(-700,(Examples!$G$14*$A895-Examples!$G$15)/Examples!$G$16))))))+Examples!$G$17*$A895^2)</f>
        <v>725776.01102359919</v>
      </c>
      <c r="L895" s="33">
        <f>Examples!$H$18-(Examples!$H$10+Examples!$H$11)*$A895-(Examples!$H$6*Examples!$H$7*Examples!$H$8*EXP(-Examples!$H$9*$A895)*(1-(Examples!$H$12*(1-EXP(-Examples!$H$13*$A895))/(1+EXP(MIN(700,MAX(-700,(Examples!$H$14*$A895-Examples!$H$15)/Examples!$H$16))))))+Examples!$H$17*$A895^2)</f>
        <v>327710.85878488119</v>
      </c>
      <c r="M895" s="33">
        <f>(Examples!$H$6*Examples!$H$7*Examples!$H$8*EXP(-Examples!$H$9*$A895)*(1-(Examples!$H$12*(1-EXP(-Examples!$H$13*$A895))/(1+EXP(MIN(700,MAX(-700,(Examples!$H$14*$A895-Examples!$H$15)/Examples!$H$16))))))+Examples!$H$17*$A895^2)</f>
        <v>725789.14121511881</v>
      </c>
    </row>
    <row r="896" spans="1:13" x14ac:dyDescent="0.25">
      <c r="A896">
        <f>(896-2)/100</f>
        <v>8.94</v>
      </c>
      <c r="B896" s="33">
        <f>Examples!$C$18-(Examples!$C$10+Examples!$C$11)*$A896-(Examples!$C$6*Examples!$C$7*Examples!$C$8*EXP(-Examples!$C$9*$A896)*(1-(Examples!$C$12*(1-EXP(-Examples!$C$13*$A896))/(1+EXP(MIN(700,MAX(-700,(Examples!$C$14*$A896-Examples!$C$15)/Examples!$C$16))))))+Examples!$C$17*$A896^2)</f>
        <v>-952809.69892783556</v>
      </c>
      <c r="C896" s="33">
        <f>(Examples!$C$6*Examples!$C$7*Examples!$C$8*EXP(-Examples!$C$9*$A896)*(1-(Examples!$C$12*(1-EXP(-Examples!$C$13*$A896))/(1+EXP(MIN(700,MAX(-700,(Examples!$C$14*$A896-Examples!$C$15)/Examples!$C$16))))))+Examples!$C$17*$A896^2)</f>
        <v>1239909.6989278356</v>
      </c>
      <c r="D896" s="33">
        <f>Examples!$D$18-(Examples!$D$10+Examples!$D$11)*$A896-(Examples!$D$6*Examples!$D$7*Examples!$D$8*EXP(-Examples!$D$9*$A896)*(1-(Examples!$D$12*(1-EXP(-Examples!$D$13*$A896))/(1+EXP(MIN(700,MAX(-700,(Examples!$D$14*$A896-Examples!$D$15)/Examples!$D$16))))))+Examples!$D$17*$A896^2)</f>
        <v>1590765.9948807247</v>
      </c>
      <c r="E896" s="33">
        <f>(Examples!$D$6*Examples!$D$7*Examples!$D$8*EXP(-Examples!$D$9*$A896)*(1-(Examples!$D$12*(1-EXP(-Examples!$D$13*$A896))/(1+EXP(MIN(700,MAX(-700,(Examples!$D$14*$A896-Examples!$D$15)/Examples!$D$16))))))+Examples!$D$17*$A896^2)</f>
        <v>506934.00511927536</v>
      </c>
      <c r="F896" s="33">
        <f>Examples!$E$18-(Examples!$E$10+Examples!$E$11)*$A896-(Examples!$E$6*Examples!$E$7*Examples!$E$8*EXP(-Examples!$E$9*$A896)*(1-(Examples!$E$12*(1-EXP(-Examples!$E$13*$A896))/(1+EXP(MIN(700,MAX(-700,(Examples!$E$14*$A896-Examples!$E$15)/Examples!$E$16))))))+Examples!$E$17*$A896^2)</f>
        <v>1970496.84854085</v>
      </c>
      <c r="G896" s="33">
        <f>(Examples!$E$6*Examples!$E$7*Examples!$E$8*EXP(-Examples!$E$9*$A896)*(1-(Examples!$E$12*(1-EXP(-Examples!$E$13*$A896))/(1+EXP(MIN(700,MAX(-700,(Examples!$E$14*$A896-Examples!$E$15)/Examples!$E$16))))))+Examples!$E$17*$A896^2)</f>
        <v>269603.15145914996</v>
      </c>
      <c r="H896" s="33">
        <f>Examples!$F$18-(Examples!$F$10+Examples!$F$11)*$A896-(Examples!$F$6*Examples!$F$7*Examples!$F$8*EXP(-Examples!$F$9*$A896)*(1-(Examples!$F$12*(1-EXP(-Examples!$F$13*$A896))/(1+EXP(MIN(700,MAX(-700,(Examples!$F$14*$A896-Examples!$F$15)/Examples!$F$16))))))+Examples!$F$17*$A896^2)</f>
        <v>-1628469.4578854155</v>
      </c>
      <c r="I896" s="33">
        <f>(Examples!$F$6*Examples!$F$7*Examples!$F$8*EXP(-Examples!$F$9*$A896)*(1-(Examples!$F$12*(1-EXP(-Examples!$F$13*$A896))/(1+EXP(MIN(700,MAX(-700,(Examples!$F$14*$A896-Examples!$F$15)/Examples!$F$16))))))+Examples!$F$17*$A896^2)</f>
        <v>1599669.4578854155</v>
      </c>
      <c r="J896" s="33">
        <f>Examples!$G$18-(Examples!$G$10+Examples!$G$11)*$A896-(Examples!$G$6*Examples!$G$7*Examples!$G$8*EXP(-Examples!$G$9*$A896)*(1-(Examples!$G$12*(1-EXP(-Examples!$G$13*$A896))/(1+EXP(MIN(700,MAX(-700,(Examples!$G$14*$A896-Examples!$G$15)/Examples!$G$16))))))+Examples!$G$17*$A896^2)</f>
        <v>326101.03804506827</v>
      </c>
      <c r="K896" s="33">
        <f>(Examples!$G$6*Examples!$G$7*Examples!$G$8*EXP(-Examples!$G$9*$A896)*(1-(Examples!$G$12*(1-EXP(-Examples!$G$13*$A896))/(1+EXP(MIN(700,MAX(-700,(Examples!$G$14*$A896-Examples!$G$15)/Examples!$G$16))))))+Examples!$G$17*$A896^2)</f>
        <v>726898.96195493173</v>
      </c>
      <c r="L896" s="33">
        <f>Examples!$H$18-(Examples!$H$10+Examples!$H$11)*$A896-(Examples!$H$6*Examples!$H$7*Examples!$H$8*EXP(-Examples!$H$9*$A896)*(1-(Examples!$H$12*(1-EXP(-Examples!$H$13*$A896))/(1+EXP(MIN(700,MAX(-700,(Examples!$H$14*$A896-Examples!$H$15)/Examples!$H$16))))))+Examples!$H$17*$A896^2)</f>
        <v>326088.12624529249</v>
      </c>
      <c r="M896" s="33">
        <f>(Examples!$H$6*Examples!$H$7*Examples!$H$8*EXP(-Examples!$H$9*$A896)*(1-(Examples!$H$12*(1-EXP(-Examples!$H$13*$A896))/(1+EXP(MIN(700,MAX(-700,(Examples!$H$14*$A896-Examples!$H$15)/Examples!$H$16))))))+Examples!$H$17*$A896^2)</f>
        <v>726911.87375470751</v>
      </c>
    </row>
    <row r="897" spans="1:13" x14ac:dyDescent="0.25">
      <c r="A897">
        <f>(897-2)/100</f>
        <v>8.9499999999999993</v>
      </c>
      <c r="B897" s="33">
        <f>Examples!$C$18-(Examples!$C$10+Examples!$C$11)*$A897-(Examples!$C$6*Examples!$C$7*Examples!$C$8*EXP(-Examples!$C$9*$A897)*(1-(Examples!$C$12*(1-EXP(-Examples!$C$13*$A897))/(1+EXP(MIN(700,MAX(-700,(Examples!$C$14*$A897-Examples!$C$15)/Examples!$C$16))))))+Examples!$C$17*$A897^2)</f>
        <v>-955720.21639710804</v>
      </c>
      <c r="C897" s="33">
        <f>(Examples!$C$6*Examples!$C$7*Examples!$C$8*EXP(-Examples!$C$9*$A897)*(1-(Examples!$C$12*(1-EXP(-Examples!$C$13*$A897))/(1+EXP(MIN(700,MAX(-700,(Examples!$C$14*$A897-Examples!$C$15)/Examples!$C$16))))))+Examples!$C$17*$A897^2)</f>
        <v>1242470.216397108</v>
      </c>
      <c r="D897" s="33">
        <f>Examples!$D$18-(Examples!$D$10+Examples!$D$11)*$A897-(Examples!$D$6*Examples!$D$7*Examples!$D$8*EXP(-Examples!$D$9*$A897)*(1-(Examples!$D$12*(1-EXP(-Examples!$D$13*$A897))/(1+EXP(MIN(700,MAX(-700,(Examples!$D$14*$A897-Examples!$D$15)/Examples!$D$16))))))+Examples!$D$17*$A897^2)</f>
        <v>1589902.2919943193</v>
      </c>
      <c r="E897" s="33">
        <f>(Examples!$D$6*Examples!$D$7*Examples!$D$8*EXP(-Examples!$D$9*$A897)*(1-(Examples!$D$12*(1-EXP(-Examples!$D$13*$A897))/(1+EXP(MIN(700,MAX(-700,(Examples!$D$14*$A897-Examples!$D$15)/Examples!$D$16))))))+Examples!$D$17*$A897^2)</f>
        <v>507347.7080056807</v>
      </c>
      <c r="F897" s="33">
        <f>Examples!$E$18-(Examples!$E$10+Examples!$E$11)*$A897-(Examples!$E$6*Examples!$E$7*Examples!$E$8*EXP(-Examples!$E$9*$A897)*(1-(Examples!$E$12*(1-EXP(-Examples!$E$13*$A897))/(1+EXP(MIN(700,MAX(-700,(Examples!$E$14*$A897-Examples!$E$15)/Examples!$E$16))))))+Examples!$E$17*$A897^2)</f>
        <v>1969250.7730811355</v>
      </c>
      <c r="G897" s="33">
        <f>(Examples!$E$6*Examples!$E$7*Examples!$E$8*EXP(-Examples!$E$9*$A897)*(1-(Examples!$E$12*(1-EXP(-Examples!$E$13*$A897))/(1+EXP(MIN(700,MAX(-700,(Examples!$E$14*$A897-Examples!$E$15)/Examples!$E$16))))))+Examples!$E$17*$A897^2)</f>
        <v>269999.22691886465</v>
      </c>
      <c r="H897" s="33">
        <f>Examples!$F$18-(Examples!$F$10+Examples!$F$11)*$A897-(Examples!$F$6*Examples!$F$7*Examples!$F$8*EXP(-Examples!$F$9*$A897)*(1-(Examples!$F$12*(1-EXP(-Examples!$F$13*$A897))/(1+EXP(MIN(700,MAX(-700,(Examples!$F$14*$A897-Examples!$F$15)/Examples!$F$16))))))+Examples!$F$17*$A897^2)</f>
        <v>-1632243.8708949352</v>
      </c>
      <c r="I897" s="33">
        <f>(Examples!$F$6*Examples!$F$7*Examples!$F$8*EXP(-Examples!$F$9*$A897)*(1-(Examples!$F$12*(1-EXP(-Examples!$F$13*$A897))/(1+EXP(MIN(700,MAX(-700,(Examples!$F$14*$A897-Examples!$F$15)/Examples!$F$16))))))+Examples!$F$17*$A897^2)</f>
        <v>1603243.8708949352</v>
      </c>
      <c r="J897" s="33">
        <f>Examples!$G$18-(Examples!$G$10+Examples!$G$11)*$A897-(Examples!$G$6*Examples!$G$7*Examples!$G$8*EXP(-Examples!$G$9*$A897)*(1-(Examples!$G$12*(1-EXP(-Examples!$G$13*$A897))/(1+EXP(MIN(700,MAX(-700,(Examples!$G$14*$A897-Examples!$G$15)/Examples!$G$16))))))+Examples!$G$17*$A897^2)</f>
        <v>324475.41858338285</v>
      </c>
      <c r="K897" s="33">
        <f>(Examples!$G$6*Examples!$G$7*Examples!$G$8*EXP(-Examples!$G$9*$A897)*(1-(Examples!$G$12*(1-EXP(-Examples!$G$13*$A897))/(1+EXP(MIN(700,MAX(-700,(Examples!$G$14*$A897-Examples!$G$15)/Examples!$G$16))))))+Examples!$G$17*$A897^2)</f>
        <v>728024.58141661715</v>
      </c>
      <c r="L897" s="33">
        <f>Examples!$H$18-(Examples!$H$10+Examples!$H$11)*$A897-(Examples!$H$6*Examples!$H$7*Examples!$H$8*EXP(-Examples!$H$9*$A897)*(1-(Examples!$H$12*(1-EXP(-Examples!$H$13*$A897))/(1+EXP(MIN(700,MAX(-700,(Examples!$H$14*$A897-Examples!$H$15)/Examples!$H$16))))))+Examples!$H$17*$A897^2)</f>
        <v>324462.72154705226</v>
      </c>
      <c r="M897" s="33">
        <f>(Examples!$H$6*Examples!$H$7*Examples!$H$8*EXP(-Examples!$H$9*$A897)*(1-(Examples!$H$12*(1-EXP(-Examples!$H$13*$A897))/(1+EXP(MIN(700,MAX(-700,(Examples!$H$14*$A897-Examples!$H$15)/Examples!$H$16))))))+Examples!$H$17*$A897^2)</f>
        <v>728037.27845294774</v>
      </c>
    </row>
    <row r="898" spans="1:13" x14ac:dyDescent="0.25">
      <c r="A898">
        <f>(898-2)/100</f>
        <v>8.9600000000000009</v>
      </c>
      <c r="B898" s="33">
        <f>Examples!$C$18-(Examples!$C$10+Examples!$C$11)*$A898-(Examples!$C$6*Examples!$C$7*Examples!$C$8*EXP(-Examples!$C$9*$A898)*(1-(Examples!$C$12*(1-EXP(-Examples!$C$13*$A898))/(1+EXP(MIN(700,MAX(-700,(Examples!$C$14*$A898-Examples!$C$15)/Examples!$C$16))))))+Examples!$C$17*$A898^2)</f>
        <v>-958634.10226110392</v>
      </c>
      <c r="C898" s="33">
        <f>(Examples!$C$6*Examples!$C$7*Examples!$C$8*EXP(-Examples!$C$9*$A898)*(1-(Examples!$C$12*(1-EXP(-Examples!$C$13*$A898))/(1+EXP(MIN(700,MAX(-700,(Examples!$C$14*$A898-Examples!$C$15)/Examples!$C$16))))))+Examples!$C$17*$A898^2)</f>
        <v>1245034.1022611039</v>
      </c>
      <c r="D898" s="33">
        <f>Examples!$D$18-(Examples!$D$10+Examples!$D$11)*$A898-(Examples!$D$6*Examples!$D$7*Examples!$D$8*EXP(-Examples!$D$9*$A898)*(1-(Examples!$D$12*(1-EXP(-Examples!$D$13*$A898))/(1+EXP(MIN(700,MAX(-700,(Examples!$D$14*$A898-Examples!$D$15)/Examples!$D$16))))))+Examples!$D$17*$A898^2)</f>
        <v>1589035.4486950769</v>
      </c>
      <c r="E898" s="33">
        <f>(Examples!$D$6*Examples!$D$7*Examples!$D$8*EXP(-Examples!$D$9*$A898)*(1-(Examples!$D$12*(1-EXP(-Examples!$D$13*$A898))/(1+EXP(MIN(700,MAX(-700,(Examples!$D$14*$A898-Examples!$D$15)/Examples!$D$16))))))+Examples!$D$17*$A898^2)</f>
        <v>507764.55130492314</v>
      </c>
      <c r="F898" s="33">
        <f>Examples!$E$18-(Examples!$E$10+Examples!$E$11)*$A898-(Examples!$E$6*Examples!$E$7*Examples!$E$8*EXP(-Examples!$E$9*$A898)*(1-(Examples!$E$12*(1-EXP(-Examples!$E$13*$A898))/(1+EXP(MIN(700,MAX(-700,(Examples!$E$14*$A898-Examples!$E$15)/Examples!$E$16))))))+Examples!$E$17*$A898^2)</f>
        <v>1968003.4962502033</v>
      </c>
      <c r="G898" s="33">
        <f>(Examples!$E$6*Examples!$E$7*Examples!$E$8*EXP(-Examples!$E$9*$A898)*(1-(Examples!$E$12*(1-EXP(-Examples!$E$13*$A898))/(1+EXP(MIN(700,MAX(-700,(Examples!$E$14*$A898-Examples!$E$15)/Examples!$E$16))))))+Examples!$E$17*$A898^2)</f>
        <v>270396.50374979671</v>
      </c>
      <c r="H898" s="33">
        <f>Examples!$F$18-(Examples!$F$10+Examples!$F$11)*$A898-(Examples!$F$6*Examples!$F$7*Examples!$F$8*EXP(-Examples!$F$9*$A898)*(1-(Examples!$F$12*(1-EXP(-Examples!$F$13*$A898))/(1+EXP(MIN(700,MAX(-700,(Examples!$F$14*$A898-Examples!$F$15)/Examples!$F$16))))))+Examples!$F$17*$A898^2)</f>
        <v>-1636022.2946493016</v>
      </c>
      <c r="I898" s="33">
        <f>(Examples!$F$6*Examples!$F$7*Examples!$F$8*EXP(-Examples!$F$9*$A898)*(1-(Examples!$F$12*(1-EXP(-Examples!$F$13*$A898))/(1+EXP(MIN(700,MAX(-700,(Examples!$F$14*$A898-Examples!$F$15)/Examples!$F$16))))))+Examples!$F$17*$A898^2)</f>
        <v>1606822.2946493016</v>
      </c>
      <c r="J898" s="33">
        <f>Examples!$G$18-(Examples!$G$10+Examples!$G$11)*$A898-(Examples!$G$6*Examples!$G$7*Examples!$G$8*EXP(-Examples!$G$9*$A898)*(1-(Examples!$G$12*(1-EXP(-Examples!$G$13*$A898))/(1+EXP(MIN(700,MAX(-700,(Examples!$G$14*$A898-Examples!$G$15)/Examples!$G$16))))))+Examples!$G$17*$A898^2)</f>
        <v>322847.13427715178</v>
      </c>
      <c r="K898" s="33">
        <f>(Examples!$G$6*Examples!$G$7*Examples!$G$8*EXP(-Examples!$G$9*$A898)*(1-(Examples!$G$12*(1-EXP(-Examples!$G$13*$A898))/(1+EXP(MIN(700,MAX(-700,(Examples!$G$14*$A898-Examples!$G$15)/Examples!$G$16))))))+Examples!$G$17*$A898^2)</f>
        <v>729152.86572284822</v>
      </c>
      <c r="L898" s="33">
        <f>Examples!$H$18-(Examples!$H$10+Examples!$H$11)*$A898-(Examples!$H$6*Examples!$H$7*Examples!$H$8*EXP(-Examples!$H$9*$A898)*(1-(Examples!$H$12*(1-EXP(-Examples!$H$13*$A898))/(1+EXP(MIN(700,MAX(-700,(Examples!$H$14*$A898-Examples!$H$15)/Examples!$H$16))))))+Examples!$H$17*$A898^2)</f>
        <v>322834.64843615354</v>
      </c>
      <c r="M898" s="33">
        <f>(Examples!$H$6*Examples!$H$7*Examples!$H$8*EXP(-Examples!$H$9*$A898)*(1-(Examples!$H$12*(1-EXP(-Examples!$H$13*$A898))/(1+EXP(MIN(700,MAX(-700,(Examples!$H$14*$A898-Examples!$H$15)/Examples!$H$16))))))+Examples!$H$17*$A898^2)</f>
        <v>729165.35156384646</v>
      </c>
    </row>
    <row r="899" spans="1:13" x14ac:dyDescent="0.25">
      <c r="A899">
        <f>(899-2)/100</f>
        <v>8.9700000000000006</v>
      </c>
      <c r="B899" s="33">
        <f>Examples!$C$18-(Examples!$C$10+Examples!$C$11)*$A899-(Examples!$C$6*Examples!$C$7*Examples!$C$8*EXP(-Examples!$C$9*$A899)*(1-(Examples!$C$12*(1-EXP(-Examples!$C$13*$A899))/(1+EXP(MIN(700,MAX(-700,(Examples!$C$14*$A899-Examples!$C$15)/Examples!$C$16))))))+Examples!$C$17*$A899^2)</f>
        <v>-961551.35541629442</v>
      </c>
      <c r="C899" s="33">
        <f>(Examples!$C$6*Examples!$C$7*Examples!$C$8*EXP(-Examples!$C$9*$A899)*(1-(Examples!$C$12*(1-EXP(-Examples!$C$13*$A899))/(1+EXP(MIN(700,MAX(-700,(Examples!$C$14*$A899-Examples!$C$15)/Examples!$C$16))))))+Examples!$C$17*$A899^2)</f>
        <v>1247601.3554162944</v>
      </c>
      <c r="D899" s="33">
        <f>Examples!$D$18-(Examples!$D$10+Examples!$D$11)*$A899-(Examples!$D$6*Examples!$D$7*Examples!$D$8*EXP(-Examples!$D$9*$A899)*(1-(Examples!$D$12*(1-EXP(-Examples!$D$13*$A899))/(1+EXP(MIN(700,MAX(-700,(Examples!$D$14*$A899-Examples!$D$15)/Examples!$D$16))))))+Examples!$D$17*$A899^2)</f>
        <v>1588165.4742713151</v>
      </c>
      <c r="E899" s="33">
        <f>(Examples!$D$6*Examples!$D$7*Examples!$D$8*EXP(-Examples!$D$9*$A899)*(1-(Examples!$D$12*(1-EXP(-Examples!$D$13*$A899))/(1+EXP(MIN(700,MAX(-700,(Examples!$D$14*$A899-Examples!$D$15)/Examples!$D$16))))))+Examples!$D$17*$A899^2)</f>
        <v>508184.52572868491</v>
      </c>
      <c r="F899" s="33">
        <f>Examples!$E$18-(Examples!$E$10+Examples!$E$11)*$A899-(Examples!$E$6*Examples!$E$7*Examples!$E$8*EXP(-Examples!$E$9*$A899)*(1-(Examples!$E$12*(1-EXP(-Examples!$E$13*$A899))/(1+EXP(MIN(700,MAX(-700,(Examples!$E$14*$A899-Examples!$E$15)/Examples!$E$16))))))+Examples!$E$17*$A899^2)</f>
        <v>1966755.0198639273</v>
      </c>
      <c r="G899" s="33">
        <f>(Examples!$E$6*Examples!$E$7*Examples!$E$8*EXP(-Examples!$E$9*$A899)*(1-(Examples!$E$12*(1-EXP(-Examples!$E$13*$A899))/(1+EXP(MIN(700,MAX(-700,(Examples!$E$14*$A899-Examples!$E$15)/Examples!$E$16))))))+Examples!$E$17*$A899^2)</f>
        <v>270794.98013607285</v>
      </c>
      <c r="H899" s="33">
        <f>Examples!$F$18-(Examples!$F$10+Examples!$F$11)*$A899-(Examples!$F$6*Examples!$F$7*Examples!$F$8*EXP(-Examples!$F$9*$A899)*(1-(Examples!$F$12*(1-EXP(-Examples!$F$13*$A899))/(1+EXP(MIN(700,MAX(-700,(Examples!$F$14*$A899-Examples!$F$15)/Examples!$F$16))))))+Examples!$F$17*$A899^2)</f>
        <v>-1639804.7291163274</v>
      </c>
      <c r="I899" s="33">
        <f>(Examples!$F$6*Examples!$F$7*Examples!$F$8*EXP(-Examples!$F$9*$A899)*(1-(Examples!$F$12*(1-EXP(-Examples!$F$13*$A899))/(1+EXP(MIN(700,MAX(-700,(Examples!$F$14*$A899-Examples!$F$15)/Examples!$F$16))))))+Examples!$F$17*$A899^2)</f>
        <v>1610404.7291163274</v>
      </c>
      <c r="J899" s="33">
        <f>Examples!$G$18-(Examples!$G$10+Examples!$G$11)*$A899-(Examples!$G$6*Examples!$G$7*Examples!$G$8*EXP(-Examples!$G$9*$A899)*(1-(Examples!$G$12*(1-EXP(-Examples!$G$13*$A899))/(1+EXP(MIN(700,MAX(-700,(Examples!$G$14*$A899-Examples!$G$15)/Examples!$G$16))))))+Examples!$G$17*$A899^2)</f>
        <v>321216.18880009092</v>
      </c>
      <c r="K899" s="33">
        <f>(Examples!$G$6*Examples!$G$7*Examples!$G$8*EXP(-Examples!$G$9*$A899)*(1-(Examples!$G$12*(1-EXP(-Examples!$G$13*$A899))/(1+EXP(MIN(700,MAX(-700,(Examples!$G$14*$A899-Examples!$G$15)/Examples!$G$16))))))+Examples!$G$17*$A899^2)</f>
        <v>730283.81119990908</v>
      </c>
      <c r="L899" s="33">
        <f>Examples!$H$18-(Examples!$H$10+Examples!$H$11)*$A899-(Examples!$H$6*Examples!$H$7*Examples!$H$8*EXP(-Examples!$H$9*$A899)*(1-(Examples!$H$12*(1-EXP(-Examples!$H$13*$A899))/(1+EXP(MIN(700,MAX(-700,(Examples!$H$14*$A899-Examples!$H$15)/Examples!$H$16))))))+Examples!$H$17*$A899^2)</f>
        <v>321203.91064550146</v>
      </c>
      <c r="M899" s="33">
        <f>(Examples!$H$6*Examples!$H$7*Examples!$H$8*EXP(-Examples!$H$9*$A899)*(1-(Examples!$H$12*(1-EXP(-Examples!$H$13*$A899))/(1+EXP(MIN(700,MAX(-700,(Examples!$H$14*$A899-Examples!$H$15)/Examples!$H$16))))))+Examples!$H$17*$A899^2)</f>
        <v>730296.08935449854</v>
      </c>
    </row>
    <row r="900" spans="1:13" x14ac:dyDescent="0.25">
      <c r="A900">
        <f>(900-2)/100</f>
        <v>8.98</v>
      </c>
      <c r="B900" s="33">
        <f>Examples!$C$18-(Examples!$C$10+Examples!$C$11)*$A900-(Examples!$C$6*Examples!$C$7*Examples!$C$8*EXP(-Examples!$C$9*$A900)*(1-(Examples!$C$12*(1-EXP(-Examples!$C$13*$A900))/(1+EXP(MIN(700,MAX(-700,(Examples!$C$14*$A900-Examples!$C$15)/Examples!$C$16))))))+Examples!$C$17*$A900^2)</f>
        <v>-964471.97476245742</v>
      </c>
      <c r="C900" s="33">
        <f>(Examples!$C$6*Examples!$C$7*Examples!$C$8*EXP(-Examples!$C$9*$A900)*(1-(Examples!$C$12*(1-EXP(-Examples!$C$13*$A900))/(1+EXP(MIN(700,MAX(-700,(Examples!$C$14*$A900-Examples!$C$15)/Examples!$C$16))))))+Examples!$C$17*$A900^2)</f>
        <v>1250171.9747624574</v>
      </c>
      <c r="D900" s="33">
        <f>Examples!$D$18-(Examples!$D$10+Examples!$D$11)*$A900-(Examples!$D$6*Examples!$D$7*Examples!$D$8*EXP(-Examples!$D$9*$A900)*(1-(Examples!$D$12*(1-EXP(-Examples!$D$13*$A900))/(1+EXP(MIN(700,MAX(-700,(Examples!$D$14*$A900-Examples!$D$15)/Examples!$D$16))))))+Examples!$D$17*$A900^2)</f>
        <v>1587292.3779752902</v>
      </c>
      <c r="E900" s="33">
        <f>(Examples!$D$6*Examples!$D$7*Examples!$D$8*EXP(-Examples!$D$9*$A900)*(1-(Examples!$D$12*(1-EXP(-Examples!$D$13*$A900))/(1+EXP(MIN(700,MAX(-700,(Examples!$D$14*$A900-Examples!$D$15)/Examples!$D$16))))))+Examples!$D$17*$A900^2)</f>
        <v>508607.62202470977</v>
      </c>
      <c r="F900" s="33">
        <f>Examples!$E$18-(Examples!$E$10+Examples!$E$11)*$A900-(Examples!$E$6*Examples!$E$7*Examples!$E$8*EXP(-Examples!$E$9*$A900)*(1-(Examples!$E$12*(1-EXP(-Examples!$E$13*$A900))/(1+EXP(MIN(700,MAX(-700,(Examples!$E$14*$A900-Examples!$E$15)/Examples!$E$16))))))+Examples!$E$17*$A900^2)</f>
        <v>1965505.3457423095</v>
      </c>
      <c r="G900" s="33">
        <f>(Examples!$E$6*Examples!$E$7*Examples!$E$8*EXP(-Examples!$E$9*$A900)*(1-(Examples!$E$12*(1-EXP(-Examples!$E$13*$A900))/(1+EXP(MIN(700,MAX(-700,(Examples!$E$14*$A900-Examples!$E$15)/Examples!$E$16))))))+Examples!$E$17*$A900^2)</f>
        <v>271194.65425769048</v>
      </c>
      <c r="H900" s="33">
        <f>Examples!$F$18-(Examples!$F$10+Examples!$F$11)*$A900-(Examples!$F$6*Examples!$F$7*Examples!$F$8*EXP(-Examples!$F$9*$A900)*(1-(Examples!$F$12*(1-EXP(-Examples!$F$13*$A900))/(1+EXP(MIN(700,MAX(-700,(Examples!$F$14*$A900-Examples!$F$15)/Examples!$F$16))))))+Examples!$F$17*$A900^2)</f>
        <v>-1643591.174263923</v>
      </c>
      <c r="I900" s="33">
        <f>(Examples!$F$6*Examples!$F$7*Examples!$F$8*EXP(-Examples!$F$9*$A900)*(1-(Examples!$F$12*(1-EXP(-Examples!$F$13*$A900))/(1+EXP(MIN(700,MAX(-700,(Examples!$F$14*$A900-Examples!$F$15)/Examples!$F$16))))))+Examples!$F$17*$A900^2)</f>
        <v>1613991.174263923</v>
      </c>
      <c r="J900" s="33">
        <f>Examples!$G$18-(Examples!$G$10+Examples!$G$11)*$A900-(Examples!$G$6*Examples!$G$7*Examples!$G$8*EXP(-Examples!$G$9*$A900)*(1-(Examples!$G$12*(1-EXP(-Examples!$G$13*$A900))/(1+EXP(MIN(700,MAX(-700,(Examples!$G$14*$A900-Examples!$G$15)/Examples!$G$16))))))+Examples!$G$17*$A900^2)</f>
        <v>319582.58581385331</v>
      </c>
      <c r="K900" s="33">
        <f>(Examples!$G$6*Examples!$G$7*Examples!$G$8*EXP(-Examples!$G$9*$A900)*(1-(Examples!$G$12*(1-EXP(-Examples!$G$13*$A900))/(1+EXP(MIN(700,MAX(-700,(Examples!$G$14*$A900-Examples!$G$15)/Examples!$G$16))))))+Examples!$G$17*$A900^2)</f>
        <v>731417.41418614669</v>
      </c>
      <c r="L900" s="33">
        <f>Examples!$H$18-(Examples!$H$10+Examples!$H$11)*$A900-(Examples!$H$6*Examples!$H$7*Examples!$H$8*EXP(-Examples!$H$9*$A900)*(1-(Examples!$H$12*(1-EXP(-Examples!$H$13*$A900))/(1+EXP(MIN(700,MAX(-700,(Examples!$H$14*$A900-Examples!$H$15)/Examples!$H$16))))))+Examples!$H$17*$A900^2)</f>
        <v>319570.51189495844</v>
      </c>
      <c r="M900" s="33">
        <f>(Examples!$H$6*Examples!$H$7*Examples!$H$8*EXP(-Examples!$H$9*$A900)*(1-(Examples!$H$12*(1-EXP(-Examples!$H$13*$A900))/(1+EXP(MIN(700,MAX(-700,(Examples!$H$14*$A900-Examples!$H$15)/Examples!$H$16))))))+Examples!$H$17*$A900^2)</f>
        <v>731429.48810504156</v>
      </c>
    </row>
    <row r="901" spans="1:13" x14ac:dyDescent="0.25">
      <c r="A901">
        <f>(901-2)/100</f>
        <v>8.99</v>
      </c>
      <c r="B901" s="33">
        <f>Examples!$C$18-(Examples!$C$10+Examples!$C$11)*$A901-(Examples!$C$6*Examples!$C$7*Examples!$C$8*EXP(-Examples!$C$9*$A901)*(1-(Examples!$C$12*(1-EXP(-Examples!$C$13*$A901))/(1+EXP(MIN(700,MAX(-700,(Examples!$C$14*$A901-Examples!$C$15)/Examples!$C$16))))))+Examples!$C$17*$A901^2)</f>
        <v>-967395.95920266653</v>
      </c>
      <c r="C901" s="33">
        <f>(Examples!$C$6*Examples!$C$7*Examples!$C$8*EXP(-Examples!$C$9*$A901)*(1-(Examples!$C$12*(1-EXP(-Examples!$C$13*$A901))/(1+EXP(MIN(700,MAX(-700,(Examples!$C$14*$A901-Examples!$C$15)/Examples!$C$16))))))+Examples!$C$17*$A901^2)</f>
        <v>1252745.9592026665</v>
      </c>
      <c r="D901" s="33">
        <f>Examples!$D$18-(Examples!$D$10+Examples!$D$11)*$A901-(Examples!$D$6*Examples!$D$7*Examples!$D$8*EXP(-Examples!$D$9*$A901)*(1-(Examples!$D$12*(1-EXP(-Examples!$D$13*$A901))/(1+EXP(MIN(700,MAX(-700,(Examples!$D$14*$A901-Examples!$D$15)/Examples!$D$16))))))+Examples!$D$17*$A901^2)</f>
        <v>1586416.16902326</v>
      </c>
      <c r="E901" s="33">
        <f>(Examples!$D$6*Examples!$D$7*Examples!$D$8*EXP(-Examples!$D$9*$A901)*(1-(Examples!$D$12*(1-EXP(-Examples!$D$13*$A901))/(1+EXP(MIN(700,MAX(-700,(Examples!$D$14*$A901-Examples!$D$15)/Examples!$D$16))))))+Examples!$D$17*$A901^2)</f>
        <v>509033.83097673999</v>
      </c>
      <c r="F901" s="33">
        <f>Examples!$E$18-(Examples!$E$10+Examples!$E$11)*$A901-(Examples!$E$6*Examples!$E$7*Examples!$E$8*EXP(-Examples!$E$9*$A901)*(1-(Examples!$E$12*(1-EXP(-Examples!$E$13*$A901))/(1+EXP(MIN(700,MAX(-700,(Examples!$E$14*$A901-Examples!$E$15)/Examples!$E$16))))))+Examples!$E$17*$A901^2)</f>
        <v>1964254.475709331</v>
      </c>
      <c r="G901" s="33">
        <f>(Examples!$E$6*Examples!$E$7*Examples!$E$8*EXP(-Examples!$E$9*$A901)*(1-(Examples!$E$12*(1-EXP(-Examples!$E$13*$A901))/(1+EXP(MIN(700,MAX(-700,(Examples!$E$14*$A901-Examples!$E$15)/Examples!$E$16))))))+Examples!$E$17*$A901^2)</f>
        <v>271595.52429066895</v>
      </c>
      <c r="H901" s="33">
        <f>Examples!$F$18-(Examples!$F$10+Examples!$F$11)*$A901-(Examples!$F$6*Examples!$F$7*Examples!$F$8*EXP(-Examples!$F$9*$A901)*(1-(Examples!$F$12*(1-EXP(-Examples!$F$13*$A901))/(1+EXP(MIN(700,MAX(-700,(Examples!$F$14*$A901-Examples!$F$15)/Examples!$F$16))))))+Examples!$F$17*$A901^2)</f>
        <v>-1647381.6300600951</v>
      </c>
      <c r="I901" s="33">
        <f>(Examples!$F$6*Examples!$F$7*Examples!$F$8*EXP(-Examples!$F$9*$A901)*(1-(Examples!$F$12*(1-EXP(-Examples!$F$13*$A901))/(1+EXP(MIN(700,MAX(-700,(Examples!$F$14*$A901-Examples!$F$15)/Examples!$F$16))))))+Examples!$F$17*$A901^2)</f>
        <v>1617581.6300600951</v>
      </c>
      <c r="J901" s="33">
        <f>Examples!$G$18-(Examples!$G$10+Examples!$G$11)*$A901-(Examples!$G$6*Examples!$G$7*Examples!$G$8*EXP(-Examples!$G$9*$A901)*(1-(Examples!$G$12*(1-EXP(-Examples!$G$13*$A901))/(1+EXP(MIN(700,MAX(-700,(Examples!$G$14*$A901-Examples!$G$15)/Examples!$G$16))))))+Examples!$G$17*$A901^2)</f>
        <v>317946.32896805916</v>
      </c>
      <c r="K901" s="33">
        <f>(Examples!$G$6*Examples!$G$7*Examples!$G$8*EXP(-Examples!$G$9*$A901)*(1-(Examples!$G$12*(1-EXP(-Examples!$G$13*$A901))/(1+EXP(MIN(700,MAX(-700,(Examples!$G$14*$A901-Examples!$G$15)/Examples!$G$16))))))+Examples!$G$17*$A901^2)</f>
        <v>732553.67103194084</v>
      </c>
      <c r="L901" s="33">
        <f>Examples!$H$18-(Examples!$H$10+Examples!$H$11)*$A901-(Examples!$H$6*Examples!$H$7*Examples!$H$8*EXP(-Examples!$H$9*$A901)*(1-(Examples!$H$12*(1-EXP(-Examples!$H$13*$A901))/(1+EXP(MIN(700,MAX(-700,(Examples!$H$14*$A901-Examples!$H$15)/Examples!$H$16))))))+Examples!$H$17*$A901^2)</f>
        <v>317934.4558913908</v>
      </c>
      <c r="M901" s="33">
        <f>(Examples!$H$6*Examples!$H$7*Examples!$H$8*EXP(-Examples!$H$9*$A901)*(1-(Examples!$H$12*(1-EXP(-Examples!$H$13*$A901))/(1+EXP(MIN(700,MAX(-700,(Examples!$H$14*$A901-Examples!$H$15)/Examples!$H$16))))))+Examples!$H$17*$A901^2)</f>
        <v>732565.5441086092</v>
      </c>
    </row>
    <row r="902" spans="1:13" x14ac:dyDescent="0.25">
      <c r="A902">
        <f>(902-2)/100</f>
        <v>9</v>
      </c>
      <c r="B902" s="33">
        <f>Examples!$C$18-(Examples!$C$10+Examples!$C$11)*$A902-(Examples!$C$6*Examples!$C$7*Examples!$C$8*EXP(-Examples!$C$9*$A902)*(1-(Examples!$C$12*(1-EXP(-Examples!$C$13*$A902))/(1+EXP(MIN(700,MAX(-700,(Examples!$C$14*$A902-Examples!$C$15)/Examples!$C$16))))))+Examples!$C$17*$A902^2)</f>
        <v>-970323.30764328013</v>
      </c>
      <c r="C902" s="33">
        <f>(Examples!$C$6*Examples!$C$7*Examples!$C$8*EXP(-Examples!$C$9*$A902)*(1-(Examples!$C$12*(1-EXP(-Examples!$C$13*$A902))/(1+EXP(MIN(700,MAX(-700,(Examples!$C$14*$A902-Examples!$C$15)/Examples!$C$16))))))+Examples!$C$17*$A902^2)</f>
        <v>1255323.3076432801</v>
      </c>
      <c r="D902" s="33">
        <f>Examples!$D$18-(Examples!$D$10+Examples!$D$11)*$A902-(Examples!$D$6*Examples!$D$7*Examples!$D$8*EXP(-Examples!$D$9*$A902)*(1-(Examples!$D$12*(1-EXP(-Examples!$D$13*$A902))/(1+EXP(MIN(700,MAX(-700,(Examples!$D$14*$A902-Examples!$D$15)/Examples!$D$16))))))+Examples!$D$17*$A902^2)</f>
        <v>1585536.8565955488</v>
      </c>
      <c r="E902" s="33">
        <f>(Examples!$D$6*Examples!$D$7*Examples!$D$8*EXP(-Examples!$D$9*$A902)*(1-(Examples!$D$12*(1-EXP(-Examples!$D$13*$A902))/(1+EXP(MIN(700,MAX(-700,(Examples!$D$14*$A902-Examples!$D$15)/Examples!$D$16))))))+Examples!$D$17*$A902^2)</f>
        <v>509463.14340445132</v>
      </c>
      <c r="F902" s="33">
        <f>Examples!$E$18-(Examples!$E$10+Examples!$E$11)*$A902-(Examples!$E$6*Examples!$E$7*Examples!$E$8*EXP(-Examples!$E$9*$A902)*(1-(Examples!$E$12*(1-EXP(-Examples!$E$13*$A902))/(1+EXP(MIN(700,MAX(-700,(Examples!$E$14*$A902-Examples!$E$15)/Examples!$E$16))))))+Examples!$E$17*$A902^2)</f>
        <v>1963002.4115928011</v>
      </c>
      <c r="G902" s="33">
        <f>(Examples!$E$6*Examples!$E$7*Examples!$E$8*EXP(-Examples!$E$9*$A902)*(1-(Examples!$E$12*(1-EXP(-Examples!$E$13*$A902))/(1+EXP(MIN(700,MAX(-700,(Examples!$E$14*$A902-Examples!$E$15)/Examples!$E$16))))))+Examples!$E$17*$A902^2)</f>
        <v>271997.58840719878</v>
      </c>
      <c r="H902" s="33">
        <f>Examples!$F$18-(Examples!$F$10+Examples!$F$11)*$A902-(Examples!$F$6*Examples!$F$7*Examples!$F$8*EXP(-Examples!$F$9*$A902)*(1-(Examples!$F$12*(1-EXP(-Examples!$F$13*$A902))/(1+EXP(MIN(700,MAX(-700,(Examples!$F$14*$A902-Examples!$F$15)/Examples!$F$16))))))+Examples!$F$17*$A902^2)</f>
        <v>-1651176.0964729455</v>
      </c>
      <c r="I902" s="33">
        <f>(Examples!$F$6*Examples!$F$7*Examples!$F$8*EXP(-Examples!$F$9*$A902)*(1-(Examples!$F$12*(1-EXP(-Examples!$F$13*$A902))/(1+EXP(MIN(700,MAX(-700,(Examples!$F$14*$A902-Examples!$F$15)/Examples!$F$16))))))+Examples!$F$17*$A902^2)</f>
        <v>1621176.0964729455</v>
      </c>
      <c r="J902" s="33">
        <f>Examples!$G$18-(Examples!$G$10+Examples!$G$11)*$A902-(Examples!$G$6*Examples!$G$7*Examples!$G$8*EXP(-Examples!$G$9*$A902)*(1-(Examples!$G$12*(1-EXP(-Examples!$G$13*$A902))/(1+EXP(MIN(700,MAX(-700,(Examples!$G$14*$A902-Examples!$G$15)/Examples!$G$16))))))+Examples!$G$17*$A902^2)</f>
        <v>316307.42190032476</v>
      </c>
      <c r="K902" s="33">
        <f>(Examples!$G$6*Examples!$G$7*Examples!$G$8*EXP(-Examples!$G$9*$A902)*(1-(Examples!$G$12*(1-EXP(-Examples!$G$13*$A902))/(1+EXP(MIN(700,MAX(-700,(Examples!$G$14*$A902-Examples!$G$15)/Examples!$G$16))))))+Examples!$G$17*$A902^2)</f>
        <v>733692.57809967524</v>
      </c>
      <c r="L902" s="33">
        <f>Examples!$H$18-(Examples!$H$10+Examples!$H$11)*$A902-(Examples!$H$6*Examples!$H$7*Examples!$H$8*EXP(-Examples!$H$9*$A902)*(1-(Examples!$H$12*(1-EXP(-Examples!$H$13*$A902))/(1+EXP(MIN(700,MAX(-700,(Examples!$H$14*$A902-Examples!$H$15)/Examples!$H$16))))))+Examples!$H$17*$A902^2)</f>
        <v>316295.74632871326</v>
      </c>
      <c r="M902" s="33">
        <f>(Examples!$H$6*Examples!$H$7*Examples!$H$8*EXP(-Examples!$H$9*$A902)*(1-(Examples!$H$12*(1-EXP(-Examples!$H$13*$A902))/(1+EXP(MIN(700,MAX(-700,(Examples!$H$14*$A902-Examples!$H$15)/Examples!$H$16))))))+Examples!$H$17*$A902^2)</f>
        <v>733704.25367128674</v>
      </c>
    </row>
    <row r="903" spans="1:13" x14ac:dyDescent="0.25">
      <c r="A903">
        <f>(903-2)/100</f>
        <v>9.01</v>
      </c>
      <c r="B903" s="33">
        <f>Examples!$C$18-(Examples!$C$10+Examples!$C$11)*$A903-(Examples!$C$6*Examples!$C$7*Examples!$C$8*EXP(-Examples!$C$9*$A903)*(1-(Examples!$C$12*(1-EXP(-Examples!$C$13*$A903))/(1+EXP(MIN(700,MAX(-700,(Examples!$C$14*$A903-Examples!$C$15)/Examples!$C$16))))))+Examples!$C$17*$A903^2)</f>
        <v>-973254.01899393438</v>
      </c>
      <c r="C903" s="33">
        <f>(Examples!$C$6*Examples!$C$7*Examples!$C$8*EXP(-Examples!$C$9*$A903)*(1-(Examples!$C$12*(1-EXP(-Examples!$C$13*$A903))/(1+EXP(MIN(700,MAX(-700,(Examples!$C$14*$A903-Examples!$C$15)/Examples!$C$16))))))+Examples!$C$17*$A903^2)</f>
        <v>1257904.0189939344</v>
      </c>
      <c r="D903" s="33">
        <f>Examples!$D$18-(Examples!$D$10+Examples!$D$11)*$A903-(Examples!$D$6*Examples!$D$7*Examples!$D$8*EXP(-Examples!$D$9*$A903)*(1-(Examples!$D$12*(1-EXP(-Examples!$D$13*$A903))/(1+EXP(MIN(700,MAX(-700,(Examples!$D$14*$A903-Examples!$D$15)/Examples!$D$16))))))+Examples!$D$17*$A903^2)</f>
        <v>1584654.4498366138</v>
      </c>
      <c r="E903" s="33">
        <f>(Examples!$D$6*Examples!$D$7*Examples!$D$8*EXP(-Examples!$D$9*$A903)*(1-(Examples!$D$12*(1-EXP(-Examples!$D$13*$A903))/(1+EXP(MIN(700,MAX(-700,(Examples!$D$14*$A903-Examples!$D$15)/Examples!$D$16))))))+Examples!$D$17*$A903^2)</f>
        <v>509895.55016338616</v>
      </c>
      <c r="F903" s="33">
        <f>Examples!$E$18-(Examples!$E$10+Examples!$E$11)*$A903-(Examples!$E$6*Examples!$E$7*Examples!$E$8*EXP(-Examples!$E$9*$A903)*(1-(Examples!$E$12*(1-EXP(-Examples!$E$13*$A903))/(1+EXP(MIN(700,MAX(-700,(Examples!$E$14*$A903-Examples!$E$15)/Examples!$E$16))))))+Examples!$E$17*$A903^2)</f>
        <v>1961749.1552242103</v>
      </c>
      <c r="G903" s="33">
        <f>(Examples!$E$6*Examples!$E$7*Examples!$E$8*EXP(-Examples!$E$9*$A903)*(1-(Examples!$E$12*(1-EXP(-Examples!$E$13*$A903))/(1+EXP(MIN(700,MAX(-700,(Examples!$E$14*$A903-Examples!$E$15)/Examples!$E$16))))))+Examples!$E$17*$A903^2)</f>
        <v>272400.84477578965</v>
      </c>
      <c r="H903" s="33">
        <f>Examples!$F$18-(Examples!$F$10+Examples!$F$11)*$A903-(Examples!$F$6*Examples!$F$7*Examples!$F$8*EXP(-Examples!$F$9*$A903)*(1-(Examples!$F$12*(1-EXP(-Examples!$F$13*$A903))/(1+EXP(MIN(700,MAX(-700,(Examples!$F$14*$A903-Examples!$F$15)/Examples!$F$16))))))+Examples!$F$17*$A903^2)</f>
        <v>-1654974.5734706724</v>
      </c>
      <c r="I903" s="33">
        <f>(Examples!$F$6*Examples!$F$7*Examples!$F$8*EXP(-Examples!$F$9*$A903)*(1-(Examples!$F$12*(1-EXP(-Examples!$F$13*$A903))/(1+EXP(MIN(700,MAX(-700,(Examples!$F$14*$A903-Examples!$F$15)/Examples!$F$16))))))+Examples!$F$17*$A903^2)</f>
        <v>1624774.5734706724</v>
      </c>
      <c r="J903" s="33">
        <f>Examples!$G$18-(Examples!$G$10+Examples!$G$11)*$A903-(Examples!$G$6*Examples!$G$7*Examples!$G$8*EXP(-Examples!$G$9*$A903)*(1-(Examples!$G$12*(1-EXP(-Examples!$G$13*$A903))/(1+EXP(MIN(700,MAX(-700,(Examples!$G$14*$A903-Examples!$G$15)/Examples!$G$16))))))+Examples!$G$17*$A903^2)</f>
        <v>314665.86823629285</v>
      </c>
      <c r="K903" s="33">
        <f>(Examples!$G$6*Examples!$G$7*Examples!$G$8*EXP(-Examples!$G$9*$A903)*(1-(Examples!$G$12*(1-EXP(-Examples!$G$13*$A903))/(1+EXP(MIN(700,MAX(-700,(Examples!$G$14*$A903-Examples!$G$15)/Examples!$G$16))))))+Examples!$G$17*$A903^2)</f>
        <v>734834.13176370715</v>
      </c>
      <c r="L903" s="33">
        <f>Examples!$H$18-(Examples!$H$10+Examples!$H$11)*$A903-(Examples!$H$6*Examples!$H$7*Examples!$H$8*EXP(-Examples!$H$9*$A903)*(1-(Examples!$H$12*(1-EXP(-Examples!$H$13*$A903))/(1+EXP(MIN(700,MAX(-700,(Examples!$H$14*$A903-Examples!$H$15)/Examples!$H$16))))))+Examples!$H$17*$A903^2)</f>
        <v>314654.38688793464</v>
      </c>
      <c r="M903" s="33">
        <f>(Examples!$H$6*Examples!$H$7*Examples!$H$8*EXP(-Examples!$H$9*$A903)*(1-(Examples!$H$12*(1-EXP(-Examples!$H$13*$A903))/(1+EXP(MIN(700,MAX(-700,(Examples!$H$14*$A903-Examples!$H$15)/Examples!$H$16))))))+Examples!$H$17*$A903^2)</f>
        <v>734845.61311206536</v>
      </c>
    </row>
    <row r="904" spans="1:13" x14ac:dyDescent="0.25">
      <c r="A904">
        <f>(904-2)/100</f>
        <v>9.02</v>
      </c>
      <c r="B904" s="33">
        <f>Examples!$C$18-(Examples!$C$10+Examples!$C$11)*$A904-(Examples!$C$6*Examples!$C$7*Examples!$C$8*EXP(-Examples!$C$9*$A904)*(1-(Examples!$C$12*(1-EXP(-Examples!$C$13*$A904))/(1+EXP(MIN(700,MAX(-700,(Examples!$C$14*$A904-Examples!$C$15)/Examples!$C$16))))))+Examples!$C$17*$A904^2)</f>
        <v>-976188.09216753021</v>
      </c>
      <c r="C904" s="33">
        <f>(Examples!$C$6*Examples!$C$7*Examples!$C$8*EXP(-Examples!$C$9*$A904)*(1-(Examples!$C$12*(1-EXP(-Examples!$C$13*$A904))/(1+EXP(MIN(700,MAX(-700,(Examples!$C$14*$A904-Examples!$C$15)/Examples!$C$16))))))+Examples!$C$17*$A904^2)</f>
        <v>1260488.0921675302</v>
      </c>
      <c r="D904" s="33">
        <f>Examples!$D$18-(Examples!$D$10+Examples!$D$11)*$A904-(Examples!$D$6*Examples!$D$7*Examples!$D$8*EXP(-Examples!$D$9*$A904)*(1-(Examples!$D$12*(1-EXP(-Examples!$D$13*$A904))/(1+EXP(MIN(700,MAX(-700,(Examples!$D$14*$A904-Examples!$D$15)/Examples!$D$16))))))+Examples!$D$17*$A904^2)</f>
        <v>1583768.9578551133</v>
      </c>
      <c r="E904" s="33">
        <f>(Examples!$D$6*Examples!$D$7*Examples!$D$8*EXP(-Examples!$D$9*$A904)*(1-(Examples!$D$12*(1-EXP(-Examples!$D$13*$A904))/(1+EXP(MIN(700,MAX(-700,(Examples!$D$14*$A904-Examples!$D$15)/Examples!$D$16))))))+Examples!$D$17*$A904^2)</f>
        <v>510331.04214488668</v>
      </c>
      <c r="F904" s="33">
        <f>Examples!$E$18-(Examples!$E$10+Examples!$E$11)*$A904-(Examples!$E$6*Examples!$E$7*Examples!$E$8*EXP(-Examples!$E$9*$A904)*(1-(Examples!$E$12*(1-EXP(-Examples!$E$13*$A904))/(1+EXP(MIN(700,MAX(-700,(Examples!$E$14*$A904-Examples!$E$15)/Examples!$E$16))))))+Examples!$E$17*$A904^2)</f>
        <v>1960494.7084385836</v>
      </c>
      <c r="G904" s="33">
        <f>(Examples!$E$6*Examples!$E$7*Examples!$E$8*EXP(-Examples!$E$9*$A904)*(1-(Examples!$E$12*(1-EXP(-Examples!$E$13*$A904))/(1+EXP(MIN(700,MAX(-700,(Examples!$E$14*$A904-Examples!$E$15)/Examples!$E$16))))))+Examples!$E$17*$A904^2)</f>
        <v>272805.29156141641</v>
      </c>
      <c r="H904" s="33">
        <f>Examples!$F$18-(Examples!$F$10+Examples!$F$11)*$A904-(Examples!$F$6*Examples!$F$7*Examples!$F$8*EXP(-Examples!$F$9*$A904)*(1-(Examples!$F$12*(1-EXP(-Examples!$F$13*$A904))/(1+EXP(MIN(700,MAX(-700,(Examples!$F$14*$A904-Examples!$F$15)/Examples!$F$16))))))+Examples!$F$17*$A904^2)</f>
        <v>-1658777.0610215685</v>
      </c>
      <c r="I904" s="33">
        <f>(Examples!$F$6*Examples!$F$7*Examples!$F$8*EXP(-Examples!$F$9*$A904)*(1-(Examples!$F$12*(1-EXP(-Examples!$F$13*$A904))/(1+EXP(MIN(700,MAX(-700,(Examples!$F$14*$A904-Examples!$F$15)/Examples!$F$16))))))+Examples!$F$17*$A904^2)</f>
        <v>1628377.0610215685</v>
      </c>
      <c r="J904" s="33">
        <f>Examples!$G$18-(Examples!$G$10+Examples!$G$11)*$A904-(Examples!$G$6*Examples!$G$7*Examples!$G$8*EXP(-Examples!$G$9*$A904)*(1-(Examples!$G$12*(1-EXP(-Examples!$G$13*$A904))/(1+EXP(MIN(700,MAX(-700,(Examples!$G$14*$A904-Examples!$G$15)/Examples!$G$16))))))+Examples!$G$17*$A904^2)</f>
        <v>313021.67158966151</v>
      </c>
      <c r="K904" s="33">
        <f>(Examples!$G$6*Examples!$G$7*Examples!$G$8*EXP(-Examples!$G$9*$A904)*(1-(Examples!$G$12*(1-EXP(-Examples!$G$13*$A904))/(1+EXP(MIN(700,MAX(-700,(Examples!$G$14*$A904-Examples!$G$15)/Examples!$G$16))))))+Examples!$G$17*$A904^2)</f>
        <v>735978.32841033849</v>
      </c>
      <c r="L904" s="33">
        <f>Examples!$H$18-(Examples!$H$10+Examples!$H$11)*$A904-(Examples!$H$6*Examples!$H$7*Examples!$H$8*EXP(-Examples!$H$9*$A904)*(1-(Examples!$H$12*(1-EXP(-Examples!$H$13*$A904))/(1+EXP(MIN(700,MAX(-700,(Examples!$H$14*$A904-Examples!$H$15)/Examples!$H$16))))))+Examples!$H$17*$A904^2)</f>
        <v>313010.38123720267</v>
      </c>
      <c r="M904" s="33">
        <f>(Examples!$H$6*Examples!$H$7*Examples!$H$8*EXP(-Examples!$H$9*$A904)*(1-(Examples!$H$12*(1-EXP(-Examples!$H$13*$A904))/(1+EXP(MIN(700,MAX(-700,(Examples!$H$14*$A904-Examples!$H$15)/Examples!$H$16))))))+Examples!$H$17*$A904^2)</f>
        <v>735989.61876279733</v>
      </c>
    </row>
    <row r="905" spans="1:13" x14ac:dyDescent="0.25">
      <c r="A905">
        <f>(905-2)/100</f>
        <v>9.0299999999999994</v>
      </c>
      <c r="B905" s="33">
        <f>Examples!$C$18-(Examples!$C$10+Examples!$C$11)*$A905-(Examples!$C$6*Examples!$C$7*Examples!$C$8*EXP(-Examples!$C$9*$A905)*(1-(Examples!$C$12*(1-EXP(-Examples!$C$13*$A905))/(1+EXP(MIN(700,MAX(-700,(Examples!$C$14*$A905-Examples!$C$15)/Examples!$C$16))))))+Examples!$C$17*$A905^2)</f>
        <v>-979125.52608022559</v>
      </c>
      <c r="C905" s="33">
        <f>(Examples!$C$6*Examples!$C$7*Examples!$C$8*EXP(-Examples!$C$9*$A905)*(1-(Examples!$C$12*(1-EXP(-Examples!$C$13*$A905))/(1+EXP(MIN(700,MAX(-700,(Examples!$C$14*$A905-Examples!$C$15)/Examples!$C$16))))))+Examples!$C$17*$A905^2)</f>
        <v>1263075.5260802256</v>
      </c>
      <c r="D905" s="33">
        <f>Examples!$D$18-(Examples!$D$10+Examples!$D$11)*$A905-(Examples!$D$6*Examples!$D$7*Examples!$D$8*EXP(-Examples!$D$9*$A905)*(1-(Examples!$D$12*(1-EXP(-Examples!$D$13*$A905))/(1+EXP(MIN(700,MAX(-700,(Examples!$D$14*$A905-Examples!$D$15)/Examples!$D$16))))))+Examples!$D$17*$A905^2)</f>
        <v>1582880.3897239745</v>
      </c>
      <c r="E905" s="33">
        <f>(Examples!$D$6*Examples!$D$7*Examples!$D$8*EXP(-Examples!$D$9*$A905)*(1-(Examples!$D$12*(1-EXP(-Examples!$D$13*$A905))/(1+EXP(MIN(700,MAX(-700,(Examples!$D$14*$A905-Examples!$D$15)/Examples!$D$16))))))+Examples!$D$17*$A905^2)</f>
        <v>510769.61027602543</v>
      </c>
      <c r="F905" s="33">
        <f>Examples!$E$18-(Examples!$E$10+Examples!$E$11)*$A905-(Examples!$E$6*Examples!$E$7*Examples!$E$8*EXP(-Examples!$E$9*$A905)*(1-(Examples!$E$12*(1-EXP(-Examples!$E$13*$A905))/(1+EXP(MIN(700,MAX(-700,(Examples!$E$14*$A905-Examples!$E$15)/Examples!$E$16))))))+Examples!$E$17*$A905^2)</f>
        <v>1959239.0730743369</v>
      </c>
      <c r="G905" s="33">
        <f>(Examples!$E$6*Examples!$E$7*Examples!$E$8*EXP(-Examples!$E$9*$A905)*(1-(Examples!$E$12*(1-EXP(-Examples!$E$13*$A905))/(1+EXP(MIN(700,MAX(-700,(Examples!$E$14*$A905-Examples!$E$15)/Examples!$E$16))))))+Examples!$E$17*$A905^2)</f>
        <v>273210.92692566314</v>
      </c>
      <c r="H905" s="33">
        <f>Examples!$F$18-(Examples!$F$10+Examples!$F$11)*$A905-(Examples!$F$6*Examples!$F$7*Examples!$F$8*EXP(-Examples!$F$9*$A905)*(1-(Examples!$F$12*(1-EXP(-Examples!$F$13*$A905))/(1+EXP(MIN(700,MAX(-700,(Examples!$F$14*$A905-Examples!$F$15)/Examples!$F$16))))))+Examples!$F$17*$A905^2)</f>
        <v>-1662583.5590940213</v>
      </c>
      <c r="I905" s="33">
        <f>(Examples!$F$6*Examples!$F$7*Examples!$F$8*EXP(-Examples!$F$9*$A905)*(1-(Examples!$F$12*(1-EXP(-Examples!$F$13*$A905))/(1+EXP(MIN(700,MAX(-700,(Examples!$F$14*$A905-Examples!$F$15)/Examples!$F$16))))))+Examples!$F$17*$A905^2)</f>
        <v>1631983.5590940213</v>
      </c>
      <c r="J905" s="33">
        <f>Examples!$G$18-(Examples!$G$10+Examples!$G$11)*$A905-(Examples!$G$6*Examples!$G$7*Examples!$G$8*EXP(-Examples!$G$9*$A905)*(1-(Examples!$G$12*(1-EXP(-Examples!$G$13*$A905))/(1+EXP(MIN(700,MAX(-700,(Examples!$G$14*$A905-Examples!$G$15)/Examples!$G$16))))))+Examples!$G$17*$A905^2)</f>
        <v>311374.8355622146</v>
      </c>
      <c r="K905" s="33">
        <f>(Examples!$G$6*Examples!$G$7*Examples!$G$8*EXP(-Examples!$G$9*$A905)*(1-(Examples!$G$12*(1-EXP(-Examples!$G$13*$A905))/(1+EXP(MIN(700,MAX(-700,(Examples!$G$14*$A905-Examples!$G$15)/Examples!$G$16))))))+Examples!$G$17*$A905^2)</f>
        <v>737125.1644377854</v>
      </c>
      <c r="L905" s="33">
        <f>Examples!$H$18-(Examples!$H$10+Examples!$H$11)*$A905-(Examples!$H$6*Examples!$H$7*Examples!$H$8*EXP(-Examples!$H$9*$A905)*(1-(Examples!$H$12*(1-EXP(-Examples!$H$13*$A905))/(1+EXP(MIN(700,MAX(-700,(Examples!$H$14*$A905-Examples!$H$15)/Examples!$H$16))))))+Examples!$H$17*$A905^2)</f>
        <v>311363.73303184938</v>
      </c>
      <c r="M905" s="33">
        <f>(Examples!$H$6*Examples!$H$7*Examples!$H$8*EXP(-Examples!$H$9*$A905)*(1-(Examples!$H$12*(1-EXP(-Examples!$H$13*$A905))/(1+EXP(MIN(700,MAX(-700,(Examples!$H$14*$A905-Examples!$H$15)/Examples!$H$16))))))+Examples!$H$17*$A905^2)</f>
        <v>737136.26696815062</v>
      </c>
    </row>
    <row r="906" spans="1:13" x14ac:dyDescent="0.25">
      <c r="A906">
        <f>(906-2)/100</f>
        <v>9.0399999999999991</v>
      </c>
      <c r="B906" s="33">
        <f>Examples!$C$18-(Examples!$C$10+Examples!$C$11)*$A906-(Examples!$C$6*Examples!$C$7*Examples!$C$8*EXP(-Examples!$C$9*$A906)*(1-(Examples!$C$12*(1-EXP(-Examples!$C$13*$A906))/(1+EXP(MIN(700,MAX(-700,(Examples!$C$14*$A906-Examples!$C$15)/Examples!$C$16))))))+Examples!$C$17*$A906^2)</f>
        <v>-982066.31965142419</v>
      </c>
      <c r="C906" s="33">
        <f>(Examples!$C$6*Examples!$C$7*Examples!$C$8*EXP(-Examples!$C$9*$A906)*(1-(Examples!$C$12*(1-EXP(-Examples!$C$13*$A906))/(1+EXP(MIN(700,MAX(-700,(Examples!$C$14*$A906-Examples!$C$15)/Examples!$C$16))))))+Examples!$C$17*$A906^2)</f>
        <v>1265666.3196514242</v>
      </c>
      <c r="D906" s="33">
        <f>Examples!$D$18-(Examples!$D$10+Examples!$D$11)*$A906-(Examples!$D$6*Examples!$D$7*Examples!$D$8*EXP(-Examples!$D$9*$A906)*(1-(Examples!$D$12*(1-EXP(-Examples!$D$13*$A906))/(1+EXP(MIN(700,MAX(-700,(Examples!$D$14*$A906-Examples!$D$15)/Examples!$D$16))))))+Examples!$D$17*$A906^2)</f>
        <v>1581988.7544804648</v>
      </c>
      <c r="E906" s="33">
        <f>(Examples!$D$6*Examples!$D$7*Examples!$D$8*EXP(-Examples!$D$9*$A906)*(1-(Examples!$D$12*(1-EXP(-Examples!$D$13*$A906))/(1+EXP(MIN(700,MAX(-700,(Examples!$D$14*$A906-Examples!$D$15)/Examples!$D$16))))))+Examples!$D$17*$A906^2)</f>
        <v>511211.24551953509</v>
      </c>
      <c r="F906" s="33">
        <f>Examples!$E$18-(Examples!$E$10+Examples!$E$11)*$A906-(Examples!$E$6*Examples!$E$7*Examples!$E$8*EXP(-Examples!$E$9*$A906)*(1-(Examples!$E$12*(1-EXP(-Examples!$E$13*$A906))/(1+EXP(MIN(700,MAX(-700,(Examples!$E$14*$A906-Examples!$E$15)/Examples!$E$16))))))+Examples!$E$17*$A906^2)</f>
        <v>1957982.2509731338</v>
      </c>
      <c r="G906" s="33">
        <f>(Examples!$E$6*Examples!$E$7*Examples!$E$8*EXP(-Examples!$E$9*$A906)*(1-(Examples!$E$12*(1-EXP(-Examples!$E$13*$A906))/(1+EXP(MIN(700,MAX(-700,(Examples!$E$14*$A906-Examples!$E$15)/Examples!$E$16))))))+Examples!$E$17*$A906^2)</f>
        <v>273617.74902686622</v>
      </c>
      <c r="H906" s="33">
        <f>Examples!$F$18-(Examples!$F$10+Examples!$F$11)*$A906-(Examples!$F$6*Examples!$F$7*Examples!$F$8*EXP(-Examples!$F$9*$A906)*(1-(Examples!$F$12*(1-EXP(-Examples!$F$13*$A906))/(1+EXP(MIN(700,MAX(-700,(Examples!$F$14*$A906-Examples!$F$15)/Examples!$F$16))))))+Examples!$F$17*$A906^2)</f>
        <v>-1666394.0676565138</v>
      </c>
      <c r="I906" s="33">
        <f>(Examples!$F$6*Examples!$F$7*Examples!$F$8*EXP(-Examples!$F$9*$A906)*(1-(Examples!$F$12*(1-EXP(-Examples!$F$13*$A906))/(1+EXP(MIN(700,MAX(-700,(Examples!$F$14*$A906-Examples!$F$15)/Examples!$F$16))))))+Examples!$F$17*$A906^2)</f>
        <v>1635594.0676565138</v>
      </c>
      <c r="J906" s="33">
        <f>Examples!$G$18-(Examples!$G$10+Examples!$G$11)*$A906-(Examples!$G$6*Examples!$G$7*Examples!$G$8*EXP(-Examples!$G$9*$A906)*(1-(Examples!$G$12*(1-EXP(-Examples!$G$13*$A906))/(1+EXP(MIN(700,MAX(-700,(Examples!$G$14*$A906-Examples!$G$15)/Examples!$G$16))))))+Examples!$G$17*$A906^2)</f>
        <v>309725.36374385166</v>
      </c>
      <c r="K906" s="33">
        <f>(Examples!$G$6*Examples!$G$7*Examples!$G$8*EXP(-Examples!$G$9*$A906)*(1-(Examples!$G$12*(1-EXP(-Examples!$G$13*$A906))/(1+EXP(MIN(700,MAX(-700,(Examples!$G$14*$A906-Examples!$G$15)/Examples!$G$16))))))+Examples!$G$17*$A906^2)</f>
        <v>738274.63625614834</v>
      </c>
      <c r="L906" s="33">
        <f>Examples!$H$18-(Examples!$H$10+Examples!$H$11)*$A906-(Examples!$H$6*Examples!$H$7*Examples!$H$8*EXP(-Examples!$H$9*$A906)*(1-(Examples!$H$12*(1-EXP(-Examples!$H$13*$A906))/(1+EXP(MIN(700,MAX(-700,(Examples!$H$14*$A906-Examples!$H$15)/Examples!$H$16))))))+Examples!$H$17*$A906^2)</f>
        <v>309714.44591443555</v>
      </c>
      <c r="M906" s="33">
        <f>(Examples!$H$6*Examples!$H$7*Examples!$H$8*EXP(-Examples!$H$9*$A906)*(1-(Examples!$H$12*(1-EXP(-Examples!$H$13*$A906))/(1+EXP(MIN(700,MAX(-700,(Examples!$H$14*$A906-Examples!$H$15)/Examples!$H$16))))))+Examples!$H$17*$A906^2)</f>
        <v>738285.55408556445</v>
      </c>
    </row>
    <row r="907" spans="1:13" x14ac:dyDescent="0.25">
      <c r="A907">
        <f>(907-2)/100</f>
        <v>9.0500000000000007</v>
      </c>
      <c r="B907" s="33">
        <f>Examples!$C$18-(Examples!$C$10+Examples!$C$11)*$A907-(Examples!$C$6*Examples!$C$7*Examples!$C$8*EXP(-Examples!$C$9*$A907)*(1-(Examples!$C$12*(1-EXP(-Examples!$C$13*$A907))/(1+EXP(MIN(700,MAX(-700,(Examples!$C$14*$A907-Examples!$C$15)/Examples!$C$16))))))+Examples!$C$17*$A907^2)</f>
        <v>-985010.471803769</v>
      </c>
      <c r="C907" s="33">
        <f>(Examples!$C$6*Examples!$C$7*Examples!$C$8*EXP(-Examples!$C$9*$A907)*(1-(Examples!$C$12*(1-EXP(-Examples!$C$13*$A907))/(1+EXP(MIN(700,MAX(-700,(Examples!$C$14*$A907-Examples!$C$15)/Examples!$C$16))))))+Examples!$C$17*$A907^2)</f>
        <v>1268260.471803769</v>
      </c>
      <c r="D907" s="33">
        <f>Examples!$D$18-(Examples!$D$10+Examples!$D$11)*$A907-(Examples!$D$6*Examples!$D$7*Examples!$D$8*EXP(-Examples!$D$9*$A907)*(1-(Examples!$D$12*(1-EXP(-Examples!$D$13*$A907))/(1+EXP(MIN(700,MAX(-700,(Examples!$D$14*$A907-Examples!$D$15)/Examples!$D$16))))))+Examples!$D$17*$A907^2)</f>
        <v>1581094.0611262626</v>
      </c>
      <c r="E907" s="33">
        <f>(Examples!$D$6*Examples!$D$7*Examples!$D$8*EXP(-Examples!$D$9*$A907)*(1-(Examples!$D$12*(1-EXP(-Examples!$D$13*$A907))/(1+EXP(MIN(700,MAX(-700,(Examples!$D$14*$A907-Examples!$D$15)/Examples!$D$16))))))+Examples!$D$17*$A907^2)</f>
        <v>511655.93887373741</v>
      </c>
      <c r="F907" s="33">
        <f>Examples!$E$18-(Examples!$E$10+Examples!$E$11)*$A907-(Examples!$E$6*Examples!$E$7*Examples!$E$8*EXP(-Examples!$E$9*$A907)*(1-(Examples!$E$12*(1-EXP(-Examples!$E$13*$A907))/(1+EXP(MIN(700,MAX(-700,(Examples!$E$14*$A907-Examples!$E$15)/Examples!$E$16))))))+Examples!$E$17*$A907^2)</f>
        <v>1956724.2439797446</v>
      </c>
      <c r="G907" s="33">
        <f>(Examples!$E$6*Examples!$E$7*Examples!$E$8*EXP(-Examples!$E$9*$A907)*(1-(Examples!$E$12*(1-EXP(-Examples!$E$13*$A907))/(1+EXP(MIN(700,MAX(-700,(Examples!$E$14*$A907-Examples!$E$15)/Examples!$E$16))))))+Examples!$E$17*$A907^2)</f>
        <v>274025.75602025533</v>
      </c>
      <c r="H907" s="33">
        <f>Examples!$F$18-(Examples!$F$10+Examples!$F$11)*$A907-(Examples!$F$6*Examples!$F$7*Examples!$F$8*EXP(-Examples!$F$9*$A907)*(1-(Examples!$F$12*(1-EXP(-Examples!$F$13*$A907))/(1+EXP(MIN(700,MAX(-700,(Examples!$F$14*$A907-Examples!$F$15)/Examples!$F$16))))))+Examples!$F$17*$A907^2)</f>
        <v>-1670208.5866776241</v>
      </c>
      <c r="I907" s="33">
        <f>(Examples!$F$6*Examples!$F$7*Examples!$F$8*EXP(-Examples!$F$9*$A907)*(1-(Examples!$F$12*(1-EXP(-Examples!$F$13*$A907))/(1+EXP(MIN(700,MAX(-700,(Examples!$F$14*$A907-Examples!$F$15)/Examples!$F$16))))))+Examples!$F$17*$A907^2)</f>
        <v>1639208.5866776241</v>
      </c>
      <c r="J907" s="33">
        <f>Examples!$G$18-(Examples!$G$10+Examples!$G$11)*$A907-(Examples!$G$6*Examples!$G$7*Examples!$G$8*EXP(-Examples!$G$9*$A907)*(1-(Examples!$G$12*(1-EXP(-Examples!$G$13*$A907))/(1+EXP(MIN(700,MAX(-700,(Examples!$G$14*$A907-Examples!$G$15)/Examples!$G$16))))))+Examples!$G$17*$A907^2)</f>
        <v>308073.25971261656</v>
      </c>
      <c r="K907" s="33">
        <f>(Examples!$G$6*Examples!$G$7*Examples!$G$8*EXP(-Examples!$G$9*$A907)*(1-(Examples!$G$12*(1-EXP(-Examples!$G$13*$A907))/(1+EXP(MIN(700,MAX(-700,(Examples!$G$14*$A907-Examples!$G$15)/Examples!$G$16))))))+Examples!$G$17*$A907^2)</f>
        <v>739426.74028738344</v>
      </c>
      <c r="L907" s="33">
        <f>Examples!$H$18-(Examples!$H$10+Examples!$H$11)*$A907-(Examples!$H$6*Examples!$H$7*Examples!$H$8*EXP(-Examples!$H$9*$A907)*(1-(Examples!$H$12*(1-EXP(-Examples!$H$13*$A907))/(1+EXP(MIN(700,MAX(-700,(Examples!$H$14*$A907-Examples!$H$15)/Examples!$H$16))))))+Examples!$H$17*$A907^2)</f>
        <v>308062.52351479465</v>
      </c>
      <c r="M907" s="33">
        <f>(Examples!$H$6*Examples!$H$7*Examples!$H$8*EXP(-Examples!$H$9*$A907)*(1-(Examples!$H$12*(1-EXP(-Examples!$H$13*$A907))/(1+EXP(MIN(700,MAX(-700,(Examples!$H$14*$A907-Examples!$H$15)/Examples!$H$16))))))+Examples!$H$17*$A907^2)</f>
        <v>739437.47648520535</v>
      </c>
    </row>
    <row r="908" spans="1:13" x14ac:dyDescent="0.25">
      <c r="A908">
        <f>(908-2)/100</f>
        <v>9.06</v>
      </c>
      <c r="B908" s="33">
        <f>Examples!$C$18-(Examples!$C$10+Examples!$C$11)*$A908-(Examples!$C$6*Examples!$C$7*Examples!$C$8*EXP(-Examples!$C$9*$A908)*(1-(Examples!$C$12*(1-EXP(-Examples!$C$13*$A908))/(1+EXP(MIN(700,MAX(-700,(Examples!$C$14*$A908-Examples!$C$15)/Examples!$C$16))))))+Examples!$C$17*$A908^2)</f>
        <v>-987957.98146312661</v>
      </c>
      <c r="C908" s="33">
        <f>(Examples!$C$6*Examples!$C$7*Examples!$C$8*EXP(-Examples!$C$9*$A908)*(1-(Examples!$C$12*(1-EXP(-Examples!$C$13*$A908))/(1+EXP(MIN(700,MAX(-700,(Examples!$C$14*$A908-Examples!$C$15)/Examples!$C$16))))))+Examples!$C$17*$A908^2)</f>
        <v>1270857.9814631266</v>
      </c>
      <c r="D908" s="33">
        <f>Examples!$D$18-(Examples!$D$10+Examples!$D$11)*$A908-(Examples!$D$6*Examples!$D$7*Examples!$D$8*EXP(-Examples!$D$9*$A908)*(1-(Examples!$D$12*(1-EXP(-Examples!$D$13*$A908))/(1+EXP(MIN(700,MAX(-700,(Examples!$D$14*$A908-Examples!$D$15)/Examples!$D$16))))))+Examples!$D$17*$A908^2)</f>
        <v>1580196.3186275305</v>
      </c>
      <c r="E908" s="33">
        <f>(Examples!$D$6*Examples!$D$7*Examples!$D$8*EXP(-Examples!$D$9*$A908)*(1-(Examples!$D$12*(1-EXP(-Examples!$D$13*$A908))/(1+EXP(MIN(700,MAX(-700,(Examples!$D$14*$A908-Examples!$D$15)/Examples!$D$16))))))+Examples!$D$17*$A908^2)</f>
        <v>512103.68137246952</v>
      </c>
      <c r="F908" s="33">
        <f>Examples!$E$18-(Examples!$E$10+Examples!$E$11)*$A908-(Examples!$E$6*Examples!$E$7*Examples!$E$8*EXP(-Examples!$E$9*$A908)*(1-(Examples!$E$12*(1-EXP(-Examples!$E$13*$A908))/(1+EXP(MIN(700,MAX(-700,(Examples!$E$14*$A908-Examples!$E$15)/Examples!$E$16))))))+Examples!$E$17*$A908^2)</f>
        <v>1955465.0539419078</v>
      </c>
      <c r="G908" s="33">
        <f>(Examples!$E$6*Examples!$E$7*Examples!$E$8*EXP(-Examples!$E$9*$A908)*(1-(Examples!$E$12*(1-EXP(-Examples!$E$13*$A908))/(1+EXP(MIN(700,MAX(-700,(Examples!$E$14*$A908-Examples!$E$15)/Examples!$E$16))))))+Examples!$E$17*$A908^2)</f>
        <v>274434.94605809223</v>
      </c>
      <c r="H908" s="33">
        <f>Examples!$F$18-(Examples!$F$10+Examples!$F$11)*$A908-(Examples!$F$6*Examples!$F$7*Examples!$F$8*EXP(-Examples!$F$9*$A908)*(1-(Examples!$F$12*(1-EXP(-Examples!$F$13*$A908))/(1+EXP(MIN(700,MAX(-700,(Examples!$F$14*$A908-Examples!$F$15)/Examples!$F$16))))))+Examples!$F$17*$A908^2)</f>
        <v>-1674027.1161260211</v>
      </c>
      <c r="I908" s="33">
        <f>(Examples!$F$6*Examples!$F$7*Examples!$F$8*EXP(-Examples!$F$9*$A908)*(1-(Examples!$F$12*(1-EXP(-Examples!$F$13*$A908))/(1+EXP(MIN(700,MAX(-700,(Examples!$F$14*$A908-Examples!$F$15)/Examples!$F$16))))))+Examples!$F$17*$A908^2)</f>
        <v>1642827.1161260211</v>
      </c>
      <c r="J908" s="33">
        <f>Examples!$G$18-(Examples!$G$10+Examples!$G$11)*$A908-(Examples!$G$6*Examples!$G$7*Examples!$G$8*EXP(-Examples!$G$9*$A908)*(1-(Examples!$G$12*(1-EXP(-Examples!$G$13*$A908))/(1+EXP(MIN(700,MAX(-700,(Examples!$G$14*$A908-Examples!$G$15)/Examples!$G$16))))))+Examples!$G$17*$A908^2)</f>
        <v>306418.5270347303</v>
      </c>
      <c r="K908" s="33">
        <f>(Examples!$G$6*Examples!$G$7*Examples!$G$8*EXP(-Examples!$G$9*$A908)*(1-(Examples!$G$12*(1-EXP(-Examples!$G$13*$A908))/(1+EXP(MIN(700,MAX(-700,(Examples!$G$14*$A908-Examples!$G$15)/Examples!$G$16))))))+Examples!$G$17*$A908^2)</f>
        <v>740581.4729652697</v>
      </c>
      <c r="L908" s="33">
        <f>Examples!$H$18-(Examples!$H$10+Examples!$H$11)*$A908-(Examples!$H$6*Examples!$H$7*Examples!$H$8*EXP(-Examples!$H$9*$A908)*(1-(Examples!$H$12*(1-EXP(-Examples!$H$13*$A908))/(1+EXP(MIN(700,MAX(-700,(Examples!$H$14*$A908-Examples!$H$15)/Examples!$H$16))))))+Examples!$H$17*$A908^2)</f>
        <v>306407.96945007949</v>
      </c>
      <c r="M908" s="33">
        <f>(Examples!$H$6*Examples!$H$7*Examples!$H$8*EXP(-Examples!$H$9*$A908)*(1-(Examples!$H$12*(1-EXP(-Examples!$H$13*$A908))/(1+EXP(MIN(700,MAX(-700,(Examples!$H$14*$A908-Examples!$H$15)/Examples!$H$16))))))+Examples!$H$17*$A908^2)</f>
        <v>740592.03054992051</v>
      </c>
    </row>
    <row r="909" spans="1:13" x14ac:dyDescent="0.25">
      <c r="A909">
        <f>(909-2)/100</f>
        <v>9.07</v>
      </c>
      <c r="B909" s="33">
        <f>Examples!$C$18-(Examples!$C$10+Examples!$C$11)*$A909-(Examples!$C$6*Examples!$C$7*Examples!$C$8*EXP(-Examples!$C$9*$A909)*(1-(Examples!$C$12*(1-EXP(-Examples!$C$13*$A909))/(1+EXP(MIN(700,MAX(-700,(Examples!$C$14*$A909-Examples!$C$15)/Examples!$C$16))))))+Examples!$C$17*$A909^2)</f>
        <v>-990908.84755858453</v>
      </c>
      <c r="C909" s="33">
        <f>(Examples!$C$6*Examples!$C$7*Examples!$C$8*EXP(-Examples!$C$9*$A909)*(1-(Examples!$C$12*(1-EXP(-Examples!$C$13*$A909))/(1+EXP(MIN(700,MAX(-700,(Examples!$C$14*$A909-Examples!$C$15)/Examples!$C$16))))))+Examples!$C$17*$A909^2)</f>
        <v>1273458.8475585845</v>
      </c>
      <c r="D909" s="33">
        <f>Examples!$D$18-(Examples!$D$10+Examples!$D$11)*$A909-(Examples!$D$6*Examples!$D$7*Examples!$D$8*EXP(-Examples!$D$9*$A909)*(1-(Examples!$D$12*(1-EXP(-Examples!$D$13*$A909))/(1+EXP(MIN(700,MAX(-700,(Examples!$D$14*$A909-Examples!$D$15)/Examples!$D$16))))))+Examples!$D$17*$A909^2)</f>
        <v>1579295.5359149887</v>
      </c>
      <c r="E909" s="33">
        <f>(Examples!$D$6*Examples!$D$7*Examples!$D$8*EXP(-Examples!$D$9*$A909)*(1-(Examples!$D$12*(1-EXP(-Examples!$D$13*$A909))/(1+EXP(MIN(700,MAX(-700,(Examples!$D$14*$A909-Examples!$D$15)/Examples!$D$16))))))+Examples!$D$17*$A909^2)</f>
        <v>512554.46408501139</v>
      </c>
      <c r="F909" s="33">
        <f>Examples!$E$18-(Examples!$E$10+Examples!$E$11)*$A909-(Examples!$E$6*Examples!$E$7*Examples!$E$8*EXP(-Examples!$E$9*$A909)*(1-(Examples!$E$12*(1-EXP(-Examples!$E$13*$A909))/(1+EXP(MIN(700,MAX(-700,(Examples!$E$14*$A909-Examples!$E$15)/Examples!$E$16))))))+Examples!$E$17*$A909^2)</f>
        <v>1954204.6827101908</v>
      </c>
      <c r="G909" s="33">
        <f>(Examples!$E$6*Examples!$E$7*Examples!$E$8*EXP(-Examples!$E$9*$A909)*(1-(Examples!$E$12*(1-EXP(-Examples!$E$13*$A909))/(1+EXP(MIN(700,MAX(-700,(Examples!$E$14*$A909-Examples!$E$15)/Examples!$E$16))))))+Examples!$E$17*$A909^2)</f>
        <v>274845.31728980929</v>
      </c>
      <c r="H909" s="33">
        <f>Examples!$F$18-(Examples!$F$10+Examples!$F$11)*$A909-(Examples!$F$6*Examples!$F$7*Examples!$F$8*EXP(-Examples!$F$9*$A909)*(1-(Examples!$F$12*(1-EXP(-Examples!$F$13*$A909))/(1+EXP(MIN(700,MAX(-700,(Examples!$F$14*$A909-Examples!$F$15)/Examples!$F$16))))))+Examples!$F$17*$A909^2)</f>
        <v>-1677849.6559704719</v>
      </c>
      <c r="I909" s="33">
        <f>(Examples!$F$6*Examples!$F$7*Examples!$F$8*EXP(-Examples!$F$9*$A909)*(1-(Examples!$F$12*(1-EXP(-Examples!$F$13*$A909))/(1+EXP(MIN(700,MAX(-700,(Examples!$F$14*$A909-Examples!$F$15)/Examples!$F$16))))))+Examples!$F$17*$A909^2)</f>
        <v>1646449.6559704719</v>
      </c>
      <c r="J909" s="33">
        <f>Examples!$G$18-(Examples!$G$10+Examples!$G$11)*$A909-(Examples!$G$6*Examples!$G$7*Examples!$G$8*EXP(-Examples!$G$9*$A909)*(1-(Examples!$G$12*(1-EXP(-Examples!$G$13*$A909))/(1+EXP(MIN(700,MAX(-700,(Examples!$G$14*$A909-Examples!$G$15)/Examples!$G$16))))))+Examples!$G$17*$A909^2)</f>
        <v>304761.16926461819</v>
      </c>
      <c r="K909" s="33">
        <f>(Examples!$G$6*Examples!$G$7*Examples!$G$8*EXP(-Examples!$G$9*$A909)*(1-(Examples!$G$12*(1-EXP(-Examples!$G$13*$A909))/(1+EXP(MIN(700,MAX(-700,(Examples!$G$14*$A909-Examples!$G$15)/Examples!$G$16))))))+Examples!$G$17*$A909^2)</f>
        <v>741738.83073538181</v>
      </c>
      <c r="L909" s="33">
        <f>Examples!$H$18-(Examples!$H$10+Examples!$H$11)*$A909-(Examples!$H$6*Examples!$H$7*Examples!$H$8*EXP(-Examples!$H$9*$A909)*(1-(Examples!$H$12*(1-EXP(-Examples!$H$13*$A909))/(1+EXP(MIN(700,MAX(-700,(Examples!$H$14*$A909-Examples!$H$15)/Examples!$H$16))))))+Examples!$H$17*$A909^2)</f>
        <v>304750.78732480365</v>
      </c>
      <c r="M909" s="33">
        <f>(Examples!$H$6*Examples!$H$7*Examples!$H$8*EXP(-Examples!$H$9*$A909)*(1-(Examples!$H$12*(1-EXP(-Examples!$H$13*$A909))/(1+EXP(MIN(700,MAX(-700,(Examples!$H$14*$A909-Examples!$H$15)/Examples!$H$16))))))+Examples!$H$17*$A909^2)</f>
        <v>741749.21267519635</v>
      </c>
    </row>
    <row r="910" spans="1:13" x14ac:dyDescent="0.25">
      <c r="A910">
        <f>(910-2)/100</f>
        <v>9.08</v>
      </c>
      <c r="B910" s="33">
        <f>Examples!$C$18-(Examples!$C$10+Examples!$C$11)*$A910-(Examples!$C$6*Examples!$C$7*Examples!$C$8*EXP(-Examples!$C$9*$A910)*(1-(Examples!$C$12*(1-EXP(-Examples!$C$13*$A910))/(1+EXP(MIN(700,MAX(-700,(Examples!$C$14*$A910-Examples!$C$15)/Examples!$C$16))))))+Examples!$C$17*$A910^2)</f>
        <v>-993863.06902243616</v>
      </c>
      <c r="C910" s="33">
        <f>(Examples!$C$6*Examples!$C$7*Examples!$C$8*EXP(-Examples!$C$9*$A910)*(1-(Examples!$C$12*(1-EXP(-Examples!$C$13*$A910))/(1+EXP(MIN(700,MAX(-700,(Examples!$C$14*$A910-Examples!$C$15)/Examples!$C$16))))))+Examples!$C$17*$A910^2)</f>
        <v>1276063.0690224362</v>
      </c>
      <c r="D910" s="33">
        <f>Examples!$D$18-(Examples!$D$10+Examples!$D$11)*$A910-(Examples!$D$6*Examples!$D$7*Examples!$D$8*EXP(-Examples!$D$9*$A910)*(1-(Examples!$D$12*(1-EXP(-Examples!$D$13*$A910))/(1+EXP(MIN(700,MAX(-700,(Examples!$D$14*$A910-Examples!$D$15)/Examples!$D$16))))))+Examples!$D$17*$A910^2)</f>
        <v>1578391.7218839903</v>
      </c>
      <c r="E910" s="33">
        <f>(Examples!$D$6*Examples!$D$7*Examples!$D$8*EXP(-Examples!$D$9*$A910)*(1-(Examples!$D$12*(1-EXP(-Examples!$D$13*$A910))/(1+EXP(MIN(700,MAX(-700,(Examples!$D$14*$A910-Examples!$D$15)/Examples!$D$16))))))+Examples!$D$17*$A910^2)</f>
        <v>513008.27811600955</v>
      </c>
      <c r="F910" s="33">
        <f>Examples!$E$18-(Examples!$E$10+Examples!$E$11)*$A910-(Examples!$E$6*Examples!$E$7*Examples!$E$8*EXP(-Examples!$E$9*$A910)*(1-(Examples!$E$12*(1-EXP(-Examples!$E$13*$A910))/(1+EXP(MIN(700,MAX(-700,(Examples!$E$14*$A910-Examples!$E$15)/Examples!$E$16))))))+Examples!$E$17*$A910^2)</f>
        <v>1952943.1321378553</v>
      </c>
      <c r="G910" s="33">
        <f>(Examples!$E$6*Examples!$E$7*Examples!$E$8*EXP(-Examples!$E$9*$A910)*(1-(Examples!$E$12*(1-EXP(-Examples!$E$13*$A910))/(1+EXP(MIN(700,MAX(-700,(Examples!$E$14*$A910-Examples!$E$15)/Examples!$E$16))))))+Examples!$E$17*$A910^2)</f>
        <v>275256.86786214472</v>
      </c>
      <c r="H910" s="33">
        <f>Examples!$F$18-(Examples!$F$10+Examples!$F$11)*$A910-(Examples!$F$6*Examples!$F$7*Examples!$F$8*EXP(-Examples!$F$9*$A910)*(1-(Examples!$F$12*(1-EXP(-Examples!$F$13*$A910))/(1+EXP(MIN(700,MAX(-700,(Examples!$F$14*$A910-Examples!$F$15)/Examples!$F$16))))))+Examples!$F$17*$A910^2)</f>
        <v>-1681676.2061798335</v>
      </c>
      <c r="I910" s="33">
        <f>(Examples!$F$6*Examples!$F$7*Examples!$F$8*EXP(-Examples!$F$9*$A910)*(1-(Examples!$F$12*(1-EXP(-Examples!$F$13*$A910))/(1+EXP(MIN(700,MAX(-700,(Examples!$F$14*$A910-Examples!$F$15)/Examples!$F$16))))))+Examples!$F$17*$A910^2)</f>
        <v>1650076.2061798335</v>
      </c>
      <c r="J910" s="33">
        <f>Examples!$G$18-(Examples!$G$10+Examples!$G$11)*$A910-(Examples!$G$6*Examples!$G$7*Examples!$G$8*EXP(-Examples!$G$9*$A910)*(1-(Examples!$G$12*(1-EXP(-Examples!$G$13*$A910))/(1+EXP(MIN(700,MAX(-700,(Examples!$G$14*$A910-Examples!$G$15)/Examples!$G$16))))))+Examples!$G$17*$A910^2)</f>
        <v>303101.1899449419</v>
      </c>
      <c r="K910" s="33">
        <f>(Examples!$G$6*Examples!$G$7*Examples!$G$8*EXP(-Examples!$G$9*$A910)*(1-(Examples!$G$12*(1-EXP(-Examples!$G$13*$A910))/(1+EXP(MIN(700,MAX(-700,(Examples!$G$14*$A910-Examples!$G$15)/Examples!$G$16))))))+Examples!$G$17*$A910^2)</f>
        <v>742898.8100550581</v>
      </c>
      <c r="L910" s="33">
        <f>Examples!$H$18-(Examples!$H$10+Examples!$H$11)*$A910-(Examples!$H$6*Examples!$H$7*Examples!$H$8*EXP(-Examples!$H$9*$A910)*(1-(Examples!$H$12*(1-EXP(-Examples!$H$13*$A910))/(1+EXP(MIN(700,MAX(-700,(Examples!$H$14*$A910-Examples!$H$15)/Examples!$H$16))))))+Examples!$H$17*$A910^2)</f>
        <v>303090.98073088774</v>
      </c>
      <c r="M910" s="33">
        <f>(Examples!$H$6*Examples!$H$7*Examples!$H$8*EXP(-Examples!$H$9*$A910)*(1-(Examples!$H$12*(1-EXP(-Examples!$H$13*$A910))/(1+EXP(MIN(700,MAX(-700,(Examples!$H$14*$A910-Examples!$H$15)/Examples!$H$16))))))+Examples!$H$17*$A910^2)</f>
        <v>742909.01926911226</v>
      </c>
    </row>
    <row r="911" spans="1:13" x14ac:dyDescent="0.25">
      <c r="A911">
        <f>(911-2)/100</f>
        <v>9.09</v>
      </c>
      <c r="B911" s="33">
        <f>Examples!$C$18-(Examples!$C$10+Examples!$C$11)*$A911-(Examples!$C$6*Examples!$C$7*Examples!$C$8*EXP(-Examples!$C$9*$A911)*(1-(Examples!$C$12*(1-EXP(-Examples!$C$13*$A911))/(1+EXP(MIN(700,MAX(-700,(Examples!$C$14*$A911-Examples!$C$15)/Examples!$C$16))))))+Examples!$C$17*$A911^2)</f>
        <v>-996820.64479017444</v>
      </c>
      <c r="C911" s="33">
        <f>(Examples!$C$6*Examples!$C$7*Examples!$C$8*EXP(-Examples!$C$9*$A911)*(1-(Examples!$C$12*(1-EXP(-Examples!$C$13*$A911))/(1+EXP(MIN(700,MAX(-700,(Examples!$C$14*$A911-Examples!$C$15)/Examples!$C$16))))))+Examples!$C$17*$A911^2)</f>
        <v>1278670.6447901744</v>
      </c>
      <c r="D911" s="33">
        <f>Examples!$D$18-(Examples!$D$10+Examples!$D$11)*$A911-(Examples!$D$6*Examples!$D$7*Examples!$D$8*EXP(-Examples!$D$9*$A911)*(1-(Examples!$D$12*(1-EXP(-Examples!$D$13*$A911))/(1+EXP(MIN(700,MAX(-700,(Examples!$D$14*$A911-Examples!$D$15)/Examples!$D$16))))))+Examples!$D$17*$A911^2)</f>
        <v>1577484.8853945981</v>
      </c>
      <c r="E911" s="33">
        <f>(Examples!$D$6*Examples!$D$7*Examples!$D$8*EXP(-Examples!$D$9*$A911)*(1-(Examples!$D$12*(1-EXP(-Examples!$D$13*$A911))/(1+EXP(MIN(700,MAX(-700,(Examples!$D$14*$A911-Examples!$D$15)/Examples!$D$16))))))+Examples!$D$17*$A911^2)</f>
        <v>513465.11460540193</v>
      </c>
      <c r="F911" s="33">
        <f>Examples!$E$18-(Examples!$E$10+Examples!$E$11)*$A911-(Examples!$E$6*Examples!$E$7*Examples!$E$8*EXP(-Examples!$E$9*$A911)*(1-(Examples!$E$12*(1-EXP(-Examples!$E$13*$A911))/(1+EXP(MIN(700,MAX(-700,(Examples!$E$14*$A911-Examples!$E$15)/Examples!$E$16))))))+Examples!$E$17*$A911^2)</f>
        <v>1951680.4040807222</v>
      </c>
      <c r="G911" s="33">
        <f>(Examples!$E$6*Examples!$E$7*Examples!$E$8*EXP(-Examples!$E$9*$A911)*(1-(Examples!$E$12*(1-EXP(-Examples!$E$13*$A911))/(1+EXP(MIN(700,MAX(-700,(Examples!$E$14*$A911-Examples!$E$15)/Examples!$E$16))))))+Examples!$E$17*$A911^2)</f>
        <v>275669.59591927775</v>
      </c>
      <c r="H911" s="33">
        <f>Examples!$F$18-(Examples!$F$10+Examples!$F$11)*$A911-(Examples!$F$6*Examples!$F$7*Examples!$F$8*EXP(-Examples!$F$9*$A911)*(1-(Examples!$F$12*(1-EXP(-Examples!$F$13*$A911))/(1+EXP(MIN(700,MAX(-700,(Examples!$F$14*$A911-Examples!$F$15)/Examples!$F$16))))))+Examples!$F$17*$A911^2)</f>
        <v>-1685506.7667230587</v>
      </c>
      <c r="I911" s="33">
        <f>(Examples!$F$6*Examples!$F$7*Examples!$F$8*EXP(-Examples!$F$9*$A911)*(1-(Examples!$F$12*(1-EXP(-Examples!$F$13*$A911))/(1+EXP(MIN(700,MAX(-700,(Examples!$F$14*$A911-Examples!$F$15)/Examples!$F$16))))))+Examples!$F$17*$A911^2)</f>
        <v>1653706.7667230587</v>
      </c>
      <c r="J911" s="33">
        <f>Examples!$G$18-(Examples!$G$10+Examples!$G$11)*$A911-(Examples!$G$6*Examples!$G$7*Examples!$G$8*EXP(-Examples!$G$9*$A911)*(1-(Examples!$G$12*(1-EXP(-Examples!$G$13*$A911))/(1+EXP(MIN(700,MAX(-700,(Examples!$G$14*$A911-Examples!$G$15)/Examples!$G$16))))))+Examples!$G$17*$A911^2)</f>
        <v>301438.59260662878</v>
      </c>
      <c r="K911" s="33">
        <f>(Examples!$G$6*Examples!$G$7*Examples!$G$8*EXP(-Examples!$G$9*$A911)*(1-(Examples!$G$12*(1-EXP(-Examples!$G$13*$A911))/(1+EXP(MIN(700,MAX(-700,(Examples!$G$14*$A911-Examples!$G$15)/Examples!$G$16))))))+Examples!$G$17*$A911^2)</f>
        <v>744061.40739337122</v>
      </c>
      <c r="L911" s="33">
        <f>Examples!$H$18-(Examples!$H$10+Examples!$H$11)*$A911-(Examples!$H$6*Examples!$H$7*Examples!$H$8*EXP(-Examples!$H$9*$A911)*(1-(Examples!$H$12*(1-EXP(-Examples!$H$13*$A911))/(1+EXP(MIN(700,MAX(-700,(Examples!$H$14*$A911-Examples!$H$15)/Examples!$H$16))))))+Examples!$H$17*$A911^2)</f>
        <v>301428.55324770231</v>
      </c>
      <c r="M911" s="33">
        <f>(Examples!$H$6*Examples!$H$7*Examples!$H$8*EXP(-Examples!$H$9*$A911)*(1-(Examples!$H$12*(1-EXP(-Examples!$H$13*$A911))/(1+EXP(MIN(700,MAX(-700,(Examples!$H$14*$A911-Examples!$H$15)/Examples!$H$16))))))+Examples!$H$17*$A911^2)</f>
        <v>744071.44675229769</v>
      </c>
    </row>
    <row r="912" spans="1:13" x14ac:dyDescent="0.25">
      <c r="A912">
        <f>(912-2)/100</f>
        <v>9.1</v>
      </c>
      <c r="B912" s="33">
        <f>Examples!$C$18-(Examples!$C$10+Examples!$C$11)*$A912-(Examples!$C$6*Examples!$C$7*Examples!$C$8*EXP(-Examples!$C$9*$A912)*(1-(Examples!$C$12*(1-EXP(-Examples!$C$13*$A912))/(1+EXP(MIN(700,MAX(-700,(Examples!$C$14*$A912-Examples!$C$15)/Examples!$C$16))))))+Examples!$C$17*$A912^2)</f>
        <v>-999781.57380047976</v>
      </c>
      <c r="C912" s="33">
        <f>(Examples!$C$6*Examples!$C$7*Examples!$C$8*EXP(-Examples!$C$9*$A912)*(1-(Examples!$C$12*(1-EXP(-Examples!$C$13*$A912))/(1+EXP(MIN(700,MAX(-700,(Examples!$C$14*$A912-Examples!$C$15)/Examples!$C$16))))))+Examples!$C$17*$A912^2)</f>
        <v>1281281.5738004798</v>
      </c>
      <c r="D912" s="33">
        <f>Examples!$D$18-(Examples!$D$10+Examples!$D$11)*$A912-(Examples!$D$6*Examples!$D$7*Examples!$D$8*EXP(-Examples!$D$9*$A912)*(1-(Examples!$D$12*(1-EXP(-Examples!$D$13*$A912))/(1+EXP(MIN(700,MAX(-700,(Examples!$D$14*$A912-Examples!$D$15)/Examples!$D$16))))))+Examples!$D$17*$A912^2)</f>
        <v>1576575.03527166</v>
      </c>
      <c r="E912" s="33">
        <f>(Examples!$D$6*Examples!$D$7*Examples!$D$8*EXP(-Examples!$D$9*$A912)*(1-(Examples!$D$12*(1-EXP(-Examples!$D$13*$A912))/(1+EXP(MIN(700,MAX(-700,(Examples!$D$14*$A912-Examples!$D$15)/Examples!$D$16))))))+Examples!$D$17*$A912^2)</f>
        <v>513924.96472833992</v>
      </c>
      <c r="F912" s="33">
        <f>Examples!$E$18-(Examples!$E$10+Examples!$E$11)*$A912-(Examples!$E$6*Examples!$E$7*Examples!$E$8*EXP(-Examples!$E$9*$A912)*(1-(Examples!$E$12*(1-EXP(-Examples!$E$13*$A912))/(1+EXP(MIN(700,MAX(-700,(Examples!$E$14*$A912-Examples!$E$15)/Examples!$E$16))))))+Examples!$E$17*$A912^2)</f>
        <v>1950416.5003970396</v>
      </c>
      <c r="G912" s="33">
        <f>(Examples!$E$6*Examples!$E$7*Examples!$E$8*EXP(-Examples!$E$9*$A912)*(1-(Examples!$E$12*(1-EXP(-Examples!$E$13*$A912))/(1+EXP(MIN(700,MAX(-700,(Examples!$E$14*$A912-Examples!$E$15)/Examples!$E$16))))))+Examples!$E$17*$A912^2)</f>
        <v>276083.49960296048</v>
      </c>
      <c r="H912" s="33">
        <f>Examples!$F$18-(Examples!$F$10+Examples!$F$11)*$A912-(Examples!$F$6*Examples!$F$7*Examples!$F$8*EXP(-Examples!$F$9*$A912)*(1-(Examples!$F$12*(1-EXP(-Examples!$F$13*$A912))/(1+EXP(MIN(700,MAX(-700,(Examples!$F$14*$A912-Examples!$F$15)/Examples!$F$16))))))+Examples!$F$17*$A912^2)</f>
        <v>-1689341.3375691921</v>
      </c>
      <c r="I912" s="33">
        <f>(Examples!$F$6*Examples!$F$7*Examples!$F$8*EXP(-Examples!$F$9*$A912)*(1-(Examples!$F$12*(1-EXP(-Examples!$F$13*$A912))/(1+EXP(MIN(700,MAX(-700,(Examples!$F$14*$A912-Examples!$F$15)/Examples!$F$16))))))+Examples!$F$17*$A912^2)</f>
        <v>1657341.3375691921</v>
      </c>
      <c r="J912" s="33">
        <f>Examples!$G$18-(Examples!$G$10+Examples!$G$11)*$A912-(Examples!$G$6*Examples!$G$7*Examples!$G$8*EXP(-Examples!$G$9*$A912)*(1-(Examples!$G$12*(1-EXP(-Examples!$G$13*$A912))/(1+EXP(MIN(700,MAX(-700,(Examples!$G$14*$A912-Examples!$G$15)/Examples!$G$16))))))+Examples!$G$17*$A912^2)</f>
        <v>299773.38076890365</v>
      </c>
      <c r="K912" s="33">
        <f>(Examples!$G$6*Examples!$G$7*Examples!$G$8*EXP(-Examples!$G$9*$A912)*(1-(Examples!$G$12*(1-EXP(-Examples!$G$13*$A912))/(1+EXP(MIN(700,MAX(-700,(Examples!$G$14*$A912-Examples!$G$15)/Examples!$G$16))))))+Examples!$G$17*$A912^2)</f>
        <v>745226.61923109635</v>
      </c>
      <c r="L912" s="33">
        <f>Examples!$H$18-(Examples!$H$10+Examples!$H$11)*$A912-(Examples!$H$6*Examples!$H$7*Examples!$H$8*EXP(-Examples!$H$9*$A912)*(1-(Examples!$H$12*(1-EXP(-Examples!$H$13*$A912))/(1+EXP(MIN(700,MAX(-700,(Examples!$H$14*$A912-Examples!$H$15)/Examples!$H$16))))))+Examples!$H$17*$A912^2)</f>
        <v>299763.50844211271</v>
      </c>
      <c r="M912" s="33">
        <f>(Examples!$H$6*Examples!$H$7*Examples!$H$8*EXP(-Examples!$H$9*$A912)*(1-(Examples!$H$12*(1-EXP(-Examples!$H$13*$A912))/(1+EXP(MIN(700,MAX(-700,(Examples!$H$14*$A912-Examples!$H$15)/Examples!$H$16))))))+Examples!$H$17*$A912^2)</f>
        <v>745236.49155788729</v>
      </c>
    </row>
    <row r="913" spans="1:13" x14ac:dyDescent="0.25">
      <c r="A913">
        <f>(913-2)/100</f>
        <v>9.11</v>
      </c>
      <c r="B913" s="33">
        <f>Examples!$C$18-(Examples!$C$10+Examples!$C$11)*$A913-(Examples!$C$6*Examples!$C$7*Examples!$C$8*EXP(-Examples!$C$9*$A913)*(1-(Examples!$C$12*(1-EXP(-Examples!$C$13*$A913))/(1+EXP(MIN(700,MAX(-700,(Examples!$C$14*$A913-Examples!$C$15)/Examples!$C$16))))))+Examples!$C$17*$A913^2)</f>
        <v>-1002745.8549952134</v>
      </c>
      <c r="C913" s="33">
        <f>(Examples!$C$6*Examples!$C$7*Examples!$C$8*EXP(-Examples!$C$9*$A913)*(1-(Examples!$C$12*(1-EXP(-Examples!$C$13*$A913))/(1+EXP(MIN(700,MAX(-700,(Examples!$C$14*$A913-Examples!$C$15)/Examples!$C$16))))))+Examples!$C$17*$A913^2)</f>
        <v>1283895.8549952134</v>
      </c>
      <c r="D913" s="33">
        <f>Examples!$D$18-(Examples!$D$10+Examples!$D$11)*$A913-(Examples!$D$6*Examples!$D$7*Examples!$D$8*EXP(-Examples!$D$9*$A913)*(1-(Examples!$D$12*(1-EXP(-Examples!$D$13*$A913))/(1+EXP(MIN(700,MAX(-700,(Examples!$D$14*$A913-Examples!$D$15)/Examples!$D$16))))))+Examples!$D$17*$A913^2)</f>
        <v>1575662.1803048898</v>
      </c>
      <c r="E913" s="33">
        <f>(Examples!$D$6*Examples!$D$7*Examples!$D$8*EXP(-Examples!$D$9*$A913)*(1-(Examples!$D$12*(1-EXP(-Examples!$D$13*$A913))/(1+EXP(MIN(700,MAX(-700,(Examples!$D$14*$A913-Examples!$D$15)/Examples!$D$16))))))+Examples!$D$17*$A913^2)</f>
        <v>514387.8196951102</v>
      </c>
      <c r="F913" s="33">
        <f>Examples!$E$18-(Examples!$E$10+Examples!$E$11)*$A913-(Examples!$E$6*Examples!$E$7*Examples!$E$8*EXP(-Examples!$E$9*$A913)*(1-(Examples!$E$12*(1-EXP(-Examples!$E$13*$A913))/(1+EXP(MIN(700,MAX(-700,(Examples!$E$14*$A913-Examples!$E$15)/Examples!$E$16))))))+Examples!$E$17*$A913^2)</f>
        <v>1949151.42294735</v>
      </c>
      <c r="G913" s="33">
        <f>(Examples!$E$6*Examples!$E$7*Examples!$E$8*EXP(-Examples!$E$9*$A913)*(1-(Examples!$E$12*(1-EXP(-Examples!$E$13*$A913))/(1+EXP(MIN(700,MAX(-700,(Examples!$E$14*$A913-Examples!$E$15)/Examples!$E$16))))))+Examples!$E$17*$A913^2)</f>
        <v>276498.5770526501</v>
      </c>
      <c r="H913" s="33">
        <f>Examples!$F$18-(Examples!$F$10+Examples!$F$11)*$A913-(Examples!$F$6*Examples!$F$7*Examples!$F$8*EXP(-Examples!$F$9*$A913)*(1-(Examples!$F$12*(1-EXP(-Examples!$F$13*$A913))/(1+EXP(MIN(700,MAX(-700,(Examples!$F$14*$A913-Examples!$F$15)/Examples!$F$16))))))+Examples!$F$17*$A913^2)</f>
        <v>-1693179.9186873713</v>
      </c>
      <c r="I913" s="33">
        <f>(Examples!$F$6*Examples!$F$7*Examples!$F$8*EXP(-Examples!$F$9*$A913)*(1-(Examples!$F$12*(1-EXP(-Examples!$F$13*$A913))/(1+EXP(MIN(700,MAX(-700,(Examples!$F$14*$A913-Examples!$F$15)/Examples!$F$16))))))+Examples!$F$17*$A913^2)</f>
        <v>1660979.9186873713</v>
      </c>
      <c r="J913" s="33">
        <f>Examples!$G$18-(Examples!$G$10+Examples!$G$11)*$A913-(Examples!$G$6*Examples!$G$7*Examples!$G$8*EXP(-Examples!$G$9*$A913)*(1-(Examples!$G$12*(1-EXP(-Examples!$G$13*$A913))/(1+EXP(MIN(700,MAX(-700,(Examples!$G$14*$A913-Examples!$G$15)/Examples!$G$16))))))+Examples!$G$17*$A913^2)</f>
        <v>298105.55793931719</v>
      </c>
      <c r="K913" s="33">
        <f>(Examples!$G$6*Examples!$G$7*Examples!$G$8*EXP(-Examples!$G$9*$A913)*(1-(Examples!$G$12*(1-EXP(-Examples!$G$13*$A913))/(1+EXP(MIN(700,MAX(-700,(Examples!$G$14*$A913-Examples!$G$15)/Examples!$G$16))))))+Examples!$G$17*$A913^2)</f>
        <v>746394.44206068281</v>
      </c>
      <c r="L913" s="33">
        <f>Examples!$H$18-(Examples!$H$10+Examples!$H$11)*$A913-(Examples!$H$6*Examples!$H$7*Examples!$H$8*EXP(-Examples!$H$9*$A913)*(1-(Examples!$H$12*(1-EXP(-Examples!$H$13*$A913))/(1+EXP(MIN(700,MAX(-700,(Examples!$H$14*$A913-Examples!$H$15)/Examples!$H$16))))))+Examples!$H$17*$A913^2)</f>
        <v>298095.84986852121</v>
      </c>
      <c r="M913" s="33">
        <f>(Examples!$H$6*Examples!$H$7*Examples!$H$8*EXP(-Examples!$H$9*$A913)*(1-(Examples!$H$12*(1-EXP(-Examples!$H$13*$A913))/(1+EXP(MIN(700,MAX(-700,(Examples!$H$14*$A913-Examples!$H$15)/Examples!$H$16))))))+Examples!$H$17*$A913^2)</f>
        <v>746404.15013147879</v>
      </c>
    </row>
    <row r="914" spans="1:13" x14ac:dyDescent="0.25">
      <c r="A914">
        <f>(914-2)/100</f>
        <v>9.1199999999999992</v>
      </c>
      <c r="B914" s="33">
        <f>Examples!$C$18-(Examples!$C$10+Examples!$C$11)*$A914-(Examples!$C$6*Examples!$C$7*Examples!$C$8*EXP(-Examples!$C$9*$A914)*(1-(Examples!$C$12*(1-EXP(-Examples!$C$13*$A914))/(1+EXP(MIN(700,MAX(-700,(Examples!$C$14*$A914-Examples!$C$15)/Examples!$C$16))))))+Examples!$C$17*$A914^2)</f>
        <v>-1005713.4873194045</v>
      </c>
      <c r="C914" s="33">
        <f>(Examples!$C$6*Examples!$C$7*Examples!$C$8*EXP(-Examples!$C$9*$A914)*(1-(Examples!$C$12*(1-EXP(-Examples!$C$13*$A914))/(1+EXP(MIN(700,MAX(-700,(Examples!$C$14*$A914-Examples!$C$15)/Examples!$C$16))))))+Examples!$C$17*$A914^2)</f>
        <v>1286513.4873194045</v>
      </c>
      <c r="D914" s="33">
        <f>Examples!$D$18-(Examples!$D$10+Examples!$D$11)*$A914-(Examples!$D$6*Examples!$D$7*Examples!$D$8*EXP(-Examples!$D$9*$A914)*(1-(Examples!$D$12*(1-EXP(-Examples!$D$13*$A914))/(1+EXP(MIN(700,MAX(-700,(Examples!$D$14*$A914-Examples!$D$15)/Examples!$D$16))))))+Examples!$D$17*$A914^2)</f>
        <v>1574746.3292489443</v>
      </c>
      <c r="E914" s="33">
        <f>(Examples!$D$6*Examples!$D$7*Examples!$D$8*EXP(-Examples!$D$9*$A914)*(1-(Examples!$D$12*(1-EXP(-Examples!$D$13*$A914))/(1+EXP(MIN(700,MAX(-700,(Examples!$D$14*$A914-Examples!$D$15)/Examples!$D$16))))))+Examples!$D$17*$A914^2)</f>
        <v>514853.67075105564</v>
      </c>
      <c r="F914" s="33">
        <f>Examples!$E$18-(Examples!$E$10+Examples!$E$11)*$A914-(Examples!$E$6*Examples!$E$7*Examples!$E$8*EXP(-Examples!$E$9*$A914)*(1-(Examples!$E$12*(1-EXP(-Examples!$E$13*$A914))/(1+EXP(MIN(700,MAX(-700,(Examples!$E$14*$A914-Examples!$E$15)/Examples!$E$16))))))+Examples!$E$17*$A914^2)</f>
        <v>1947885.1735943626</v>
      </c>
      <c r="G914" s="33">
        <f>(Examples!$E$6*Examples!$E$7*Examples!$E$8*EXP(-Examples!$E$9*$A914)*(1-(Examples!$E$12*(1-EXP(-Examples!$E$13*$A914))/(1+EXP(MIN(700,MAX(-700,(Examples!$E$14*$A914-Examples!$E$15)/Examples!$E$16))))))+Examples!$E$17*$A914^2)</f>
        <v>276914.82640563755</v>
      </c>
      <c r="H914" s="33">
        <f>Examples!$F$18-(Examples!$F$10+Examples!$F$11)*$A914-(Examples!$F$6*Examples!$F$7*Examples!$F$8*EXP(-Examples!$F$9*$A914)*(1-(Examples!$F$12*(1-EXP(-Examples!$F$13*$A914))/(1+EXP(MIN(700,MAX(-700,(Examples!$F$14*$A914-Examples!$F$15)/Examples!$F$16))))))+Examples!$F$17*$A914^2)</f>
        <v>-1697022.5100468264</v>
      </c>
      <c r="I914" s="33">
        <f>(Examples!$F$6*Examples!$F$7*Examples!$F$8*EXP(-Examples!$F$9*$A914)*(1-(Examples!$F$12*(1-EXP(-Examples!$F$13*$A914))/(1+EXP(MIN(700,MAX(-700,(Examples!$F$14*$A914-Examples!$F$15)/Examples!$F$16))))))+Examples!$F$17*$A914^2)</f>
        <v>1664622.5100468264</v>
      </c>
      <c r="J914" s="33">
        <f>Examples!$G$18-(Examples!$G$10+Examples!$G$11)*$A914-(Examples!$G$6*Examples!$G$7*Examples!$G$8*EXP(-Examples!$G$9*$A914)*(1-(Examples!$G$12*(1-EXP(-Examples!$G$13*$A914))/(1+EXP(MIN(700,MAX(-700,(Examples!$G$14*$A914-Examples!$G$15)/Examples!$G$16))))))+Examples!$G$17*$A914^2)</f>
        <v>296435.12761377823</v>
      </c>
      <c r="K914" s="33">
        <f>(Examples!$G$6*Examples!$G$7*Examples!$G$8*EXP(-Examples!$G$9*$A914)*(1-(Examples!$G$12*(1-EXP(-Examples!$G$13*$A914))/(1+EXP(MIN(700,MAX(-700,(Examples!$G$14*$A914-Examples!$G$15)/Examples!$G$16))))))+Examples!$G$17*$A914^2)</f>
        <v>747564.87238622177</v>
      </c>
      <c r="L914" s="33">
        <f>Examples!$H$18-(Examples!$H$10+Examples!$H$11)*$A914-(Examples!$H$6*Examples!$H$7*Examples!$H$8*EXP(-Examples!$H$9*$A914)*(1-(Examples!$H$12*(1-EXP(-Examples!$H$13*$A914))/(1+EXP(MIN(700,MAX(-700,(Examples!$H$14*$A914-Examples!$H$15)/Examples!$H$16))))))+Examples!$H$17*$A914^2)</f>
        <v>296425.58106891229</v>
      </c>
      <c r="M914" s="33">
        <f>(Examples!$H$6*Examples!$H$7*Examples!$H$8*EXP(-Examples!$H$9*$A914)*(1-(Examples!$H$12*(1-EXP(-Examples!$H$13*$A914))/(1+EXP(MIN(700,MAX(-700,(Examples!$H$14*$A914-Examples!$H$15)/Examples!$H$16))))))+Examples!$H$17*$A914^2)</f>
        <v>747574.41893108771</v>
      </c>
    </row>
    <row r="915" spans="1:13" x14ac:dyDescent="0.25">
      <c r="A915">
        <f>(915-2)/100</f>
        <v>9.1300000000000008</v>
      </c>
      <c r="B915" s="33">
        <f>Examples!$C$18-(Examples!$C$10+Examples!$C$11)*$A915-(Examples!$C$6*Examples!$C$7*Examples!$C$8*EXP(-Examples!$C$9*$A915)*(1-(Examples!$C$12*(1-EXP(-Examples!$C$13*$A915))/(1+EXP(MIN(700,MAX(-700,(Examples!$C$14*$A915-Examples!$C$15)/Examples!$C$16))))))+Examples!$C$17*$A915^2)</f>
        <v>-1008684.4697212442</v>
      </c>
      <c r="C915" s="33">
        <f>(Examples!$C$6*Examples!$C$7*Examples!$C$8*EXP(-Examples!$C$9*$A915)*(1-(Examples!$C$12*(1-EXP(-Examples!$C$13*$A915))/(1+EXP(MIN(700,MAX(-700,(Examples!$C$14*$A915-Examples!$C$15)/Examples!$C$16))))))+Examples!$C$17*$A915^2)</f>
        <v>1289134.4697212442</v>
      </c>
      <c r="D915" s="33">
        <f>Examples!$D$18-(Examples!$D$10+Examples!$D$11)*$A915-(Examples!$D$6*Examples!$D$7*Examples!$D$8*EXP(-Examples!$D$9*$A915)*(1-(Examples!$D$12*(1-EXP(-Examples!$D$13*$A915))/(1+EXP(MIN(700,MAX(-700,(Examples!$D$14*$A915-Examples!$D$15)/Examples!$D$16))))))+Examples!$D$17*$A915^2)</f>
        <v>1573827.490823505</v>
      </c>
      <c r="E915" s="33">
        <f>(Examples!$D$6*Examples!$D$7*Examples!$D$8*EXP(-Examples!$D$9*$A915)*(1-(Examples!$D$12*(1-EXP(-Examples!$D$13*$A915))/(1+EXP(MIN(700,MAX(-700,(Examples!$D$14*$A915-Examples!$D$15)/Examples!$D$16))))))+Examples!$D$17*$A915^2)</f>
        <v>515322.5091764949</v>
      </c>
      <c r="F915" s="33">
        <f>Examples!$E$18-(Examples!$E$10+Examples!$E$11)*$A915-(Examples!$E$6*Examples!$E$7*Examples!$E$8*EXP(-Examples!$E$9*$A915)*(1-(Examples!$E$12*(1-EXP(-Examples!$E$13*$A915))/(1+EXP(MIN(700,MAX(-700,(Examples!$E$14*$A915-Examples!$E$15)/Examples!$E$16))))))+Examples!$E$17*$A915^2)</f>
        <v>1946617.7542028241</v>
      </c>
      <c r="G915" s="33">
        <f>(Examples!$E$6*Examples!$E$7*Examples!$E$8*EXP(-Examples!$E$9*$A915)*(1-(Examples!$E$12*(1-EXP(-Examples!$E$13*$A915))/(1+EXP(MIN(700,MAX(-700,(Examples!$E$14*$A915-Examples!$E$15)/Examples!$E$16))))))+Examples!$E$17*$A915^2)</f>
        <v>277332.24579717603</v>
      </c>
      <c r="H915" s="33">
        <f>Examples!$F$18-(Examples!$F$10+Examples!$F$11)*$A915-(Examples!$F$6*Examples!$F$7*Examples!$F$8*EXP(-Examples!$F$9*$A915)*(1-(Examples!$F$12*(1-EXP(-Examples!$F$13*$A915))/(1+EXP(MIN(700,MAX(-700,(Examples!$F$14*$A915-Examples!$F$15)/Examples!$F$16))))))+Examples!$F$17*$A915^2)</f>
        <v>-1700869.1116168802</v>
      </c>
      <c r="I915" s="33">
        <f>(Examples!$F$6*Examples!$F$7*Examples!$F$8*EXP(-Examples!$F$9*$A915)*(1-(Examples!$F$12*(1-EXP(-Examples!$F$13*$A915))/(1+EXP(MIN(700,MAX(-700,(Examples!$F$14*$A915-Examples!$F$15)/Examples!$F$16))))))+Examples!$F$17*$A915^2)</f>
        <v>1668269.1116168802</v>
      </c>
      <c r="J915" s="33">
        <f>Examples!$G$18-(Examples!$G$10+Examples!$G$11)*$A915-(Examples!$G$6*Examples!$G$7*Examples!$G$8*EXP(-Examples!$G$9*$A915)*(1-(Examples!$G$12*(1-EXP(-Examples!$G$13*$A915))/(1+EXP(MIN(700,MAX(-700,(Examples!$G$14*$A915-Examples!$G$15)/Examples!$G$16))))))+Examples!$G$17*$A915^2)</f>
        <v>294762.09327658336</v>
      </c>
      <c r="K915" s="33">
        <f>(Examples!$G$6*Examples!$G$7*Examples!$G$8*EXP(-Examples!$G$9*$A915)*(1-(Examples!$G$12*(1-EXP(-Examples!$G$13*$A915))/(1+EXP(MIN(700,MAX(-700,(Examples!$G$14*$A915-Examples!$G$15)/Examples!$G$16))))))+Examples!$G$17*$A915^2)</f>
        <v>748737.90672341664</v>
      </c>
      <c r="L915" s="33">
        <f>Examples!$H$18-(Examples!$H$10+Examples!$H$11)*$A915-(Examples!$H$6*Examples!$H$7*Examples!$H$8*EXP(-Examples!$H$9*$A915)*(1-(Examples!$H$12*(1-EXP(-Examples!$H$13*$A915))/(1+EXP(MIN(700,MAX(-700,(Examples!$H$14*$A915-Examples!$H$15)/Examples!$H$16))))))+Examples!$H$17*$A915^2)</f>
        <v>294752.70557289466</v>
      </c>
      <c r="M915" s="33">
        <f>(Examples!$H$6*Examples!$H$7*Examples!$H$8*EXP(-Examples!$H$9*$A915)*(1-(Examples!$H$12*(1-EXP(-Examples!$H$13*$A915))/(1+EXP(MIN(700,MAX(-700,(Examples!$H$14*$A915-Examples!$H$15)/Examples!$H$16))))))+Examples!$H$17*$A915^2)</f>
        <v>748747.29442710534</v>
      </c>
    </row>
    <row r="916" spans="1:13" x14ac:dyDescent="0.25">
      <c r="A916">
        <f>(916-2)/100</f>
        <v>9.14</v>
      </c>
      <c r="B916" s="33">
        <f>Examples!$C$18-(Examples!$C$10+Examples!$C$11)*$A916-(Examples!$C$6*Examples!$C$7*Examples!$C$8*EXP(-Examples!$C$9*$A916)*(1-(Examples!$C$12*(1-EXP(-Examples!$C$13*$A916))/(1+EXP(MIN(700,MAX(-700,(Examples!$C$14*$A916-Examples!$C$15)/Examples!$C$16))))))+Examples!$C$17*$A916^2)</f>
        <v>-1011658.8011520721</v>
      </c>
      <c r="C916" s="33">
        <f>(Examples!$C$6*Examples!$C$7*Examples!$C$8*EXP(-Examples!$C$9*$A916)*(1-(Examples!$C$12*(1-EXP(-Examples!$C$13*$A916))/(1+EXP(MIN(700,MAX(-700,(Examples!$C$14*$A916-Examples!$C$15)/Examples!$C$16))))))+Examples!$C$17*$A916^2)</f>
        <v>1291758.8011520721</v>
      </c>
      <c r="D916" s="33">
        <f>Examples!$D$18-(Examples!$D$10+Examples!$D$11)*$A916-(Examples!$D$6*Examples!$D$7*Examples!$D$8*EXP(-Examples!$D$9*$A916)*(1-(Examples!$D$12*(1-EXP(-Examples!$D$13*$A916))/(1+EXP(MIN(700,MAX(-700,(Examples!$D$14*$A916-Examples!$D$15)/Examples!$D$16))))))+Examples!$D$17*$A916^2)</f>
        <v>1572905.6737133595</v>
      </c>
      <c r="E916" s="33">
        <f>(Examples!$D$6*Examples!$D$7*Examples!$D$8*EXP(-Examples!$D$9*$A916)*(1-(Examples!$D$12*(1-EXP(-Examples!$D$13*$A916))/(1+EXP(MIN(700,MAX(-700,(Examples!$D$14*$A916-Examples!$D$15)/Examples!$D$16))))))+Examples!$D$17*$A916^2)</f>
        <v>515794.3262866406</v>
      </c>
      <c r="F916" s="33">
        <f>Examples!$E$18-(Examples!$E$10+Examples!$E$11)*$A916-(Examples!$E$6*Examples!$E$7*Examples!$E$8*EXP(-Examples!$E$9*$A916)*(1-(Examples!$E$12*(1-EXP(-Examples!$E$13*$A916))/(1+EXP(MIN(700,MAX(-700,(Examples!$E$14*$A916-Examples!$E$15)/Examples!$E$16))))))+Examples!$E$17*$A916^2)</f>
        <v>1945349.166639393</v>
      </c>
      <c r="G916" s="33">
        <f>(Examples!$E$6*Examples!$E$7*Examples!$E$8*EXP(-Examples!$E$9*$A916)*(1-(Examples!$E$12*(1-EXP(-Examples!$E$13*$A916))/(1+EXP(MIN(700,MAX(-700,(Examples!$E$14*$A916-Examples!$E$15)/Examples!$E$16))))))+Examples!$E$17*$A916^2)</f>
        <v>277750.83336060704</v>
      </c>
      <c r="H916" s="33">
        <f>Examples!$F$18-(Examples!$F$10+Examples!$F$11)*$A916-(Examples!$F$6*Examples!$F$7*Examples!$F$8*EXP(-Examples!$F$9*$A916)*(1-(Examples!$F$12*(1-EXP(-Examples!$F$13*$A916))/(1+EXP(MIN(700,MAX(-700,(Examples!$F$14*$A916-Examples!$F$15)/Examples!$F$16))))))+Examples!$F$17*$A916^2)</f>
        <v>-1704719.7233669457</v>
      </c>
      <c r="I916" s="33">
        <f>(Examples!$F$6*Examples!$F$7*Examples!$F$8*EXP(-Examples!$F$9*$A916)*(1-(Examples!$F$12*(1-EXP(-Examples!$F$13*$A916))/(1+EXP(MIN(700,MAX(-700,(Examples!$F$14*$A916-Examples!$F$15)/Examples!$F$16))))))+Examples!$F$17*$A916^2)</f>
        <v>1671919.7233669457</v>
      </c>
      <c r="J916" s="33">
        <f>Examples!$G$18-(Examples!$G$10+Examples!$G$11)*$A916-(Examples!$G$6*Examples!$G$7*Examples!$G$8*EXP(-Examples!$G$9*$A916)*(1-(Examples!$G$12*(1-EXP(-Examples!$G$13*$A916))/(1+EXP(MIN(700,MAX(-700,(Examples!$G$14*$A916-Examples!$G$15)/Examples!$G$16))))))+Examples!$G$17*$A916^2)</f>
        <v>293086.45840044785</v>
      </c>
      <c r="K916" s="33">
        <f>(Examples!$G$6*Examples!$G$7*Examples!$G$8*EXP(-Examples!$G$9*$A916)*(1-(Examples!$G$12*(1-EXP(-Examples!$G$13*$A916))/(1+EXP(MIN(700,MAX(-700,(Examples!$G$14*$A916-Examples!$G$15)/Examples!$G$16))))))+Examples!$G$17*$A916^2)</f>
        <v>749913.54159955215</v>
      </c>
      <c r="L916" s="33">
        <f>Examples!$H$18-(Examples!$H$10+Examples!$H$11)*$A916-(Examples!$H$6*Examples!$H$7*Examples!$H$8*EXP(-Examples!$H$9*$A916)*(1-(Examples!$H$12*(1-EXP(-Examples!$H$13*$A916))/(1+EXP(MIN(700,MAX(-700,(Examples!$H$14*$A916-Examples!$H$15)/Examples!$H$16))))))+Examples!$H$17*$A916^2)</f>
        <v>293077.22689774574</v>
      </c>
      <c r="M916" s="33">
        <f>(Examples!$H$6*Examples!$H$7*Examples!$H$8*EXP(-Examples!$H$9*$A916)*(1-(Examples!$H$12*(1-EXP(-Examples!$H$13*$A916))/(1+EXP(MIN(700,MAX(-700,(Examples!$H$14*$A916-Examples!$H$15)/Examples!$H$16))))))+Examples!$H$17*$A916^2)</f>
        <v>749922.77310225426</v>
      </c>
    </row>
    <row r="917" spans="1:13" x14ac:dyDescent="0.25">
      <c r="A917">
        <f>(917-2)/100</f>
        <v>9.15</v>
      </c>
      <c r="B917" s="33">
        <f>Examples!$C$18-(Examples!$C$10+Examples!$C$11)*$A917-(Examples!$C$6*Examples!$C$7*Examples!$C$8*EXP(-Examples!$C$9*$A917)*(1-(Examples!$C$12*(1-EXP(-Examples!$C$13*$A917))/(1+EXP(MIN(700,MAX(-700,(Examples!$C$14*$A917-Examples!$C$15)/Examples!$C$16))))))+Examples!$C$17*$A917^2)</f>
        <v>-1014636.4805663712</v>
      </c>
      <c r="C917" s="33">
        <f>(Examples!$C$6*Examples!$C$7*Examples!$C$8*EXP(-Examples!$C$9*$A917)*(1-(Examples!$C$12*(1-EXP(-Examples!$C$13*$A917))/(1+EXP(MIN(700,MAX(-700,(Examples!$C$14*$A917-Examples!$C$15)/Examples!$C$16))))))+Examples!$C$17*$A917^2)</f>
        <v>1294386.4805663712</v>
      </c>
      <c r="D917" s="33">
        <f>Examples!$D$18-(Examples!$D$10+Examples!$D$11)*$A917-(Examples!$D$6*Examples!$D$7*Examples!$D$8*EXP(-Examples!$D$9*$A917)*(1-(Examples!$D$12*(1-EXP(-Examples!$D$13*$A917))/(1+EXP(MIN(700,MAX(-700,(Examples!$D$14*$A917-Examples!$D$15)/Examples!$D$16))))))+Examples!$D$17*$A917^2)</f>
        <v>1571980.8865684823</v>
      </c>
      <c r="E917" s="33">
        <f>(Examples!$D$6*Examples!$D$7*Examples!$D$8*EXP(-Examples!$D$9*$A917)*(1-(Examples!$D$12*(1-EXP(-Examples!$D$13*$A917))/(1+EXP(MIN(700,MAX(-700,(Examples!$D$14*$A917-Examples!$D$15)/Examples!$D$16))))))+Examples!$D$17*$A917^2)</f>
        <v>516269.11343151779</v>
      </c>
      <c r="F917" s="33">
        <f>Examples!$E$18-(Examples!$E$10+Examples!$E$11)*$A917-(Examples!$E$6*Examples!$E$7*Examples!$E$8*EXP(-Examples!$E$9*$A917)*(1-(Examples!$E$12*(1-EXP(-Examples!$E$13*$A917))/(1+EXP(MIN(700,MAX(-700,(Examples!$E$14*$A917-Examples!$E$15)/Examples!$E$16))))))+Examples!$E$17*$A917^2)</f>
        <v>1944079.4127725144</v>
      </c>
      <c r="G917" s="33">
        <f>(Examples!$E$6*Examples!$E$7*Examples!$E$8*EXP(-Examples!$E$9*$A917)*(1-(Examples!$E$12*(1-EXP(-Examples!$E$13*$A917))/(1+EXP(MIN(700,MAX(-700,(Examples!$E$14*$A917-Examples!$E$15)/Examples!$E$16))))))+Examples!$E$17*$A917^2)</f>
        <v>278170.58722748549</v>
      </c>
      <c r="H917" s="33">
        <f>Examples!$F$18-(Examples!$F$10+Examples!$F$11)*$A917-(Examples!$F$6*Examples!$F$7*Examples!$F$8*EXP(-Examples!$F$9*$A917)*(1-(Examples!$F$12*(1-EXP(-Examples!$F$13*$A917))/(1+EXP(MIN(700,MAX(-700,(Examples!$F$14*$A917-Examples!$F$15)/Examples!$F$16))))))+Examples!$F$17*$A917^2)</f>
        <v>-1708574.3452665291</v>
      </c>
      <c r="I917" s="33">
        <f>(Examples!$F$6*Examples!$F$7*Examples!$F$8*EXP(-Examples!$F$9*$A917)*(1-(Examples!$F$12*(1-EXP(-Examples!$F$13*$A917))/(1+EXP(MIN(700,MAX(-700,(Examples!$F$14*$A917-Examples!$F$15)/Examples!$F$16))))))+Examples!$F$17*$A917^2)</f>
        <v>1675574.3452665291</v>
      </c>
      <c r="J917" s="33">
        <f>Examples!$G$18-(Examples!$G$10+Examples!$G$11)*$A917-(Examples!$G$6*Examples!$G$7*Examples!$G$8*EXP(-Examples!$G$9*$A917)*(1-(Examples!$G$12*(1-EXP(-Examples!$G$13*$A917))/(1+EXP(MIN(700,MAX(-700,(Examples!$G$14*$A917-Examples!$G$15)/Examples!$G$16))))))+Examples!$G$17*$A917^2)</f>
        <v>291408.22644653649</v>
      </c>
      <c r="K917" s="33">
        <f>(Examples!$G$6*Examples!$G$7*Examples!$G$8*EXP(-Examples!$G$9*$A917)*(1-(Examples!$G$12*(1-EXP(-Examples!$G$13*$A917))/(1+EXP(MIN(700,MAX(-700,(Examples!$G$14*$A917-Examples!$G$15)/Examples!$G$16))))))+Examples!$G$17*$A917^2)</f>
        <v>751091.77355346351</v>
      </c>
      <c r="L917" s="33">
        <f>Examples!$H$18-(Examples!$H$10+Examples!$H$11)*$A917-(Examples!$H$6*Examples!$H$7*Examples!$H$8*EXP(-Examples!$H$9*$A917)*(1-(Examples!$H$12*(1-EXP(-Examples!$H$13*$A917))/(1+EXP(MIN(700,MAX(-700,(Examples!$H$14*$A917-Examples!$H$15)/Examples!$H$16))))))+Examples!$H$17*$A917^2)</f>
        <v>291399.14854845323</v>
      </c>
      <c r="M917" s="33">
        <f>(Examples!$H$6*Examples!$H$7*Examples!$H$8*EXP(-Examples!$H$9*$A917)*(1-(Examples!$H$12*(1-EXP(-Examples!$H$13*$A917))/(1+EXP(MIN(700,MAX(-700,(Examples!$H$14*$A917-Examples!$H$15)/Examples!$H$16))))))+Examples!$H$17*$A917^2)</f>
        <v>751100.85145154677</v>
      </c>
    </row>
    <row r="918" spans="1:13" x14ac:dyDescent="0.25">
      <c r="A918">
        <f>(918-2)/100</f>
        <v>9.16</v>
      </c>
      <c r="B918" s="33">
        <f>Examples!$C$18-(Examples!$C$10+Examples!$C$11)*$A918-(Examples!$C$6*Examples!$C$7*Examples!$C$8*EXP(-Examples!$C$9*$A918)*(1-(Examples!$C$12*(1-EXP(-Examples!$C$13*$A918))/(1+EXP(MIN(700,MAX(-700,(Examples!$C$14*$A918-Examples!$C$15)/Examples!$C$16))))))+Examples!$C$17*$A918^2)</f>
        <v>-1017617.5069217549</v>
      </c>
      <c r="C918" s="33">
        <f>(Examples!$C$6*Examples!$C$7*Examples!$C$8*EXP(-Examples!$C$9*$A918)*(1-(Examples!$C$12*(1-EXP(-Examples!$C$13*$A918))/(1+EXP(MIN(700,MAX(-700,(Examples!$C$14*$A918-Examples!$C$15)/Examples!$C$16))))))+Examples!$C$17*$A918^2)</f>
        <v>1297017.5069217549</v>
      </c>
      <c r="D918" s="33">
        <f>Examples!$D$18-(Examples!$D$10+Examples!$D$11)*$A918-(Examples!$D$6*Examples!$D$7*Examples!$D$8*EXP(-Examples!$D$9*$A918)*(1-(Examples!$D$12*(1-EXP(-Examples!$D$13*$A918))/(1+EXP(MIN(700,MAX(-700,(Examples!$D$14*$A918-Examples!$D$15)/Examples!$D$16))))))+Examples!$D$17*$A918^2)</f>
        <v>1571053.1380041195</v>
      </c>
      <c r="E918" s="33">
        <f>(Examples!$D$6*Examples!$D$7*Examples!$D$8*EXP(-Examples!$D$9*$A918)*(1-(Examples!$D$12*(1-EXP(-Examples!$D$13*$A918))/(1+EXP(MIN(700,MAX(-700,(Examples!$D$14*$A918-Examples!$D$15)/Examples!$D$16))))))+Examples!$D$17*$A918^2)</f>
        <v>516746.86199588043</v>
      </c>
      <c r="F918" s="33">
        <f>Examples!$E$18-(Examples!$E$10+Examples!$E$11)*$A918-(Examples!$E$6*Examples!$E$7*Examples!$E$8*EXP(-Examples!$E$9*$A918)*(1-(Examples!$E$12*(1-EXP(-Examples!$E$13*$A918))/(1+EXP(MIN(700,MAX(-700,(Examples!$E$14*$A918-Examples!$E$15)/Examples!$E$16))))))+Examples!$E$17*$A918^2)</f>
        <v>1942808.4944722974</v>
      </c>
      <c r="G918" s="33">
        <f>(Examples!$E$6*Examples!$E$7*Examples!$E$8*EXP(-Examples!$E$9*$A918)*(1-(Examples!$E$12*(1-EXP(-Examples!$E$13*$A918))/(1+EXP(MIN(700,MAX(-700,(Examples!$E$14*$A918-Examples!$E$15)/Examples!$E$16))))))+Examples!$E$17*$A918^2)</f>
        <v>278591.50552770263</v>
      </c>
      <c r="H918" s="33">
        <f>Examples!$F$18-(Examples!$F$10+Examples!$F$11)*$A918-(Examples!$F$6*Examples!$F$7*Examples!$F$8*EXP(-Examples!$F$9*$A918)*(1-(Examples!$F$12*(1-EXP(-Examples!$F$13*$A918))/(1+EXP(MIN(700,MAX(-700,(Examples!$F$14*$A918-Examples!$F$15)/Examples!$F$16))))))+Examples!$F$17*$A918^2)</f>
        <v>-1712432.9772852273</v>
      </c>
      <c r="I918" s="33">
        <f>(Examples!$F$6*Examples!$F$7*Examples!$F$8*EXP(-Examples!$F$9*$A918)*(1-(Examples!$F$12*(1-EXP(-Examples!$F$13*$A918))/(1+EXP(MIN(700,MAX(-700,(Examples!$F$14*$A918-Examples!$F$15)/Examples!$F$16))))))+Examples!$F$17*$A918^2)</f>
        <v>1679232.9772852273</v>
      </c>
      <c r="J918" s="33">
        <f>Examples!$G$18-(Examples!$G$10+Examples!$G$11)*$A918-(Examples!$G$6*Examples!$G$7*Examples!$G$8*EXP(-Examples!$G$9*$A918)*(1-(Examples!$G$12*(1-EXP(-Examples!$G$13*$A918))/(1+EXP(MIN(700,MAX(-700,(Examples!$G$14*$A918-Examples!$G$15)/Examples!$G$16))))))+Examples!$G$17*$A918^2)</f>
        <v>289727.4008644938</v>
      </c>
      <c r="K918" s="33">
        <f>(Examples!$G$6*Examples!$G$7*Examples!$G$8*EXP(-Examples!$G$9*$A918)*(1-(Examples!$G$12*(1-EXP(-Examples!$G$13*$A918))/(1+EXP(MIN(700,MAX(-700,(Examples!$G$14*$A918-Examples!$G$15)/Examples!$G$16))))))+Examples!$G$17*$A918^2)</f>
        <v>752272.5991355062</v>
      </c>
      <c r="L918" s="33">
        <f>Examples!$H$18-(Examples!$H$10+Examples!$H$11)*$A918-(Examples!$H$6*Examples!$H$7*Examples!$H$8*EXP(-Examples!$H$9*$A918)*(1-(Examples!$H$12*(1-EXP(-Examples!$H$13*$A918))/(1+EXP(MIN(700,MAX(-700,(Examples!$H$14*$A918-Examples!$H$15)/Examples!$H$16))))))+Examples!$H$17*$A918^2)</f>
        <v>289718.47401775955</v>
      </c>
      <c r="M918" s="33">
        <f>(Examples!$H$6*Examples!$H$7*Examples!$H$8*EXP(-Examples!$H$9*$A918)*(1-(Examples!$H$12*(1-EXP(-Examples!$H$13*$A918))/(1+EXP(MIN(700,MAX(-700,(Examples!$H$14*$A918-Examples!$H$15)/Examples!$H$16))))))+Examples!$H$17*$A918^2)</f>
        <v>752281.52598224045</v>
      </c>
    </row>
    <row r="919" spans="1:13" x14ac:dyDescent="0.25">
      <c r="A919">
        <f>(919-2)/100</f>
        <v>9.17</v>
      </c>
      <c r="B919" s="33">
        <f>Examples!$C$18-(Examples!$C$10+Examples!$C$11)*$A919-(Examples!$C$6*Examples!$C$7*Examples!$C$8*EXP(-Examples!$C$9*$A919)*(1-(Examples!$C$12*(1-EXP(-Examples!$C$13*$A919))/(1+EXP(MIN(700,MAX(-700,(Examples!$C$14*$A919-Examples!$C$15)/Examples!$C$16))))))+Examples!$C$17*$A919^2)</f>
        <v>-1020601.8791789599</v>
      </c>
      <c r="C919" s="33">
        <f>(Examples!$C$6*Examples!$C$7*Examples!$C$8*EXP(-Examples!$C$9*$A919)*(1-(Examples!$C$12*(1-EXP(-Examples!$C$13*$A919))/(1+EXP(MIN(700,MAX(-700,(Examples!$C$14*$A919-Examples!$C$15)/Examples!$C$16))))))+Examples!$C$17*$A919^2)</f>
        <v>1299651.8791789599</v>
      </c>
      <c r="D919" s="33">
        <f>Examples!$D$18-(Examples!$D$10+Examples!$D$11)*$A919-(Examples!$D$6*Examples!$D$7*Examples!$D$8*EXP(-Examples!$D$9*$A919)*(1-(Examples!$D$12*(1-EXP(-Examples!$D$13*$A919))/(1+EXP(MIN(700,MAX(-700,(Examples!$D$14*$A919-Examples!$D$15)/Examples!$D$16))))))+Examples!$D$17*$A919^2)</f>
        <v>1570122.4366008732</v>
      </c>
      <c r="E919" s="33">
        <f>(Examples!$D$6*Examples!$D$7*Examples!$D$8*EXP(-Examples!$D$9*$A919)*(1-(Examples!$D$12*(1-EXP(-Examples!$D$13*$A919))/(1+EXP(MIN(700,MAX(-700,(Examples!$D$14*$A919-Examples!$D$15)/Examples!$D$16))))))+Examples!$D$17*$A919^2)</f>
        <v>517227.56339912681</v>
      </c>
      <c r="F919" s="33">
        <f>Examples!$E$18-(Examples!$E$10+Examples!$E$11)*$A919-(Examples!$E$6*Examples!$E$7*Examples!$E$8*EXP(-Examples!$E$9*$A919)*(1-(Examples!$E$12*(1-EXP(-Examples!$E$13*$A919))/(1+EXP(MIN(700,MAX(-700,(Examples!$E$14*$A919-Examples!$E$15)/Examples!$E$16))))))+Examples!$E$17*$A919^2)</f>
        <v>1941536.413610392</v>
      </c>
      <c r="G919" s="33">
        <f>(Examples!$E$6*Examples!$E$7*Examples!$E$8*EXP(-Examples!$E$9*$A919)*(1-(Examples!$E$12*(1-EXP(-Examples!$E$13*$A919))/(1+EXP(MIN(700,MAX(-700,(Examples!$E$14*$A919-Examples!$E$15)/Examples!$E$16))))))+Examples!$E$17*$A919^2)</f>
        <v>279013.58638960804</v>
      </c>
      <c r="H919" s="33">
        <f>Examples!$F$18-(Examples!$F$10+Examples!$F$11)*$A919-(Examples!$F$6*Examples!$F$7*Examples!$F$8*EXP(-Examples!$F$9*$A919)*(1-(Examples!$F$12*(1-EXP(-Examples!$F$13*$A919))/(1+EXP(MIN(700,MAX(-700,(Examples!$F$14*$A919-Examples!$F$15)/Examples!$F$16))))))+Examples!$F$17*$A919^2)</f>
        <v>-1716295.6193927287</v>
      </c>
      <c r="I919" s="33">
        <f>(Examples!$F$6*Examples!$F$7*Examples!$F$8*EXP(-Examples!$F$9*$A919)*(1-(Examples!$F$12*(1-EXP(-Examples!$F$13*$A919))/(1+EXP(MIN(700,MAX(-700,(Examples!$F$14*$A919-Examples!$F$15)/Examples!$F$16))))))+Examples!$F$17*$A919^2)</f>
        <v>1682895.6193927287</v>
      </c>
      <c r="J919" s="33">
        <f>Examples!$G$18-(Examples!$G$10+Examples!$G$11)*$A919-(Examples!$G$6*Examples!$G$7*Examples!$G$8*EXP(-Examples!$G$9*$A919)*(1-(Examples!$G$12*(1-EXP(-Examples!$G$13*$A919))/(1+EXP(MIN(700,MAX(-700,(Examples!$G$14*$A919-Examples!$G$15)/Examples!$G$16))))))+Examples!$G$17*$A919^2)</f>
        <v>288043.98509247554</v>
      </c>
      <c r="K919" s="33">
        <f>(Examples!$G$6*Examples!$G$7*Examples!$G$8*EXP(-Examples!$G$9*$A919)*(1-(Examples!$G$12*(1-EXP(-Examples!$G$13*$A919))/(1+EXP(MIN(700,MAX(-700,(Examples!$G$14*$A919-Examples!$G$15)/Examples!$G$16))))))+Examples!$G$17*$A919^2)</f>
        <v>753456.01490752446</v>
      </c>
      <c r="L919" s="33">
        <f>Examples!$H$18-(Examples!$H$10+Examples!$H$11)*$A919-(Examples!$H$6*Examples!$H$7*Examples!$H$8*EXP(-Examples!$H$9*$A919)*(1-(Examples!$H$12*(1-EXP(-Examples!$H$13*$A919))/(1+EXP(MIN(700,MAX(-700,(Examples!$H$14*$A919-Examples!$H$15)/Examples!$H$16))))))+Examples!$H$17*$A919^2)</f>
        <v>288035.20678620355</v>
      </c>
      <c r="M919" s="33">
        <f>(Examples!$H$6*Examples!$H$7*Examples!$H$8*EXP(-Examples!$H$9*$A919)*(1-(Examples!$H$12*(1-EXP(-Examples!$H$13*$A919))/(1+EXP(MIN(700,MAX(-700,(Examples!$H$14*$A919-Examples!$H$15)/Examples!$H$16))))))+Examples!$H$17*$A919^2)</f>
        <v>753464.79321379645</v>
      </c>
    </row>
    <row r="920" spans="1:13" x14ac:dyDescent="0.25">
      <c r="A920">
        <f>(920-2)/100</f>
        <v>9.18</v>
      </c>
      <c r="B920" s="33">
        <f>Examples!$C$18-(Examples!$C$10+Examples!$C$11)*$A920-(Examples!$C$6*Examples!$C$7*Examples!$C$8*EXP(-Examples!$C$9*$A920)*(1-(Examples!$C$12*(1-EXP(-Examples!$C$13*$A920))/(1+EXP(MIN(700,MAX(-700,(Examples!$C$14*$A920-Examples!$C$15)/Examples!$C$16))))))+Examples!$C$17*$A920^2)</f>
        <v>-1023589.5963018357</v>
      </c>
      <c r="C920" s="33">
        <f>(Examples!$C$6*Examples!$C$7*Examples!$C$8*EXP(-Examples!$C$9*$A920)*(1-(Examples!$C$12*(1-EXP(-Examples!$C$13*$A920))/(1+EXP(MIN(700,MAX(-700,(Examples!$C$14*$A920-Examples!$C$15)/Examples!$C$16))))))+Examples!$C$17*$A920^2)</f>
        <v>1302289.5963018357</v>
      </c>
      <c r="D920" s="33">
        <f>Examples!$D$18-(Examples!$D$10+Examples!$D$11)*$A920-(Examples!$D$6*Examples!$D$7*Examples!$D$8*EXP(-Examples!$D$9*$A920)*(1-(Examples!$D$12*(1-EXP(-Examples!$D$13*$A920))/(1+EXP(MIN(700,MAX(-700,(Examples!$D$14*$A920-Examples!$D$15)/Examples!$D$16))))))+Examples!$D$17*$A920^2)</f>
        <v>1569188.7909047846</v>
      </c>
      <c r="E920" s="33">
        <f>(Examples!$D$6*Examples!$D$7*Examples!$D$8*EXP(-Examples!$D$9*$A920)*(1-(Examples!$D$12*(1-EXP(-Examples!$D$13*$A920))/(1+EXP(MIN(700,MAX(-700,(Examples!$D$14*$A920-Examples!$D$15)/Examples!$D$16))))))+Examples!$D$17*$A920^2)</f>
        <v>517711.20909521542</v>
      </c>
      <c r="F920" s="33">
        <f>Examples!$E$18-(Examples!$E$10+Examples!$E$11)*$A920-(Examples!$E$6*Examples!$E$7*Examples!$E$8*EXP(-Examples!$E$9*$A920)*(1-(Examples!$E$12*(1-EXP(-Examples!$E$13*$A920))/(1+EXP(MIN(700,MAX(-700,(Examples!$E$14*$A920-Examples!$E$15)/Examples!$E$16))))))+Examples!$E$17*$A920^2)</f>
        <v>1940263.1720598706</v>
      </c>
      <c r="G920" s="33">
        <f>(Examples!$E$6*Examples!$E$7*Examples!$E$8*EXP(-Examples!$E$9*$A920)*(1-(Examples!$E$12*(1-EXP(-Examples!$E$13*$A920))/(1+EXP(MIN(700,MAX(-700,(Examples!$E$14*$A920-Examples!$E$15)/Examples!$E$16))))))+Examples!$E$17*$A920^2)</f>
        <v>279436.8279401295</v>
      </c>
      <c r="H920" s="33">
        <f>Examples!$F$18-(Examples!$F$10+Examples!$F$11)*$A920-(Examples!$F$6*Examples!$F$7*Examples!$F$8*EXP(-Examples!$F$9*$A920)*(1-(Examples!$F$12*(1-EXP(-Examples!$F$13*$A920))/(1+EXP(MIN(700,MAX(-700,(Examples!$F$14*$A920-Examples!$F$15)/Examples!$F$16))))))+Examples!$F$17*$A920^2)</f>
        <v>-1720162.2715588119</v>
      </c>
      <c r="I920" s="33">
        <f>(Examples!$F$6*Examples!$F$7*Examples!$F$8*EXP(-Examples!$F$9*$A920)*(1-(Examples!$F$12*(1-EXP(-Examples!$F$13*$A920))/(1+EXP(MIN(700,MAX(-700,(Examples!$F$14*$A920-Examples!$F$15)/Examples!$F$16))))))+Examples!$F$17*$A920^2)</f>
        <v>1686562.2715588119</v>
      </c>
      <c r="J920" s="33">
        <f>Examples!$G$18-(Examples!$G$10+Examples!$G$11)*$A920-(Examples!$G$6*Examples!$G$7*Examples!$G$8*EXP(-Examples!$G$9*$A920)*(1-(Examples!$G$12*(1-EXP(-Examples!$G$13*$A920))/(1+EXP(MIN(700,MAX(-700,(Examples!$G$14*$A920-Examples!$G$15)/Examples!$G$16))))))+Examples!$G$17*$A920^2)</f>
        <v>286357.98255717871</v>
      </c>
      <c r="K920" s="33">
        <f>(Examples!$G$6*Examples!$G$7*Examples!$G$8*EXP(-Examples!$G$9*$A920)*(1-(Examples!$G$12*(1-EXP(-Examples!$G$13*$A920))/(1+EXP(MIN(700,MAX(-700,(Examples!$G$14*$A920-Examples!$G$15)/Examples!$G$16))))))+Examples!$G$17*$A920^2)</f>
        <v>754642.01744282129</v>
      </c>
      <c r="L920" s="33">
        <f>Examples!$H$18-(Examples!$H$10+Examples!$H$11)*$A920-(Examples!$H$6*Examples!$H$7*Examples!$H$8*EXP(-Examples!$H$9*$A920)*(1-(Examples!$H$12*(1-EXP(-Examples!$H$13*$A920))/(1+EXP(MIN(700,MAX(-700,(Examples!$H$14*$A920-Examples!$H$15)/Examples!$H$16))))))+Examples!$H$17*$A920^2)</f>
        <v>286349.35032216355</v>
      </c>
      <c r="M920" s="33">
        <f>(Examples!$H$6*Examples!$H$7*Examples!$H$8*EXP(-Examples!$H$9*$A920)*(1-(Examples!$H$12*(1-EXP(-Examples!$H$13*$A920))/(1+EXP(MIN(700,MAX(-700,(Examples!$H$14*$A920-Examples!$H$15)/Examples!$H$16))))))+Examples!$H$17*$A920^2)</f>
        <v>754650.64967783645</v>
      </c>
    </row>
    <row r="921" spans="1:13" x14ac:dyDescent="0.25">
      <c r="A921">
        <f>(921-2)/100</f>
        <v>9.19</v>
      </c>
      <c r="B921" s="33">
        <f>Examples!$C$18-(Examples!$C$10+Examples!$C$11)*$A921-(Examples!$C$6*Examples!$C$7*Examples!$C$8*EXP(-Examples!$C$9*$A921)*(1-(Examples!$C$12*(1-EXP(-Examples!$C$13*$A921))/(1+EXP(MIN(700,MAX(-700,(Examples!$C$14*$A921-Examples!$C$15)/Examples!$C$16))))))+Examples!$C$17*$A921^2)</f>
        <v>-1026580.657257336</v>
      </c>
      <c r="C921" s="33">
        <f>(Examples!$C$6*Examples!$C$7*Examples!$C$8*EXP(-Examples!$C$9*$A921)*(1-(Examples!$C$12*(1-EXP(-Examples!$C$13*$A921))/(1+EXP(MIN(700,MAX(-700,(Examples!$C$14*$A921-Examples!$C$15)/Examples!$C$16))))))+Examples!$C$17*$A921^2)</f>
        <v>1304930.657257336</v>
      </c>
      <c r="D921" s="33">
        <f>Examples!$D$18-(Examples!$D$10+Examples!$D$11)*$A921-(Examples!$D$6*Examples!$D$7*Examples!$D$8*EXP(-Examples!$D$9*$A921)*(1-(Examples!$D$12*(1-EXP(-Examples!$D$13*$A921))/(1+EXP(MIN(700,MAX(-700,(Examples!$D$14*$A921-Examples!$D$15)/Examples!$D$16))))))+Examples!$D$17*$A921^2)</f>
        <v>1568252.209427421</v>
      </c>
      <c r="E921" s="33">
        <f>(Examples!$D$6*Examples!$D$7*Examples!$D$8*EXP(-Examples!$D$9*$A921)*(1-(Examples!$D$12*(1-EXP(-Examples!$D$13*$A921))/(1+EXP(MIN(700,MAX(-700,(Examples!$D$14*$A921-Examples!$D$15)/Examples!$D$16))))))+Examples!$D$17*$A921^2)</f>
        <v>518197.7905725789</v>
      </c>
      <c r="F921" s="33">
        <f>Examples!$E$18-(Examples!$E$10+Examples!$E$11)*$A921-(Examples!$E$6*Examples!$E$7*Examples!$E$8*EXP(-Examples!$E$9*$A921)*(1-(Examples!$E$12*(1-EXP(-Examples!$E$13*$A921))/(1+EXP(MIN(700,MAX(-700,(Examples!$E$14*$A921-Examples!$E$15)/Examples!$E$16))))))+Examples!$E$17*$A921^2)</f>
        <v>1938988.7716951082</v>
      </c>
      <c r="G921" s="33">
        <f>(Examples!$E$6*Examples!$E$7*Examples!$E$8*EXP(-Examples!$E$9*$A921)*(1-(Examples!$E$12*(1-EXP(-Examples!$E$13*$A921))/(1+EXP(MIN(700,MAX(-700,(Examples!$E$14*$A921-Examples!$E$15)/Examples!$E$16))))))+Examples!$E$17*$A921^2)</f>
        <v>279861.22830489173</v>
      </c>
      <c r="H921" s="33">
        <f>Examples!$F$18-(Examples!$F$10+Examples!$F$11)*$A921-(Examples!$F$6*Examples!$F$7*Examples!$F$8*EXP(-Examples!$F$9*$A921)*(1-(Examples!$F$12*(1-EXP(-Examples!$F$13*$A921))/(1+EXP(MIN(700,MAX(-700,(Examples!$F$14*$A921-Examples!$F$15)/Examples!$F$16))))))+Examples!$F$17*$A921^2)</f>
        <v>-1724032.933753347</v>
      </c>
      <c r="I921" s="33">
        <f>(Examples!$F$6*Examples!$F$7*Examples!$F$8*EXP(-Examples!$F$9*$A921)*(1-(Examples!$F$12*(1-EXP(-Examples!$F$13*$A921))/(1+EXP(MIN(700,MAX(-700,(Examples!$F$14*$A921-Examples!$F$15)/Examples!$F$16))))))+Examples!$F$17*$A921^2)</f>
        <v>1690232.933753347</v>
      </c>
      <c r="J921" s="33">
        <f>Examples!$G$18-(Examples!$G$10+Examples!$G$11)*$A921-(Examples!$G$6*Examples!$G$7*Examples!$G$8*EXP(-Examples!$G$9*$A921)*(1-(Examples!$G$12*(1-EXP(-Examples!$G$13*$A921))/(1+EXP(MIN(700,MAX(-700,(Examples!$G$14*$A921-Examples!$G$15)/Examples!$G$16))))))+Examples!$G$17*$A921^2)</f>
        <v>284669.39667387318</v>
      </c>
      <c r="K921" s="33">
        <f>(Examples!$G$6*Examples!$G$7*Examples!$G$8*EXP(-Examples!$G$9*$A921)*(1-(Examples!$G$12*(1-EXP(-Examples!$G$13*$A921))/(1+EXP(MIN(700,MAX(-700,(Examples!$G$14*$A921-Examples!$G$15)/Examples!$G$16))))))+Examples!$G$17*$A921^2)</f>
        <v>755830.60332612682</v>
      </c>
      <c r="L921" s="33">
        <f>Examples!$H$18-(Examples!$H$10+Examples!$H$11)*$A921-(Examples!$H$6*Examples!$H$7*Examples!$H$8*EXP(-Examples!$H$9*$A921)*(1-(Examples!$H$12*(1-EXP(-Examples!$H$13*$A921))/(1+EXP(MIN(700,MAX(-700,(Examples!$H$14*$A921-Examples!$H$15)/Examples!$H$16))))))+Examples!$H$17*$A921^2)</f>
        <v>284660.90808189986</v>
      </c>
      <c r="M921" s="33">
        <f>(Examples!$H$6*Examples!$H$7*Examples!$H$8*EXP(-Examples!$H$9*$A921)*(1-(Examples!$H$12*(1-EXP(-Examples!$H$13*$A921))/(1+EXP(MIN(700,MAX(-700,(Examples!$H$14*$A921-Examples!$H$15)/Examples!$H$16))))))+Examples!$H$17*$A921^2)</f>
        <v>755839.09191810014</v>
      </c>
    </row>
    <row r="922" spans="1:13" x14ac:dyDescent="0.25">
      <c r="A922">
        <f>(922-2)/100</f>
        <v>9.1999999999999993</v>
      </c>
      <c r="B922" s="33">
        <f>Examples!$C$18-(Examples!$C$10+Examples!$C$11)*$A922-(Examples!$C$6*Examples!$C$7*Examples!$C$8*EXP(-Examples!$C$9*$A922)*(1-(Examples!$C$12*(1-EXP(-Examples!$C$13*$A922))/(1+EXP(MIN(700,MAX(-700,(Examples!$C$14*$A922-Examples!$C$15)/Examples!$C$16))))))+Examples!$C$17*$A922^2)</f>
        <v>-1029575.0610155081</v>
      </c>
      <c r="C922" s="33">
        <f>(Examples!$C$6*Examples!$C$7*Examples!$C$8*EXP(-Examples!$C$9*$A922)*(1-(Examples!$C$12*(1-EXP(-Examples!$C$13*$A922))/(1+EXP(MIN(700,MAX(-700,(Examples!$C$14*$A922-Examples!$C$15)/Examples!$C$16))))))+Examples!$C$17*$A922^2)</f>
        <v>1307575.0610155081</v>
      </c>
      <c r="D922" s="33">
        <f>Examples!$D$18-(Examples!$D$10+Examples!$D$11)*$A922-(Examples!$D$6*Examples!$D$7*Examples!$D$8*EXP(-Examples!$D$9*$A922)*(1-(Examples!$D$12*(1-EXP(-Examples!$D$13*$A922))/(1+EXP(MIN(700,MAX(-700,(Examples!$D$14*$A922-Examples!$D$15)/Examples!$D$16))))))+Examples!$D$17*$A922^2)</f>
        <v>1567312.7006459632</v>
      </c>
      <c r="E922" s="33">
        <f>(Examples!$D$6*Examples!$D$7*Examples!$D$8*EXP(-Examples!$D$9*$A922)*(1-(Examples!$D$12*(1-EXP(-Examples!$D$13*$A922))/(1+EXP(MIN(700,MAX(-700,(Examples!$D$14*$A922-Examples!$D$15)/Examples!$D$16))))))+Examples!$D$17*$A922^2)</f>
        <v>518687.2993540368</v>
      </c>
      <c r="F922" s="33">
        <f>Examples!$E$18-(Examples!$E$10+Examples!$E$11)*$A922-(Examples!$E$6*Examples!$E$7*Examples!$E$8*EXP(-Examples!$E$9*$A922)*(1-(Examples!$E$12*(1-EXP(-Examples!$E$13*$A922))/(1+EXP(MIN(700,MAX(-700,(Examples!$E$14*$A922-Examples!$E$15)/Examples!$E$16))))))+Examples!$E$17*$A922^2)</f>
        <v>1937713.2143916665</v>
      </c>
      <c r="G922" s="33">
        <f>(Examples!$E$6*Examples!$E$7*Examples!$E$8*EXP(-Examples!$E$9*$A922)*(1-(Examples!$E$12*(1-EXP(-Examples!$E$13*$A922))/(1+EXP(MIN(700,MAX(-700,(Examples!$E$14*$A922-Examples!$E$15)/Examples!$E$16))))))+Examples!$E$17*$A922^2)</f>
        <v>280286.78560833348</v>
      </c>
      <c r="H922" s="33">
        <f>Examples!$F$18-(Examples!$F$10+Examples!$F$11)*$A922-(Examples!$F$6*Examples!$F$7*Examples!$F$8*EXP(-Examples!$F$9*$A922)*(1-(Examples!$F$12*(1-EXP(-Examples!$F$13*$A922))/(1+EXP(MIN(700,MAX(-700,(Examples!$F$14*$A922-Examples!$F$15)/Examples!$F$16))))))+Examples!$F$17*$A922^2)</f>
        <v>-1727907.6059462936</v>
      </c>
      <c r="I922" s="33">
        <f>(Examples!$F$6*Examples!$F$7*Examples!$F$8*EXP(-Examples!$F$9*$A922)*(1-(Examples!$F$12*(1-EXP(-Examples!$F$13*$A922))/(1+EXP(MIN(700,MAX(-700,(Examples!$F$14*$A922-Examples!$F$15)/Examples!$F$16))))))+Examples!$F$17*$A922^2)</f>
        <v>1693907.6059462936</v>
      </c>
      <c r="J922" s="33">
        <f>Examples!$G$18-(Examples!$G$10+Examples!$G$11)*$A922-(Examples!$G$6*Examples!$G$7*Examples!$G$8*EXP(-Examples!$G$9*$A922)*(1-(Examples!$G$12*(1-EXP(-Examples!$G$13*$A922))/(1+EXP(MIN(700,MAX(-700,(Examples!$G$14*$A922-Examples!$G$15)/Examples!$G$16))))))+Examples!$G$17*$A922^2)</f>
        <v>282978.23084643227</v>
      </c>
      <c r="K922" s="33">
        <f>(Examples!$G$6*Examples!$G$7*Examples!$G$8*EXP(-Examples!$G$9*$A922)*(1-(Examples!$G$12*(1-EXP(-Examples!$G$13*$A922))/(1+EXP(MIN(700,MAX(-700,(Examples!$G$14*$A922-Examples!$G$15)/Examples!$G$16))))))+Examples!$G$17*$A922^2)</f>
        <v>757021.76915356773</v>
      </c>
      <c r="L922" s="33">
        <f>Examples!$H$18-(Examples!$H$10+Examples!$H$11)*$A922-(Examples!$H$6*Examples!$H$7*Examples!$H$8*EXP(-Examples!$H$9*$A922)*(1-(Examples!$H$12*(1-EXP(-Examples!$H$13*$A922))/(1+EXP(MIN(700,MAX(-700,(Examples!$H$14*$A922-Examples!$H$15)/Examples!$H$16))))))+Examples!$H$17*$A922^2)</f>
        <v>282969.88350959739</v>
      </c>
      <c r="M922" s="33">
        <f>(Examples!$H$6*Examples!$H$7*Examples!$H$8*EXP(-Examples!$H$9*$A922)*(1-(Examples!$H$12*(1-EXP(-Examples!$H$13*$A922))/(1+EXP(MIN(700,MAX(-700,(Examples!$H$14*$A922-Examples!$H$15)/Examples!$H$16))))))+Examples!$H$17*$A922^2)</f>
        <v>757030.11649040261</v>
      </c>
    </row>
    <row r="923" spans="1:13" x14ac:dyDescent="0.25">
      <c r="A923">
        <f>(923-2)/100</f>
        <v>9.2100000000000009</v>
      </c>
      <c r="B923" s="33">
        <f>Examples!$C$18-(Examples!$C$10+Examples!$C$11)*$A923-(Examples!$C$6*Examples!$C$7*Examples!$C$8*EXP(-Examples!$C$9*$A923)*(1-(Examples!$C$12*(1-EXP(-Examples!$C$13*$A923))/(1+EXP(MIN(700,MAX(-700,(Examples!$C$14*$A923-Examples!$C$15)/Examples!$C$16))))))+Examples!$C$17*$A923^2)</f>
        <v>-1032572.806549486</v>
      </c>
      <c r="C923" s="33">
        <f>(Examples!$C$6*Examples!$C$7*Examples!$C$8*EXP(-Examples!$C$9*$A923)*(1-(Examples!$C$12*(1-EXP(-Examples!$C$13*$A923))/(1+EXP(MIN(700,MAX(-700,(Examples!$C$14*$A923-Examples!$C$15)/Examples!$C$16))))))+Examples!$C$17*$A923^2)</f>
        <v>1310222.806549486</v>
      </c>
      <c r="D923" s="33">
        <f>Examples!$D$18-(Examples!$D$10+Examples!$D$11)*$A923-(Examples!$D$6*Examples!$D$7*Examples!$D$8*EXP(-Examples!$D$9*$A923)*(1-(Examples!$D$12*(1-EXP(-Examples!$D$13*$A923))/(1+EXP(MIN(700,MAX(-700,(Examples!$D$14*$A923-Examples!$D$15)/Examples!$D$16))))))+Examples!$D$17*$A923^2)</f>
        <v>1566370.2730032911</v>
      </c>
      <c r="E923" s="33">
        <f>(Examples!$D$6*Examples!$D$7*Examples!$D$8*EXP(-Examples!$D$9*$A923)*(1-(Examples!$D$12*(1-EXP(-Examples!$D$13*$A923))/(1+EXP(MIN(700,MAX(-700,(Examples!$D$14*$A923-Examples!$D$15)/Examples!$D$16))))))+Examples!$D$17*$A923^2)</f>
        <v>519179.72699670889</v>
      </c>
      <c r="F923" s="33">
        <f>Examples!$E$18-(Examples!$E$10+Examples!$E$11)*$A923-(Examples!$E$6*Examples!$E$7*Examples!$E$8*EXP(-Examples!$E$9*$A923)*(1-(Examples!$E$12*(1-EXP(-Examples!$E$13*$A923))/(1+EXP(MIN(700,MAX(-700,(Examples!$E$14*$A923-Examples!$E$15)/Examples!$E$16))))))+Examples!$E$17*$A923^2)</f>
        <v>1936436.502026177</v>
      </c>
      <c r="G923" s="33">
        <f>(Examples!$E$6*Examples!$E$7*Examples!$E$8*EXP(-Examples!$E$9*$A923)*(1-(Examples!$E$12*(1-EXP(-Examples!$E$13*$A923))/(1+EXP(MIN(700,MAX(-700,(Examples!$E$14*$A923-Examples!$E$15)/Examples!$E$16))))))+Examples!$E$17*$A923^2)</f>
        <v>280713.4979738231</v>
      </c>
      <c r="H923" s="33">
        <f>Examples!$F$18-(Examples!$F$10+Examples!$F$11)*$A923-(Examples!$F$6*Examples!$F$7*Examples!$F$8*EXP(-Examples!$F$9*$A923)*(1-(Examples!$F$12*(1-EXP(-Examples!$F$13*$A923))/(1+EXP(MIN(700,MAX(-700,(Examples!$F$14*$A923-Examples!$F$15)/Examples!$F$16))))))+Examples!$F$17*$A923^2)</f>
        <v>-1731786.2881077013</v>
      </c>
      <c r="I923" s="33">
        <f>(Examples!$F$6*Examples!$F$7*Examples!$F$8*EXP(-Examples!$F$9*$A923)*(1-(Examples!$F$12*(1-EXP(-Examples!$F$13*$A923))/(1+EXP(MIN(700,MAX(-700,(Examples!$F$14*$A923-Examples!$F$15)/Examples!$F$16))))))+Examples!$F$17*$A923^2)</f>
        <v>1697586.2881077013</v>
      </c>
      <c r="J923" s="33">
        <f>Examples!$G$18-(Examples!$G$10+Examples!$G$11)*$A923-(Examples!$G$6*Examples!$G$7*Examples!$G$8*EXP(-Examples!$G$9*$A923)*(1-(Examples!$G$12*(1-EXP(-Examples!$G$13*$A923))/(1+EXP(MIN(700,MAX(-700,(Examples!$G$14*$A923-Examples!$G$15)/Examples!$G$16))))))+Examples!$G$17*$A923^2)</f>
        <v>281284.48846736364</v>
      </c>
      <c r="K923" s="33">
        <f>(Examples!$G$6*Examples!$G$7*Examples!$G$8*EXP(-Examples!$G$9*$A923)*(1-(Examples!$G$12*(1-EXP(-Examples!$G$13*$A923))/(1+EXP(MIN(700,MAX(-700,(Examples!$G$14*$A923-Examples!$G$15)/Examples!$G$16))))))+Examples!$G$17*$A923^2)</f>
        <v>758215.51153263636</v>
      </c>
      <c r="L923" s="33">
        <f>Examples!$H$18-(Examples!$H$10+Examples!$H$11)*$A923-(Examples!$H$6*Examples!$H$7*Examples!$H$8*EXP(-Examples!$H$9*$A923)*(1-(Examples!$H$12*(1-EXP(-Examples!$H$13*$A923))/(1+EXP(MIN(700,MAX(-700,(Examples!$H$14*$A923-Examples!$H$15)/Examples!$H$16))))))+Examples!$H$17*$A923^2)</f>
        <v>281276.28003740672</v>
      </c>
      <c r="M923" s="33">
        <f>(Examples!$H$6*Examples!$H$7*Examples!$H$8*EXP(-Examples!$H$9*$A923)*(1-(Examples!$H$12*(1-EXP(-Examples!$H$13*$A923))/(1+EXP(MIN(700,MAX(-700,(Examples!$H$14*$A923-Examples!$H$15)/Examples!$H$16))))))+Examples!$H$17*$A923^2)</f>
        <v>758223.71996259328</v>
      </c>
    </row>
    <row r="924" spans="1:13" x14ac:dyDescent="0.25">
      <c r="A924">
        <f>(924-2)/100</f>
        <v>9.2200000000000006</v>
      </c>
      <c r="B924" s="33">
        <f>Examples!$C$18-(Examples!$C$10+Examples!$C$11)*$A924-(Examples!$C$6*Examples!$C$7*Examples!$C$8*EXP(-Examples!$C$9*$A924)*(1-(Examples!$C$12*(1-EXP(-Examples!$C$13*$A924))/(1+EXP(MIN(700,MAX(-700,(Examples!$C$14*$A924-Examples!$C$15)/Examples!$C$16))))))+Examples!$C$17*$A924^2)</f>
        <v>-1035573.8928354776</v>
      </c>
      <c r="C924" s="33">
        <f>(Examples!$C$6*Examples!$C$7*Examples!$C$8*EXP(-Examples!$C$9*$A924)*(1-(Examples!$C$12*(1-EXP(-Examples!$C$13*$A924))/(1+EXP(MIN(700,MAX(-700,(Examples!$C$14*$A924-Examples!$C$15)/Examples!$C$16))))))+Examples!$C$17*$A924^2)</f>
        <v>1312873.8928354776</v>
      </c>
      <c r="D924" s="33">
        <f>Examples!$D$18-(Examples!$D$10+Examples!$D$11)*$A924-(Examples!$D$6*Examples!$D$7*Examples!$D$8*EXP(-Examples!$D$9*$A924)*(1-(Examples!$D$12*(1-EXP(-Examples!$D$13*$A924))/(1+EXP(MIN(700,MAX(-700,(Examples!$D$14*$A924-Examples!$D$15)/Examples!$D$16))))))+Examples!$D$17*$A924^2)</f>
        <v>1565424.9349080734</v>
      </c>
      <c r="E924" s="33">
        <f>(Examples!$D$6*Examples!$D$7*Examples!$D$8*EXP(-Examples!$D$9*$A924)*(1-(Examples!$D$12*(1-EXP(-Examples!$D$13*$A924))/(1+EXP(MIN(700,MAX(-700,(Examples!$D$14*$A924-Examples!$D$15)/Examples!$D$16))))))+Examples!$D$17*$A924^2)</f>
        <v>519675.06509192655</v>
      </c>
      <c r="F924" s="33">
        <f>Examples!$E$18-(Examples!$E$10+Examples!$E$11)*$A924-(Examples!$E$6*Examples!$E$7*Examples!$E$8*EXP(-Examples!$E$9*$A924)*(1-(Examples!$E$12*(1-EXP(-Examples!$E$13*$A924))/(1+EXP(MIN(700,MAX(-700,(Examples!$E$14*$A924-Examples!$E$15)/Examples!$E$16))))))+Examples!$E$17*$A924^2)</f>
        <v>1935158.6364762275</v>
      </c>
      <c r="G924" s="33">
        <f>(Examples!$E$6*Examples!$E$7*Examples!$E$8*EXP(-Examples!$E$9*$A924)*(1-(Examples!$E$12*(1-EXP(-Examples!$E$13*$A924))/(1+EXP(MIN(700,MAX(-700,(Examples!$E$14*$A924-Examples!$E$15)/Examples!$E$16))))))+Examples!$E$17*$A924^2)</f>
        <v>281141.36352377239</v>
      </c>
      <c r="H924" s="33">
        <f>Examples!$F$18-(Examples!$F$10+Examples!$F$11)*$A924-(Examples!$F$6*Examples!$F$7*Examples!$F$8*EXP(-Examples!$F$9*$A924)*(1-(Examples!$F$12*(1-EXP(-Examples!$F$13*$A924))/(1+EXP(MIN(700,MAX(-700,(Examples!$F$14*$A924-Examples!$F$15)/Examples!$F$16))))))+Examples!$F$17*$A924^2)</f>
        <v>-1735668.9802077091</v>
      </c>
      <c r="I924" s="33">
        <f>(Examples!$F$6*Examples!$F$7*Examples!$F$8*EXP(-Examples!$F$9*$A924)*(1-(Examples!$F$12*(1-EXP(-Examples!$F$13*$A924))/(1+EXP(MIN(700,MAX(-700,(Examples!$F$14*$A924-Examples!$F$15)/Examples!$F$16))))))+Examples!$F$17*$A924^2)</f>
        <v>1701268.9802077091</v>
      </c>
      <c r="J924" s="33">
        <f>Examples!$G$18-(Examples!$G$10+Examples!$G$11)*$A924-(Examples!$G$6*Examples!$G$7*Examples!$G$8*EXP(-Examples!$G$9*$A924)*(1-(Examples!$G$12*(1-EXP(-Examples!$G$13*$A924))/(1+EXP(MIN(700,MAX(-700,(Examples!$G$14*$A924-Examples!$G$15)/Examples!$G$16))))))+Examples!$G$17*$A924^2)</f>
        <v>279588.17291784089</v>
      </c>
      <c r="K924" s="33">
        <f>(Examples!$G$6*Examples!$G$7*Examples!$G$8*EXP(-Examples!$G$9*$A924)*(1-(Examples!$G$12*(1-EXP(-Examples!$G$13*$A924))/(1+EXP(MIN(700,MAX(-700,(Examples!$G$14*$A924-Examples!$G$15)/Examples!$G$16))))))+Examples!$G$17*$A924^2)</f>
        <v>759411.82708215911</v>
      </c>
      <c r="L924" s="33">
        <f>Examples!$H$18-(Examples!$H$10+Examples!$H$11)*$A924-(Examples!$H$6*Examples!$H$7*Examples!$H$8*EXP(-Examples!$H$9*$A924)*(1-(Examples!$H$12*(1-EXP(-Examples!$H$13*$A924))/(1+EXP(MIN(700,MAX(-700,(Examples!$H$14*$A924-Examples!$H$15)/Examples!$H$16))))))+Examples!$H$17*$A924^2)</f>
        <v>279580.10108548822</v>
      </c>
      <c r="M924" s="33">
        <f>(Examples!$H$6*Examples!$H$7*Examples!$H$8*EXP(-Examples!$H$9*$A924)*(1-(Examples!$H$12*(1-EXP(-Examples!$H$13*$A924))/(1+EXP(MIN(700,MAX(-700,(Examples!$H$14*$A924-Examples!$H$15)/Examples!$H$16))))))+Examples!$H$17*$A924^2)</f>
        <v>759419.89891451178</v>
      </c>
    </row>
    <row r="925" spans="1:13" x14ac:dyDescent="0.25">
      <c r="A925">
        <f>(925-2)/100</f>
        <v>9.23</v>
      </c>
      <c r="B925" s="33">
        <f>Examples!$C$18-(Examples!$C$10+Examples!$C$11)*$A925-(Examples!$C$6*Examples!$C$7*Examples!$C$8*EXP(-Examples!$C$9*$A925)*(1-(Examples!$C$12*(1-EXP(-Examples!$C$13*$A925))/(1+EXP(MIN(700,MAX(-700,(Examples!$C$14*$A925-Examples!$C$15)/Examples!$C$16))))))+Examples!$C$17*$A925^2)</f>
        <v>-1038578.318852759</v>
      </c>
      <c r="C925" s="33">
        <f>(Examples!$C$6*Examples!$C$7*Examples!$C$8*EXP(-Examples!$C$9*$A925)*(1-(Examples!$C$12*(1-EXP(-Examples!$C$13*$A925))/(1+EXP(MIN(700,MAX(-700,(Examples!$C$14*$A925-Examples!$C$15)/Examples!$C$16))))))+Examples!$C$17*$A925^2)</f>
        <v>1315528.318852759</v>
      </c>
      <c r="D925" s="33">
        <f>Examples!$D$18-(Examples!$D$10+Examples!$D$11)*$A925-(Examples!$D$6*Examples!$D$7*Examples!$D$8*EXP(-Examples!$D$9*$A925)*(1-(Examples!$D$12*(1-EXP(-Examples!$D$13*$A925))/(1+EXP(MIN(700,MAX(-700,(Examples!$D$14*$A925-Examples!$D$15)/Examples!$D$16))))))+Examples!$D$17*$A925^2)</f>
        <v>1564476.694734856</v>
      </c>
      <c r="E925" s="33">
        <f>(Examples!$D$6*Examples!$D$7*Examples!$D$8*EXP(-Examples!$D$9*$A925)*(1-(Examples!$D$12*(1-EXP(-Examples!$D$13*$A925))/(1+EXP(MIN(700,MAX(-700,(Examples!$D$14*$A925-Examples!$D$15)/Examples!$D$16))))))+Examples!$D$17*$A925^2)</f>
        <v>520173.30526514392</v>
      </c>
      <c r="F925" s="33">
        <f>Examples!$E$18-(Examples!$E$10+Examples!$E$11)*$A925-(Examples!$E$6*Examples!$E$7*Examples!$E$8*EXP(-Examples!$E$9*$A925)*(1-(Examples!$E$12*(1-EXP(-Examples!$E$13*$A925))/(1+EXP(MIN(700,MAX(-700,(Examples!$E$14*$A925-Examples!$E$15)/Examples!$E$16))))))+Examples!$E$17*$A925^2)</f>
        <v>1933879.6196202505</v>
      </c>
      <c r="G925" s="33">
        <f>(Examples!$E$6*Examples!$E$7*Examples!$E$8*EXP(-Examples!$E$9*$A925)*(1-(Examples!$E$12*(1-EXP(-Examples!$E$13*$A925))/(1+EXP(MIN(700,MAX(-700,(Examples!$E$14*$A925-Examples!$E$15)/Examples!$E$16))))))+Examples!$E$17*$A925^2)</f>
        <v>281570.38037974946</v>
      </c>
      <c r="H925" s="33">
        <f>Examples!$F$18-(Examples!$F$10+Examples!$F$11)*$A925-(Examples!$F$6*Examples!$F$7*Examples!$F$8*EXP(-Examples!$F$9*$A925)*(1-(Examples!$F$12*(1-EXP(-Examples!$F$13*$A925))/(1+EXP(MIN(700,MAX(-700,(Examples!$F$14*$A925-Examples!$F$15)/Examples!$F$16))))))+Examples!$F$17*$A925^2)</f>
        <v>-1739555.6822165463</v>
      </c>
      <c r="I925" s="33">
        <f>(Examples!$F$6*Examples!$F$7*Examples!$F$8*EXP(-Examples!$F$9*$A925)*(1-(Examples!$F$12*(1-EXP(-Examples!$F$13*$A925))/(1+EXP(MIN(700,MAX(-700,(Examples!$F$14*$A925-Examples!$F$15)/Examples!$F$16))))))+Examples!$F$17*$A925^2)</f>
        <v>1704955.6822165463</v>
      </c>
      <c r="J925" s="33">
        <f>Examples!$G$18-(Examples!$G$10+Examples!$G$11)*$A925-(Examples!$G$6*Examples!$G$7*Examples!$G$8*EXP(-Examples!$G$9*$A925)*(1-(Examples!$G$12*(1-EXP(-Examples!$G$13*$A925))/(1+EXP(MIN(700,MAX(-700,(Examples!$G$14*$A925-Examples!$G$15)/Examples!$G$16))))))+Examples!$G$17*$A925^2)</f>
        <v>277889.28756773344</v>
      </c>
      <c r="K925" s="33">
        <f>(Examples!$G$6*Examples!$G$7*Examples!$G$8*EXP(-Examples!$G$9*$A925)*(1-(Examples!$G$12*(1-EXP(-Examples!$G$13*$A925))/(1+EXP(MIN(700,MAX(-700,(Examples!$G$14*$A925-Examples!$G$15)/Examples!$G$16))))))+Examples!$G$17*$A925^2)</f>
        <v>760610.71243226656</v>
      </c>
      <c r="L925" s="33">
        <f>Examples!$H$18-(Examples!$H$10+Examples!$H$11)*$A925-(Examples!$H$6*Examples!$H$7*Examples!$H$8*EXP(-Examples!$H$9*$A925)*(1-(Examples!$H$12*(1-EXP(-Examples!$H$13*$A925))/(1+EXP(MIN(700,MAX(-700,(Examples!$H$14*$A925-Examples!$H$15)/Examples!$H$16))))))+Examples!$H$17*$A925^2)</f>
        <v>277881.35006205132</v>
      </c>
      <c r="M925" s="33">
        <f>(Examples!$H$6*Examples!$H$7*Examples!$H$8*EXP(-Examples!$H$9*$A925)*(1-(Examples!$H$12*(1-EXP(-Examples!$H$13*$A925))/(1+EXP(MIN(700,MAX(-700,(Examples!$H$14*$A925-Examples!$H$15)/Examples!$H$16))))))+Examples!$H$17*$A925^2)</f>
        <v>760618.64993794868</v>
      </c>
    </row>
    <row r="926" spans="1:13" x14ac:dyDescent="0.25">
      <c r="A926">
        <f>(926-2)/100</f>
        <v>9.24</v>
      </c>
      <c r="B926" s="33">
        <f>Examples!$C$18-(Examples!$C$10+Examples!$C$11)*$A926-(Examples!$C$6*Examples!$C$7*Examples!$C$8*EXP(-Examples!$C$9*$A926)*(1-(Examples!$C$12*(1-EXP(-Examples!$C$13*$A926))/(1+EXP(MIN(700,MAX(-700,(Examples!$C$14*$A926-Examples!$C$15)/Examples!$C$16))))))+Examples!$C$17*$A926^2)</f>
        <v>-1041586.0835836637</v>
      </c>
      <c r="C926" s="33">
        <f>(Examples!$C$6*Examples!$C$7*Examples!$C$8*EXP(-Examples!$C$9*$A926)*(1-(Examples!$C$12*(1-EXP(-Examples!$C$13*$A926))/(1+EXP(MIN(700,MAX(-700,(Examples!$C$14*$A926-Examples!$C$15)/Examples!$C$16))))))+Examples!$C$17*$A926^2)</f>
        <v>1318186.0835836637</v>
      </c>
      <c r="D926" s="33">
        <f>Examples!$D$18-(Examples!$D$10+Examples!$D$11)*$A926-(Examples!$D$6*Examples!$D$7*Examples!$D$8*EXP(-Examples!$D$9*$A926)*(1-(Examples!$D$12*(1-EXP(-Examples!$D$13*$A926))/(1+EXP(MIN(700,MAX(-700,(Examples!$D$14*$A926-Examples!$D$15)/Examples!$D$16))))))+Examples!$D$17*$A926^2)</f>
        <v>1563525.5608241516</v>
      </c>
      <c r="E926" s="33">
        <f>(Examples!$D$6*Examples!$D$7*Examples!$D$8*EXP(-Examples!$D$9*$A926)*(1-(Examples!$D$12*(1-EXP(-Examples!$D$13*$A926))/(1+EXP(MIN(700,MAX(-700,(Examples!$D$14*$A926-Examples!$D$15)/Examples!$D$16))))))+Examples!$D$17*$A926^2)</f>
        <v>520674.43917584838</v>
      </c>
      <c r="F926" s="33">
        <f>Examples!$E$18-(Examples!$E$10+Examples!$E$11)*$A926-(Examples!$E$6*Examples!$E$7*Examples!$E$8*EXP(-Examples!$E$9*$A926)*(1-(Examples!$E$12*(1-EXP(-Examples!$E$13*$A926))/(1+EXP(MIN(700,MAX(-700,(Examples!$E$14*$A926-Examples!$E$15)/Examples!$E$16))))))+Examples!$E$17*$A926^2)</f>
        <v>1932599.45333741</v>
      </c>
      <c r="G926" s="33">
        <f>(Examples!$E$6*Examples!$E$7*Examples!$E$8*EXP(-Examples!$E$9*$A926)*(1-(Examples!$E$12*(1-EXP(-Examples!$E$13*$A926))/(1+EXP(MIN(700,MAX(-700,(Examples!$E$14*$A926-Examples!$E$15)/Examples!$E$16))))))+Examples!$E$17*$A926^2)</f>
        <v>282000.54666258994</v>
      </c>
      <c r="H926" s="33">
        <f>Examples!$F$18-(Examples!$F$10+Examples!$F$11)*$A926-(Examples!$F$6*Examples!$F$7*Examples!$F$8*EXP(-Examples!$F$9*$A926)*(1-(Examples!$F$12*(1-EXP(-Examples!$F$13*$A926))/(1+EXP(MIN(700,MAX(-700,(Examples!$F$14*$A926-Examples!$F$15)/Examples!$F$16))))))+Examples!$F$17*$A926^2)</f>
        <v>-1743446.3941045306</v>
      </c>
      <c r="I926" s="33">
        <f>(Examples!$F$6*Examples!$F$7*Examples!$F$8*EXP(-Examples!$F$9*$A926)*(1-(Examples!$F$12*(1-EXP(-Examples!$F$13*$A926))/(1+EXP(MIN(700,MAX(-700,(Examples!$F$14*$A926-Examples!$F$15)/Examples!$F$16))))))+Examples!$F$17*$A926^2)</f>
        <v>1708646.3941045306</v>
      </c>
      <c r="J926" s="33">
        <f>Examples!$G$18-(Examples!$G$10+Examples!$G$11)*$A926-(Examples!$G$6*Examples!$G$7*Examples!$G$8*EXP(-Examples!$G$9*$A926)*(1-(Examples!$G$12*(1-EXP(-Examples!$G$13*$A926))/(1+EXP(MIN(700,MAX(-700,(Examples!$G$14*$A926-Examples!$G$15)/Examples!$G$16))))))+Examples!$G$17*$A926^2)</f>
        <v>276187.83577563881</v>
      </c>
      <c r="K926" s="33">
        <f>(Examples!$G$6*Examples!$G$7*Examples!$G$8*EXP(-Examples!$G$9*$A926)*(1-(Examples!$G$12*(1-EXP(-Examples!$G$13*$A926))/(1+EXP(MIN(700,MAX(-700,(Examples!$G$14*$A926-Examples!$G$15)/Examples!$G$16))))))+Examples!$G$17*$A926^2)</f>
        <v>761812.16422436119</v>
      </c>
      <c r="L926" s="33">
        <f>Examples!$H$18-(Examples!$H$10+Examples!$H$11)*$A926-(Examples!$H$6*Examples!$H$7*Examples!$H$8*EXP(-Examples!$H$9*$A926)*(1-(Examples!$H$12*(1-EXP(-Examples!$H$13*$A926))/(1+EXP(MIN(700,MAX(-700,(Examples!$H$14*$A926-Examples!$H$15)/Examples!$H$16))))))+Examples!$H$17*$A926^2)</f>
        <v>276180.03036339849</v>
      </c>
      <c r="M926" s="33">
        <f>(Examples!$H$6*Examples!$H$7*Examples!$H$8*EXP(-Examples!$H$9*$A926)*(1-(Examples!$H$12*(1-EXP(-Examples!$H$13*$A926))/(1+EXP(MIN(700,MAX(-700,(Examples!$H$14*$A926-Examples!$H$15)/Examples!$H$16))))))+Examples!$H$17*$A926^2)</f>
        <v>761819.96963660151</v>
      </c>
    </row>
    <row r="927" spans="1:13" x14ac:dyDescent="0.25">
      <c r="A927">
        <f>(927-2)/100</f>
        <v>9.25</v>
      </c>
      <c r="B927" s="33">
        <f>Examples!$C$18-(Examples!$C$10+Examples!$C$11)*$A927-(Examples!$C$6*Examples!$C$7*Examples!$C$8*EXP(-Examples!$C$9*$A927)*(1-(Examples!$C$12*(1-EXP(-Examples!$C$13*$A927))/(1+EXP(MIN(700,MAX(-700,(Examples!$C$14*$A927-Examples!$C$15)/Examples!$C$16))))))+Examples!$C$17*$A927^2)</f>
        <v>-1044597.1860135738</v>
      </c>
      <c r="C927" s="33">
        <f>(Examples!$C$6*Examples!$C$7*Examples!$C$8*EXP(-Examples!$C$9*$A927)*(1-(Examples!$C$12*(1-EXP(-Examples!$C$13*$A927))/(1+EXP(MIN(700,MAX(-700,(Examples!$C$14*$A927-Examples!$C$15)/Examples!$C$16))))))+Examples!$C$17*$A927^2)</f>
        <v>1320847.1860135738</v>
      </c>
      <c r="D927" s="33">
        <f>Examples!$D$18-(Examples!$D$10+Examples!$D$11)*$A927-(Examples!$D$6*Examples!$D$7*Examples!$D$8*EXP(-Examples!$D$9*$A927)*(1-(Examples!$D$12*(1-EXP(-Examples!$D$13*$A927))/(1+EXP(MIN(700,MAX(-700,(Examples!$D$14*$A927-Examples!$D$15)/Examples!$D$16))))))+Examples!$D$17*$A927^2)</f>
        <v>1562571.5414825301</v>
      </c>
      <c r="E927" s="33">
        <f>(Examples!$D$6*Examples!$D$7*Examples!$D$8*EXP(-Examples!$D$9*$A927)*(1-(Examples!$D$12*(1-EXP(-Examples!$D$13*$A927))/(1+EXP(MIN(700,MAX(-700,(Examples!$D$14*$A927-Examples!$D$15)/Examples!$D$16))))))+Examples!$D$17*$A927^2)</f>
        <v>521178.45851747005</v>
      </c>
      <c r="F927" s="33">
        <f>Examples!$E$18-(Examples!$E$10+Examples!$E$11)*$A927-(Examples!$E$6*Examples!$E$7*Examples!$E$8*EXP(-Examples!$E$9*$A927)*(1-(Examples!$E$12*(1-EXP(-Examples!$E$13*$A927))/(1+EXP(MIN(700,MAX(-700,(Examples!$E$14*$A927-Examples!$E$15)/Examples!$E$16))))))+Examples!$E$17*$A927^2)</f>
        <v>1931318.1395074939</v>
      </c>
      <c r="G927" s="33">
        <f>(Examples!$E$6*Examples!$E$7*Examples!$E$8*EXP(-Examples!$E$9*$A927)*(1-(Examples!$E$12*(1-EXP(-Examples!$E$13*$A927))/(1+EXP(MIN(700,MAX(-700,(Examples!$E$14*$A927-Examples!$E$15)/Examples!$E$16))))))+Examples!$E$17*$A927^2)</f>
        <v>282431.86049250606</v>
      </c>
      <c r="H927" s="33">
        <f>Examples!$F$18-(Examples!$F$10+Examples!$F$11)*$A927-(Examples!$F$6*Examples!$F$7*Examples!$F$8*EXP(-Examples!$F$9*$A927)*(1-(Examples!$F$12*(1-EXP(-Examples!$F$13*$A927))/(1+EXP(MIN(700,MAX(-700,(Examples!$F$14*$A927-Examples!$F$15)/Examples!$F$16))))))+Examples!$F$17*$A927^2)</f>
        <v>-1747341.1158420693</v>
      </c>
      <c r="I927" s="33">
        <f>(Examples!$F$6*Examples!$F$7*Examples!$F$8*EXP(-Examples!$F$9*$A927)*(1-(Examples!$F$12*(1-EXP(-Examples!$F$13*$A927))/(1+EXP(MIN(700,MAX(-700,(Examples!$F$14*$A927-Examples!$F$15)/Examples!$F$16))))))+Examples!$F$17*$A927^2)</f>
        <v>1712341.1158420693</v>
      </c>
      <c r="J927" s="33">
        <f>Examples!$G$18-(Examples!$G$10+Examples!$G$11)*$A927-(Examples!$G$6*Examples!$G$7*Examples!$G$8*EXP(-Examples!$G$9*$A927)*(1-(Examples!$G$12*(1-EXP(-Examples!$G$13*$A927))/(1+EXP(MIN(700,MAX(-700,(Examples!$G$14*$A927-Examples!$G$15)/Examples!$G$16))))))+Examples!$G$17*$A927^2)</f>
        <v>274483.82088891277</v>
      </c>
      <c r="K927" s="33">
        <f>(Examples!$G$6*Examples!$G$7*Examples!$G$8*EXP(-Examples!$G$9*$A927)*(1-(Examples!$G$12*(1-EXP(-Examples!$G$13*$A927))/(1+EXP(MIN(700,MAX(-700,(Examples!$G$14*$A927-Examples!$G$15)/Examples!$G$16))))))+Examples!$G$17*$A927^2)</f>
        <v>763016.17911108723</v>
      </c>
      <c r="L927" s="33">
        <f>Examples!$H$18-(Examples!$H$10+Examples!$H$11)*$A927-(Examples!$H$6*Examples!$H$7*Examples!$H$8*EXP(-Examples!$H$9*$A927)*(1-(Examples!$H$12*(1-EXP(-Examples!$H$13*$A927))/(1+EXP(MIN(700,MAX(-700,(Examples!$H$14*$A927-Examples!$H$15)/Examples!$H$16))))))+Examples!$H$17*$A927^2)</f>
        <v>274476.14537396561</v>
      </c>
      <c r="M927" s="33">
        <f>(Examples!$H$6*Examples!$H$7*Examples!$H$8*EXP(-Examples!$H$9*$A927)*(1-(Examples!$H$12*(1-EXP(-Examples!$H$13*$A927))/(1+EXP(MIN(700,MAX(-700,(Examples!$H$14*$A927-Examples!$H$15)/Examples!$H$16))))))+Examples!$H$17*$A927^2)</f>
        <v>763023.85462603439</v>
      </c>
    </row>
    <row r="928" spans="1:13" x14ac:dyDescent="0.25">
      <c r="A928">
        <f>(928-2)/100</f>
        <v>9.26</v>
      </c>
      <c r="B928" s="33">
        <f>Examples!$C$18-(Examples!$C$10+Examples!$C$11)*$A928-(Examples!$C$6*Examples!$C$7*Examples!$C$8*EXP(-Examples!$C$9*$A928)*(1-(Examples!$C$12*(1-EXP(-Examples!$C$13*$A928))/(1+EXP(MIN(700,MAX(-700,(Examples!$C$14*$A928-Examples!$C$15)/Examples!$C$16))))))+Examples!$C$17*$A928^2)</f>
        <v>-1047611.62513091</v>
      </c>
      <c r="C928" s="33">
        <f>(Examples!$C$6*Examples!$C$7*Examples!$C$8*EXP(-Examples!$C$9*$A928)*(1-(Examples!$C$12*(1-EXP(-Examples!$C$13*$A928))/(1+EXP(MIN(700,MAX(-700,(Examples!$C$14*$A928-Examples!$C$15)/Examples!$C$16))))))+Examples!$C$17*$A928^2)</f>
        <v>1323511.62513091</v>
      </c>
      <c r="D928" s="33">
        <f>Examples!$D$18-(Examples!$D$10+Examples!$D$11)*$A928-(Examples!$D$6*Examples!$D$7*Examples!$D$8*EXP(-Examples!$D$9*$A928)*(1-(Examples!$D$12*(1-EXP(-Examples!$D$13*$A928))/(1+EXP(MIN(700,MAX(-700,(Examples!$D$14*$A928-Examples!$D$15)/Examples!$D$16))))))+Examples!$D$17*$A928^2)</f>
        <v>1561614.6449827093</v>
      </c>
      <c r="E928" s="33">
        <f>(Examples!$D$6*Examples!$D$7*Examples!$D$8*EXP(-Examples!$D$9*$A928)*(1-(Examples!$D$12*(1-EXP(-Examples!$D$13*$A928))/(1+EXP(MIN(700,MAX(-700,(Examples!$D$14*$A928-Examples!$D$15)/Examples!$D$16))))))+Examples!$D$17*$A928^2)</f>
        <v>521685.35501729068</v>
      </c>
      <c r="F928" s="33">
        <f>Examples!$E$18-(Examples!$E$10+Examples!$E$11)*$A928-(Examples!$E$6*Examples!$E$7*Examples!$E$8*EXP(-Examples!$E$9*$A928)*(1-(Examples!$E$12*(1-EXP(-Examples!$E$13*$A928))/(1+EXP(MIN(700,MAX(-700,(Examples!$E$14*$A928-Examples!$E$15)/Examples!$E$16))))))+Examples!$E$17*$A928^2)</f>
        <v>1930035.6800108047</v>
      </c>
      <c r="G928" s="33">
        <f>(Examples!$E$6*Examples!$E$7*Examples!$E$8*EXP(-Examples!$E$9*$A928)*(1-(Examples!$E$12*(1-EXP(-Examples!$E$13*$A928))/(1+EXP(MIN(700,MAX(-700,(Examples!$E$14*$A928-Examples!$E$15)/Examples!$E$16))))))+Examples!$E$17*$A928^2)</f>
        <v>282864.31998919538</v>
      </c>
      <c r="H928" s="33">
        <f>Examples!$F$18-(Examples!$F$10+Examples!$F$11)*$A928-(Examples!$F$6*Examples!$F$7*Examples!$F$8*EXP(-Examples!$F$9*$A928)*(1-(Examples!$F$12*(1-EXP(-Examples!$F$13*$A928))/(1+EXP(MIN(700,MAX(-700,(Examples!$F$14*$A928-Examples!$F$15)/Examples!$F$16))))))+Examples!$F$17*$A928^2)</f>
        <v>-1751239.8473996578</v>
      </c>
      <c r="I928" s="33">
        <f>(Examples!$F$6*Examples!$F$7*Examples!$F$8*EXP(-Examples!$F$9*$A928)*(1-(Examples!$F$12*(1-EXP(-Examples!$F$13*$A928))/(1+EXP(MIN(700,MAX(-700,(Examples!$F$14*$A928-Examples!$F$15)/Examples!$F$16))))))+Examples!$F$17*$A928^2)</f>
        <v>1716039.8473996578</v>
      </c>
      <c r="J928" s="33">
        <f>Examples!$G$18-(Examples!$G$10+Examples!$G$11)*$A928-(Examples!$G$6*Examples!$G$7*Examples!$G$8*EXP(-Examples!$G$9*$A928)*(1-(Examples!$G$12*(1-EXP(-Examples!$G$13*$A928))/(1+EXP(MIN(700,MAX(-700,(Examples!$G$14*$A928-Examples!$G$15)/Examples!$G$16))))))+Examples!$G$17*$A928^2)</f>
        <v>272777.24624370108</v>
      </c>
      <c r="K928" s="33">
        <f>(Examples!$G$6*Examples!$G$7*Examples!$G$8*EXP(-Examples!$G$9*$A928)*(1-(Examples!$G$12*(1-EXP(-Examples!$G$13*$A928))/(1+EXP(MIN(700,MAX(-700,(Examples!$G$14*$A928-Examples!$G$15)/Examples!$G$16))))))+Examples!$G$17*$A928^2)</f>
        <v>764222.75375629892</v>
      </c>
      <c r="L928" s="33">
        <f>Examples!$H$18-(Examples!$H$10+Examples!$H$11)*$A928-(Examples!$H$6*Examples!$H$7*Examples!$H$8*EXP(-Examples!$H$9*$A928)*(1-(Examples!$H$12*(1-EXP(-Examples!$H$13*$A928))/(1+EXP(MIN(700,MAX(-700,(Examples!$H$14*$A928-Examples!$H$15)/Examples!$H$16))))))+Examples!$H$17*$A928^2)</f>
        <v>272769.69846636383</v>
      </c>
      <c r="M928" s="33">
        <f>(Examples!$H$6*Examples!$H$7*Examples!$H$8*EXP(-Examples!$H$9*$A928)*(1-(Examples!$H$12*(1-EXP(-Examples!$H$13*$A928))/(1+EXP(MIN(700,MAX(-700,(Examples!$H$14*$A928-Examples!$H$15)/Examples!$H$16))))))+Examples!$H$17*$A928^2)</f>
        <v>764230.30153363617</v>
      </c>
    </row>
    <row r="929" spans="1:13" x14ac:dyDescent="0.25">
      <c r="A929">
        <f>(929-2)/100</f>
        <v>9.27</v>
      </c>
      <c r="B929" s="33">
        <f>Examples!$C$18-(Examples!$C$10+Examples!$C$11)*$A929-(Examples!$C$6*Examples!$C$7*Examples!$C$8*EXP(-Examples!$C$9*$A929)*(1-(Examples!$C$12*(1-EXP(-Examples!$C$13*$A929))/(1+EXP(MIN(700,MAX(-700,(Examples!$C$14*$A929-Examples!$C$15)/Examples!$C$16))))))+Examples!$C$17*$A929^2)</f>
        <v>-1050629.3999271241</v>
      </c>
      <c r="C929" s="33">
        <f>(Examples!$C$6*Examples!$C$7*Examples!$C$8*EXP(-Examples!$C$9*$A929)*(1-(Examples!$C$12*(1-EXP(-Examples!$C$13*$A929))/(1+EXP(MIN(700,MAX(-700,(Examples!$C$14*$A929-Examples!$C$15)/Examples!$C$16))))))+Examples!$C$17*$A929^2)</f>
        <v>1326179.3999271241</v>
      </c>
      <c r="D929" s="33">
        <f>Examples!$D$18-(Examples!$D$10+Examples!$D$11)*$A929-(Examples!$D$6*Examples!$D$7*Examples!$D$8*EXP(-Examples!$D$9*$A929)*(1-(Examples!$D$12*(1-EXP(-Examples!$D$13*$A929))/(1+EXP(MIN(700,MAX(-700,(Examples!$D$14*$A929-Examples!$D$15)/Examples!$D$16))))))+Examples!$D$17*$A929^2)</f>
        <v>1560654.879563648</v>
      </c>
      <c r="E929" s="33">
        <f>(Examples!$D$6*Examples!$D$7*Examples!$D$8*EXP(-Examples!$D$9*$A929)*(1-(Examples!$D$12*(1-EXP(-Examples!$D$13*$A929))/(1+EXP(MIN(700,MAX(-700,(Examples!$D$14*$A929-Examples!$D$15)/Examples!$D$16))))))+Examples!$D$17*$A929^2)</f>
        <v>522195.12043635192</v>
      </c>
      <c r="F929" s="33">
        <f>Examples!$E$18-(Examples!$E$10+Examples!$E$11)*$A929-(Examples!$E$6*Examples!$E$7*Examples!$E$8*EXP(-Examples!$E$9*$A929)*(1-(Examples!$E$12*(1-EXP(-Examples!$E$13*$A929))/(1+EXP(MIN(700,MAX(-700,(Examples!$E$14*$A929-Examples!$E$15)/Examples!$E$16))))))+Examples!$E$17*$A929^2)</f>
        <v>1928752.0767280529</v>
      </c>
      <c r="G929" s="33">
        <f>(Examples!$E$6*Examples!$E$7*Examples!$E$8*EXP(-Examples!$E$9*$A929)*(1-(Examples!$E$12*(1-EXP(-Examples!$E$13*$A929))/(1+EXP(MIN(700,MAX(-700,(Examples!$E$14*$A929-Examples!$E$15)/Examples!$E$16))))))+Examples!$E$17*$A929^2)</f>
        <v>283297.92327194719</v>
      </c>
      <c r="H929" s="33">
        <f>Examples!$F$18-(Examples!$F$10+Examples!$F$11)*$A929-(Examples!$F$6*Examples!$F$7*Examples!$F$8*EXP(-Examples!$F$9*$A929)*(1-(Examples!$F$12*(1-EXP(-Examples!$F$13*$A929))/(1+EXP(MIN(700,MAX(-700,(Examples!$F$14*$A929-Examples!$F$15)/Examples!$F$16))))))+Examples!$F$17*$A929^2)</f>
        <v>-1755142.5887478804</v>
      </c>
      <c r="I929" s="33">
        <f>(Examples!$F$6*Examples!$F$7*Examples!$F$8*EXP(-Examples!$F$9*$A929)*(1-(Examples!$F$12*(1-EXP(-Examples!$F$13*$A929))/(1+EXP(MIN(700,MAX(-700,(Examples!$F$14*$A929-Examples!$F$15)/Examples!$F$16))))))+Examples!$F$17*$A929^2)</f>
        <v>1719742.5887478804</v>
      </c>
      <c r="J929" s="33">
        <f>Examples!$G$18-(Examples!$G$10+Examples!$G$11)*$A929-(Examples!$G$6*Examples!$G$7*Examples!$G$8*EXP(-Examples!$G$9*$A929)*(1-(Examples!$G$12*(1-EXP(-Examples!$G$13*$A929))/(1+EXP(MIN(700,MAX(-700,(Examples!$G$14*$A929-Examples!$G$15)/Examples!$G$16))))))+Examples!$G$17*$A929^2)</f>
        <v>271068.11516497051</v>
      </c>
      <c r="K929" s="33">
        <f>(Examples!$G$6*Examples!$G$7*Examples!$G$8*EXP(-Examples!$G$9*$A929)*(1-(Examples!$G$12*(1-EXP(-Examples!$G$13*$A929))/(1+EXP(MIN(700,MAX(-700,(Examples!$G$14*$A929-Examples!$G$15)/Examples!$G$16))))))+Examples!$G$17*$A929^2)</f>
        <v>765431.88483502949</v>
      </c>
      <c r="L929" s="33">
        <f>Examples!$H$18-(Examples!$H$10+Examples!$H$11)*$A929-(Examples!$H$6*Examples!$H$7*Examples!$H$8*EXP(-Examples!$H$9*$A929)*(1-(Examples!$H$12*(1-EXP(-Examples!$H$13*$A929))/(1+EXP(MIN(700,MAX(-700,(Examples!$H$14*$A929-Examples!$H$15)/Examples!$H$16))))))+Examples!$H$17*$A929^2)</f>
        <v>271060.6930014207</v>
      </c>
      <c r="M929" s="33">
        <f>(Examples!$H$6*Examples!$H$7*Examples!$H$8*EXP(-Examples!$H$9*$A929)*(1-(Examples!$H$12*(1-EXP(-Examples!$H$13*$A929))/(1+EXP(MIN(700,MAX(-700,(Examples!$H$14*$A929-Examples!$H$15)/Examples!$H$16))))))+Examples!$H$17*$A929^2)</f>
        <v>765439.3069985793</v>
      </c>
    </row>
    <row r="930" spans="1:13" x14ac:dyDescent="0.25">
      <c r="A930">
        <f>(930-2)/100</f>
        <v>9.2799999999999994</v>
      </c>
      <c r="B930" s="33">
        <f>Examples!$C$18-(Examples!$C$10+Examples!$C$11)*$A930-(Examples!$C$6*Examples!$C$7*Examples!$C$8*EXP(-Examples!$C$9*$A930)*(1-(Examples!$C$12*(1-EXP(-Examples!$C$13*$A930))/(1+EXP(MIN(700,MAX(-700,(Examples!$C$14*$A930-Examples!$C$15)/Examples!$C$16))))))+Examples!$C$17*$A930^2)</f>
        <v>-1053650.5093966885</v>
      </c>
      <c r="C930" s="33">
        <f>(Examples!$C$6*Examples!$C$7*Examples!$C$8*EXP(-Examples!$C$9*$A930)*(1-(Examples!$C$12*(1-EXP(-Examples!$C$13*$A930))/(1+EXP(MIN(700,MAX(-700,(Examples!$C$14*$A930-Examples!$C$15)/Examples!$C$16))))))+Examples!$C$17*$A930^2)</f>
        <v>1328850.5093966885</v>
      </c>
      <c r="D930" s="33">
        <f>Examples!$D$18-(Examples!$D$10+Examples!$D$11)*$A930-(Examples!$D$6*Examples!$D$7*Examples!$D$8*EXP(-Examples!$D$9*$A930)*(1-(Examples!$D$12*(1-EXP(-Examples!$D$13*$A930))/(1+EXP(MIN(700,MAX(-700,(Examples!$D$14*$A930-Examples!$D$15)/Examples!$D$16))))))+Examples!$D$17*$A930^2)</f>
        <v>1559692.2534306371</v>
      </c>
      <c r="E930" s="33">
        <f>(Examples!$D$6*Examples!$D$7*Examples!$D$8*EXP(-Examples!$D$9*$A930)*(1-(Examples!$D$12*(1-EXP(-Examples!$D$13*$A930))/(1+EXP(MIN(700,MAX(-700,(Examples!$D$14*$A930-Examples!$D$15)/Examples!$D$16))))))+Examples!$D$17*$A930^2)</f>
        <v>522707.74656936305</v>
      </c>
      <c r="F930" s="33">
        <f>Examples!$E$18-(Examples!$E$10+Examples!$E$11)*$A930-(Examples!$E$6*Examples!$E$7*Examples!$E$8*EXP(-Examples!$E$9*$A930)*(1-(Examples!$E$12*(1-EXP(-Examples!$E$13*$A930))/(1+EXP(MIN(700,MAX(-700,(Examples!$E$14*$A930-Examples!$E$15)/Examples!$E$16))))))+Examples!$E$17*$A930^2)</f>
        <v>1927467.3315402521</v>
      </c>
      <c r="G930" s="33">
        <f>(Examples!$E$6*Examples!$E$7*Examples!$E$8*EXP(-Examples!$E$9*$A930)*(1-(Examples!$E$12*(1-EXP(-Examples!$E$13*$A930))/(1+EXP(MIN(700,MAX(-700,(Examples!$E$14*$A930-Examples!$E$15)/Examples!$E$16))))))+Examples!$E$17*$A930^2)</f>
        <v>283732.66845974798</v>
      </c>
      <c r="H930" s="33">
        <f>Examples!$F$18-(Examples!$F$10+Examples!$F$11)*$A930-(Examples!$F$6*Examples!$F$7*Examples!$F$8*EXP(-Examples!$F$9*$A930)*(1-(Examples!$F$12*(1-EXP(-Examples!$F$13*$A930))/(1+EXP(MIN(700,MAX(-700,(Examples!$F$14*$A930-Examples!$F$15)/Examples!$F$16))))))+Examples!$F$17*$A930^2)</f>
        <v>-1759049.3398574092</v>
      </c>
      <c r="I930" s="33">
        <f>(Examples!$F$6*Examples!$F$7*Examples!$F$8*EXP(-Examples!$F$9*$A930)*(1-(Examples!$F$12*(1-EXP(-Examples!$F$13*$A930))/(1+EXP(MIN(700,MAX(-700,(Examples!$F$14*$A930-Examples!$F$15)/Examples!$F$16))))))+Examples!$F$17*$A930^2)</f>
        <v>1723449.3398574092</v>
      </c>
      <c r="J930" s="33">
        <f>Examples!$G$18-(Examples!$G$10+Examples!$G$11)*$A930-(Examples!$G$6*Examples!$G$7*Examples!$G$8*EXP(-Examples!$G$9*$A930)*(1-(Examples!$G$12*(1-EXP(-Examples!$G$13*$A930))/(1+EXP(MIN(700,MAX(-700,(Examples!$G$14*$A930-Examples!$G$15)/Examples!$G$16))))))+Examples!$G$17*$A930^2)</f>
        <v>269356.43096654001</v>
      </c>
      <c r="K930" s="33">
        <f>(Examples!$G$6*Examples!$G$7*Examples!$G$8*EXP(-Examples!$G$9*$A930)*(1-(Examples!$G$12*(1-EXP(-Examples!$G$13*$A930))/(1+EXP(MIN(700,MAX(-700,(Examples!$G$14*$A930-Examples!$G$15)/Examples!$G$16))))))+Examples!$G$17*$A930^2)</f>
        <v>766643.56903345999</v>
      </c>
      <c r="L930" s="33">
        <f>Examples!$H$18-(Examples!$H$10+Examples!$H$11)*$A930-(Examples!$H$6*Examples!$H$7*Examples!$H$8*EXP(-Examples!$H$9*$A930)*(1-(Examples!$H$12*(1-EXP(-Examples!$H$13*$A930))/(1+EXP(MIN(700,MAX(-700,(Examples!$H$14*$A930-Examples!$H$15)/Examples!$H$16))))))+Examples!$H$17*$A930^2)</f>
        <v>269349.13232822181</v>
      </c>
      <c r="M930" s="33">
        <f>(Examples!$H$6*Examples!$H$7*Examples!$H$8*EXP(-Examples!$H$9*$A930)*(1-(Examples!$H$12*(1-EXP(-Examples!$H$13*$A930))/(1+EXP(MIN(700,MAX(-700,(Examples!$H$14*$A930-Examples!$H$15)/Examples!$H$16))))))+Examples!$H$17*$A930^2)</f>
        <v>766650.86767177819</v>
      </c>
    </row>
    <row r="931" spans="1:13" x14ac:dyDescent="0.25">
      <c r="A931">
        <f>(931-2)/100</f>
        <v>9.2899999999999991</v>
      </c>
      <c r="B931" s="33">
        <f>Examples!$C$18-(Examples!$C$10+Examples!$C$11)*$A931-(Examples!$C$6*Examples!$C$7*Examples!$C$8*EXP(-Examples!$C$9*$A931)*(1-(Examples!$C$12*(1-EXP(-Examples!$C$13*$A931))/(1+EXP(MIN(700,MAX(-700,(Examples!$C$14*$A931-Examples!$C$15)/Examples!$C$16))))))+Examples!$C$17*$A931^2)</f>
        <v>-1056674.952537087</v>
      </c>
      <c r="C931" s="33">
        <f>(Examples!$C$6*Examples!$C$7*Examples!$C$8*EXP(-Examples!$C$9*$A931)*(1-(Examples!$C$12*(1-EXP(-Examples!$C$13*$A931))/(1+EXP(MIN(700,MAX(-700,(Examples!$C$14*$A931-Examples!$C$15)/Examples!$C$16))))))+Examples!$C$17*$A931^2)</f>
        <v>1331524.952537087</v>
      </c>
      <c r="D931" s="33">
        <f>Examples!$D$18-(Examples!$D$10+Examples!$D$11)*$A931-(Examples!$D$6*Examples!$D$7*Examples!$D$8*EXP(-Examples!$D$9*$A931)*(1-(Examples!$D$12*(1-EXP(-Examples!$D$13*$A931))/(1+EXP(MIN(700,MAX(-700,(Examples!$D$14*$A931-Examples!$D$15)/Examples!$D$16))))))+Examples!$D$17*$A931^2)</f>
        <v>1558726.7747553918</v>
      </c>
      <c r="E931" s="33">
        <f>(Examples!$D$6*Examples!$D$7*Examples!$D$8*EXP(-Examples!$D$9*$A931)*(1-(Examples!$D$12*(1-EXP(-Examples!$D$13*$A931))/(1+EXP(MIN(700,MAX(-700,(Examples!$D$14*$A931-Examples!$D$15)/Examples!$D$16))))))+Examples!$D$17*$A931^2)</f>
        <v>523223.22524460813</v>
      </c>
      <c r="F931" s="33">
        <f>Examples!$E$18-(Examples!$E$10+Examples!$E$11)*$A931-(Examples!$E$6*Examples!$E$7*Examples!$E$8*EXP(-Examples!$E$9*$A931)*(1-(Examples!$E$12*(1-EXP(-Examples!$E$13*$A931))/(1+EXP(MIN(700,MAX(-700,(Examples!$E$14*$A931-Examples!$E$15)/Examples!$E$16))))))+Examples!$E$17*$A931^2)</f>
        <v>1926181.4463286148</v>
      </c>
      <c r="G931" s="33">
        <f>(Examples!$E$6*Examples!$E$7*Examples!$E$8*EXP(-Examples!$E$9*$A931)*(1-(Examples!$E$12*(1-EXP(-Examples!$E$13*$A931))/(1+EXP(MIN(700,MAX(-700,(Examples!$E$14*$A931-Examples!$E$15)/Examples!$E$16))))))+Examples!$E$17*$A931^2)</f>
        <v>284168.55367138505</v>
      </c>
      <c r="H931" s="33">
        <f>Examples!$F$18-(Examples!$F$10+Examples!$F$11)*$A931-(Examples!$F$6*Examples!$F$7*Examples!$F$8*EXP(-Examples!$F$9*$A931)*(1-(Examples!$F$12*(1-EXP(-Examples!$F$13*$A931))/(1+EXP(MIN(700,MAX(-700,(Examples!$F$14*$A931-Examples!$F$15)/Examples!$F$16))))))+Examples!$F$17*$A931^2)</f>
        <v>-1762960.100699004</v>
      </c>
      <c r="I931" s="33">
        <f>(Examples!$F$6*Examples!$F$7*Examples!$F$8*EXP(-Examples!$F$9*$A931)*(1-(Examples!$F$12*(1-EXP(-Examples!$F$13*$A931))/(1+EXP(MIN(700,MAX(-700,(Examples!$F$14*$A931-Examples!$F$15)/Examples!$F$16))))))+Examples!$F$17*$A931^2)</f>
        <v>1727160.100699004</v>
      </c>
      <c r="J931" s="33">
        <f>Examples!$G$18-(Examples!$G$10+Examples!$G$11)*$A931-(Examples!$G$6*Examples!$G$7*Examples!$G$8*EXP(-Examples!$G$9*$A931)*(1-(Examples!$G$12*(1-EXP(-Examples!$G$13*$A931))/(1+EXP(MIN(700,MAX(-700,(Examples!$G$14*$A931-Examples!$G$15)/Examples!$G$16))))))+Examples!$G$17*$A931^2)</f>
        <v>267642.19695111155</v>
      </c>
      <c r="K931" s="33">
        <f>(Examples!$G$6*Examples!$G$7*Examples!$G$8*EXP(-Examples!$G$9*$A931)*(1-(Examples!$G$12*(1-EXP(-Examples!$G$13*$A931))/(1+EXP(MIN(700,MAX(-700,(Examples!$G$14*$A931-Examples!$G$15)/Examples!$G$16))))))+Examples!$G$17*$A931^2)</f>
        <v>767857.80304888845</v>
      </c>
      <c r="L931" s="33">
        <f>Examples!$H$18-(Examples!$H$10+Examples!$H$11)*$A931-(Examples!$H$6*Examples!$H$7*Examples!$H$8*EXP(-Examples!$H$9*$A931)*(1-(Examples!$H$12*(1-EXP(-Examples!$H$13*$A931))/(1+EXP(MIN(700,MAX(-700,(Examples!$H$14*$A931-Examples!$H$15)/Examples!$H$16))))))+Examples!$H$17*$A931^2)</f>
        <v>267635.01978415123</v>
      </c>
      <c r="M931" s="33">
        <f>(Examples!$H$6*Examples!$H$7*Examples!$H$8*EXP(-Examples!$H$9*$A931)*(1-(Examples!$H$12*(1-EXP(-Examples!$H$13*$A931))/(1+EXP(MIN(700,MAX(-700,(Examples!$H$14*$A931-Examples!$H$15)/Examples!$H$16))))))+Examples!$H$17*$A931^2)</f>
        <v>767864.98021584877</v>
      </c>
    </row>
    <row r="932" spans="1:13" x14ac:dyDescent="0.25">
      <c r="A932">
        <f>(932-2)/100</f>
        <v>9.3000000000000007</v>
      </c>
      <c r="B932" s="33">
        <f>Examples!$C$18-(Examples!$C$10+Examples!$C$11)*$A932-(Examples!$C$6*Examples!$C$7*Examples!$C$8*EXP(-Examples!$C$9*$A932)*(1-(Examples!$C$12*(1-EXP(-Examples!$C$13*$A932))/(1+EXP(MIN(700,MAX(-700,(Examples!$C$14*$A932-Examples!$C$15)/Examples!$C$16))))))+Examples!$C$17*$A932^2)</f>
        <v>-1059702.7283488081</v>
      </c>
      <c r="C932" s="33">
        <f>(Examples!$C$6*Examples!$C$7*Examples!$C$8*EXP(-Examples!$C$9*$A932)*(1-(Examples!$C$12*(1-EXP(-Examples!$C$13*$A932))/(1+EXP(MIN(700,MAX(-700,(Examples!$C$14*$A932-Examples!$C$15)/Examples!$C$16))))))+Examples!$C$17*$A932^2)</f>
        <v>1334202.7283488081</v>
      </c>
      <c r="D932" s="33">
        <f>Examples!$D$18-(Examples!$D$10+Examples!$D$11)*$A932-(Examples!$D$6*Examples!$D$7*Examples!$D$8*EXP(-Examples!$D$9*$A932)*(1-(Examples!$D$12*(1-EXP(-Examples!$D$13*$A932))/(1+EXP(MIN(700,MAX(-700,(Examples!$D$14*$A932-Examples!$D$15)/Examples!$D$16))))))+Examples!$D$17*$A932^2)</f>
        <v>1557758.451676148</v>
      </c>
      <c r="E932" s="33">
        <f>(Examples!$D$6*Examples!$D$7*Examples!$D$8*EXP(-Examples!$D$9*$A932)*(1-(Examples!$D$12*(1-EXP(-Examples!$D$13*$A932))/(1+EXP(MIN(700,MAX(-700,(Examples!$D$14*$A932-Examples!$D$15)/Examples!$D$16))))))+Examples!$D$17*$A932^2)</f>
        <v>523741.54832385207</v>
      </c>
      <c r="F932" s="33">
        <f>Examples!$E$18-(Examples!$E$10+Examples!$E$11)*$A932-(Examples!$E$6*Examples!$E$7*Examples!$E$8*EXP(-Examples!$E$9*$A932)*(1-(Examples!$E$12*(1-EXP(-Examples!$E$13*$A932))/(1+EXP(MIN(700,MAX(-700,(Examples!$E$14*$A932-Examples!$E$15)/Examples!$E$16))))))+Examples!$E$17*$A932^2)</f>
        <v>1924894.4229744505</v>
      </c>
      <c r="G932" s="33">
        <f>(Examples!$E$6*Examples!$E$7*Examples!$E$8*EXP(-Examples!$E$9*$A932)*(1-(Examples!$E$12*(1-EXP(-Examples!$E$13*$A932))/(1+EXP(MIN(700,MAX(-700,(Examples!$E$14*$A932-Examples!$E$15)/Examples!$E$16))))))+Examples!$E$17*$A932^2)</f>
        <v>284605.57702554943</v>
      </c>
      <c r="H932" s="33">
        <f>Examples!$F$18-(Examples!$F$10+Examples!$F$11)*$A932-(Examples!$F$6*Examples!$F$7*Examples!$F$8*EXP(-Examples!$F$9*$A932)*(1-(Examples!$F$12*(1-EXP(-Examples!$F$13*$A932))/(1+EXP(MIN(700,MAX(-700,(Examples!$F$14*$A932-Examples!$F$15)/Examples!$F$16))))))+Examples!$F$17*$A932^2)</f>
        <v>-1766874.8712435127</v>
      </c>
      <c r="I932" s="33">
        <f>(Examples!$F$6*Examples!$F$7*Examples!$F$8*EXP(-Examples!$F$9*$A932)*(1-(Examples!$F$12*(1-EXP(-Examples!$F$13*$A932))/(1+EXP(MIN(700,MAX(-700,(Examples!$F$14*$A932-Examples!$F$15)/Examples!$F$16))))))+Examples!$F$17*$A932^2)</f>
        <v>1730874.8712435127</v>
      </c>
      <c r="J932" s="33">
        <f>Examples!$G$18-(Examples!$G$10+Examples!$G$11)*$A932-(Examples!$G$6*Examples!$G$7*Examples!$G$8*EXP(-Examples!$G$9*$A932)*(1-(Examples!$G$12*(1-EXP(-Examples!$G$13*$A932))/(1+EXP(MIN(700,MAX(-700,(Examples!$G$14*$A932-Examples!$G$15)/Examples!$G$16))))))+Examples!$G$17*$A932^2)</f>
        <v>265925.41641030158</v>
      </c>
      <c r="K932" s="33">
        <f>(Examples!$G$6*Examples!$G$7*Examples!$G$8*EXP(-Examples!$G$9*$A932)*(1-(Examples!$G$12*(1-EXP(-Examples!$G$13*$A932))/(1+EXP(MIN(700,MAX(-700,(Examples!$G$14*$A932-Examples!$G$15)/Examples!$G$16))))))+Examples!$G$17*$A932^2)</f>
        <v>769074.58358969842</v>
      </c>
      <c r="L932" s="33">
        <f>Examples!$H$18-(Examples!$H$10+Examples!$H$11)*$A932-(Examples!$H$6*Examples!$H$7*Examples!$H$8*EXP(-Examples!$H$9*$A932)*(1-(Examples!$H$12*(1-EXP(-Examples!$H$13*$A932))/(1+EXP(MIN(700,MAX(-700,(Examples!$H$14*$A932-Examples!$H$15)/Examples!$H$16))))))+Examples!$H$17*$A932^2)</f>
        <v>265918.35869493242</v>
      </c>
      <c r="M932" s="33">
        <f>(Examples!$H$6*Examples!$H$7*Examples!$H$8*EXP(-Examples!$H$9*$A932)*(1-(Examples!$H$12*(1-EXP(-Examples!$H$13*$A932))/(1+EXP(MIN(700,MAX(-700,(Examples!$H$14*$A932-Examples!$H$15)/Examples!$H$16))))))+Examples!$H$17*$A932^2)</f>
        <v>769081.64130506758</v>
      </c>
    </row>
    <row r="933" spans="1:13" x14ac:dyDescent="0.25">
      <c r="A933">
        <f>(933-2)/100</f>
        <v>9.31</v>
      </c>
      <c r="B933" s="33">
        <f>Examples!$C$18-(Examples!$C$10+Examples!$C$11)*$A933-(Examples!$C$6*Examples!$C$7*Examples!$C$8*EXP(-Examples!$C$9*$A933)*(1-(Examples!$C$12*(1-EXP(-Examples!$C$13*$A933))/(1+EXP(MIN(700,MAX(-700,(Examples!$C$14*$A933-Examples!$C$15)/Examples!$C$16))))))+Examples!$C$17*$A933^2)</f>
        <v>-1062733.8358353323</v>
      </c>
      <c r="C933" s="33">
        <f>(Examples!$C$6*Examples!$C$7*Examples!$C$8*EXP(-Examples!$C$9*$A933)*(1-(Examples!$C$12*(1-EXP(-Examples!$C$13*$A933))/(1+EXP(MIN(700,MAX(-700,(Examples!$C$14*$A933-Examples!$C$15)/Examples!$C$16))))))+Examples!$C$17*$A933^2)</f>
        <v>1336883.8358353323</v>
      </c>
      <c r="D933" s="33">
        <f>Examples!$D$18-(Examples!$D$10+Examples!$D$11)*$A933-(Examples!$D$6*Examples!$D$7*Examples!$D$8*EXP(-Examples!$D$9*$A933)*(1-(Examples!$D$12*(1-EXP(-Examples!$D$13*$A933))/(1+EXP(MIN(700,MAX(-700,(Examples!$D$14*$A933-Examples!$D$15)/Examples!$D$16))))))+Examples!$D$17*$A933^2)</f>
        <v>1556787.2922977533</v>
      </c>
      <c r="E933" s="33">
        <f>(Examples!$D$6*Examples!$D$7*Examples!$D$8*EXP(-Examples!$D$9*$A933)*(1-(Examples!$D$12*(1-EXP(-Examples!$D$13*$A933))/(1+EXP(MIN(700,MAX(-700,(Examples!$D$14*$A933-Examples!$D$15)/Examples!$D$16))))))+Examples!$D$17*$A933^2)</f>
        <v>524262.70770224679</v>
      </c>
      <c r="F933" s="33">
        <f>Examples!$E$18-(Examples!$E$10+Examples!$E$11)*$A933-(Examples!$E$6*Examples!$E$7*Examples!$E$8*EXP(-Examples!$E$9*$A933)*(1-(Examples!$E$12*(1-EXP(-Examples!$E$13*$A933))/(1+EXP(MIN(700,MAX(-700,(Examples!$E$14*$A933-Examples!$E$15)/Examples!$E$16))))))+Examples!$E$17*$A933^2)</f>
        <v>1923606.2633590638</v>
      </c>
      <c r="G933" s="33">
        <f>(Examples!$E$6*Examples!$E$7*Examples!$E$8*EXP(-Examples!$E$9*$A933)*(1-(Examples!$E$12*(1-EXP(-Examples!$E$13*$A933))/(1+EXP(MIN(700,MAX(-700,(Examples!$E$14*$A933-Examples!$E$15)/Examples!$E$16))))))+Examples!$E$17*$A933^2)</f>
        <v>285043.73664093617</v>
      </c>
      <c r="H933" s="33">
        <f>Examples!$F$18-(Examples!$F$10+Examples!$F$11)*$A933-(Examples!$F$6*Examples!$F$7*Examples!$F$8*EXP(-Examples!$F$9*$A933)*(1-(Examples!$F$12*(1-EXP(-Examples!$F$13*$A933))/(1+EXP(MIN(700,MAX(-700,(Examples!$F$14*$A933-Examples!$F$15)/Examples!$F$16))))))+Examples!$F$17*$A933^2)</f>
        <v>-1770793.6514618692</v>
      </c>
      <c r="I933" s="33">
        <f>(Examples!$F$6*Examples!$F$7*Examples!$F$8*EXP(-Examples!$F$9*$A933)*(1-(Examples!$F$12*(1-EXP(-Examples!$F$13*$A933))/(1+EXP(MIN(700,MAX(-700,(Examples!$F$14*$A933-Examples!$F$15)/Examples!$F$16))))))+Examples!$F$17*$A933^2)</f>
        <v>1734593.6514618692</v>
      </c>
      <c r="J933" s="33">
        <f>Examples!$G$18-(Examples!$G$10+Examples!$G$11)*$A933-(Examples!$G$6*Examples!$G$7*Examples!$G$8*EXP(-Examples!$G$9*$A933)*(1-(Examples!$G$12*(1-EXP(-Examples!$G$13*$A933))/(1+EXP(MIN(700,MAX(-700,(Examples!$G$14*$A933-Examples!$G$15)/Examples!$G$16))))))+Examples!$G$17*$A933^2)</f>
        <v>264206.09262467315</v>
      </c>
      <c r="K933" s="33">
        <f>(Examples!$G$6*Examples!$G$7*Examples!$G$8*EXP(-Examples!$G$9*$A933)*(1-(Examples!$G$12*(1-EXP(-Examples!$G$13*$A933))/(1+EXP(MIN(700,MAX(-700,(Examples!$G$14*$A933-Examples!$G$15)/Examples!$G$16))))))+Examples!$G$17*$A933^2)</f>
        <v>770293.90737532685</v>
      </c>
      <c r="L933" s="33">
        <f>Examples!$H$18-(Examples!$H$10+Examples!$H$11)*$A933-(Examples!$H$6*Examples!$H$7*Examples!$H$8*EXP(-Examples!$H$9*$A933)*(1-(Examples!$H$12*(1-EXP(-Examples!$H$13*$A933))/(1+EXP(MIN(700,MAX(-700,(Examples!$H$14*$A933-Examples!$H$15)/Examples!$H$16))))))+Examples!$H$17*$A933^2)</f>
        <v>264199.15237466991</v>
      </c>
      <c r="M933" s="33">
        <f>(Examples!$H$6*Examples!$H$7*Examples!$H$8*EXP(-Examples!$H$9*$A933)*(1-(Examples!$H$12*(1-EXP(-Examples!$H$13*$A933))/(1+EXP(MIN(700,MAX(-700,(Examples!$H$14*$A933-Examples!$H$15)/Examples!$H$16))))))+Examples!$H$17*$A933^2)</f>
        <v>770300.84762533009</v>
      </c>
    </row>
    <row r="934" spans="1:13" x14ac:dyDescent="0.25">
      <c r="A934">
        <f>(934-2)/100</f>
        <v>9.32</v>
      </c>
      <c r="B934" s="33">
        <f>Examples!$C$18-(Examples!$C$10+Examples!$C$11)*$A934-(Examples!$C$6*Examples!$C$7*Examples!$C$8*EXP(-Examples!$C$9*$A934)*(1-(Examples!$C$12*(1-EXP(-Examples!$C$13*$A934))/(1+EXP(MIN(700,MAX(-700,(Examples!$C$14*$A934-Examples!$C$15)/Examples!$C$16))))))+Examples!$C$17*$A934^2)</f>
        <v>-1065768.2740031274</v>
      </c>
      <c r="C934" s="33">
        <f>(Examples!$C$6*Examples!$C$7*Examples!$C$8*EXP(-Examples!$C$9*$A934)*(1-(Examples!$C$12*(1-EXP(-Examples!$C$13*$A934))/(1+EXP(MIN(700,MAX(-700,(Examples!$C$14*$A934-Examples!$C$15)/Examples!$C$16))))))+Examples!$C$17*$A934^2)</f>
        <v>1339568.2740031274</v>
      </c>
      <c r="D934" s="33">
        <f>Examples!$D$18-(Examples!$D$10+Examples!$D$11)*$A934-(Examples!$D$6*Examples!$D$7*Examples!$D$8*EXP(-Examples!$D$9*$A934)*(1-(Examples!$D$12*(1-EXP(-Examples!$D$13*$A934))/(1+EXP(MIN(700,MAX(-700,(Examples!$D$14*$A934-Examples!$D$15)/Examples!$D$16))))))+Examples!$D$17*$A934^2)</f>
        <v>1555813.3046917634</v>
      </c>
      <c r="E934" s="33">
        <f>(Examples!$D$6*Examples!$D$7*Examples!$D$8*EXP(-Examples!$D$9*$A934)*(1-(Examples!$D$12*(1-EXP(-Examples!$D$13*$A934))/(1+EXP(MIN(700,MAX(-700,(Examples!$D$14*$A934-Examples!$D$15)/Examples!$D$16))))))+Examples!$D$17*$A934^2)</f>
        <v>524786.69530823664</v>
      </c>
      <c r="F934" s="33">
        <f>Examples!$E$18-(Examples!$E$10+Examples!$E$11)*$A934-(Examples!$E$6*Examples!$E$7*Examples!$E$8*EXP(-Examples!$E$9*$A934)*(1-(Examples!$E$12*(1-EXP(-Examples!$E$13*$A934))/(1+EXP(MIN(700,MAX(-700,(Examples!$E$14*$A934-Examples!$E$15)/Examples!$E$16))))))+Examples!$E$17*$A934^2)</f>
        <v>1922316.9693636552</v>
      </c>
      <c r="G934" s="33">
        <f>(Examples!$E$6*Examples!$E$7*Examples!$E$8*EXP(-Examples!$E$9*$A934)*(1-(Examples!$E$12*(1-EXP(-Examples!$E$13*$A934))/(1+EXP(MIN(700,MAX(-700,(Examples!$E$14*$A934-Examples!$E$15)/Examples!$E$16))))))+Examples!$E$17*$A934^2)</f>
        <v>285483.0306363448</v>
      </c>
      <c r="H934" s="33">
        <f>Examples!$F$18-(Examples!$F$10+Examples!$F$11)*$A934-(Examples!$F$6*Examples!$F$7*Examples!$F$8*EXP(-Examples!$F$9*$A934)*(1-(Examples!$F$12*(1-EXP(-Examples!$F$13*$A934))/(1+EXP(MIN(700,MAX(-700,(Examples!$F$14*$A934-Examples!$F$15)/Examples!$F$16))))))+Examples!$F$17*$A934^2)</f>
        <v>-1774716.4413250966</v>
      </c>
      <c r="I934" s="33">
        <f>(Examples!$F$6*Examples!$F$7*Examples!$F$8*EXP(-Examples!$F$9*$A934)*(1-(Examples!$F$12*(1-EXP(-Examples!$F$13*$A934))/(1+EXP(MIN(700,MAX(-700,(Examples!$F$14*$A934-Examples!$F$15)/Examples!$F$16))))))+Examples!$F$17*$A934^2)</f>
        <v>1738316.4413250966</v>
      </c>
      <c r="J934" s="33">
        <f>Examples!$G$18-(Examples!$G$10+Examples!$G$11)*$A934-(Examples!$G$6*Examples!$G$7*Examples!$G$8*EXP(-Examples!$G$9*$A934)*(1-(Examples!$G$12*(1-EXP(-Examples!$G$13*$A934))/(1+EXP(MIN(700,MAX(-700,(Examples!$G$14*$A934-Examples!$G$15)/Examples!$G$16))))))+Examples!$G$17*$A934^2)</f>
        <v>262484.22886376514</v>
      </c>
      <c r="K934" s="33">
        <f>(Examples!$G$6*Examples!$G$7*Examples!$G$8*EXP(-Examples!$G$9*$A934)*(1-(Examples!$G$12*(1-EXP(-Examples!$G$13*$A934))/(1+EXP(MIN(700,MAX(-700,(Examples!$G$14*$A934-Examples!$G$15)/Examples!$G$16))))))+Examples!$G$17*$A934^2)</f>
        <v>771515.77113623486</v>
      </c>
      <c r="L934" s="33">
        <f>Examples!$H$18-(Examples!$H$10+Examples!$H$11)*$A934-(Examples!$H$6*Examples!$H$7*Examples!$H$8*EXP(-Examples!$H$9*$A934)*(1-(Examples!$H$12*(1-EXP(-Examples!$H$13*$A934))/(1+EXP(MIN(700,MAX(-700,(Examples!$H$14*$A934-Examples!$H$15)/Examples!$H$16))))))+Examples!$H$17*$A934^2)</f>
        <v>262477.40412588837</v>
      </c>
      <c r="M934" s="33">
        <f>(Examples!$H$6*Examples!$H$7*Examples!$H$8*EXP(-Examples!$H$9*$A934)*(1-(Examples!$H$12*(1-EXP(-Examples!$H$13*$A934))/(1+EXP(MIN(700,MAX(-700,(Examples!$H$14*$A934-Examples!$H$15)/Examples!$H$16))))))+Examples!$H$17*$A934^2)</f>
        <v>771522.59587411163</v>
      </c>
    </row>
    <row r="935" spans="1:13" x14ac:dyDescent="0.25">
      <c r="A935">
        <f>(935-2)/100</f>
        <v>9.33</v>
      </c>
      <c r="B935" s="33">
        <f>Examples!$C$18-(Examples!$C$10+Examples!$C$11)*$A935-(Examples!$C$6*Examples!$C$7*Examples!$C$8*EXP(-Examples!$C$9*$A935)*(1-(Examples!$C$12*(1-EXP(-Examples!$C$13*$A935))/(1+EXP(MIN(700,MAX(-700,(Examples!$C$14*$A935-Examples!$C$15)/Examples!$C$16))))))+Examples!$C$17*$A935^2)</f>
        <v>-1068806.0418616349</v>
      </c>
      <c r="C935" s="33">
        <f>(Examples!$C$6*Examples!$C$7*Examples!$C$8*EXP(-Examples!$C$9*$A935)*(1-(Examples!$C$12*(1-EXP(-Examples!$C$13*$A935))/(1+EXP(MIN(700,MAX(-700,(Examples!$C$14*$A935-Examples!$C$15)/Examples!$C$16))))))+Examples!$C$17*$A935^2)</f>
        <v>1342256.0418616349</v>
      </c>
      <c r="D935" s="33">
        <f>Examples!$D$18-(Examples!$D$10+Examples!$D$11)*$A935-(Examples!$D$6*Examples!$D$7*Examples!$D$8*EXP(-Examples!$D$9*$A935)*(1-(Examples!$D$12*(1-EXP(-Examples!$D$13*$A935))/(1+EXP(MIN(700,MAX(-700,(Examples!$D$14*$A935-Examples!$D$15)/Examples!$D$16))))))+Examples!$D$17*$A935^2)</f>
        <v>1554836.4968965375</v>
      </c>
      <c r="E935" s="33">
        <f>(Examples!$D$6*Examples!$D$7*Examples!$D$8*EXP(-Examples!$D$9*$A935)*(1-(Examples!$D$12*(1-EXP(-Examples!$D$13*$A935))/(1+EXP(MIN(700,MAX(-700,(Examples!$D$14*$A935-Examples!$D$15)/Examples!$D$16))))))+Examples!$D$17*$A935^2)</f>
        <v>525313.50310346263</v>
      </c>
      <c r="F935" s="33">
        <f>Examples!$E$18-(Examples!$E$10+Examples!$E$11)*$A935-(Examples!$E$6*Examples!$E$7*Examples!$E$8*EXP(-Examples!$E$9*$A935)*(1-(Examples!$E$12*(1-EXP(-Examples!$E$13*$A935))/(1+EXP(MIN(700,MAX(-700,(Examples!$E$14*$A935-Examples!$E$15)/Examples!$E$16))))))+Examples!$E$17*$A935^2)</f>
        <v>1921026.5428692228</v>
      </c>
      <c r="G935" s="33">
        <f>(Examples!$E$6*Examples!$E$7*Examples!$E$8*EXP(-Examples!$E$9*$A935)*(1-(Examples!$E$12*(1-EXP(-Examples!$E$13*$A935))/(1+EXP(MIN(700,MAX(-700,(Examples!$E$14*$A935-Examples!$E$15)/Examples!$E$16))))))+Examples!$E$17*$A935^2)</f>
        <v>285923.45713077707</v>
      </c>
      <c r="H935" s="33">
        <f>Examples!$F$18-(Examples!$F$10+Examples!$F$11)*$A935-(Examples!$F$6*Examples!$F$7*Examples!$F$8*EXP(-Examples!$F$9*$A935)*(1-(Examples!$F$12*(1-EXP(-Examples!$F$13*$A935))/(1+EXP(MIN(700,MAX(-700,(Examples!$F$14*$A935-Examples!$F$15)/Examples!$F$16))))))+Examples!$F$17*$A935^2)</f>
        <v>-1778643.2408043027</v>
      </c>
      <c r="I935" s="33">
        <f>(Examples!$F$6*Examples!$F$7*Examples!$F$8*EXP(-Examples!$F$9*$A935)*(1-(Examples!$F$12*(1-EXP(-Examples!$F$13*$A935))/(1+EXP(MIN(700,MAX(-700,(Examples!$F$14*$A935-Examples!$F$15)/Examples!$F$16))))))+Examples!$F$17*$A935^2)</f>
        <v>1742043.2408043027</v>
      </c>
      <c r="J935" s="33">
        <f>Examples!$G$18-(Examples!$G$10+Examples!$G$11)*$A935-(Examples!$G$6*Examples!$G$7*Examples!$G$8*EXP(-Examples!$G$9*$A935)*(1-(Examples!$G$12*(1-EXP(-Examples!$G$13*$A935))/(1+EXP(MIN(700,MAX(-700,(Examples!$G$14*$A935-Examples!$G$15)/Examples!$G$16))))))+Examples!$G$17*$A935^2)</f>
        <v>260759.8283861255</v>
      </c>
      <c r="K935" s="33">
        <f>(Examples!$G$6*Examples!$G$7*Examples!$G$8*EXP(-Examples!$G$9*$A935)*(1-(Examples!$G$12*(1-EXP(-Examples!$G$13*$A935))/(1+EXP(MIN(700,MAX(-700,(Examples!$G$14*$A935-Examples!$G$15)/Examples!$G$16))))))+Examples!$G$17*$A935^2)</f>
        <v>772740.1716138745</v>
      </c>
      <c r="L935" s="33">
        <f>Examples!$H$18-(Examples!$H$10+Examples!$H$11)*$A935-(Examples!$H$6*Examples!$H$7*Examples!$H$8*EXP(-Examples!$H$9*$A935)*(1-(Examples!$H$12*(1-EXP(-Examples!$H$13*$A935))/(1+EXP(MIN(700,MAX(-700,(Examples!$H$14*$A935-Examples!$H$15)/Examples!$H$16))))))+Examples!$H$17*$A935^2)</f>
        <v>260753.11723957444</v>
      </c>
      <c r="M935" s="33">
        <f>(Examples!$H$6*Examples!$H$7*Examples!$H$8*EXP(-Examples!$H$9*$A935)*(1-(Examples!$H$12*(1-EXP(-Examples!$H$13*$A935))/(1+EXP(MIN(700,MAX(-700,(Examples!$H$14*$A935-Examples!$H$15)/Examples!$H$16))))))+Examples!$H$17*$A935^2)</f>
        <v>772746.88276042556</v>
      </c>
    </row>
    <row r="936" spans="1:13" x14ac:dyDescent="0.25">
      <c r="A936">
        <f>(936-2)/100</f>
        <v>9.34</v>
      </c>
      <c r="B936" s="33">
        <f>Examples!$C$18-(Examples!$C$10+Examples!$C$11)*$A936-(Examples!$C$6*Examples!$C$7*Examples!$C$8*EXP(-Examples!$C$9*$A936)*(1-(Examples!$C$12*(1-EXP(-Examples!$C$13*$A936))/(1+EXP(MIN(700,MAX(-700,(Examples!$C$14*$A936-Examples!$C$15)/Examples!$C$16))))))+Examples!$C$17*$A936^2)</f>
        <v>-1071847.1384232654</v>
      </c>
      <c r="C936" s="33">
        <f>(Examples!$C$6*Examples!$C$7*Examples!$C$8*EXP(-Examples!$C$9*$A936)*(1-(Examples!$C$12*(1-EXP(-Examples!$C$13*$A936))/(1+EXP(MIN(700,MAX(-700,(Examples!$C$14*$A936-Examples!$C$15)/Examples!$C$16))))))+Examples!$C$17*$A936^2)</f>
        <v>1344947.1384232654</v>
      </c>
      <c r="D936" s="33">
        <f>Examples!$D$18-(Examples!$D$10+Examples!$D$11)*$A936-(Examples!$D$6*Examples!$D$7*Examples!$D$8*EXP(-Examples!$D$9*$A936)*(1-(Examples!$D$12*(1-EXP(-Examples!$D$13*$A936))/(1+EXP(MIN(700,MAX(-700,(Examples!$D$14*$A936-Examples!$D$15)/Examples!$D$16))))))+Examples!$D$17*$A936^2)</f>
        <v>1553856.8769173329</v>
      </c>
      <c r="E936" s="33">
        <f>(Examples!$D$6*Examples!$D$7*Examples!$D$8*EXP(-Examples!$D$9*$A936)*(1-(Examples!$D$12*(1-EXP(-Examples!$D$13*$A936))/(1+EXP(MIN(700,MAX(-700,(Examples!$D$14*$A936-Examples!$D$15)/Examples!$D$16))))))+Examples!$D$17*$A936^2)</f>
        <v>525843.12308266724</v>
      </c>
      <c r="F936" s="33">
        <f>Examples!$E$18-(Examples!$E$10+Examples!$E$11)*$A936-(Examples!$E$6*Examples!$E$7*Examples!$E$8*EXP(-Examples!$E$9*$A936)*(1-(Examples!$E$12*(1-EXP(-Examples!$E$13*$A936))/(1+EXP(MIN(700,MAX(-700,(Examples!$E$14*$A936-Examples!$E$15)/Examples!$E$16))))))+Examples!$E$17*$A936^2)</f>
        <v>1919734.9857564659</v>
      </c>
      <c r="G936" s="33">
        <f>(Examples!$E$6*Examples!$E$7*Examples!$E$8*EXP(-Examples!$E$9*$A936)*(1-(Examples!$E$12*(1-EXP(-Examples!$E$13*$A936))/(1+EXP(MIN(700,MAX(-700,(Examples!$E$14*$A936-Examples!$E$15)/Examples!$E$16))))))+Examples!$E$17*$A936^2)</f>
        <v>286365.01424353407</v>
      </c>
      <c r="H936" s="33">
        <f>Examples!$F$18-(Examples!$F$10+Examples!$F$11)*$A936-(Examples!$F$6*Examples!$F$7*Examples!$F$8*EXP(-Examples!$F$9*$A936)*(1-(Examples!$F$12*(1-EXP(-Examples!$F$13*$A936))/(1+EXP(MIN(700,MAX(-700,(Examples!$F$14*$A936-Examples!$F$15)/Examples!$F$16))))))+Examples!$F$17*$A936^2)</f>
        <v>-1782574.0498706831</v>
      </c>
      <c r="I936" s="33">
        <f>(Examples!$F$6*Examples!$F$7*Examples!$F$8*EXP(-Examples!$F$9*$A936)*(1-(Examples!$F$12*(1-EXP(-Examples!$F$13*$A936))/(1+EXP(MIN(700,MAX(-700,(Examples!$F$14*$A936-Examples!$F$15)/Examples!$F$16))))))+Examples!$F$17*$A936^2)</f>
        <v>1745774.0498706831</v>
      </c>
      <c r="J936" s="33">
        <f>Examples!$G$18-(Examples!$G$10+Examples!$G$11)*$A936-(Examples!$G$6*Examples!$G$7*Examples!$G$8*EXP(-Examples!$G$9*$A936)*(1-(Examples!$G$12*(1-EXP(-Examples!$G$13*$A936))/(1+EXP(MIN(700,MAX(-700,(Examples!$G$14*$A936-Examples!$G$15)/Examples!$G$16))))))+Examples!$G$17*$A936^2)</f>
        <v>259032.8944393415</v>
      </c>
      <c r="K936" s="33">
        <f>(Examples!$G$6*Examples!$G$7*Examples!$G$8*EXP(-Examples!$G$9*$A936)*(1-(Examples!$G$12*(1-EXP(-Examples!$G$13*$A936))/(1+EXP(MIN(700,MAX(-700,(Examples!$G$14*$A936-Examples!$G$15)/Examples!$G$16))))))+Examples!$G$17*$A936^2)</f>
        <v>773967.1055606585</v>
      </c>
      <c r="L936" s="33">
        <f>Examples!$H$18-(Examples!$H$10+Examples!$H$11)*$A936-(Examples!$H$6*Examples!$H$7*Examples!$H$8*EXP(-Examples!$H$9*$A936)*(1-(Examples!$H$12*(1-EXP(-Examples!$H$13*$A936))/(1+EXP(MIN(700,MAX(-700,(Examples!$H$14*$A936-Examples!$H$15)/Examples!$H$16))))))+Examples!$H$17*$A936^2)</f>
        <v>259026.29499521619</v>
      </c>
      <c r="M936" s="33">
        <f>(Examples!$H$6*Examples!$H$7*Examples!$H$8*EXP(-Examples!$H$9*$A936)*(1-(Examples!$H$12*(1-EXP(-Examples!$H$13*$A936))/(1+EXP(MIN(700,MAX(-700,(Examples!$H$14*$A936-Examples!$H$15)/Examples!$H$16))))))+Examples!$H$17*$A936^2)</f>
        <v>773973.70500478381</v>
      </c>
    </row>
    <row r="937" spans="1:13" x14ac:dyDescent="0.25">
      <c r="A937">
        <f>(937-2)/100</f>
        <v>9.35</v>
      </c>
      <c r="B937" s="33">
        <f>Examples!$C$18-(Examples!$C$10+Examples!$C$11)*$A937-(Examples!$C$6*Examples!$C$7*Examples!$C$8*EXP(-Examples!$C$9*$A937)*(1-(Examples!$C$12*(1-EXP(-Examples!$C$13*$A937))/(1+EXP(MIN(700,MAX(-700,(Examples!$C$14*$A937-Examples!$C$15)/Examples!$C$16))))))+Examples!$C$17*$A937^2)</f>
        <v>-1074891.562703388</v>
      </c>
      <c r="C937" s="33">
        <f>(Examples!$C$6*Examples!$C$7*Examples!$C$8*EXP(-Examples!$C$9*$A937)*(1-(Examples!$C$12*(1-EXP(-Examples!$C$13*$A937))/(1+EXP(MIN(700,MAX(-700,(Examples!$C$14*$A937-Examples!$C$15)/Examples!$C$16))))))+Examples!$C$17*$A937^2)</f>
        <v>1347641.562703388</v>
      </c>
      <c r="D937" s="33">
        <f>Examples!$D$18-(Examples!$D$10+Examples!$D$11)*$A937-(Examples!$D$6*Examples!$D$7*Examples!$D$8*EXP(-Examples!$D$9*$A937)*(1-(Examples!$D$12*(1-EXP(-Examples!$D$13*$A937))/(1+EXP(MIN(700,MAX(-700,(Examples!$D$14*$A937-Examples!$D$15)/Examples!$D$16))))))+Examples!$D$17*$A937^2)</f>
        <v>1552874.4527264019</v>
      </c>
      <c r="E937" s="33">
        <f>(Examples!$D$6*Examples!$D$7*Examples!$D$8*EXP(-Examples!$D$9*$A937)*(1-(Examples!$D$12*(1-EXP(-Examples!$D$13*$A937))/(1+EXP(MIN(700,MAX(-700,(Examples!$D$14*$A937-Examples!$D$15)/Examples!$D$16))))))+Examples!$D$17*$A937^2)</f>
        <v>526375.54727359815</v>
      </c>
      <c r="F937" s="33">
        <f>Examples!$E$18-(Examples!$E$10+Examples!$E$11)*$A937-(Examples!$E$6*Examples!$E$7*Examples!$E$8*EXP(-Examples!$E$9*$A937)*(1-(Examples!$E$12*(1-EXP(-Examples!$E$13*$A937))/(1+EXP(MIN(700,MAX(-700,(Examples!$E$14*$A937-Examples!$E$15)/Examples!$E$16))))))+Examples!$E$17*$A937^2)</f>
        <v>1918442.2999056883</v>
      </c>
      <c r="G937" s="33">
        <f>(Examples!$E$6*Examples!$E$7*Examples!$E$8*EXP(-Examples!$E$9*$A937)*(1-(Examples!$E$12*(1-EXP(-Examples!$E$13*$A937))/(1+EXP(MIN(700,MAX(-700,(Examples!$E$14*$A937-Examples!$E$15)/Examples!$E$16))))))+Examples!$E$17*$A937^2)</f>
        <v>286807.70009431179</v>
      </c>
      <c r="H937" s="33">
        <f>Examples!$F$18-(Examples!$F$10+Examples!$F$11)*$A937-(Examples!$F$6*Examples!$F$7*Examples!$F$8*EXP(-Examples!$F$9*$A937)*(1-(Examples!$F$12*(1-EXP(-Examples!$F$13*$A937))/(1+EXP(MIN(700,MAX(-700,(Examples!$F$14*$A937-Examples!$F$15)/Examples!$F$16))))))+Examples!$F$17*$A937^2)</f>
        <v>-1786508.8684955202</v>
      </c>
      <c r="I937" s="33">
        <f>(Examples!$F$6*Examples!$F$7*Examples!$F$8*EXP(-Examples!$F$9*$A937)*(1-(Examples!$F$12*(1-EXP(-Examples!$F$13*$A937))/(1+EXP(MIN(700,MAX(-700,(Examples!$F$14*$A937-Examples!$F$15)/Examples!$F$16))))))+Examples!$F$17*$A937^2)</f>
        <v>1749508.8684955202</v>
      </c>
      <c r="J937" s="33">
        <f>Examples!$G$18-(Examples!$G$10+Examples!$G$11)*$A937-(Examples!$G$6*Examples!$G$7*Examples!$G$8*EXP(-Examples!$G$9*$A937)*(1-(Examples!$G$12*(1-EXP(-Examples!$G$13*$A937))/(1+EXP(MIN(700,MAX(-700,(Examples!$G$14*$A937-Examples!$G$15)/Examples!$G$16))))))+Examples!$G$17*$A937^2)</f>
        <v>257303.43026007095</v>
      </c>
      <c r="K937" s="33">
        <f>(Examples!$G$6*Examples!$G$7*Examples!$G$8*EXP(-Examples!$G$9*$A937)*(1-(Examples!$G$12*(1-EXP(-Examples!$G$13*$A937))/(1+EXP(MIN(700,MAX(-700,(Examples!$G$14*$A937-Examples!$G$15)/Examples!$G$16))))))+Examples!$G$17*$A937^2)</f>
        <v>775196.56973992905</v>
      </c>
      <c r="L937" s="33">
        <f>Examples!$H$18-(Examples!$H$10+Examples!$H$11)*$A937-(Examples!$H$6*Examples!$H$7*Examples!$H$8*EXP(-Examples!$H$9*$A937)*(1-(Examples!$H$12*(1-EXP(-Examples!$H$13*$A937))/(1+EXP(MIN(700,MAX(-700,(Examples!$H$14*$A937-Examples!$H$15)/Examples!$H$16))))))+Examples!$H$17*$A937^2)</f>
        <v>257296.94066084328</v>
      </c>
      <c r="M937" s="33">
        <f>(Examples!$H$6*Examples!$H$7*Examples!$H$8*EXP(-Examples!$H$9*$A937)*(1-(Examples!$H$12*(1-EXP(-Examples!$H$13*$A937))/(1+EXP(MIN(700,MAX(-700,(Examples!$H$14*$A937-Examples!$H$15)/Examples!$H$16))))))+Examples!$H$17*$A937^2)</f>
        <v>775203.05933915672</v>
      </c>
    </row>
    <row r="938" spans="1:13" x14ac:dyDescent="0.25">
      <c r="A938">
        <f>(938-2)/100</f>
        <v>9.36</v>
      </c>
      <c r="B938" s="33">
        <f>Examples!$C$18-(Examples!$C$10+Examples!$C$11)*$A938-(Examples!$C$6*Examples!$C$7*Examples!$C$8*EXP(-Examples!$C$9*$A938)*(1-(Examples!$C$12*(1-EXP(-Examples!$C$13*$A938))/(1+EXP(MIN(700,MAX(-700,(Examples!$C$14*$A938-Examples!$C$15)/Examples!$C$16))))))+Examples!$C$17*$A938^2)</f>
        <v>-1077939.3137203192</v>
      </c>
      <c r="C938" s="33">
        <f>(Examples!$C$6*Examples!$C$7*Examples!$C$8*EXP(-Examples!$C$9*$A938)*(1-(Examples!$C$12*(1-EXP(-Examples!$C$13*$A938))/(1+EXP(MIN(700,MAX(-700,(Examples!$C$14*$A938-Examples!$C$15)/Examples!$C$16))))))+Examples!$C$17*$A938^2)</f>
        <v>1350339.3137203192</v>
      </c>
      <c r="D938" s="33">
        <f>Examples!$D$18-(Examples!$D$10+Examples!$D$11)*$A938-(Examples!$D$6*Examples!$D$7*Examples!$D$8*EXP(-Examples!$D$9*$A938)*(1-(Examples!$D$12*(1-EXP(-Examples!$D$13*$A938))/(1+EXP(MIN(700,MAX(-700,(Examples!$D$14*$A938-Examples!$D$15)/Examples!$D$16))))))+Examples!$D$17*$A938^2)</f>
        <v>1551889.2322630894</v>
      </c>
      <c r="E938" s="33">
        <f>(Examples!$D$6*Examples!$D$7*Examples!$D$8*EXP(-Examples!$D$9*$A938)*(1-(Examples!$D$12*(1-EXP(-Examples!$D$13*$A938))/(1+EXP(MIN(700,MAX(-700,(Examples!$D$14*$A938-Examples!$D$15)/Examples!$D$16))))))+Examples!$D$17*$A938^2)</f>
        <v>526910.76773691061</v>
      </c>
      <c r="F938" s="33">
        <f>Examples!$E$18-(Examples!$E$10+Examples!$E$11)*$A938-(Examples!$E$6*Examples!$E$7*Examples!$E$8*EXP(-Examples!$E$9*$A938)*(1-(Examples!$E$12*(1-EXP(-Examples!$E$13*$A938))/(1+EXP(MIN(700,MAX(-700,(Examples!$E$14*$A938-Examples!$E$15)/Examples!$E$16))))))+Examples!$E$17*$A938^2)</f>
        <v>1917148.4871967051</v>
      </c>
      <c r="G938" s="33">
        <f>(Examples!$E$6*Examples!$E$7*Examples!$E$8*EXP(-Examples!$E$9*$A938)*(1-(Examples!$E$12*(1-EXP(-Examples!$E$13*$A938))/(1+EXP(MIN(700,MAX(-700,(Examples!$E$14*$A938-Examples!$E$15)/Examples!$E$16))))))+Examples!$E$17*$A938^2)</f>
        <v>287251.51280329487</v>
      </c>
      <c r="H938" s="33">
        <f>Examples!$F$18-(Examples!$F$10+Examples!$F$11)*$A938-(Examples!$F$6*Examples!$F$7*Examples!$F$8*EXP(-Examples!$F$9*$A938)*(1-(Examples!$F$12*(1-EXP(-Examples!$F$13*$A938))/(1+EXP(MIN(700,MAX(-700,(Examples!$F$14*$A938-Examples!$F$15)/Examples!$F$16))))))+Examples!$F$17*$A938^2)</f>
        <v>-1790447.6966501803</v>
      </c>
      <c r="I938" s="33">
        <f>(Examples!$F$6*Examples!$F$7*Examples!$F$8*EXP(-Examples!$F$9*$A938)*(1-(Examples!$F$12*(1-EXP(-Examples!$F$13*$A938))/(1+EXP(MIN(700,MAX(-700,(Examples!$F$14*$A938-Examples!$F$15)/Examples!$F$16))))))+Examples!$F$17*$A938^2)</f>
        <v>1753247.6966501803</v>
      </c>
      <c r="J938" s="33">
        <f>Examples!$G$18-(Examples!$G$10+Examples!$G$11)*$A938-(Examples!$G$6*Examples!$G$7*Examples!$G$8*EXP(-Examples!$G$9*$A938)*(1-(Examples!$G$12*(1-EXP(-Examples!$G$13*$A938))/(1+EXP(MIN(700,MAX(-700,(Examples!$G$14*$A938-Examples!$G$15)/Examples!$G$16))))))+Examples!$G$17*$A938^2)</f>
        <v>255571.43907407427</v>
      </c>
      <c r="K938" s="33">
        <f>(Examples!$G$6*Examples!$G$7*Examples!$G$8*EXP(-Examples!$G$9*$A938)*(1-(Examples!$G$12*(1-EXP(-Examples!$G$13*$A938))/(1+EXP(MIN(700,MAX(-700,(Examples!$G$14*$A938-Examples!$G$15)/Examples!$G$16))))))+Examples!$G$17*$A938^2)</f>
        <v>776428.56092592573</v>
      </c>
      <c r="L938" s="33">
        <f>Examples!$H$18-(Examples!$H$10+Examples!$H$11)*$A938-(Examples!$H$6*Examples!$H$7*Examples!$H$8*EXP(-Examples!$H$9*$A938)*(1-(Examples!$H$12*(1-EXP(-Examples!$H$13*$A938))/(1+EXP(MIN(700,MAX(-700,(Examples!$H$14*$A938-Examples!$H$15)/Examples!$H$16))))))+Examples!$H$17*$A938^2)</f>
        <v>255565.05749306805</v>
      </c>
      <c r="M938" s="33">
        <f>(Examples!$H$6*Examples!$H$7*Examples!$H$8*EXP(-Examples!$H$9*$A938)*(1-(Examples!$H$12*(1-EXP(-Examples!$H$13*$A938))/(1+EXP(MIN(700,MAX(-700,(Examples!$H$14*$A938-Examples!$H$15)/Examples!$H$16))))))+Examples!$H$17*$A938^2)</f>
        <v>776434.94250693195</v>
      </c>
    </row>
    <row r="939" spans="1:13" x14ac:dyDescent="0.25">
      <c r="A939">
        <f>(939-2)/100</f>
        <v>9.3699999999999992</v>
      </c>
      <c r="B939" s="33">
        <f>Examples!$C$18-(Examples!$C$10+Examples!$C$11)*$A939-(Examples!$C$6*Examples!$C$7*Examples!$C$8*EXP(-Examples!$C$9*$A939)*(1-(Examples!$C$12*(1-EXP(-Examples!$C$13*$A939))/(1+EXP(MIN(700,MAX(-700,(Examples!$C$14*$A939-Examples!$C$15)/Examples!$C$16))))))+Examples!$C$17*$A939^2)</f>
        <v>-1080990.3904953182</v>
      </c>
      <c r="C939" s="33">
        <f>(Examples!$C$6*Examples!$C$7*Examples!$C$8*EXP(-Examples!$C$9*$A939)*(1-(Examples!$C$12*(1-EXP(-Examples!$C$13*$A939))/(1+EXP(MIN(700,MAX(-700,(Examples!$C$14*$A939-Examples!$C$15)/Examples!$C$16))))))+Examples!$C$17*$A939^2)</f>
        <v>1353040.3904953182</v>
      </c>
      <c r="D939" s="33">
        <f>Examples!$D$18-(Examples!$D$10+Examples!$D$11)*$A939-(Examples!$D$6*Examples!$D$7*Examples!$D$8*EXP(-Examples!$D$9*$A939)*(1-(Examples!$D$12*(1-EXP(-Examples!$D$13*$A939))/(1+EXP(MIN(700,MAX(-700,(Examples!$D$14*$A939-Examples!$D$15)/Examples!$D$16))))))+Examples!$D$17*$A939^2)</f>
        <v>1550901.2234339281</v>
      </c>
      <c r="E939" s="33">
        <f>(Examples!$D$6*Examples!$D$7*Examples!$D$8*EXP(-Examples!$D$9*$A939)*(1-(Examples!$D$12*(1-EXP(-Examples!$D$13*$A939))/(1+EXP(MIN(700,MAX(-700,(Examples!$D$14*$A939-Examples!$D$15)/Examples!$D$16))))))+Examples!$D$17*$A939^2)</f>
        <v>527448.7765660719</v>
      </c>
      <c r="F939" s="33">
        <f>Examples!$E$18-(Examples!$E$10+Examples!$E$11)*$A939-(Examples!$E$6*Examples!$E$7*Examples!$E$8*EXP(-Examples!$E$9*$A939)*(1-(Examples!$E$12*(1-EXP(-Examples!$E$13*$A939))/(1+EXP(MIN(700,MAX(-700,(Examples!$E$14*$A939-Examples!$E$15)/Examples!$E$16))))))+Examples!$E$17*$A939^2)</f>
        <v>1915853.5495087495</v>
      </c>
      <c r="G939" s="33">
        <f>(Examples!$E$6*Examples!$E$7*Examples!$E$8*EXP(-Examples!$E$9*$A939)*(1-(Examples!$E$12*(1-EXP(-Examples!$E$13*$A939))/(1+EXP(MIN(700,MAX(-700,(Examples!$E$14*$A939-Examples!$E$15)/Examples!$E$16))))))+Examples!$E$17*$A939^2)</f>
        <v>287696.45049125038</v>
      </c>
      <c r="H939" s="33">
        <f>Examples!$F$18-(Examples!$F$10+Examples!$F$11)*$A939-(Examples!$F$6*Examples!$F$7*Examples!$F$8*EXP(-Examples!$F$9*$A939)*(1-(Examples!$F$12*(1-EXP(-Examples!$F$13*$A939))/(1+EXP(MIN(700,MAX(-700,(Examples!$F$14*$A939-Examples!$F$15)/Examples!$F$16))))))+Examples!$F$17*$A939^2)</f>
        <v>-1794390.5343061173</v>
      </c>
      <c r="I939" s="33">
        <f>(Examples!$F$6*Examples!$F$7*Examples!$F$8*EXP(-Examples!$F$9*$A939)*(1-(Examples!$F$12*(1-EXP(-Examples!$F$13*$A939))/(1+EXP(MIN(700,MAX(-700,(Examples!$F$14*$A939-Examples!$F$15)/Examples!$F$16))))))+Examples!$F$17*$A939^2)</f>
        <v>1756990.5343061173</v>
      </c>
      <c r="J939" s="33">
        <f>Examples!$G$18-(Examples!$G$10+Examples!$G$11)*$A939-(Examples!$G$6*Examples!$G$7*Examples!$G$8*EXP(-Examples!$G$9*$A939)*(1-(Examples!$G$12*(1-EXP(-Examples!$G$13*$A939))/(1+EXP(MIN(700,MAX(-700,(Examples!$G$14*$A939-Examples!$G$15)/Examples!$G$16))))))+Examples!$G$17*$A939^2)</f>
        <v>253836.92409624485</v>
      </c>
      <c r="K939" s="33">
        <f>(Examples!$G$6*Examples!$G$7*Examples!$G$8*EXP(-Examples!$G$9*$A939)*(1-(Examples!$G$12*(1-EXP(-Examples!$G$13*$A939))/(1+EXP(MIN(700,MAX(-700,(Examples!$G$14*$A939-Examples!$G$15)/Examples!$G$16))))))+Examples!$G$17*$A939^2)</f>
        <v>777663.07590375515</v>
      </c>
      <c r="L939" s="33">
        <f>Examples!$H$18-(Examples!$H$10+Examples!$H$11)*$A939-(Examples!$H$6*Examples!$H$7*Examples!$H$8*EXP(-Examples!$H$9*$A939)*(1-(Examples!$H$12*(1-EXP(-Examples!$H$13*$A939))/(1+EXP(MIN(700,MAX(-700,(Examples!$H$14*$A939-Examples!$H$15)/Examples!$H$16))))))+Examples!$H$17*$A939^2)</f>
        <v>253830.64873712417</v>
      </c>
      <c r="M939" s="33">
        <f>(Examples!$H$6*Examples!$H$7*Examples!$H$8*EXP(-Examples!$H$9*$A939)*(1-(Examples!$H$12*(1-EXP(-Examples!$H$13*$A939))/(1+EXP(MIN(700,MAX(-700,(Examples!$H$14*$A939-Examples!$H$15)/Examples!$H$16))))))+Examples!$H$17*$A939^2)</f>
        <v>777669.35126287583</v>
      </c>
    </row>
    <row r="940" spans="1:13" x14ac:dyDescent="0.25">
      <c r="A940">
        <f>(940-2)/100</f>
        <v>9.3800000000000008</v>
      </c>
      <c r="B940" s="33">
        <f>Examples!$C$18-(Examples!$C$10+Examples!$C$11)*$A940-(Examples!$C$6*Examples!$C$7*Examples!$C$8*EXP(-Examples!$C$9*$A940)*(1-(Examples!$C$12*(1-EXP(-Examples!$C$13*$A940))/(1+EXP(MIN(700,MAX(-700,(Examples!$C$14*$A940-Examples!$C$15)/Examples!$C$16))))))+Examples!$C$17*$A940^2)</f>
        <v>-1084044.7920525754</v>
      </c>
      <c r="C940" s="33">
        <f>(Examples!$C$6*Examples!$C$7*Examples!$C$8*EXP(-Examples!$C$9*$A940)*(1-(Examples!$C$12*(1-EXP(-Examples!$C$13*$A940))/(1+EXP(MIN(700,MAX(-700,(Examples!$C$14*$A940-Examples!$C$15)/Examples!$C$16))))))+Examples!$C$17*$A940^2)</f>
        <v>1355744.7920525754</v>
      </c>
      <c r="D940" s="33">
        <f>Examples!$D$18-(Examples!$D$10+Examples!$D$11)*$A940-(Examples!$D$6*Examples!$D$7*Examples!$D$8*EXP(-Examples!$D$9*$A940)*(1-(Examples!$D$12*(1-EXP(-Examples!$D$13*$A940))/(1+EXP(MIN(700,MAX(-700,(Examples!$D$14*$A940-Examples!$D$15)/Examples!$D$16))))))+Examples!$D$17*$A940^2)</f>
        <v>1549910.4341127379</v>
      </c>
      <c r="E940" s="33">
        <f>(Examples!$D$6*Examples!$D$7*Examples!$D$8*EXP(-Examples!$D$9*$A940)*(1-(Examples!$D$12*(1-EXP(-Examples!$D$13*$A940))/(1+EXP(MIN(700,MAX(-700,(Examples!$D$14*$A940-Examples!$D$15)/Examples!$D$16))))))+Examples!$D$17*$A940^2)</f>
        <v>527989.56588726223</v>
      </c>
      <c r="F940" s="33">
        <f>Examples!$E$18-(Examples!$E$10+Examples!$E$11)*$A940-(Examples!$E$6*Examples!$E$7*Examples!$E$8*EXP(-Examples!$E$9*$A940)*(1-(Examples!$E$12*(1-EXP(-Examples!$E$13*$A940))/(1+EXP(MIN(700,MAX(-700,(Examples!$E$14*$A940-Examples!$E$15)/Examples!$E$16))))))+Examples!$E$17*$A940^2)</f>
        <v>1914557.4887203816</v>
      </c>
      <c r="G940" s="33">
        <f>(Examples!$E$6*Examples!$E$7*Examples!$E$8*EXP(-Examples!$E$9*$A940)*(1-(Examples!$E$12*(1-EXP(-Examples!$E$13*$A940))/(1+EXP(MIN(700,MAX(-700,(Examples!$E$14*$A940-Examples!$E$15)/Examples!$E$16))))))+Examples!$E$17*$A940^2)</f>
        <v>288142.51127961831</v>
      </c>
      <c r="H940" s="33">
        <f>Examples!$F$18-(Examples!$F$10+Examples!$F$11)*$A940-(Examples!$F$6*Examples!$F$7*Examples!$F$8*EXP(-Examples!$F$9*$A940)*(1-(Examples!$F$12*(1-EXP(-Examples!$F$13*$A940))/(1+EXP(MIN(700,MAX(-700,(Examples!$F$14*$A940-Examples!$F$15)/Examples!$F$16))))))+Examples!$F$17*$A940^2)</f>
        <v>-1798337.3814348711</v>
      </c>
      <c r="I940" s="33">
        <f>(Examples!$F$6*Examples!$F$7*Examples!$F$8*EXP(-Examples!$F$9*$A940)*(1-(Examples!$F$12*(1-EXP(-Examples!$F$13*$A940))/(1+EXP(MIN(700,MAX(-700,(Examples!$F$14*$A940-Examples!$F$15)/Examples!$F$16))))))+Examples!$F$17*$A940^2)</f>
        <v>1760737.3814348711</v>
      </c>
      <c r="J940" s="33">
        <f>Examples!$G$18-(Examples!$G$10+Examples!$G$11)*$A940-(Examples!$G$6*Examples!$G$7*Examples!$G$8*EXP(-Examples!$G$9*$A940)*(1-(Examples!$G$12*(1-EXP(-Examples!$G$13*$A940))/(1+EXP(MIN(700,MAX(-700,(Examples!$G$14*$A940-Examples!$G$15)/Examples!$G$16))))))+Examples!$G$17*$A940^2)</f>
        <v>252099.88853064051</v>
      </c>
      <c r="K940" s="33">
        <f>(Examples!$G$6*Examples!$G$7*Examples!$G$8*EXP(-Examples!$G$9*$A940)*(1-(Examples!$G$12*(1-EXP(-Examples!$G$13*$A940))/(1+EXP(MIN(700,MAX(-700,(Examples!$G$14*$A940-Examples!$G$15)/Examples!$G$16))))))+Examples!$G$17*$A940^2)</f>
        <v>778900.11146935949</v>
      </c>
      <c r="L940" s="33">
        <f>Examples!$H$18-(Examples!$H$10+Examples!$H$11)*$A940-(Examples!$H$6*Examples!$H$7*Examples!$H$8*EXP(-Examples!$H$9*$A940)*(1-(Examples!$H$12*(1-EXP(-Examples!$H$13*$A940))/(1+EXP(MIN(700,MAX(-700,(Examples!$H$14*$A940-Examples!$H$15)/Examples!$H$16))))))+Examples!$H$17*$A940^2)</f>
        <v>252093.71762690635</v>
      </c>
      <c r="M940" s="33">
        <f>(Examples!$H$6*Examples!$H$7*Examples!$H$8*EXP(-Examples!$H$9*$A940)*(1-(Examples!$H$12*(1-EXP(-Examples!$H$13*$A940))/(1+EXP(MIN(700,MAX(-700,(Examples!$H$14*$A940-Examples!$H$15)/Examples!$H$16))))))+Examples!$H$17*$A940^2)</f>
        <v>778906.28237309365</v>
      </c>
    </row>
    <row r="941" spans="1:13" x14ac:dyDescent="0.25">
      <c r="A941">
        <f>(941-2)/100</f>
        <v>9.39</v>
      </c>
      <c r="B941" s="33">
        <f>Examples!$C$18-(Examples!$C$10+Examples!$C$11)*$A941-(Examples!$C$6*Examples!$C$7*Examples!$C$8*EXP(-Examples!$C$9*$A941)*(1-(Examples!$C$12*(1-EXP(-Examples!$C$13*$A941))/(1+EXP(MIN(700,MAX(-700,(Examples!$C$14*$A941-Examples!$C$15)/Examples!$C$16))))))+Examples!$C$17*$A941^2)</f>
        <v>-1087102.5174192034</v>
      </c>
      <c r="C941" s="33">
        <f>(Examples!$C$6*Examples!$C$7*Examples!$C$8*EXP(-Examples!$C$9*$A941)*(1-(Examples!$C$12*(1-EXP(-Examples!$C$13*$A941))/(1+EXP(MIN(700,MAX(-700,(Examples!$C$14*$A941-Examples!$C$15)/Examples!$C$16))))))+Examples!$C$17*$A941^2)</f>
        <v>1358452.5174192034</v>
      </c>
      <c r="D941" s="33">
        <f>Examples!$D$18-(Examples!$D$10+Examples!$D$11)*$A941-(Examples!$D$6*Examples!$D$7*Examples!$D$8*EXP(-Examples!$D$9*$A941)*(1-(Examples!$D$12*(1-EXP(-Examples!$D$13*$A941))/(1+EXP(MIN(700,MAX(-700,(Examples!$D$14*$A941-Examples!$D$15)/Examples!$D$16))))))+Examples!$D$17*$A941^2)</f>
        <v>1548916.8721407233</v>
      </c>
      <c r="E941" s="33">
        <f>(Examples!$D$6*Examples!$D$7*Examples!$D$8*EXP(-Examples!$D$9*$A941)*(1-(Examples!$D$12*(1-EXP(-Examples!$D$13*$A941))/(1+EXP(MIN(700,MAX(-700,(Examples!$D$14*$A941-Examples!$D$15)/Examples!$D$16))))))+Examples!$D$17*$A941^2)</f>
        <v>528533.12785927684</v>
      </c>
      <c r="F941" s="33">
        <f>Examples!$E$18-(Examples!$E$10+Examples!$E$11)*$A941-(Examples!$E$6*Examples!$E$7*Examples!$E$8*EXP(-Examples!$E$9*$A941)*(1-(Examples!$E$12*(1-EXP(-Examples!$E$13*$A941))/(1+EXP(MIN(700,MAX(-700,(Examples!$E$14*$A941-Examples!$E$15)/Examples!$E$16))))))+Examples!$E$17*$A941^2)</f>
        <v>1913260.3067093976</v>
      </c>
      <c r="G941" s="33">
        <f>(Examples!$E$6*Examples!$E$7*Examples!$E$8*EXP(-Examples!$E$9*$A941)*(1-(Examples!$E$12*(1-EXP(-Examples!$E$13*$A941))/(1+EXP(MIN(700,MAX(-700,(Examples!$E$14*$A941-Examples!$E$15)/Examples!$E$16))))))+Examples!$E$17*$A941^2)</f>
        <v>288589.69329060242</v>
      </c>
      <c r="H941" s="33">
        <f>Examples!$F$18-(Examples!$F$10+Examples!$F$11)*$A941-(Examples!$F$6*Examples!$F$7*Examples!$F$8*EXP(-Examples!$F$9*$A941)*(1-(Examples!$F$12*(1-EXP(-Examples!$F$13*$A941))/(1+EXP(MIN(700,MAX(-700,(Examples!$F$14*$A941-Examples!$F$15)/Examples!$F$16))))))+Examples!$F$17*$A941^2)</f>
        <v>-1802288.2380080645</v>
      </c>
      <c r="I941" s="33">
        <f>(Examples!$F$6*Examples!$F$7*Examples!$F$8*EXP(-Examples!$F$9*$A941)*(1-(Examples!$F$12*(1-EXP(-Examples!$F$13*$A941))/(1+EXP(MIN(700,MAX(-700,(Examples!$F$14*$A941-Examples!$F$15)/Examples!$F$16))))))+Examples!$F$17*$A941^2)</f>
        <v>1764488.2380080645</v>
      </c>
      <c r="J941" s="33">
        <f>Examples!$G$18-(Examples!$G$10+Examples!$G$11)*$A941-(Examples!$G$6*Examples!$G$7*Examples!$G$8*EXP(-Examples!$G$9*$A941)*(1-(Examples!$G$12*(1-EXP(-Examples!$G$13*$A941))/(1+EXP(MIN(700,MAX(-700,(Examples!$G$14*$A941-Examples!$G$15)/Examples!$G$16))))))+Examples!$G$17*$A941^2)</f>
        <v>250360.33557051595</v>
      </c>
      <c r="K941" s="33">
        <f>(Examples!$G$6*Examples!$G$7*Examples!$G$8*EXP(-Examples!$G$9*$A941)*(1-(Examples!$G$12*(1-EXP(-Examples!$G$13*$A941))/(1+EXP(MIN(700,MAX(-700,(Examples!$G$14*$A941-Examples!$G$15)/Examples!$G$16))))))+Examples!$G$17*$A941^2)</f>
        <v>780139.66442948405</v>
      </c>
      <c r="L941" s="33">
        <f>Examples!$H$18-(Examples!$H$10+Examples!$H$11)*$A941-(Examples!$H$6*Examples!$H$7*Examples!$H$8*EXP(-Examples!$H$9*$A941)*(1-(Examples!$H$12*(1-EXP(-Examples!$H$13*$A941))/(1+EXP(MIN(700,MAX(-700,(Examples!$H$14*$A941-Examples!$H$15)/Examples!$H$16))))))+Examples!$H$17*$A941^2)</f>
        <v>250354.26738501177</v>
      </c>
      <c r="M941" s="33">
        <f>(Examples!$H$6*Examples!$H$7*Examples!$H$8*EXP(-Examples!$H$9*$A941)*(1-(Examples!$H$12*(1-EXP(-Examples!$H$13*$A941))/(1+EXP(MIN(700,MAX(-700,(Examples!$H$14*$A941-Examples!$H$15)/Examples!$H$16))))))+Examples!$H$17*$A941^2)</f>
        <v>780145.73261498823</v>
      </c>
    </row>
    <row r="942" spans="1:13" x14ac:dyDescent="0.25">
      <c r="A942">
        <f>(942-2)/100</f>
        <v>9.4</v>
      </c>
      <c r="B942" s="33">
        <f>Examples!$C$18-(Examples!$C$10+Examples!$C$11)*$A942-(Examples!$C$6*Examples!$C$7*Examples!$C$8*EXP(-Examples!$C$9*$A942)*(1-(Examples!$C$12*(1-EXP(-Examples!$C$13*$A942))/(1+EXP(MIN(700,MAX(-700,(Examples!$C$14*$A942-Examples!$C$15)/Examples!$C$16))))))+Examples!$C$17*$A942^2)</f>
        <v>-1090163.5656252301</v>
      </c>
      <c r="C942" s="33">
        <f>(Examples!$C$6*Examples!$C$7*Examples!$C$8*EXP(-Examples!$C$9*$A942)*(1-(Examples!$C$12*(1-EXP(-Examples!$C$13*$A942))/(1+EXP(MIN(700,MAX(-700,(Examples!$C$14*$A942-Examples!$C$15)/Examples!$C$16))))))+Examples!$C$17*$A942^2)</f>
        <v>1361163.5656252301</v>
      </c>
      <c r="D942" s="33">
        <f>Examples!$D$18-(Examples!$D$10+Examples!$D$11)*$A942-(Examples!$D$6*Examples!$D$7*Examples!$D$8*EXP(-Examples!$D$9*$A942)*(1-(Examples!$D$12*(1-EXP(-Examples!$D$13*$A942))/(1+EXP(MIN(700,MAX(-700,(Examples!$D$14*$A942-Examples!$D$15)/Examples!$D$16))))))+Examples!$D$17*$A942^2)</f>
        <v>1547920.5453265714</v>
      </c>
      <c r="E942" s="33">
        <f>(Examples!$D$6*Examples!$D$7*Examples!$D$8*EXP(-Examples!$D$9*$A942)*(1-(Examples!$D$12*(1-EXP(-Examples!$D$13*$A942))/(1+EXP(MIN(700,MAX(-700,(Examples!$D$14*$A942-Examples!$D$15)/Examples!$D$16))))))+Examples!$D$17*$A942^2)</f>
        <v>529079.45467342855</v>
      </c>
      <c r="F942" s="33">
        <f>Examples!$E$18-(Examples!$E$10+Examples!$E$11)*$A942-(Examples!$E$6*Examples!$E$7*Examples!$E$8*EXP(-Examples!$E$9*$A942)*(1-(Examples!$E$12*(1-EXP(-Examples!$E$13*$A942))/(1+EXP(MIN(700,MAX(-700,(Examples!$E$14*$A942-Examples!$E$15)/Examples!$E$16))))))+Examples!$E$17*$A942^2)</f>
        <v>1911962.0053527411</v>
      </c>
      <c r="G942" s="33">
        <f>(Examples!$E$6*Examples!$E$7*Examples!$E$8*EXP(-Examples!$E$9*$A942)*(1-(Examples!$E$12*(1-EXP(-Examples!$E$13*$A942))/(1+EXP(MIN(700,MAX(-700,(Examples!$E$14*$A942-Examples!$E$15)/Examples!$E$16))))))+Examples!$E$17*$A942^2)</f>
        <v>289037.99464725901</v>
      </c>
      <c r="H942" s="33">
        <f>Examples!$F$18-(Examples!$F$10+Examples!$F$11)*$A942-(Examples!$F$6*Examples!$F$7*Examples!$F$8*EXP(-Examples!$F$9*$A942)*(1-(Examples!$F$12*(1-EXP(-Examples!$F$13*$A942))/(1+EXP(MIN(700,MAX(-700,(Examples!$F$14*$A942-Examples!$F$15)/Examples!$F$16))))))+Examples!$F$17*$A942^2)</f>
        <v>-1806243.1039974068</v>
      </c>
      <c r="I942" s="33">
        <f>(Examples!$F$6*Examples!$F$7*Examples!$F$8*EXP(-Examples!$F$9*$A942)*(1-(Examples!$F$12*(1-EXP(-Examples!$F$13*$A942))/(1+EXP(MIN(700,MAX(-700,(Examples!$F$14*$A942-Examples!$F$15)/Examples!$F$16))))))+Examples!$F$17*$A942^2)</f>
        <v>1768243.1039974068</v>
      </c>
      <c r="J942" s="33">
        <f>Examples!$G$18-(Examples!$G$10+Examples!$G$11)*$A942-(Examples!$G$6*Examples!$G$7*Examples!$G$8*EXP(-Examples!$G$9*$A942)*(1-(Examples!$G$12*(1-EXP(-Examples!$G$13*$A942))/(1+EXP(MIN(700,MAX(-700,(Examples!$G$14*$A942-Examples!$G$15)/Examples!$G$16))))))+Examples!$G$17*$A942^2)</f>
        <v>248618.26839835255</v>
      </c>
      <c r="K942" s="33">
        <f>(Examples!$G$6*Examples!$G$7*Examples!$G$8*EXP(-Examples!$G$9*$A942)*(1-(Examples!$G$12*(1-EXP(-Examples!$G$13*$A942))/(1+EXP(MIN(700,MAX(-700,(Examples!$G$14*$A942-Examples!$G$15)/Examples!$G$16))))))+Examples!$G$17*$A942^2)</f>
        <v>781381.73160164745</v>
      </c>
      <c r="L942" s="33">
        <f>Examples!$H$18-(Examples!$H$10+Examples!$H$11)*$A942-(Examples!$H$6*Examples!$H$7*Examples!$H$8*EXP(-Examples!$H$9*$A942)*(1-(Examples!$H$12*(1-EXP(-Examples!$H$13*$A942))/(1+EXP(MIN(700,MAX(-700,(Examples!$H$14*$A942-Examples!$H$15)/Examples!$H$16))))))+Examples!$H$17*$A942^2)</f>
        <v>248612.30122277723</v>
      </c>
      <c r="M942" s="33">
        <f>(Examples!$H$6*Examples!$H$7*Examples!$H$8*EXP(-Examples!$H$9*$A942)*(1-(Examples!$H$12*(1-EXP(-Examples!$H$13*$A942))/(1+EXP(MIN(700,MAX(-700,(Examples!$H$14*$A942-Examples!$H$15)/Examples!$H$16))))))+Examples!$H$17*$A942^2)</f>
        <v>781387.69877722277</v>
      </c>
    </row>
    <row r="943" spans="1:13" x14ac:dyDescent="0.25">
      <c r="A943">
        <f>(943-2)/100</f>
        <v>9.41</v>
      </c>
      <c r="B943" s="33">
        <f>Examples!$C$18-(Examples!$C$10+Examples!$C$11)*$A943-(Examples!$C$6*Examples!$C$7*Examples!$C$8*EXP(-Examples!$C$9*$A943)*(1-(Examples!$C$12*(1-EXP(-Examples!$C$13*$A943))/(1+EXP(MIN(700,MAX(-700,(Examples!$C$14*$A943-Examples!$C$15)/Examples!$C$16))))))+Examples!$C$17*$A943^2)</f>
        <v>-1093227.9357035884</v>
      </c>
      <c r="C943" s="33">
        <f>(Examples!$C$6*Examples!$C$7*Examples!$C$8*EXP(-Examples!$C$9*$A943)*(1-(Examples!$C$12*(1-EXP(-Examples!$C$13*$A943))/(1+EXP(MIN(700,MAX(-700,(Examples!$C$14*$A943-Examples!$C$15)/Examples!$C$16))))))+Examples!$C$17*$A943^2)</f>
        <v>1363877.9357035884</v>
      </c>
      <c r="D943" s="33">
        <f>Examples!$D$18-(Examples!$D$10+Examples!$D$11)*$A943-(Examples!$D$6*Examples!$D$7*Examples!$D$8*EXP(-Examples!$D$9*$A943)*(1-(Examples!$D$12*(1-EXP(-Examples!$D$13*$A943))/(1+EXP(MIN(700,MAX(-700,(Examples!$D$14*$A943-Examples!$D$15)/Examples!$D$16))))))+Examples!$D$17*$A943^2)</f>
        <v>1546921.4614465521</v>
      </c>
      <c r="E943" s="33">
        <f>(Examples!$D$6*Examples!$D$7*Examples!$D$8*EXP(-Examples!$D$9*$A943)*(1-(Examples!$D$12*(1-EXP(-Examples!$D$13*$A943))/(1+EXP(MIN(700,MAX(-700,(Examples!$D$14*$A943-Examples!$D$15)/Examples!$D$16))))))+Examples!$D$17*$A943^2)</f>
        <v>529628.53855344781</v>
      </c>
      <c r="F943" s="33">
        <f>Examples!$E$18-(Examples!$E$10+Examples!$E$11)*$A943-(Examples!$E$6*Examples!$E$7*Examples!$E$8*EXP(-Examples!$E$9*$A943)*(1-(Examples!$E$12*(1-EXP(-Examples!$E$13*$A943))/(1+EXP(MIN(700,MAX(-700,(Examples!$E$14*$A943-Examples!$E$15)/Examples!$E$16))))))+Examples!$E$17*$A943^2)</f>
        <v>1910662.5865264158</v>
      </c>
      <c r="G943" s="33">
        <f>(Examples!$E$6*Examples!$E$7*Examples!$E$8*EXP(-Examples!$E$9*$A943)*(1-(Examples!$E$12*(1-EXP(-Examples!$E$13*$A943))/(1+EXP(MIN(700,MAX(-700,(Examples!$E$14*$A943-Examples!$E$15)/Examples!$E$16))))))+Examples!$E$17*$A943^2)</f>
        <v>289487.41347358434</v>
      </c>
      <c r="H943" s="33">
        <f>Examples!$F$18-(Examples!$F$10+Examples!$F$11)*$A943-(Examples!$F$6*Examples!$F$7*Examples!$F$8*EXP(-Examples!$F$9*$A943)*(1-(Examples!$F$12*(1-EXP(-Examples!$F$13*$A943))/(1+EXP(MIN(700,MAX(-700,(Examples!$F$14*$A943-Examples!$F$15)/Examples!$F$16))))))+Examples!$F$17*$A943^2)</f>
        <v>-1810201.9793746918</v>
      </c>
      <c r="I943" s="33">
        <f>(Examples!$F$6*Examples!$F$7*Examples!$F$8*EXP(-Examples!$F$9*$A943)*(1-(Examples!$F$12*(1-EXP(-Examples!$F$13*$A943))/(1+EXP(MIN(700,MAX(-700,(Examples!$F$14*$A943-Examples!$F$15)/Examples!$F$16))))))+Examples!$F$17*$A943^2)</f>
        <v>1772001.9793746918</v>
      </c>
      <c r="J943" s="33">
        <f>Examples!$G$18-(Examples!$G$10+Examples!$G$11)*$A943-(Examples!$G$6*Examples!$G$7*Examples!$G$8*EXP(-Examples!$G$9*$A943)*(1-(Examples!$G$12*(1-EXP(-Examples!$G$13*$A943))/(1+EXP(MIN(700,MAX(-700,(Examples!$G$14*$A943-Examples!$G$15)/Examples!$G$16))))))+Examples!$G$17*$A943^2)</f>
        <v>246873.69018588995</v>
      </c>
      <c r="K943" s="33">
        <f>(Examples!$G$6*Examples!$G$7*Examples!$G$8*EXP(-Examples!$G$9*$A943)*(1-(Examples!$G$12*(1-EXP(-Examples!$G$13*$A943))/(1+EXP(MIN(700,MAX(-700,(Examples!$G$14*$A943-Examples!$G$15)/Examples!$G$16))))))+Examples!$G$17*$A943^2)</f>
        <v>782626.30981411005</v>
      </c>
      <c r="L943" s="33">
        <f>Examples!$H$18-(Examples!$H$10+Examples!$H$11)*$A943-(Examples!$H$6*Examples!$H$7*Examples!$H$8*EXP(-Examples!$H$9*$A943)*(1-(Examples!$H$12*(1-EXP(-Examples!$H$13*$A943))/(1+EXP(MIN(700,MAX(-700,(Examples!$H$14*$A943-Examples!$H$15)/Examples!$H$16))))))+Examples!$H$17*$A943^2)</f>
        <v>246867.82234031998</v>
      </c>
      <c r="M943" s="33">
        <f>(Examples!$H$6*Examples!$H$7*Examples!$H$8*EXP(-Examples!$H$9*$A943)*(1-(Examples!$H$12*(1-EXP(-Examples!$H$13*$A943))/(1+EXP(MIN(700,MAX(-700,(Examples!$H$14*$A943-Examples!$H$15)/Examples!$H$16))))))+Examples!$H$17*$A943^2)</f>
        <v>782632.17765968002</v>
      </c>
    </row>
    <row r="944" spans="1:13" x14ac:dyDescent="0.25">
      <c r="A944">
        <f>(944-2)/100</f>
        <v>9.42</v>
      </c>
      <c r="B944" s="33">
        <f>Examples!$C$18-(Examples!$C$10+Examples!$C$11)*$A944-(Examples!$C$6*Examples!$C$7*Examples!$C$8*EXP(-Examples!$C$9*$A944)*(1-(Examples!$C$12*(1-EXP(-Examples!$C$13*$A944))/(1+EXP(MIN(700,MAX(-700,(Examples!$C$14*$A944-Examples!$C$15)/Examples!$C$16))))))+Examples!$C$17*$A944^2)</f>
        <v>-1096295.6266901088</v>
      </c>
      <c r="C944" s="33">
        <f>(Examples!$C$6*Examples!$C$7*Examples!$C$8*EXP(-Examples!$C$9*$A944)*(1-(Examples!$C$12*(1-EXP(-Examples!$C$13*$A944))/(1+EXP(MIN(700,MAX(-700,(Examples!$C$14*$A944-Examples!$C$15)/Examples!$C$16))))))+Examples!$C$17*$A944^2)</f>
        <v>1366595.6266901088</v>
      </c>
      <c r="D944" s="33">
        <f>Examples!$D$18-(Examples!$D$10+Examples!$D$11)*$A944-(Examples!$D$6*Examples!$D$7*Examples!$D$8*EXP(-Examples!$D$9*$A944)*(1-(Examples!$D$12*(1-EXP(-Examples!$D$13*$A944))/(1+EXP(MIN(700,MAX(-700,(Examples!$D$14*$A944-Examples!$D$15)/Examples!$D$16))))))+Examples!$D$17*$A944^2)</f>
        <v>1545919.6282446159</v>
      </c>
      <c r="E944" s="33">
        <f>(Examples!$D$6*Examples!$D$7*Examples!$D$8*EXP(-Examples!$D$9*$A944)*(1-(Examples!$D$12*(1-EXP(-Examples!$D$13*$A944))/(1+EXP(MIN(700,MAX(-700,(Examples!$D$14*$A944-Examples!$D$15)/Examples!$D$16))))))+Examples!$D$17*$A944^2)</f>
        <v>530180.37175538414</v>
      </c>
      <c r="F944" s="33">
        <f>Examples!$E$18-(Examples!$E$10+Examples!$E$11)*$A944-(Examples!$E$6*Examples!$E$7*Examples!$E$8*EXP(-Examples!$E$9*$A944)*(1-(Examples!$E$12*(1-EXP(-Examples!$E$13*$A944))/(1+EXP(MIN(700,MAX(-700,(Examples!$E$14*$A944-Examples!$E$15)/Examples!$E$16))))))+Examples!$E$17*$A944^2)</f>
        <v>1909362.0521053984</v>
      </c>
      <c r="G944" s="33">
        <f>(Examples!$E$6*Examples!$E$7*Examples!$E$8*EXP(-Examples!$E$9*$A944)*(1-(Examples!$E$12*(1-EXP(-Examples!$E$13*$A944))/(1+EXP(MIN(700,MAX(-700,(Examples!$E$14*$A944-Examples!$E$15)/Examples!$E$16))))))+Examples!$E$17*$A944^2)</f>
        <v>289937.9478946015</v>
      </c>
      <c r="H944" s="33">
        <f>Examples!$F$18-(Examples!$F$10+Examples!$F$11)*$A944-(Examples!$F$6*Examples!$F$7*Examples!$F$8*EXP(-Examples!$F$9*$A944)*(1-(Examples!$F$12*(1-EXP(-Examples!$F$13*$A944))/(1+EXP(MIN(700,MAX(-700,(Examples!$F$14*$A944-Examples!$F$15)/Examples!$F$16))))))+Examples!$F$17*$A944^2)</f>
        <v>-1814164.8641117983</v>
      </c>
      <c r="I944" s="33">
        <f>(Examples!$F$6*Examples!$F$7*Examples!$F$8*EXP(-Examples!$F$9*$A944)*(1-(Examples!$F$12*(1-EXP(-Examples!$F$13*$A944))/(1+EXP(MIN(700,MAX(-700,(Examples!$F$14*$A944-Examples!$F$15)/Examples!$F$16))))))+Examples!$F$17*$A944^2)</f>
        <v>1775764.8641117983</v>
      </c>
      <c r="J944" s="33">
        <f>Examples!$G$18-(Examples!$G$10+Examples!$G$11)*$A944-(Examples!$G$6*Examples!$G$7*Examples!$G$8*EXP(-Examples!$G$9*$A944)*(1-(Examples!$G$12*(1-EXP(-Examples!$G$13*$A944))/(1+EXP(MIN(700,MAX(-700,(Examples!$G$14*$A944-Examples!$G$15)/Examples!$G$16))))))+Examples!$G$17*$A944^2)</f>
        <v>245126.60409415804</v>
      </c>
      <c r="K944" s="33">
        <f>(Examples!$G$6*Examples!$G$7*Examples!$G$8*EXP(-Examples!$G$9*$A944)*(1-(Examples!$G$12*(1-EXP(-Examples!$G$13*$A944))/(1+EXP(MIN(700,MAX(-700,(Examples!$G$14*$A944-Examples!$G$15)/Examples!$G$16))))))+Examples!$G$17*$A944^2)</f>
        <v>783873.39590584196</v>
      </c>
      <c r="L944" s="33">
        <f>Examples!$H$18-(Examples!$H$10+Examples!$H$11)*$A944-(Examples!$H$6*Examples!$H$7*Examples!$H$8*EXP(-Examples!$H$9*$A944)*(1-(Examples!$H$12*(1-EXP(-Examples!$H$13*$A944))/(1+EXP(MIN(700,MAX(-700,(Examples!$H$14*$A944-Examples!$H$15)/Examples!$H$16))))))+Examples!$H$17*$A944^2)</f>
        <v>245120.83392657619</v>
      </c>
      <c r="M944" s="33">
        <f>(Examples!$H$6*Examples!$H$7*Examples!$H$8*EXP(-Examples!$H$9*$A944)*(1-(Examples!$H$12*(1-EXP(-Examples!$H$13*$A944))/(1+EXP(MIN(700,MAX(-700,(Examples!$H$14*$A944-Examples!$H$15)/Examples!$H$16))))))+Examples!$H$17*$A944^2)</f>
        <v>783879.16607342381</v>
      </c>
    </row>
    <row r="945" spans="1:13" x14ac:dyDescent="0.25">
      <c r="A945">
        <f>(945-2)/100</f>
        <v>9.43</v>
      </c>
      <c r="B945" s="33">
        <f>Examples!$C$18-(Examples!$C$10+Examples!$C$11)*$A945-(Examples!$C$6*Examples!$C$7*Examples!$C$8*EXP(-Examples!$C$9*$A945)*(1-(Examples!$C$12*(1-EXP(-Examples!$C$13*$A945))/(1+EXP(MIN(700,MAX(-700,(Examples!$C$14*$A945-Examples!$C$15)/Examples!$C$16))))))+Examples!$C$17*$A945^2)</f>
        <v>-1099366.6376235094</v>
      </c>
      <c r="C945" s="33">
        <f>(Examples!$C$6*Examples!$C$7*Examples!$C$8*EXP(-Examples!$C$9*$A945)*(1-(Examples!$C$12*(1-EXP(-Examples!$C$13*$A945))/(1+EXP(MIN(700,MAX(-700,(Examples!$C$14*$A945-Examples!$C$15)/Examples!$C$16))))))+Examples!$C$17*$A945^2)</f>
        <v>1369316.6376235094</v>
      </c>
      <c r="D945" s="33">
        <f>Examples!$D$18-(Examples!$D$10+Examples!$D$11)*$A945-(Examples!$D$6*Examples!$D$7*Examples!$D$8*EXP(-Examples!$D$9*$A945)*(1-(Examples!$D$12*(1-EXP(-Examples!$D$13*$A945))/(1+EXP(MIN(700,MAX(-700,(Examples!$D$14*$A945-Examples!$D$15)/Examples!$D$16))))))+Examples!$D$17*$A945^2)</f>
        <v>1544915.0534324942</v>
      </c>
      <c r="E945" s="33">
        <f>(Examples!$D$6*Examples!$D$7*Examples!$D$8*EXP(-Examples!$D$9*$A945)*(1-(Examples!$D$12*(1-EXP(-Examples!$D$13*$A945))/(1+EXP(MIN(700,MAX(-700,(Examples!$D$14*$A945-Examples!$D$15)/Examples!$D$16))))))+Examples!$D$17*$A945^2)</f>
        <v>530734.94656750583</v>
      </c>
      <c r="F945" s="33">
        <f>Examples!$E$18-(Examples!$E$10+Examples!$E$11)*$A945-(Examples!$E$6*Examples!$E$7*Examples!$E$8*EXP(-Examples!$E$9*$A945)*(1-(Examples!$E$12*(1-EXP(-Examples!$E$13*$A945))/(1+EXP(MIN(700,MAX(-700,(Examples!$E$14*$A945-Examples!$E$15)/Examples!$E$16))))))+Examples!$E$17*$A945^2)</f>
        <v>1908060.4039635553</v>
      </c>
      <c r="G945" s="33">
        <f>(Examples!$E$6*Examples!$E$7*Examples!$E$8*EXP(-Examples!$E$9*$A945)*(1-(Examples!$E$12*(1-EXP(-Examples!$E$13*$A945))/(1+EXP(MIN(700,MAX(-700,(Examples!$E$14*$A945-Examples!$E$15)/Examples!$E$16))))))+Examples!$E$17*$A945^2)</f>
        <v>290389.59603644471</v>
      </c>
      <c r="H945" s="33">
        <f>Examples!$F$18-(Examples!$F$10+Examples!$F$11)*$A945-(Examples!$F$6*Examples!$F$7*Examples!$F$8*EXP(-Examples!$F$9*$A945)*(1-(Examples!$F$12*(1-EXP(-Examples!$F$13*$A945))/(1+EXP(MIN(700,MAX(-700,(Examples!$F$14*$A945-Examples!$F$15)/Examples!$F$16))))))+Examples!$F$17*$A945^2)</f>
        <v>-1818131.7581806891</v>
      </c>
      <c r="I945" s="33">
        <f>(Examples!$F$6*Examples!$F$7*Examples!$F$8*EXP(-Examples!$F$9*$A945)*(1-(Examples!$F$12*(1-EXP(-Examples!$F$13*$A945))/(1+EXP(MIN(700,MAX(-700,(Examples!$F$14*$A945-Examples!$F$15)/Examples!$F$16))))))+Examples!$F$17*$A945^2)</f>
        <v>1779531.7581806891</v>
      </c>
      <c r="J945" s="33">
        <f>Examples!$G$18-(Examples!$G$10+Examples!$G$11)*$A945-(Examples!$G$6*Examples!$G$7*Examples!$G$8*EXP(-Examples!$G$9*$A945)*(1-(Examples!$G$12*(1-EXP(-Examples!$G$13*$A945))/(1+EXP(MIN(700,MAX(-700,(Examples!$G$14*$A945-Examples!$G$15)/Examples!$G$16))))))+Examples!$G$17*$A945^2)</f>
        <v>243377.01327350771</v>
      </c>
      <c r="K945" s="33">
        <f>(Examples!$G$6*Examples!$G$7*Examples!$G$8*EXP(-Examples!$G$9*$A945)*(1-(Examples!$G$12*(1-EXP(-Examples!$G$13*$A945))/(1+EXP(MIN(700,MAX(-700,(Examples!$G$14*$A945-Examples!$G$15)/Examples!$G$16))))))+Examples!$G$17*$A945^2)</f>
        <v>785122.98672649229</v>
      </c>
      <c r="L945" s="33">
        <f>Examples!$H$18-(Examples!$H$10+Examples!$H$11)*$A945-(Examples!$H$6*Examples!$H$7*Examples!$H$8*EXP(-Examples!$H$9*$A945)*(1-(Examples!$H$12*(1-EXP(-Examples!$H$13*$A945))/(1+EXP(MIN(700,MAX(-700,(Examples!$H$14*$A945-Examples!$H$15)/Examples!$H$16))))))+Examples!$H$17*$A945^2)</f>
        <v>243371.33915934036</v>
      </c>
      <c r="M945" s="33">
        <f>(Examples!$H$6*Examples!$H$7*Examples!$H$8*EXP(-Examples!$H$9*$A945)*(1-(Examples!$H$12*(1-EXP(-Examples!$H$13*$A945))/(1+EXP(MIN(700,MAX(-700,(Examples!$H$14*$A945-Examples!$H$15)/Examples!$H$16))))))+Examples!$H$17*$A945^2)</f>
        <v>785128.66084065964</v>
      </c>
    </row>
    <row r="946" spans="1:13" x14ac:dyDescent="0.25">
      <c r="A946">
        <f>(946-2)/100</f>
        <v>9.44</v>
      </c>
      <c r="B946" s="33">
        <f>Examples!$C$18-(Examples!$C$10+Examples!$C$11)*$A946-(Examples!$C$6*Examples!$C$7*Examples!$C$8*EXP(-Examples!$C$9*$A946)*(1-(Examples!$C$12*(1-EXP(-Examples!$C$13*$A946))/(1+EXP(MIN(700,MAX(-700,(Examples!$C$14*$A946-Examples!$C$15)/Examples!$C$16))))))+Examples!$C$17*$A946^2)</f>
        <v>-1102440.9675453871</v>
      </c>
      <c r="C946" s="33">
        <f>(Examples!$C$6*Examples!$C$7*Examples!$C$8*EXP(-Examples!$C$9*$A946)*(1-(Examples!$C$12*(1-EXP(-Examples!$C$13*$A946))/(1+EXP(MIN(700,MAX(-700,(Examples!$C$14*$A946-Examples!$C$15)/Examples!$C$16))))))+Examples!$C$17*$A946^2)</f>
        <v>1372040.9675453871</v>
      </c>
      <c r="D946" s="33">
        <f>Examples!$D$18-(Examples!$D$10+Examples!$D$11)*$A946-(Examples!$D$6*Examples!$D$7*Examples!$D$8*EXP(-Examples!$D$9*$A946)*(1-(Examples!$D$12*(1-EXP(-Examples!$D$13*$A946))/(1+EXP(MIN(700,MAX(-700,(Examples!$D$14*$A946-Examples!$D$15)/Examples!$D$16))))))+Examples!$D$17*$A946^2)</f>
        <v>1543907.7446897991</v>
      </c>
      <c r="E946" s="33">
        <f>(Examples!$D$6*Examples!$D$7*Examples!$D$8*EXP(-Examples!$D$9*$A946)*(1-(Examples!$D$12*(1-EXP(-Examples!$D$13*$A946))/(1+EXP(MIN(700,MAX(-700,(Examples!$D$14*$A946-Examples!$D$15)/Examples!$D$16))))))+Examples!$D$17*$A946^2)</f>
        <v>531292.25531020085</v>
      </c>
      <c r="F946" s="33">
        <f>Examples!$E$18-(Examples!$E$10+Examples!$E$11)*$A946-(Examples!$E$6*Examples!$E$7*Examples!$E$8*EXP(-Examples!$E$9*$A946)*(1-(Examples!$E$12*(1-EXP(-Examples!$E$13*$A946))/(1+EXP(MIN(700,MAX(-700,(Examples!$E$14*$A946-Examples!$E$15)/Examples!$E$16))))))+Examples!$E$17*$A946^2)</f>
        <v>1906757.6439735561</v>
      </c>
      <c r="G946" s="33">
        <f>(Examples!$E$6*Examples!$E$7*Examples!$E$8*EXP(-Examples!$E$9*$A946)*(1-(Examples!$E$12*(1-EXP(-Examples!$E$13*$A946))/(1+EXP(MIN(700,MAX(-700,(Examples!$E$14*$A946-Examples!$E$15)/Examples!$E$16))))))+Examples!$E$17*$A946^2)</f>
        <v>290842.35602644389</v>
      </c>
      <c r="H946" s="33">
        <f>Examples!$F$18-(Examples!$F$10+Examples!$F$11)*$A946-(Examples!$F$6*Examples!$F$7*Examples!$F$8*EXP(-Examples!$F$9*$A946)*(1-(Examples!$F$12*(1-EXP(-Examples!$F$13*$A946))/(1+EXP(MIN(700,MAX(-700,(Examples!$F$14*$A946-Examples!$F$15)/Examples!$F$16))))))+Examples!$F$17*$A946^2)</f>
        <v>-1822102.6615534103</v>
      </c>
      <c r="I946" s="33">
        <f>(Examples!$F$6*Examples!$F$7*Examples!$F$8*EXP(-Examples!$F$9*$A946)*(1-(Examples!$F$12*(1-EXP(-Examples!$F$13*$A946))/(1+EXP(MIN(700,MAX(-700,(Examples!$F$14*$A946-Examples!$F$15)/Examples!$F$16))))))+Examples!$F$17*$A946^2)</f>
        <v>1783302.6615534103</v>
      </c>
      <c r="J946" s="33">
        <f>Examples!$G$18-(Examples!$G$10+Examples!$G$11)*$A946-(Examples!$G$6*Examples!$G$7*Examples!$G$8*EXP(-Examples!$G$9*$A946)*(1-(Examples!$G$12*(1-EXP(-Examples!$G$13*$A946))/(1+EXP(MIN(700,MAX(-700,(Examples!$G$14*$A946-Examples!$G$15)/Examples!$G$16))))))+Examples!$G$17*$A946^2)</f>
        <v>241624.92086364212</v>
      </c>
      <c r="K946" s="33">
        <f>(Examples!$G$6*Examples!$G$7*Examples!$G$8*EXP(-Examples!$G$9*$A946)*(1-(Examples!$G$12*(1-EXP(-Examples!$G$13*$A946))/(1+EXP(MIN(700,MAX(-700,(Examples!$G$14*$A946-Examples!$G$15)/Examples!$G$16))))))+Examples!$G$17*$A946^2)</f>
        <v>786375.07913635788</v>
      </c>
      <c r="L946" s="33">
        <f>Examples!$H$18-(Examples!$H$10+Examples!$H$11)*$A946-(Examples!$H$6*Examples!$H$7*Examples!$H$8*EXP(-Examples!$H$9*$A946)*(1-(Examples!$H$12*(1-EXP(-Examples!$H$13*$A946))/(1+EXP(MIN(700,MAX(-700,(Examples!$H$14*$A946-Examples!$H$15)/Examples!$H$16))))))+Examples!$H$17*$A946^2)</f>
        <v>241619.34120530426</v>
      </c>
      <c r="M946" s="33">
        <f>(Examples!$H$6*Examples!$H$7*Examples!$H$8*EXP(-Examples!$H$9*$A946)*(1-(Examples!$H$12*(1-EXP(-Examples!$H$13*$A946))/(1+EXP(MIN(700,MAX(-700,(Examples!$H$14*$A946-Examples!$H$15)/Examples!$H$16))))))+Examples!$H$17*$A946^2)</f>
        <v>786380.65879469574</v>
      </c>
    </row>
    <row r="947" spans="1:13" x14ac:dyDescent="0.25">
      <c r="A947">
        <f>(947-2)/100</f>
        <v>9.4499999999999993</v>
      </c>
      <c r="B947" s="33">
        <f>Examples!$C$18-(Examples!$C$10+Examples!$C$11)*$A947-(Examples!$C$6*Examples!$C$7*Examples!$C$8*EXP(-Examples!$C$9*$A947)*(1-(Examples!$C$12*(1-EXP(-Examples!$C$13*$A947))/(1+EXP(MIN(700,MAX(-700,(Examples!$C$14*$A947-Examples!$C$15)/Examples!$C$16))))))+Examples!$C$17*$A947^2)</f>
        <v>-1105518.6155002115</v>
      </c>
      <c r="C947" s="33">
        <f>(Examples!$C$6*Examples!$C$7*Examples!$C$8*EXP(-Examples!$C$9*$A947)*(1-(Examples!$C$12*(1-EXP(-Examples!$C$13*$A947))/(1+EXP(MIN(700,MAX(-700,(Examples!$C$14*$A947-Examples!$C$15)/Examples!$C$16))))))+Examples!$C$17*$A947^2)</f>
        <v>1374768.6155002115</v>
      </c>
      <c r="D947" s="33">
        <f>Examples!$D$18-(Examples!$D$10+Examples!$D$11)*$A947-(Examples!$D$6*Examples!$D$7*Examples!$D$8*EXP(-Examples!$D$9*$A947)*(1-(Examples!$D$12*(1-EXP(-Examples!$D$13*$A947))/(1+EXP(MIN(700,MAX(-700,(Examples!$D$14*$A947-Examples!$D$15)/Examples!$D$16))))))+Examples!$D$17*$A947^2)</f>
        <v>1542897.7096641245</v>
      </c>
      <c r="E947" s="33">
        <f>(Examples!$D$6*Examples!$D$7*Examples!$D$8*EXP(-Examples!$D$9*$A947)*(1-(Examples!$D$12*(1-EXP(-Examples!$D$13*$A947))/(1+EXP(MIN(700,MAX(-700,(Examples!$D$14*$A947-Examples!$D$15)/Examples!$D$16))))))+Examples!$D$17*$A947^2)</f>
        <v>531852.29033587559</v>
      </c>
      <c r="F947" s="33">
        <f>Examples!$E$18-(Examples!$E$10+Examples!$E$11)*$A947-(Examples!$E$6*Examples!$E$7*Examples!$E$8*EXP(-Examples!$E$9*$A947)*(1-(Examples!$E$12*(1-EXP(-Examples!$E$13*$A947))/(1+EXP(MIN(700,MAX(-700,(Examples!$E$14*$A947-Examples!$E$15)/Examples!$E$16))))))+Examples!$E$17*$A947^2)</f>
        <v>1905453.7740067935</v>
      </c>
      <c r="G947" s="33">
        <f>(Examples!$E$6*Examples!$E$7*Examples!$E$8*EXP(-Examples!$E$9*$A947)*(1-(Examples!$E$12*(1-EXP(-Examples!$E$13*$A947))/(1+EXP(MIN(700,MAX(-700,(Examples!$E$14*$A947-Examples!$E$15)/Examples!$E$16))))))+Examples!$E$17*$A947^2)</f>
        <v>291296.22599320643</v>
      </c>
      <c r="H947" s="33">
        <f>Examples!$F$18-(Examples!$F$10+Examples!$F$11)*$A947-(Examples!$F$6*Examples!$F$7*Examples!$F$8*EXP(-Examples!$F$9*$A947)*(1-(Examples!$F$12*(1-EXP(-Examples!$F$13*$A947))/(1+EXP(MIN(700,MAX(-700,(Examples!$F$14*$A947-Examples!$F$15)/Examples!$F$16))))))+Examples!$F$17*$A947^2)</f>
        <v>-1826077.5742020924</v>
      </c>
      <c r="I947" s="33">
        <f>(Examples!$F$6*Examples!$F$7*Examples!$F$8*EXP(-Examples!$F$9*$A947)*(1-(Examples!$F$12*(1-EXP(-Examples!$F$13*$A947))/(1+EXP(MIN(700,MAX(-700,(Examples!$F$14*$A947-Examples!$F$15)/Examples!$F$16))))))+Examples!$F$17*$A947^2)</f>
        <v>1787077.5742020924</v>
      </c>
      <c r="J947" s="33">
        <f>Examples!$G$18-(Examples!$G$10+Examples!$G$11)*$A947-(Examples!$G$6*Examples!$G$7*Examples!$G$8*EXP(-Examples!$G$9*$A947)*(1-(Examples!$G$12*(1-EXP(-Examples!$G$13*$A947))/(1+EXP(MIN(700,MAX(-700,(Examples!$G$14*$A947-Examples!$G$15)/Examples!$G$16))))))+Examples!$G$17*$A947^2)</f>
        <v>239870.32999364799</v>
      </c>
      <c r="K947" s="33">
        <f>(Examples!$G$6*Examples!$G$7*Examples!$G$8*EXP(-Examples!$G$9*$A947)*(1-(Examples!$G$12*(1-EXP(-Examples!$G$13*$A947))/(1+EXP(MIN(700,MAX(-700,(Examples!$G$14*$A947-Examples!$G$15)/Examples!$G$16))))))+Examples!$G$17*$A947^2)</f>
        <v>787629.67000635201</v>
      </c>
      <c r="L947" s="33">
        <f>Examples!$H$18-(Examples!$H$10+Examples!$H$11)*$A947-(Examples!$H$6*Examples!$H$7*Examples!$H$8*EXP(-Examples!$H$9*$A947)*(1-(Examples!$H$12*(1-EXP(-Examples!$H$13*$A947))/(1+EXP(MIN(700,MAX(-700,(Examples!$H$14*$A947-Examples!$H$15)/Examples!$H$16))))))+Examples!$H$17*$A947^2)</f>
        <v>239864.84322009562</v>
      </c>
      <c r="M947" s="33">
        <f>(Examples!$H$6*Examples!$H$7*Examples!$H$8*EXP(-Examples!$H$9*$A947)*(1-(Examples!$H$12*(1-EXP(-Examples!$H$13*$A947))/(1+EXP(MIN(700,MAX(-700,(Examples!$H$14*$A947-Examples!$H$15)/Examples!$H$16))))))+Examples!$H$17*$A947^2)</f>
        <v>787635.15677990438</v>
      </c>
    </row>
    <row r="948" spans="1:13" x14ac:dyDescent="0.25">
      <c r="A948">
        <f>(948-2)/100</f>
        <v>9.4600000000000009</v>
      </c>
      <c r="B948" s="33">
        <f>Examples!$C$18-(Examples!$C$10+Examples!$C$11)*$A948-(Examples!$C$6*Examples!$C$7*Examples!$C$8*EXP(-Examples!$C$9*$A948)*(1-(Examples!$C$12*(1-EXP(-Examples!$C$13*$A948))/(1+EXP(MIN(700,MAX(-700,(Examples!$C$14*$A948-Examples!$C$15)/Examples!$C$16))))))+Examples!$C$17*$A948^2)</f>
        <v>-1108599.5805353136</v>
      </c>
      <c r="C948" s="33">
        <f>(Examples!$C$6*Examples!$C$7*Examples!$C$8*EXP(-Examples!$C$9*$A948)*(1-(Examples!$C$12*(1-EXP(-Examples!$C$13*$A948))/(1+EXP(MIN(700,MAX(-700,(Examples!$C$14*$A948-Examples!$C$15)/Examples!$C$16))))))+Examples!$C$17*$A948^2)</f>
        <v>1377499.5805353136</v>
      </c>
      <c r="D948" s="33">
        <f>Examples!$D$18-(Examples!$D$10+Examples!$D$11)*$A948-(Examples!$D$6*Examples!$D$7*Examples!$D$8*EXP(-Examples!$D$9*$A948)*(1-(Examples!$D$12*(1-EXP(-Examples!$D$13*$A948))/(1+EXP(MIN(700,MAX(-700,(Examples!$D$14*$A948-Examples!$D$15)/Examples!$D$16))))))+Examples!$D$17*$A948^2)</f>
        <v>1541884.9559711446</v>
      </c>
      <c r="E948" s="33">
        <f>(Examples!$D$6*Examples!$D$7*Examples!$D$8*EXP(-Examples!$D$9*$A948)*(1-(Examples!$D$12*(1-EXP(-Examples!$D$13*$A948))/(1+EXP(MIN(700,MAX(-700,(Examples!$D$14*$A948-Examples!$D$15)/Examples!$D$16))))))+Examples!$D$17*$A948^2)</f>
        <v>532415.04402885539</v>
      </c>
      <c r="F948" s="33">
        <f>Examples!$E$18-(Examples!$E$10+Examples!$E$11)*$A948-(Examples!$E$6*Examples!$E$7*Examples!$E$8*EXP(-Examples!$E$9*$A948)*(1-(Examples!$E$12*(1-EXP(-Examples!$E$13*$A948))/(1+EXP(MIN(700,MAX(-700,(Examples!$E$14*$A948-Examples!$E$15)/Examples!$E$16))))))+Examples!$E$17*$A948^2)</f>
        <v>1904148.7959333006</v>
      </c>
      <c r="G948" s="33">
        <f>(Examples!$E$6*Examples!$E$7*Examples!$E$8*EXP(-Examples!$E$9*$A948)*(1-(Examples!$E$12*(1-EXP(-Examples!$E$13*$A948))/(1+EXP(MIN(700,MAX(-700,(Examples!$E$14*$A948-Examples!$E$15)/Examples!$E$16))))))+Examples!$E$17*$A948^2)</f>
        <v>291751.20406669943</v>
      </c>
      <c r="H948" s="33">
        <f>Examples!$F$18-(Examples!$F$10+Examples!$F$11)*$A948-(Examples!$F$6*Examples!$F$7*Examples!$F$8*EXP(-Examples!$F$9*$A948)*(1-(Examples!$F$12*(1-EXP(-Examples!$F$13*$A948))/(1+EXP(MIN(700,MAX(-700,(Examples!$F$14*$A948-Examples!$F$15)/Examples!$F$16))))))+Examples!$F$17*$A948^2)</f>
        <v>-1830056.4960989503</v>
      </c>
      <c r="I948" s="33">
        <f>(Examples!$F$6*Examples!$F$7*Examples!$F$8*EXP(-Examples!$F$9*$A948)*(1-(Examples!$F$12*(1-EXP(-Examples!$F$13*$A948))/(1+EXP(MIN(700,MAX(-700,(Examples!$F$14*$A948-Examples!$F$15)/Examples!$F$16))))))+Examples!$F$17*$A948^2)</f>
        <v>1790856.4960989503</v>
      </c>
      <c r="J948" s="33">
        <f>Examples!$G$18-(Examples!$G$10+Examples!$G$11)*$A948-(Examples!$G$6*Examples!$G$7*Examples!$G$8*EXP(-Examples!$G$9*$A948)*(1-(Examples!$G$12*(1-EXP(-Examples!$G$13*$A948))/(1+EXP(MIN(700,MAX(-700,(Examples!$G$14*$A948-Examples!$G$15)/Examples!$G$16))))))+Examples!$G$17*$A948^2)</f>
        <v>238113.24378202681</v>
      </c>
      <c r="K948" s="33">
        <f>(Examples!$G$6*Examples!$G$7*Examples!$G$8*EXP(-Examples!$G$9*$A948)*(1-(Examples!$G$12*(1-EXP(-Examples!$G$13*$A948))/(1+EXP(MIN(700,MAX(-700,(Examples!$G$14*$A948-Examples!$G$15)/Examples!$G$16))))))+Examples!$G$17*$A948^2)</f>
        <v>788886.75621797319</v>
      </c>
      <c r="L948" s="33">
        <f>Examples!$H$18-(Examples!$H$10+Examples!$H$11)*$A948-(Examples!$H$6*Examples!$H$7*Examples!$H$8*EXP(-Examples!$H$9*$A948)*(1-(Examples!$H$12*(1-EXP(-Examples!$H$13*$A948))/(1+EXP(MIN(700,MAX(-700,(Examples!$H$14*$A948-Examples!$H$15)/Examples!$H$16))))))+Examples!$H$17*$A948^2)</f>
        <v>238107.84834831639</v>
      </c>
      <c r="M948" s="33">
        <f>(Examples!$H$6*Examples!$H$7*Examples!$H$8*EXP(-Examples!$H$9*$A948)*(1-(Examples!$H$12*(1-EXP(-Examples!$H$13*$A948))/(1+EXP(MIN(700,MAX(-700,(Examples!$H$14*$A948-Examples!$H$15)/Examples!$H$16))))))+Examples!$H$17*$A948^2)</f>
        <v>788892.15165168361</v>
      </c>
    </row>
    <row r="949" spans="1:13" x14ac:dyDescent="0.25">
      <c r="A949">
        <f>(949-2)/100</f>
        <v>9.4700000000000006</v>
      </c>
      <c r="B949" s="33">
        <f>Examples!$C$18-(Examples!$C$10+Examples!$C$11)*$A949-(Examples!$C$6*Examples!$C$7*Examples!$C$8*EXP(-Examples!$C$9*$A949)*(1-(Examples!$C$12*(1-EXP(-Examples!$C$13*$A949))/(1+EXP(MIN(700,MAX(-700,(Examples!$C$14*$A949-Examples!$C$15)/Examples!$C$16))))))+Examples!$C$17*$A949^2)</f>
        <v>-1111683.8617008768</v>
      </c>
      <c r="C949" s="33">
        <f>(Examples!$C$6*Examples!$C$7*Examples!$C$8*EXP(-Examples!$C$9*$A949)*(1-(Examples!$C$12*(1-EXP(-Examples!$C$13*$A949))/(1+EXP(MIN(700,MAX(-700,(Examples!$C$14*$A949-Examples!$C$15)/Examples!$C$16))))))+Examples!$C$17*$A949^2)</f>
        <v>1380233.8617008768</v>
      </c>
      <c r="D949" s="33">
        <f>Examples!$D$18-(Examples!$D$10+Examples!$D$11)*$A949-(Examples!$D$6*Examples!$D$7*Examples!$D$8*EXP(-Examples!$D$9*$A949)*(1-(Examples!$D$12*(1-EXP(-Examples!$D$13*$A949))/(1+EXP(MIN(700,MAX(-700,(Examples!$D$14*$A949-Examples!$D$15)/Examples!$D$16))))))+Examples!$D$17*$A949^2)</f>
        <v>1540869.4911947178</v>
      </c>
      <c r="E949" s="33">
        <f>(Examples!$D$6*Examples!$D$7*Examples!$D$8*EXP(-Examples!$D$9*$A949)*(1-(Examples!$D$12*(1-EXP(-Examples!$D$13*$A949))/(1+EXP(MIN(700,MAX(-700,(Examples!$D$14*$A949-Examples!$D$15)/Examples!$D$16))))))+Examples!$D$17*$A949^2)</f>
        <v>532980.50880528218</v>
      </c>
      <c r="F949" s="33">
        <f>Examples!$E$18-(Examples!$E$10+Examples!$E$11)*$A949-(Examples!$E$6*Examples!$E$7*Examples!$E$8*EXP(-Examples!$E$9*$A949)*(1-(Examples!$E$12*(1-EXP(-Examples!$E$13*$A949))/(1+EXP(MIN(700,MAX(-700,(Examples!$E$14*$A949-Examples!$E$15)/Examples!$E$16))))))+Examples!$E$17*$A949^2)</f>
        <v>1902842.7116216712</v>
      </c>
      <c r="G949" s="33">
        <f>(Examples!$E$6*Examples!$E$7*Examples!$E$8*EXP(-Examples!$E$9*$A949)*(1-(Examples!$E$12*(1-EXP(-Examples!$E$13*$A949))/(1+EXP(MIN(700,MAX(-700,(Examples!$E$14*$A949-Examples!$E$15)/Examples!$E$16))))))+Examples!$E$17*$A949^2)</f>
        <v>292207.28837832884</v>
      </c>
      <c r="H949" s="33">
        <f>Examples!$F$18-(Examples!$F$10+Examples!$F$11)*$A949-(Examples!$F$6*Examples!$F$7*Examples!$F$8*EXP(-Examples!$F$9*$A949)*(1-(Examples!$F$12*(1-EXP(-Examples!$F$13*$A949))/(1+EXP(MIN(700,MAX(-700,(Examples!$F$14*$A949-Examples!$F$15)/Examples!$F$16))))))+Examples!$F$17*$A949^2)</f>
        <v>-1834039.4272162789</v>
      </c>
      <c r="I949" s="33">
        <f>(Examples!$F$6*Examples!$F$7*Examples!$F$8*EXP(-Examples!$F$9*$A949)*(1-(Examples!$F$12*(1-EXP(-Examples!$F$13*$A949))/(1+EXP(MIN(700,MAX(-700,(Examples!$F$14*$A949-Examples!$F$15)/Examples!$F$16))))))+Examples!$F$17*$A949^2)</f>
        <v>1794639.4272162789</v>
      </c>
      <c r="J949" s="33">
        <f>Examples!$G$18-(Examples!$G$10+Examples!$G$11)*$A949-(Examples!$G$6*Examples!$G$7*Examples!$G$8*EXP(-Examples!$G$9*$A949)*(1-(Examples!$G$12*(1-EXP(-Examples!$G$13*$A949))/(1+EXP(MIN(700,MAX(-700,(Examples!$G$14*$A949-Examples!$G$15)/Examples!$G$16))))))+Examples!$G$17*$A949^2)</f>
        <v>236353.66533672705</v>
      </c>
      <c r="K949" s="33">
        <f>(Examples!$G$6*Examples!$G$7*Examples!$G$8*EXP(-Examples!$G$9*$A949)*(1-(Examples!$G$12*(1-EXP(-Examples!$G$13*$A949))/(1+EXP(MIN(700,MAX(-700,(Examples!$G$14*$A949-Examples!$G$15)/Examples!$G$16))))))+Examples!$G$17*$A949^2)</f>
        <v>790146.33466327295</v>
      </c>
      <c r="L949" s="33">
        <f>Examples!$H$18-(Examples!$H$10+Examples!$H$11)*$A949-(Examples!$H$6*Examples!$H$7*Examples!$H$8*EXP(-Examples!$H$9*$A949)*(1-(Examples!$H$12*(1-EXP(-Examples!$H$13*$A949))/(1+EXP(MIN(700,MAX(-700,(Examples!$H$14*$A949-Examples!$H$15)/Examples!$H$16))))))+Examples!$H$17*$A949^2)</f>
        <v>236348.35972358263</v>
      </c>
      <c r="M949" s="33">
        <f>(Examples!$H$6*Examples!$H$7*Examples!$H$8*EXP(-Examples!$H$9*$A949)*(1-(Examples!$H$12*(1-EXP(-Examples!$H$13*$A949))/(1+EXP(MIN(700,MAX(-700,(Examples!$H$14*$A949-Examples!$H$15)/Examples!$H$16))))))+Examples!$H$17*$A949^2)</f>
        <v>790151.64027641737</v>
      </c>
    </row>
    <row r="950" spans="1:13" x14ac:dyDescent="0.25">
      <c r="A950">
        <f>(950-2)/100</f>
        <v>9.48</v>
      </c>
      <c r="B950" s="33">
        <f>Examples!$C$18-(Examples!$C$10+Examples!$C$11)*$A950-(Examples!$C$6*Examples!$C$7*Examples!$C$8*EXP(-Examples!$C$9*$A950)*(1-(Examples!$C$12*(1-EXP(-Examples!$C$13*$A950))/(1+EXP(MIN(700,MAX(-700,(Examples!$C$14*$A950-Examples!$C$15)/Examples!$C$16))))))+Examples!$C$17*$A950^2)</f>
        <v>-1114771.4580499316</v>
      </c>
      <c r="C950" s="33">
        <f>(Examples!$C$6*Examples!$C$7*Examples!$C$8*EXP(-Examples!$C$9*$A950)*(1-(Examples!$C$12*(1-EXP(-Examples!$C$13*$A950))/(1+EXP(MIN(700,MAX(-700,(Examples!$C$14*$A950-Examples!$C$15)/Examples!$C$16))))))+Examples!$C$17*$A950^2)</f>
        <v>1382971.4580499316</v>
      </c>
      <c r="D950" s="33">
        <f>Examples!$D$18-(Examples!$D$10+Examples!$D$11)*$A950-(Examples!$D$6*Examples!$D$7*Examples!$D$8*EXP(-Examples!$D$9*$A950)*(1-(Examples!$D$12*(1-EXP(-Examples!$D$13*$A950))/(1+EXP(MIN(700,MAX(-700,(Examples!$D$14*$A950-Examples!$D$15)/Examples!$D$16))))))+Examples!$D$17*$A950^2)</f>
        <v>1539851.322886985</v>
      </c>
      <c r="E950" s="33">
        <f>(Examples!$D$6*Examples!$D$7*Examples!$D$8*EXP(-Examples!$D$9*$A950)*(1-(Examples!$D$12*(1-EXP(-Examples!$D$13*$A950))/(1+EXP(MIN(700,MAX(-700,(Examples!$D$14*$A950-Examples!$D$15)/Examples!$D$16))))))+Examples!$D$17*$A950^2)</f>
        <v>533548.67711301497</v>
      </c>
      <c r="F950" s="33">
        <f>Examples!$E$18-(Examples!$E$10+Examples!$E$11)*$A950-(Examples!$E$6*Examples!$E$7*Examples!$E$8*EXP(-Examples!$E$9*$A950)*(1-(Examples!$E$12*(1-EXP(-Examples!$E$13*$A950))/(1+EXP(MIN(700,MAX(-700,(Examples!$E$14*$A950-Examples!$E$15)/Examples!$E$16))))))+Examples!$E$17*$A950^2)</f>
        <v>1901535.522938981</v>
      </c>
      <c r="G950" s="33">
        <f>(Examples!$E$6*Examples!$E$7*Examples!$E$8*EXP(-Examples!$E$9*$A950)*(1-(Examples!$E$12*(1-EXP(-Examples!$E$13*$A950))/(1+EXP(MIN(700,MAX(-700,(Examples!$E$14*$A950-Examples!$E$15)/Examples!$E$16))))))+Examples!$E$17*$A950^2)</f>
        <v>292664.47706101905</v>
      </c>
      <c r="H950" s="33">
        <f>Examples!$F$18-(Examples!$F$10+Examples!$F$11)*$A950-(Examples!$F$6*Examples!$F$7*Examples!$F$8*EXP(-Examples!$F$9*$A950)*(1-(Examples!$F$12*(1-EXP(-Examples!$F$13*$A950))/(1+EXP(MIN(700,MAX(-700,(Examples!$F$14*$A950-Examples!$F$15)/Examples!$F$16))))))+Examples!$F$17*$A950^2)</f>
        <v>-1838026.3675264593</v>
      </c>
      <c r="I950" s="33">
        <f>(Examples!$F$6*Examples!$F$7*Examples!$F$8*EXP(-Examples!$F$9*$A950)*(1-(Examples!$F$12*(1-EXP(-Examples!$F$13*$A950))/(1+EXP(MIN(700,MAX(-700,(Examples!$F$14*$A950-Examples!$F$15)/Examples!$F$16))))))+Examples!$F$17*$A950^2)</f>
        <v>1798426.3675264593</v>
      </c>
      <c r="J950" s="33">
        <f>Examples!$G$18-(Examples!$G$10+Examples!$G$11)*$A950-(Examples!$G$6*Examples!$G$7*Examples!$G$8*EXP(-Examples!$G$9*$A950)*(1-(Examples!$G$12*(1-EXP(-Examples!$G$13*$A950))/(1+EXP(MIN(700,MAX(-700,(Examples!$G$14*$A950-Examples!$G$15)/Examples!$G$16))))))+Examples!$G$17*$A950^2)</f>
        <v>234591.59775517322</v>
      </c>
      <c r="K950" s="33">
        <f>(Examples!$G$6*Examples!$G$7*Examples!$G$8*EXP(-Examples!$G$9*$A950)*(1-(Examples!$G$12*(1-EXP(-Examples!$G$13*$A950))/(1+EXP(MIN(700,MAX(-700,(Examples!$G$14*$A950-Examples!$G$15)/Examples!$G$16))))))+Examples!$G$17*$A950^2)</f>
        <v>791408.40224482678</v>
      </c>
      <c r="L950" s="33">
        <f>Examples!$H$18-(Examples!$H$10+Examples!$H$11)*$A950-(Examples!$H$6*Examples!$H$7*Examples!$H$8*EXP(-Examples!$H$9*$A950)*(1-(Examples!$H$12*(1-EXP(-Examples!$H$13*$A950))/(1+EXP(MIN(700,MAX(-700,(Examples!$H$14*$A950-Examples!$H$15)/Examples!$H$16))))))+Examples!$H$17*$A950^2)</f>
        <v>234586.38046856108</v>
      </c>
      <c r="M950" s="33">
        <f>(Examples!$H$6*Examples!$H$7*Examples!$H$8*EXP(-Examples!$H$9*$A950)*(1-(Examples!$H$12*(1-EXP(-Examples!$H$13*$A950))/(1+EXP(MIN(700,MAX(-700,(Examples!$H$14*$A950-Examples!$H$15)/Examples!$H$16))))))+Examples!$H$17*$A950^2)</f>
        <v>791413.61953143892</v>
      </c>
    </row>
    <row r="951" spans="1:13" x14ac:dyDescent="0.25">
      <c r="A951">
        <f>(951-2)/100</f>
        <v>9.49</v>
      </c>
      <c r="B951" s="33">
        <f>Examples!$C$18-(Examples!$C$10+Examples!$C$11)*$A951-(Examples!$C$6*Examples!$C$7*Examples!$C$8*EXP(-Examples!$C$9*$A951)*(1-(Examples!$C$12*(1-EXP(-Examples!$C$13*$A951))/(1+EXP(MIN(700,MAX(-700,(Examples!$C$14*$A951-Examples!$C$15)/Examples!$C$16))))))+Examples!$C$17*$A951^2)</f>
        <v>-1117862.3686383446</v>
      </c>
      <c r="C951" s="33">
        <f>(Examples!$C$6*Examples!$C$7*Examples!$C$8*EXP(-Examples!$C$9*$A951)*(1-(Examples!$C$12*(1-EXP(-Examples!$C$13*$A951))/(1+EXP(MIN(700,MAX(-700,(Examples!$C$14*$A951-Examples!$C$15)/Examples!$C$16))))))+Examples!$C$17*$A951^2)</f>
        <v>1385712.3686383446</v>
      </c>
      <c r="D951" s="33">
        <f>Examples!$D$18-(Examples!$D$10+Examples!$D$11)*$A951-(Examples!$D$6*Examples!$D$7*Examples!$D$8*EXP(-Examples!$D$9*$A951)*(1-(Examples!$D$12*(1-EXP(-Examples!$D$13*$A951))/(1+EXP(MIN(700,MAX(-700,(Examples!$D$14*$A951-Examples!$D$15)/Examples!$D$16))))))+Examples!$D$17*$A951^2)</f>
        <v>1538830.4585684729</v>
      </c>
      <c r="E951" s="33">
        <f>(Examples!$D$6*Examples!$D$7*Examples!$D$8*EXP(-Examples!$D$9*$A951)*(1-(Examples!$D$12*(1-EXP(-Examples!$D$13*$A951))/(1+EXP(MIN(700,MAX(-700,(Examples!$D$14*$A951-Examples!$D$15)/Examples!$D$16))))))+Examples!$D$17*$A951^2)</f>
        <v>534119.541431527</v>
      </c>
      <c r="F951" s="33">
        <f>Examples!$E$18-(Examples!$E$10+Examples!$E$11)*$A951-(Examples!$E$6*Examples!$E$7*Examples!$E$8*EXP(-Examples!$E$9*$A951)*(1-(Examples!$E$12*(1-EXP(-Examples!$E$13*$A951))/(1+EXP(MIN(700,MAX(-700,(Examples!$E$14*$A951-Examples!$E$15)/Examples!$E$16))))))+Examples!$E$17*$A951^2)</f>
        <v>1900227.2317507097</v>
      </c>
      <c r="G951" s="33">
        <f>(Examples!$E$6*Examples!$E$7*Examples!$E$8*EXP(-Examples!$E$9*$A951)*(1-(Examples!$E$12*(1-EXP(-Examples!$E$13*$A951))/(1+EXP(MIN(700,MAX(-700,(Examples!$E$14*$A951-Examples!$E$15)/Examples!$E$16))))))+Examples!$E$17*$A951^2)</f>
        <v>293122.76824929024</v>
      </c>
      <c r="H951" s="33">
        <f>Examples!$F$18-(Examples!$F$10+Examples!$F$11)*$A951-(Examples!$F$6*Examples!$F$7*Examples!$F$8*EXP(-Examples!$F$9*$A951)*(1-(Examples!$F$12*(1-EXP(-Examples!$F$13*$A951))/(1+EXP(MIN(700,MAX(-700,(Examples!$F$14*$A951-Examples!$F$15)/Examples!$F$16))))))+Examples!$F$17*$A951^2)</f>
        <v>-1842017.3170019544</v>
      </c>
      <c r="I951" s="33">
        <f>(Examples!$F$6*Examples!$F$7*Examples!$F$8*EXP(-Examples!$F$9*$A951)*(1-(Examples!$F$12*(1-EXP(-Examples!$F$13*$A951))/(1+EXP(MIN(700,MAX(-700,(Examples!$F$14*$A951-Examples!$F$15)/Examples!$F$16))))))+Examples!$F$17*$A951^2)</f>
        <v>1802217.3170019544</v>
      </c>
      <c r="J951" s="33">
        <f>Examples!$G$18-(Examples!$G$10+Examples!$G$11)*$A951-(Examples!$G$6*Examples!$G$7*Examples!$G$8*EXP(-Examples!$G$9*$A951)*(1-(Examples!$G$12*(1-EXP(-Examples!$G$13*$A951))/(1+EXP(MIN(700,MAX(-700,(Examples!$G$14*$A951-Examples!$G$15)/Examples!$G$16))))))+Examples!$G$17*$A951^2)</f>
        <v>232827.04412429931</v>
      </c>
      <c r="K951" s="33">
        <f>(Examples!$G$6*Examples!$G$7*Examples!$G$8*EXP(-Examples!$G$9*$A951)*(1-(Examples!$G$12*(1-EXP(-Examples!$G$13*$A951))/(1+EXP(MIN(700,MAX(-700,(Examples!$G$14*$A951-Examples!$G$15)/Examples!$G$16))))))+Examples!$G$17*$A951^2)</f>
        <v>792672.95587570069</v>
      </c>
      <c r="L951" s="33">
        <f>Examples!$H$18-(Examples!$H$10+Examples!$H$11)*$A951-(Examples!$H$6*Examples!$H$7*Examples!$H$8*EXP(-Examples!$H$9*$A951)*(1-(Examples!$H$12*(1-EXP(-Examples!$H$13*$A951))/(1+EXP(MIN(700,MAX(-700,(Examples!$H$14*$A951-Examples!$H$15)/Examples!$H$16))))))+Examples!$H$17*$A951^2)</f>
        <v>232821.91369500849</v>
      </c>
      <c r="M951" s="33">
        <f>(Examples!$H$6*Examples!$H$7*Examples!$H$8*EXP(-Examples!$H$9*$A951)*(1-(Examples!$H$12*(1-EXP(-Examples!$H$13*$A951))/(1+EXP(MIN(700,MAX(-700,(Examples!$H$14*$A951-Examples!$H$15)/Examples!$H$16))))))+Examples!$H$17*$A951^2)</f>
        <v>792678.08630499151</v>
      </c>
    </row>
    <row r="952" spans="1:13" x14ac:dyDescent="0.25">
      <c r="A952">
        <f>(952-2)/100</f>
        <v>9.5</v>
      </c>
      <c r="B952" s="33">
        <f>Examples!$C$18-(Examples!$C$10+Examples!$C$11)*$A952-(Examples!$C$6*Examples!$C$7*Examples!$C$8*EXP(-Examples!$C$9*$A952)*(1-(Examples!$C$12*(1-EXP(-Examples!$C$13*$A952))/(1+EXP(MIN(700,MAX(-700,(Examples!$C$14*$A952-Examples!$C$15)/Examples!$C$16))))))+Examples!$C$17*$A952^2)</f>
        <v>-1120956.59252481</v>
      </c>
      <c r="C952" s="33">
        <f>(Examples!$C$6*Examples!$C$7*Examples!$C$8*EXP(-Examples!$C$9*$A952)*(1-(Examples!$C$12*(1-EXP(-Examples!$C$13*$A952))/(1+EXP(MIN(700,MAX(-700,(Examples!$C$14*$A952-Examples!$C$15)/Examples!$C$16))))))+Examples!$C$17*$A952^2)</f>
        <v>1388456.59252481</v>
      </c>
      <c r="D952" s="33">
        <f>Examples!$D$18-(Examples!$D$10+Examples!$D$11)*$A952-(Examples!$D$6*Examples!$D$7*Examples!$D$8*EXP(-Examples!$D$9*$A952)*(1-(Examples!$D$12*(1-EXP(-Examples!$D$13*$A952))/(1+EXP(MIN(700,MAX(-700,(Examples!$D$14*$A952-Examples!$D$15)/Examples!$D$16))))))+Examples!$D$17*$A952^2)</f>
        <v>1537806.9057281953</v>
      </c>
      <c r="E952" s="33">
        <f>(Examples!$D$6*Examples!$D$7*Examples!$D$8*EXP(-Examples!$D$9*$A952)*(1-(Examples!$D$12*(1-EXP(-Examples!$D$13*$A952))/(1+EXP(MIN(700,MAX(-700,(Examples!$D$14*$A952-Examples!$D$15)/Examples!$D$16))))))+Examples!$D$17*$A952^2)</f>
        <v>534693.09427180467</v>
      </c>
      <c r="F952" s="33">
        <f>Examples!$E$18-(Examples!$E$10+Examples!$E$11)*$A952-(Examples!$E$6*Examples!$E$7*Examples!$E$8*EXP(-Examples!$E$9*$A952)*(1-(Examples!$E$12*(1-EXP(-Examples!$E$13*$A952))/(1+EXP(MIN(700,MAX(-700,(Examples!$E$14*$A952-Examples!$E$15)/Examples!$E$16))))))+Examples!$E$17*$A952^2)</f>
        <v>1898917.8399206651</v>
      </c>
      <c r="G952" s="33">
        <f>(Examples!$E$6*Examples!$E$7*Examples!$E$8*EXP(-Examples!$E$9*$A952)*(1-(Examples!$E$12*(1-EXP(-Examples!$E$13*$A952))/(1+EXP(MIN(700,MAX(-700,(Examples!$E$14*$A952-Examples!$E$15)/Examples!$E$16))))))+Examples!$E$17*$A952^2)</f>
        <v>293582.16007933498</v>
      </c>
      <c r="H952" s="33">
        <f>Examples!$F$18-(Examples!$F$10+Examples!$F$11)*$A952-(Examples!$F$6*Examples!$F$7*Examples!$F$8*EXP(-Examples!$F$9*$A952)*(1-(Examples!$F$12*(1-EXP(-Examples!$F$13*$A952))/(1+EXP(MIN(700,MAX(-700,(Examples!$F$14*$A952-Examples!$F$15)/Examples!$F$16))))))+Examples!$F$17*$A952^2)</f>
        <v>-1846012.2756153096</v>
      </c>
      <c r="I952" s="33">
        <f>(Examples!$F$6*Examples!$F$7*Examples!$F$8*EXP(-Examples!$F$9*$A952)*(1-(Examples!$F$12*(1-EXP(-Examples!$F$13*$A952))/(1+EXP(MIN(700,MAX(-700,(Examples!$F$14*$A952-Examples!$F$15)/Examples!$F$16))))))+Examples!$F$17*$A952^2)</f>
        <v>1806012.2756153096</v>
      </c>
      <c r="J952" s="33">
        <f>Examples!$G$18-(Examples!$G$10+Examples!$G$11)*$A952-(Examples!$G$6*Examples!$G$7*Examples!$G$8*EXP(-Examples!$G$9*$A952)*(1-(Examples!$G$12*(1-EXP(-Examples!$G$13*$A952))/(1+EXP(MIN(700,MAX(-700,(Examples!$G$14*$A952-Examples!$G$15)/Examples!$G$16))))))+Examples!$G$17*$A952^2)</f>
        <v>231060.00752057845</v>
      </c>
      <c r="K952" s="33">
        <f>(Examples!$G$6*Examples!$G$7*Examples!$G$8*EXP(-Examples!$G$9*$A952)*(1-(Examples!$G$12*(1-EXP(-Examples!$G$13*$A952))/(1+EXP(MIN(700,MAX(-700,(Examples!$G$14*$A952-Examples!$G$15)/Examples!$G$16))))))+Examples!$G$17*$A952^2)</f>
        <v>793939.99247942155</v>
      </c>
      <c r="L952" s="33">
        <f>Examples!$H$18-(Examples!$H$10+Examples!$H$11)*$A952-(Examples!$H$6*Examples!$H$7*Examples!$H$8*EXP(-Examples!$H$9*$A952)*(1-(Examples!$H$12*(1-EXP(-Examples!$H$13*$A952))/(1+EXP(MIN(700,MAX(-700,(Examples!$H$14*$A952-Examples!$H$15)/Examples!$H$16))))))+Examples!$H$17*$A952^2)</f>
        <v>231054.9625038096</v>
      </c>
      <c r="M952" s="33">
        <f>(Examples!$H$6*Examples!$H$7*Examples!$H$8*EXP(-Examples!$H$9*$A952)*(1-(Examples!$H$12*(1-EXP(-Examples!$H$13*$A952))/(1+EXP(MIN(700,MAX(-700,(Examples!$H$14*$A952-Examples!$H$15)/Examples!$H$16))))))+Examples!$H$17*$A952^2)</f>
        <v>793945.0374961904</v>
      </c>
    </row>
    <row r="953" spans="1:13" x14ac:dyDescent="0.25">
      <c r="A953">
        <f>(953-2)/100</f>
        <v>9.51</v>
      </c>
      <c r="B953" s="33">
        <f>Examples!$C$18-(Examples!$C$10+Examples!$C$11)*$A953-(Examples!$C$6*Examples!$C$7*Examples!$C$8*EXP(-Examples!$C$9*$A953)*(1-(Examples!$C$12*(1-EXP(-Examples!$C$13*$A953))/(1+EXP(MIN(700,MAX(-700,(Examples!$C$14*$A953-Examples!$C$15)/Examples!$C$16))))))+Examples!$C$17*$A953^2)</f>
        <v>-1124054.1287708424</v>
      </c>
      <c r="C953" s="33">
        <f>(Examples!$C$6*Examples!$C$7*Examples!$C$8*EXP(-Examples!$C$9*$A953)*(1-(Examples!$C$12*(1-EXP(-Examples!$C$13*$A953))/(1+EXP(MIN(700,MAX(-700,(Examples!$C$14*$A953-Examples!$C$15)/Examples!$C$16))))))+Examples!$C$17*$A953^2)</f>
        <v>1391204.1287708424</v>
      </c>
      <c r="D953" s="33">
        <f>Examples!$D$18-(Examples!$D$10+Examples!$D$11)*$A953-(Examples!$D$6*Examples!$D$7*Examples!$D$8*EXP(-Examples!$D$9*$A953)*(1-(Examples!$D$12*(1-EXP(-Examples!$D$13*$A953))/(1+EXP(MIN(700,MAX(-700,(Examples!$D$14*$A953-Examples!$D$15)/Examples!$D$16))))))+Examples!$D$17*$A953^2)</f>
        <v>1536780.6718237544</v>
      </c>
      <c r="E953" s="33">
        <f>(Examples!$D$6*Examples!$D$7*Examples!$D$8*EXP(-Examples!$D$9*$A953)*(1-(Examples!$D$12*(1-EXP(-Examples!$D$13*$A953))/(1+EXP(MIN(700,MAX(-700,(Examples!$D$14*$A953-Examples!$D$15)/Examples!$D$16))))))+Examples!$D$17*$A953^2)</f>
        <v>535269.32817624544</v>
      </c>
      <c r="F953" s="33">
        <f>Examples!$E$18-(Examples!$E$10+Examples!$E$11)*$A953-(Examples!$E$6*Examples!$E$7*Examples!$E$8*EXP(-Examples!$E$9*$A953)*(1-(Examples!$E$12*(1-EXP(-Examples!$E$13*$A953))/(1+EXP(MIN(700,MAX(-700,(Examples!$E$14*$A953-Examples!$E$15)/Examples!$E$16))))))+Examples!$E$17*$A953^2)</f>
        <v>1897607.3493109066</v>
      </c>
      <c r="G953" s="33">
        <f>(Examples!$E$6*Examples!$E$7*Examples!$E$8*EXP(-Examples!$E$9*$A953)*(1-(Examples!$E$12*(1-EXP(-Examples!$E$13*$A953))/(1+EXP(MIN(700,MAX(-700,(Examples!$E$14*$A953-Examples!$E$15)/Examples!$E$16))))))+Examples!$E$17*$A953^2)</f>
        <v>294042.6506890934</v>
      </c>
      <c r="H953" s="33">
        <f>Examples!$F$18-(Examples!$F$10+Examples!$F$11)*$A953-(Examples!$F$6*Examples!$F$7*Examples!$F$8*EXP(-Examples!$F$9*$A953)*(1-(Examples!$F$12*(1-EXP(-Examples!$F$13*$A953))/(1+EXP(MIN(700,MAX(-700,(Examples!$F$14*$A953-Examples!$F$15)/Examples!$F$16))))))+Examples!$F$17*$A953^2)</f>
        <v>-1850011.2433391521</v>
      </c>
      <c r="I953" s="33">
        <f>(Examples!$F$6*Examples!$F$7*Examples!$F$8*EXP(-Examples!$F$9*$A953)*(1-(Examples!$F$12*(1-EXP(-Examples!$F$13*$A953))/(1+EXP(MIN(700,MAX(-700,(Examples!$F$14*$A953-Examples!$F$15)/Examples!$F$16))))))+Examples!$F$17*$A953^2)</f>
        <v>1809811.2433391521</v>
      </c>
      <c r="J953" s="33">
        <f>Examples!$G$18-(Examples!$G$10+Examples!$G$11)*$A953-(Examples!$G$6*Examples!$G$7*Examples!$G$8*EXP(-Examples!$G$9*$A953)*(1-(Examples!$G$12*(1-EXP(-Examples!$G$13*$A953))/(1+EXP(MIN(700,MAX(-700,(Examples!$G$14*$A953-Examples!$G$15)/Examples!$G$16))))))+Examples!$G$17*$A953^2)</f>
        <v>229290.49101005495</v>
      </c>
      <c r="K953" s="33">
        <f>(Examples!$G$6*Examples!$G$7*Examples!$G$8*EXP(-Examples!$G$9*$A953)*(1-(Examples!$G$12*(1-EXP(-Examples!$G$13*$A953))/(1+EXP(MIN(700,MAX(-700,(Examples!$G$14*$A953-Examples!$G$15)/Examples!$G$16))))))+Examples!$G$17*$A953^2)</f>
        <v>795209.50898994505</v>
      </c>
      <c r="L953" s="33">
        <f>Examples!$H$18-(Examples!$H$10+Examples!$H$11)*$A953-(Examples!$H$6*Examples!$H$7*Examples!$H$8*EXP(-Examples!$H$9*$A953)*(1-(Examples!$H$12*(1-EXP(-Examples!$H$13*$A953))/(1+EXP(MIN(700,MAX(-700,(Examples!$H$14*$A953-Examples!$H$15)/Examples!$H$16))))))+Examples!$H$17*$A953^2)</f>
        <v>229285.52998501481</v>
      </c>
      <c r="M953" s="33">
        <f>(Examples!$H$6*Examples!$H$7*Examples!$H$8*EXP(-Examples!$H$9*$A953)*(1-(Examples!$H$12*(1-EXP(-Examples!$H$13*$A953))/(1+EXP(MIN(700,MAX(-700,(Examples!$H$14*$A953-Examples!$H$15)/Examples!$H$16))))))+Examples!$H$17*$A953^2)</f>
        <v>795214.47001498519</v>
      </c>
    </row>
    <row r="954" spans="1:13" x14ac:dyDescent="0.25">
      <c r="A954">
        <f>(954-2)/100</f>
        <v>9.52</v>
      </c>
      <c r="B954" s="33">
        <f>Examples!$C$18-(Examples!$C$10+Examples!$C$11)*$A954-(Examples!$C$6*Examples!$C$7*Examples!$C$8*EXP(-Examples!$C$9*$A954)*(1-(Examples!$C$12*(1-EXP(-Examples!$C$13*$A954))/(1+EXP(MIN(700,MAX(-700,(Examples!$C$14*$A954-Examples!$C$15)/Examples!$C$16))))))+Examples!$C$17*$A954^2)</f>
        <v>-1127154.9764407671</v>
      </c>
      <c r="C954" s="33">
        <f>(Examples!$C$6*Examples!$C$7*Examples!$C$8*EXP(-Examples!$C$9*$A954)*(1-(Examples!$C$12*(1-EXP(-Examples!$C$13*$A954))/(1+EXP(MIN(700,MAX(-700,(Examples!$C$14*$A954-Examples!$C$15)/Examples!$C$16))))))+Examples!$C$17*$A954^2)</f>
        <v>1393954.9764407671</v>
      </c>
      <c r="D954" s="33">
        <f>Examples!$D$18-(Examples!$D$10+Examples!$D$11)*$A954-(Examples!$D$6*Examples!$D$7*Examples!$D$8*EXP(-Examples!$D$9*$A954)*(1-(Examples!$D$12*(1-EXP(-Examples!$D$13*$A954))/(1+EXP(MIN(700,MAX(-700,(Examples!$D$14*$A954-Examples!$D$15)/Examples!$D$16))))))+Examples!$D$17*$A954^2)</f>
        <v>1535751.7642814443</v>
      </c>
      <c r="E954" s="33">
        <f>(Examples!$D$6*Examples!$D$7*Examples!$D$8*EXP(-Examples!$D$9*$A954)*(1-(Examples!$D$12*(1-EXP(-Examples!$D$13*$A954))/(1+EXP(MIN(700,MAX(-700,(Examples!$D$14*$A954-Examples!$D$15)/Examples!$D$16))))))+Examples!$D$17*$A954^2)</f>
        <v>535848.23571855563</v>
      </c>
      <c r="F954" s="33">
        <f>Examples!$E$18-(Examples!$E$10+Examples!$E$11)*$A954-(Examples!$E$6*Examples!$E$7*Examples!$E$8*EXP(-Examples!$E$9*$A954)*(1-(Examples!$E$12*(1-EXP(-Examples!$E$13*$A954))/(1+EXP(MIN(700,MAX(-700,(Examples!$E$14*$A954-Examples!$E$15)/Examples!$E$16))))))+Examples!$E$17*$A954^2)</f>
        <v>1896295.7617816725</v>
      </c>
      <c r="G954" s="33">
        <f>(Examples!$E$6*Examples!$E$7*Examples!$E$8*EXP(-Examples!$E$9*$A954)*(1-(Examples!$E$12*(1-EXP(-Examples!$E$13*$A954))/(1+EXP(MIN(700,MAX(-700,(Examples!$E$14*$A954-Examples!$E$15)/Examples!$E$16))))))+Examples!$E$17*$A954^2)</f>
        <v>294504.23821832746</v>
      </c>
      <c r="H954" s="33">
        <f>Examples!$F$18-(Examples!$F$10+Examples!$F$11)*$A954-(Examples!$F$6*Examples!$F$7*Examples!$F$8*EXP(-Examples!$F$9*$A954)*(1-(Examples!$F$12*(1-EXP(-Examples!$F$13*$A954))/(1+EXP(MIN(700,MAX(-700,(Examples!$F$14*$A954-Examples!$F$15)/Examples!$F$16))))))+Examples!$F$17*$A954^2)</f>
        <v>-1854014.2201461915</v>
      </c>
      <c r="I954" s="33">
        <f>(Examples!$F$6*Examples!$F$7*Examples!$F$8*EXP(-Examples!$F$9*$A954)*(1-(Examples!$F$12*(1-EXP(-Examples!$F$13*$A954))/(1+EXP(MIN(700,MAX(-700,(Examples!$F$14*$A954-Examples!$F$15)/Examples!$F$16))))))+Examples!$F$17*$A954^2)</f>
        <v>1813614.2201461915</v>
      </c>
      <c r="J954" s="33">
        <f>Examples!$G$18-(Examples!$G$10+Examples!$G$11)*$A954-(Examples!$G$6*Examples!$G$7*Examples!$G$8*EXP(-Examples!$G$9*$A954)*(1-(Examples!$G$12*(1-EXP(-Examples!$G$13*$A954))/(1+EXP(MIN(700,MAX(-700,(Examples!$G$14*$A954-Examples!$G$15)/Examples!$G$16))))))+Examples!$G$17*$A954^2)</f>
        <v>227518.49764837511</v>
      </c>
      <c r="K954" s="33">
        <f>(Examples!$G$6*Examples!$G$7*Examples!$G$8*EXP(-Examples!$G$9*$A954)*(1-(Examples!$G$12*(1-EXP(-Examples!$G$13*$A954))/(1+EXP(MIN(700,MAX(-700,(Examples!$G$14*$A954-Examples!$G$15)/Examples!$G$16))))))+Examples!$G$17*$A954^2)</f>
        <v>796481.50235162489</v>
      </c>
      <c r="L954" s="33">
        <f>Examples!$H$18-(Examples!$H$10+Examples!$H$11)*$A954-(Examples!$H$6*Examples!$H$7*Examples!$H$8*EXP(-Examples!$H$9*$A954)*(1-(Examples!$H$12*(1-EXP(-Examples!$H$13*$A954))/(1+EXP(MIN(700,MAX(-700,(Examples!$H$14*$A954-Examples!$H$15)/Examples!$H$16))))))+Examples!$H$17*$A954^2)</f>
        <v>227513.61921787891</v>
      </c>
      <c r="M954" s="33">
        <f>(Examples!$H$6*Examples!$H$7*Examples!$H$8*EXP(-Examples!$H$9*$A954)*(1-(Examples!$H$12*(1-EXP(-Examples!$H$13*$A954))/(1+EXP(MIN(700,MAX(-700,(Examples!$H$14*$A954-Examples!$H$15)/Examples!$H$16))))))+Examples!$H$17*$A954^2)</f>
        <v>796486.38078212109</v>
      </c>
    </row>
    <row r="955" spans="1:13" x14ac:dyDescent="0.25">
      <c r="A955">
        <f>(955-2)/100</f>
        <v>9.5299999999999994</v>
      </c>
      <c r="B955" s="33">
        <f>Examples!$C$18-(Examples!$C$10+Examples!$C$11)*$A955-(Examples!$C$6*Examples!$C$7*Examples!$C$8*EXP(-Examples!$C$9*$A955)*(1-(Examples!$C$12*(1-EXP(-Examples!$C$13*$A955))/(1+EXP(MIN(700,MAX(-700,(Examples!$C$14*$A955-Examples!$C$15)/Examples!$C$16))))))+Examples!$C$17*$A955^2)</f>
        <v>-1130259.1346017127</v>
      </c>
      <c r="C955" s="33">
        <f>(Examples!$C$6*Examples!$C$7*Examples!$C$8*EXP(-Examples!$C$9*$A955)*(1-(Examples!$C$12*(1-EXP(-Examples!$C$13*$A955))/(1+EXP(MIN(700,MAX(-700,(Examples!$C$14*$A955-Examples!$C$15)/Examples!$C$16))))))+Examples!$C$17*$A955^2)</f>
        <v>1396709.1346017127</v>
      </c>
      <c r="D955" s="33">
        <f>Examples!$D$18-(Examples!$D$10+Examples!$D$11)*$A955-(Examples!$D$6*Examples!$D$7*Examples!$D$8*EXP(-Examples!$D$9*$A955)*(1-(Examples!$D$12*(1-EXP(-Examples!$D$13*$A955))/(1+EXP(MIN(700,MAX(-700,(Examples!$D$14*$A955-Examples!$D$15)/Examples!$D$16))))))+Examples!$D$17*$A955^2)</f>
        <v>1534720.1904963518</v>
      </c>
      <c r="E955" s="33">
        <f>(Examples!$D$6*Examples!$D$7*Examples!$D$8*EXP(-Examples!$D$9*$A955)*(1-(Examples!$D$12*(1-EXP(-Examples!$D$13*$A955))/(1+EXP(MIN(700,MAX(-700,(Examples!$D$14*$A955-Examples!$D$15)/Examples!$D$16))))))+Examples!$D$17*$A955^2)</f>
        <v>536429.8095036482</v>
      </c>
      <c r="F955" s="33">
        <f>Examples!$E$18-(Examples!$E$10+Examples!$E$11)*$A955-(Examples!$E$6*Examples!$E$7*Examples!$E$8*EXP(-Examples!$E$9*$A955)*(1-(Examples!$E$12*(1-EXP(-Examples!$E$13*$A955))/(1+EXP(MIN(700,MAX(-700,(Examples!$E$14*$A955-Examples!$E$15)/Examples!$E$16))))))+Examples!$E$17*$A955^2)</f>
        <v>1894983.0791913061</v>
      </c>
      <c r="G955" s="33">
        <f>(Examples!$E$6*Examples!$E$7*Examples!$E$8*EXP(-Examples!$E$9*$A955)*(1-(Examples!$E$12*(1-EXP(-Examples!$E$13*$A955))/(1+EXP(MIN(700,MAX(-700,(Examples!$E$14*$A955-Examples!$E$15)/Examples!$E$16))))))+Examples!$E$17*$A955^2)</f>
        <v>294966.9208086938</v>
      </c>
      <c r="H955" s="33">
        <f>Examples!$F$18-(Examples!$F$10+Examples!$F$11)*$A955-(Examples!$F$6*Examples!$F$7*Examples!$F$8*EXP(-Examples!$F$9*$A955)*(1-(Examples!$F$12*(1-EXP(-Examples!$F$13*$A955))/(1+EXP(MIN(700,MAX(-700,(Examples!$F$14*$A955-Examples!$F$15)/Examples!$F$16))))))+Examples!$F$17*$A955^2)</f>
        <v>-1858021.2060092189</v>
      </c>
      <c r="I955" s="33">
        <f>(Examples!$F$6*Examples!$F$7*Examples!$F$8*EXP(-Examples!$F$9*$A955)*(1-(Examples!$F$12*(1-EXP(-Examples!$F$13*$A955))/(1+EXP(MIN(700,MAX(-700,(Examples!$F$14*$A955-Examples!$F$15)/Examples!$F$16))))))+Examples!$F$17*$A955^2)</f>
        <v>1817421.2060092189</v>
      </c>
      <c r="J955" s="33">
        <f>Examples!$G$18-(Examples!$G$10+Examples!$G$11)*$A955-(Examples!$G$6*Examples!$G$7*Examples!$G$8*EXP(-Examples!$G$9*$A955)*(1-(Examples!$G$12*(1-EXP(-Examples!$G$13*$A955))/(1+EXP(MIN(700,MAX(-700,(Examples!$G$14*$A955-Examples!$G$15)/Examples!$G$16))))))+Examples!$G$17*$A955^2)</f>
        <v>225744.03048081824</v>
      </c>
      <c r="K955" s="33">
        <f>(Examples!$G$6*Examples!$G$7*Examples!$G$8*EXP(-Examples!$G$9*$A955)*(1-(Examples!$G$12*(1-EXP(-Examples!$G$13*$A955))/(1+EXP(MIN(700,MAX(-700,(Examples!$G$14*$A955-Examples!$G$15)/Examples!$G$16))))))+Examples!$G$17*$A955^2)</f>
        <v>797755.96951918176</v>
      </c>
      <c r="L955" s="33">
        <f>Examples!$H$18-(Examples!$H$10+Examples!$H$11)*$A955-(Examples!$H$6*Examples!$H$7*Examples!$H$8*EXP(-Examples!$H$9*$A955)*(1-(Examples!$H$12*(1-EXP(-Examples!$H$13*$A955))/(1+EXP(MIN(700,MAX(-700,(Examples!$H$14*$A955-Examples!$H$15)/Examples!$H$16))))))+Examples!$H$17*$A955^2)</f>
        <v>225739.23327089718</v>
      </c>
      <c r="M955" s="33">
        <f>(Examples!$H$6*Examples!$H$7*Examples!$H$8*EXP(-Examples!$H$9*$A955)*(1-(Examples!$H$12*(1-EXP(-Examples!$H$13*$A955))/(1+EXP(MIN(700,MAX(-700,(Examples!$H$14*$A955-Examples!$H$15)/Examples!$H$16))))))+Examples!$H$17*$A955^2)</f>
        <v>797760.76672910282</v>
      </c>
    </row>
    <row r="956" spans="1:13" x14ac:dyDescent="0.25">
      <c r="A956">
        <f>(956-2)/100</f>
        <v>9.5399999999999991</v>
      </c>
      <c r="B956" s="33">
        <f>Examples!$C$18-(Examples!$C$10+Examples!$C$11)*$A956-(Examples!$C$6*Examples!$C$7*Examples!$C$8*EXP(-Examples!$C$9*$A956)*(1-(Examples!$C$12*(1-EXP(-Examples!$C$13*$A956))/(1+EXP(MIN(700,MAX(-700,(Examples!$C$14*$A956-Examples!$C$15)/Examples!$C$16))))))+Examples!$C$17*$A956^2)</f>
        <v>-1133366.6023236013</v>
      </c>
      <c r="C956" s="33">
        <f>(Examples!$C$6*Examples!$C$7*Examples!$C$8*EXP(-Examples!$C$9*$A956)*(1-(Examples!$C$12*(1-EXP(-Examples!$C$13*$A956))/(1+EXP(MIN(700,MAX(-700,(Examples!$C$14*$A956-Examples!$C$15)/Examples!$C$16))))))+Examples!$C$17*$A956^2)</f>
        <v>1399466.6023236013</v>
      </c>
      <c r="D956" s="33">
        <f>Examples!$D$18-(Examples!$D$10+Examples!$D$11)*$A956-(Examples!$D$6*Examples!$D$7*Examples!$D$8*EXP(-Examples!$D$9*$A956)*(1-(Examples!$D$12*(1-EXP(-Examples!$D$13*$A956))/(1+EXP(MIN(700,MAX(-700,(Examples!$D$14*$A956-Examples!$D$15)/Examples!$D$16))))))+Examples!$D$17*$A956^2)</f>
        <v>1533685.9578324608</v>
      </c>
      <c r="E956" s="33">
        <f>(Examples!$D$6*Examples!$D$7*Examples!$D$8*EXP(-Examples!$D$9*$A956)*(1-(Examples!$D$12*(1-EXP(-Examples!$D$13*$A956))/(1+EXP(MIN(700,MAX(-700,(Examples!$D$14*$A956-Examples!$D$15)/Examples!$D$16))))))+Examples!$D$17*$A956^2)</f>
        <v>537014.04216753936</v>
      </c>
      <c r="F956" s="33">
        <f>Examples!$E$18-(Examples!$E$10+Examples!$E$11)*$A956-(Examples!$E$6*Examples!$E$7*Examples!$E$8*EXP(-Examples!$E$9*$A956)*(1-(Examples!$E$12*(1-EXP(-Examples!$E$13*$A956))/(1+EXP(MIN(700,MAX(-700,(Examples!$E$14*$A956-Examples!$E$15)/Examples!$E$16))))))+Examples!$E$17*$A956^2)</f>
        <v>1893669.3033961845</v>
      </c>
      <c r="G956" s="33">
        <f>(Examples!$E$6*Examples!$E$7*Examples!$E$8*EXP(-Examples!$E$9*$A956)*(1-(Examples!$E$12*(1-EXP(-Examples!$E$13*$A956))/(1+EXP(MIN(700,MAX(-700,(Examples!$E$14*$A956-Examples!$E$15)/Examples!$E$16))))))+Examples!$E$17*$A956^2)</f>
        <v>295430.69660381565</v>
      </c>
      <c r="H956" s="33">
        <f>Examples!$F$18-(Examples!$F$10+Examples!$F$11)*$A956-(Examples!$F$6*Examples!$F$7*Examples!$F$8*EXP(-Examples!$F$9*$A956)*(1-(Examples!$F$12*(1-EXP(-Examples!$F$13*$A956))/(1+EXP(MIN(700,MAX(-700,(Examples!$F$14*$A956-Examples!$F$15)/Examples!$F$16))))))+Examples!$F$17*$A956^2)</f>
        <v>-1862032.2009011072</v>
      </c>
      <c r="I956" s="33">
        <f>(Examples!$F$6*Examples!$F$7*Examples!$F$8*EXP(-Examples!$F$9*$A956)*(1-(Examples!$F$12*(1-EXP(-Examples!$F$13*$A956))/(1+EXP(MIN(700,MAX(-700,(Examples!$F$14*$A956-Examples!$F$15)/Examples!$F$16))))))+Examples!$F$17*$A956^2)</f>
        <v>1821232.2009011072</v>
      </c>
      <c r="J956" s="33">
        <f>Examples!$G$18-(Examples!$G$10+Examples!$G$11)*$A956-(Examples!$G$6*Examples!$G$7*Examples!$G$8*EXP(-Examples!$G$9*$A956)*(1-(Examples!$G$12*(1-EXP(-Examples!$G$13*$A956))/(1+EXP(MIN(700,MAX(-700,(Examples!$G$14*$A956-Examples!$G$15)/Examples!$G$16))))))+Examples!$G$17*$A956^2)</f>
        <v>223967.09254232794</v>
      </c>
      <c r="K956" s="33">
        <f>(Examples!$G$6*Examples!$G$7*Examples!$G$8*EXP(-Examples!$G$9*$A956)*(1-(Examples!$G$12*(1-EXP(-Examples!$G$13*$A956))/(1+EXP(MIN(700,MAX(-700,(Examples!$G$14*$A956-Examples!$G$15)/Examples!$G$16))))))+Examples!$G$17*$A956^2)</f>
        <v>799032.90745767206</v>
      </c>
      <c r="L956" s="33">
        <f>Examples!$H$18-(Examples!$H$10+Examples!$H$11)*$A956-(Examples!$H$6*Examples!$H$7*Examples!$H$8*EXP(-Examples!$H$9*$A956)*(1-(Examples!$H$12*(1-EXP(-Examples!$H$13*$A956))/(1+EXP(MIN(700,MAX(-700,(Examples!$H$14*$A956-Examples!$H$15)/Examples!$H$16))))))+Examples!$H$17*$A956^2)</f>
        <v>223962.37520184473</v>
      </c>
      <c r="M956" s="33">
        <f>(Examples!$H$6*Examples!$H$7*Examples!$H$8*EXP(-Examples!$H$9*$A956)*(1-(Examples!$H$12*(1-EXP(-Examples!$H$13*$A956))/(1+EXP(MIN(700,MAX(-700,(Examples!$H$14*$A956-Examples!$H$15)/Examples!$H$16))))))+Examples!$H$17*$A956^2)</f>
        <v>799037.62479815527</v>
      </c>
    </row>
    <row r="957" spans="1:13" x14ac:dyDescent="0.25">
      <c r="A957">
        <f>(957-2)/100</f>
        <v>9.5500000000000007</v>
      </c>
      <c r="B957" s="33">
        <f>Examples!$C$18-(Examples!$C$10+Examples!$C$11)*$A957-(Examples!$C$6*Examples!$C$7*Examples!$C$8*EXP(-Examples!$C$9*$A957)*(1-(Examples!$C$12*(1-EXP(-Examples!$C$13*$A957))/(1+EXP(MIN(700,MAX(-700,(Examples!$C$14*$A957-Examples!$C$15)/Examples!$C$16))))))+Examples!$C$17*$A957^2)</f>
        <v>-1136477.378679143</v>
      </c>
      <c r="C957" s="33">
        <f>(Examples!$C$6*Examples!$C$7*Examples!$C$8*EXP(-Examples!$C$9*$A957)*(1-(Examples!$C$12*(1-EXP(-Examples!$C$13*$A957))/(1+EXP(MIN(700,MAX(-700,(Examples!$C$14*$A957-Examples!$C$15)/Examples!$C$16))))))+Examples!$C$17*$A957^2)</f>
        <v>1402227.378679143</v>
      </c>
      <c r="D957" s="33">
        <f>Examples!$D$18-(Examples!$D$10+Examples!$D$11)*$A957-(Examples!$D$6*Examples!$D$7*Examples!$D$8*EXP(-Examples!$D$9*$A957)*(1-(Examples!$D$12*(1-EXP(-Examples!$D$13*$A957))/(1+EXP(MIN(700,MAX(-700,(Examples!$D$14*$A957-Examples!$D$15)/Examples!$D$16))))))+Examples!$D$17*$A957^2)</f>
        <v>1532649.0736227529</v>
      </c>
      <c r="E957" s="33">
        <f>(Examples!$D$6*Examples!$D$7*Examples!$D$8*EXP(-Examples!$D$9*$A957)*(1-(Examples!$D$12*(1-EXP(-Examples!$D$13*$A957))/(1+EXP(MIN(700,MAX(-700,(Examples!$D$14*$A957-Examples!$D$15)/Examples!$D$16))))))+Examples!$D$17*$A957^2)</f>
        <v>537600.92637724709</v>
      </c>
      <c r="F957" s="33">
        <f>Examples!$E$18-(Examples!$E$10+Examples!$E$11)*$A957-(Examples!$E$6*Examples!$E$7*Examples!$E$8*EXP(-Examples!$E$9*$A957)*(1-(Examples!$E$12*(1-EXP(-Examples!$E$13*$A957))/(1+EXP(MIN(700,MAX(-700,(Examples!$E$14*$A957-Examples!$E$15)/Examples!$E$16))))))+Examples!$E$17*$A957^2)</f>
        <v>1892354.4362506464</v>
      </c>
      <c r="G957" s="33">
        <f>(Examples!$E$6*Examples!$E$7*Examples!$E$8*EXP(-Examples!$E$9*$A957)*(1-(Examples!$E$12*(1-EXP(-Examples!$E$13*$A957))/(1+EXP(MIN(700,MAX(-700,(Examples!$E$14*$A957-Examples!$E$15)/Examples!$E$16))))))+Examples!$E$17*$A957^2)</f>
        <v>295895.56374935358</v>
      </c>
      <c r="H957" s="33">
        <f>Examples!$F$18-(Examples!$F$10+Examples!$F$11)*$A957-(Examples!$F$6*Examples!$F$7*Examples!$F$8*EXP(-Examples!$F$9*$A957)*(1-(Examples!$F$12*(1-EXP(-Examples!$F$13*$A957))/(1+EXP(MIN(700,MAX(-700,(Examples!$F$14*$A957-Examples!$F$15)/Examples!$F$16))))))+Examples!$F$17*$A957^2)</f>
        <v>-1866047.2047948109</v>
      </c>
      <c r="I957" s="33">
        <f>(Examples!$F$6*Examples!$F$7*Examples!$F$8*EXP(-Examples!$F$9*$A957)*(1-(Examples!$F$12*(1-EXP(-Examples!$F$13*$A957))/(1+EXP(MIN(700,MAX(-700,(Examples!$F$14*$A957-Examples!$F$15)/Examples!$F$16))))))+Examples!$F$17*$A957^2)</f>
        <v>1825047.2047948109</v>
      </c>
      <c r="J957" s="33">
        <f>Examples!$G$18-(Examples!$G$10+Examples!$G$11)*$A957-(Examples!$G$6*Examples!$G$7*Examples!$G$8*EXP(-Examples!$G$9*$A957)*(1-(Examples!$G$12*(1-EXP(-Examples!$G$13*$A957))/(1+EXP(MIN(700,MAX(-700,(Examples!$G$14*$A957-Examples!$G$15)/Examples!$G$16))))))+Examples!$G$17*$A957^2)</f>
        <v>222187.6868575433</v>
      </c>
      <c r="K957" s="33">
        <f>(Examples!$G$6*Examples!$G$7*Examples!$G$8*EXP(-Examples!$G$9*$A957)*(1-(Examples!$G$12*(1-EXP(-Examples!$G$13*$A957))/(1+EXP(MIN(700,MAX(-700,(Examples!$G$14*$A957-Examples!$G$15)/Examples!$G$16))))))+Examples!$G$17*$A957^2)</f>
        <v>800312.3131424567</v>
      </c>
      <c r="L957" s="33">
        <f>Examples!$H$18-(Examples!$H$10+Examples!$H$11)*$A957-(Examples!$H$6*Examples!$H$7*Examples!$H$8*EXP(-Examples!$H$9*$A957)*(1-(Examples!$H$12*(1-EXP(-Examples!$H$13*$A957))/(1+EXP(MIN(700,MAX(-700,(Examples!$H$14*$A957-Examples!$H$15)/Examples!$H$16))))))+Examples!$H$17*$A957^2)</f>
        <v>222183.04805781273</v>
      </c>
      <c r="M957" s="33">
        <f>(Examples!$H$6*Examples!$H$7*Examples!$H$8*EXP(-Examples!$H$9*$A957)*(1-(Examples!$H$12*(1-EXP(-Examples!$H$13*$A957))/(1+EXP(MIN(700,MAX(-700,(Examples!$H$14*$A957-Examples!$H$15)/Examples!$H$16))))))+Examples!$H$17*$A957^2)</f>
        <v>800316.95194218727</v>
      </c>
    </row>
    <row r="958" spans="1:13" x14ac:dyDescent="0.25">
      <c r="A958">
        <f>(958-2)/100</f>
        <v>9.56</v>
      </c>
      <c r="B958" s="33">
        <f>Examples!$C$18-(Examples!$C$10+Examples!$C$11)*$A958-(Examples!$C$6*Examples!$C$7*Examples!$C$8*EXP(-Examples!$C$9*$A958)*(1-(Examples!$C$12*(1-EXP(-Examples!$C$13*$A958))/(1+EXP(MIN(700,MAX(-700,(Examples!$C$14*$A958-Examples!$C$15)/Examples!$C$16))))))+Examples!$C$17*$A958^2)</f>
        <v>-1139591.4627438227</v>
      </c>
      <c r="C958" s="33">
        <f>(Examples!$C$6*Examples!$C$7*Examples!$C$8*EXP(-Examples!$C$9*$A958)*(1-(Examples!$C$12*(1-EXP(-Examples!$C$13*$A958))/(1+EXP(MIN(700,MAX(-700,(Examples!$C$14*$A958-Examples!$C$15)/Examples!$C$16))))))+Examples!$C$17*$A958^2)</f>
        <v>1404991.4627438227</v>
      </c>
      <c r="D958" s="33">
        <f>Examples!$D$18-(Examples!$D$10+Examples!$D$11)*$A958-(Examples!$D$6*Examples!$D$7*Examples!$D$8*EXP(-Examples!$D$9*$A958)*(1-(Examples!$D$12*(1-EXP(-Examples!$D$13*$A958))/(1+EXP(MIN(700,MAX(-700,(Examples!$D$14*$A958-Examples!$D$15)/Examples!$D$16))))))+Examples!$D$17*$A958^2)</f>
        <v>1531609.5451693134</v>
      </c>
      <c r="E958" s="33">
        <f>(Examples!$D$6*Examples!$D$7*Examples!$D$8*EXP(-Examples!$D$9*$A958)*(1-(Examples!$D$12*(1-EXP(-Examples!$D$13*$A958))/(1+EXP(MIN(700,MAX(-700,(Examples!$D$14*$A958-Examples!$D$15)/Examples!$D$16))))))+Examples!$D$17*$A958^2)</f>
        <v>538190.45483068656</v>
      </c>
      <c r="F958" s="33">
        <f>Examples!$E$18-(Examples!$E$10+Examples!$E$11)*$A958-(Examples!$E$6*Examples!$E$7*Examples!$E$8*EXP(-Examples!$E$9*$A958)*(1-(Examples!$E$12*(1-EXP(-Examples!$E$13*$A958))/(1+EXP(MIN(700,MAX(-700,(Examples!$E$14*$A958-Examples!$E$15)/Examples!$E$16))))))+Examples!$E$17*$A958^2)</f>
        <v>1891038.4796069255</v>
      </c>
      <c r="G958" s="33">
        <f>(Examples!$E$6*Examples!$E$7*Examples!$E$8*EXP(-Examples!$E$9*$A958)*(1-(Examples!$E$12*(1-EXP(-Examples!$E$13*$A958))/(1+EXP(MIN(700,MAX(-700,(Examples!$E$14*$A958-Examples!$E$15)/Examples!$E$16))))))+Examples!$E$17*$A958^2)</f>
        <v>296361.52039307461</v>
      </c>
      <c r="H958" s="33">
        <f>Examples!$F$18-(Examples!$F$10+Examples!$F$11)*$A958-(Examples!$F$6*Examples!$F$7*Examples!$F$8*EXP(-Examples!$F$9*$A958)*(1-(Examples!$F$12*(1-EXP(-Examples!$F$13*$A958))/(1+EXP(MIN(700,MAX(-700,(Examples!$F$14*$A958-Examples!$F$15)/Examples!$F$16))))))+Examples!$F$17*$A958^2)</f>
        <v>-1870066.217663364</v>
      </c>
      <c r="I958" s="33">
        <f>(Examples!$F$6*Examples!$F$7*Examples!$F$8*EXP(-Examples!$F$9*$A958)*(1-(Examples!$F$12*(1-EXP(-Examples!$F$13*$A958))/(1+EXP(MIN(700,MAX(-700,(Examples!$F$14*$A958-Examples!$F$15)/Examples!$F$16))))))+Examples!$F$17*$A958^2)</f>
        <v>1828866.217663364</v>
      </c>
      <c r="J958" s="33">
        <f>Examples!$G$18-(Examples!$G$10+Examples!$G$11)*$A958-(Examples!$G$6*Examples!$G$7*Examples!$G$8*EXP(-Examples!$G$9*$A958)*(1-(Examples!$G$12*(1-EXP(-Examples!$G$13*$A958))/(1+EXP(MIN(700,MAX(-700,(Examples!$G$14*$A958-Examples!$G$15)/Examples!$G$16))))))+Examples!$G$17*$A958^2)</f>
        <v>220405.81644082977</v>
      </c>
      <c r="K958" s="33">
        <f>(Examples!$G$6*Examples!$G$7*Examples!$G$8*EXP(-Examples!$G$9*$A958)*(1-(Examples!$G$12*(1-EXP(-Examples!$G$13*$A958))/(1+EXP(MIN(700,MAX(-700,(Examples!$G$14*$A958-Examples!$G$15)/Examples!$G$16))))))+Examples!$G$17*$A958^2)</f>
        <v>801594.18355917023</v>
      </c>
      <c r="L958" s="33">
        <f>Examples!$H$18-(Examples!$H$10+Examples!$H$11)*$A958-(Examples!$H$6*Examples!$H$7*Examples!$H$8*EXP(-Examples!$H$9*$A958)*(1-(Examples!$H$12*(1-EXP(-Examples!$H$13*$A958))/(1+EXP(MIN(700,MAX(-700,(Examples!$H$14*$A958-Examples!$H$15)/Examples!$H$16))))))+Examples!$H$17*$A958^2)</f>
        <v>220401.25487524667</v>
      </c>
      <c r="M958" s="33">
        <f>(Examples!$H$6*Examples!$H$7*Examples!$H$8*EXP(-Examples!$H$9*$A958)*(1-(Examples!$H$12*(1-EXP(-Examples!$H$13*$A958))/(1+EXP(MIN(700,MAX(-700,(Examples!$H$14*$A958-Examples!$H$15)/Examples!$H$16))))))+Examples!$H$17*$A958^2)</f>
        <v>801598.74512475333</v>
      </c>
    </row>
    <row r="959" spans="1:13" x14ac:dyDescent="0.25">
      <c r="A959">
        <f>(959-2)/100</f>
        <v>9.57</v>
      </c>
      <c r="B959" s="33">
        <f>Examples!$C$18-(Examples!$C$10+Examples!$C$11)*$A959-(Examples!$C$6*Examples!$C$7*Examples!$C$8*EXP(-Examples!$C$9*$A959)*(1-(Examples!$C$12*(1-EXP(-Examples!$C$13*$A959))/(1+EXP(MIN(700,MAX(-700,(Examples!$C$14*$A959-Examples!$C$15)/Examples!$C$16))))))+Examples!$C$17*$A959^2)</f>
        <v>-1142708.8535958976</v>
      </c>
      <c r="C959" s="33">
        <f>(Examples!$C$6*Examples!$C$7*Examples!$C$8*EXP(-Examples!$C$9*$A959)*(1-(Examples!$C$12*(1-EXP(-Examples!$C$13*$A959))/(1+EXP(MIN(700,MAX(-700,(Examples!$C$14*$A959-Examples!$C$15)/Examples!$C$16))))))+Examples!$C$17*$A959^2)</f>
        <v>1407758.8535958976</v>
      </c>
      <c r="D959" s="33">
        <f>Examples!$D$18-(Examples!$D$10+Examples!$D$11)*$A959-(Examples!$D$6*Examples!$D$7*Examples!$D$8*EXP(-Examples!$D$9*$A959)*(1-(Examples!$D$12*(1-EXP(-Examples!$D$13*$A959))/(1+EXP(MIN(700,MAX(-700,(Examples!$D$14*$A959-Examples!$D$15)/Examples!$D$16))))))+Examples!$D$17*$A959^2)</f>
        <v>1530567.3797434317</v>
      </c>
      <c r="E959" s="33">
        <f>(Examples!$D$6*Examples!$D$7*Examples!$D$8*EXP(-Examples!$D$9*$A959)*(1-(Examples!$D$12*(1-EXP(-Examples!$D$13*$A959))/(1+EXP(MIN(700,MAX(-700,(Examples!$D$14*$A959-Examples!$D$15)/Examples!$D$16))))))+Examples!$D$17*$A959^2)</f>
        <v>538782.62025656819</v>
      </c>
      <c r="F959" s="33">
        <f>Examples!$E$18-(Examples!$E$10+Examples!$E$11)*$A959-(Examples!$E$6*Examples!$E$7*Examples!$E$8*EXP(-Examples!$E$9*$A959)*(1-(Examples!$E$12*(1-EXP(-Examples!$E$13*$A959))/(1+EXP(MIN(700,MAX(-700,(Examples!$E$14*$A959-Examples!$E$15)/Examples!$E$16))))))+Examples!$E$17*$A959^2)</f>
        <v>1889721.4353150786</v>
      </c>
      <c r="G959" s="33">
        <f>(Examples!$E$6*Examples!$E$7*Examples!$E$8*EXP(-Examples!$E$9*$A959)*(1-(Examples!$E$12*(1-EXP(-Examples!$E$13*$A959))/(1+EXP(MIN(700,MAX(-700,(Examples!$E$14*$A959-Examples!$E$15)/Examples!$E$16))))))+Examples!$E$17*$A959^2)</f>
        <v>296828.56468492129</v>
      </c>
      <c r="H959" s="33">
        <f>Examples!$F$18-(Examples!$F$10+Examples!$F$11)*$A959-(Examples!$F$6*Examples!$F$7*Examples!$F$8*EXP(-Examples!$F$9*$A959)*(1-(Examples!$F$12*(1-EXP(-Examples!$F$13*$A959))/(1+EXP(MIN(700,MAX(-700,(Examples!$F$14*$A959-Examples!$F$15)/Examples!$F$16))))))+Examples!$F$17*$A959^2)</f>
        <v>-1874089.2394798824</v>
      </c>
      <c r="I959" s="33">
        <f>(Examples!$F$6*Examples!$F$7*Examples!$F$8*EXP(-Examples!$F$9*$A959)*(1-(Examples!$F$12*(1-EXP(-Examples!$F$13*$A959))/(1+EXP(MIN(700,MAX(-700,(Examples!$F$14*$A959-Examples!$F$15)/Examples!$F$16))))))+Examples!$F$17*$A959^2)</f>
        <v>1832689.2394798824</v>
      </c>
      <c r="J959" s="33">
        <f>Examples!$G$18-(Examples!$G$10+Examples!$G$11)*$A959-(Examples!$G$6*Examples!$G$7*Examples!$G$8*EXP(-Examples!$G$9*$A959)*(1-(Examples!$G$12*(1-EXP(-Examples!$G$13*$A959))/(1+EXP(MIN(700,MAX(-700,(Examples!$G$14*$A959-Examples!$G$15)/Examples!$G$16))))))+Examples!$G$17*$A959^2)</f>
        <v>218621.48429630999</v>
      </c>
      <c r="K959" s="33">
        <f>(Examples!$G$6*Examples!$G$7*Examples!$G$8*EXP(-Examples!$G$9*$A959)*(1-(Examples!$G$12*(1-EXP(-Examples!$G$13*$A959))/(1+EXP(MIN(700,MAX(-700,(Examples!$G$14*$A959-Examples!$G$15)/Examples!$G$16))))))+Examples!$G$17*$A959^2)</f>
        <v>802878.51570369001</v>
      </c>
      <c r="L959" s="33">
        <f>Examples!$H$18-(Examples!$H$10+Examples!$H$11)*$A959-(Examples!$H$6*Examples!$H$7*Examples!$H$8*EXP(-Examples!$H$9*$A959)*(1-(Examples!$H$12*(1-EXP(-Examples!$H$13*$A959))/(1+EXP(MIN(700,MAX(-700,(Examples!$H$14*$A959-Examples!$H$15)/Examples!$H$16))))))+Examples!$H$17*$A959^2)</f>
        <v>218616.99867998238</v>
      </c>
      <c r="M959" s="33">
        <f>(Examples!$H$6*Examples!$H$7*Examples!$H$8*EXP(-Examples!$H$9*$A959)*(1-(Examples!$H$12*(1-EXP(-Examples!$H$13*$A959))/(1+EXP(MIN(700,MAX(-700,(Examples!$H$14*$A959-Examples!$H$15)/Examples!$H$16))))))+Examples!$H$17*$A959^2)</f>
        <v>802883.00132001762</v>
      </c>
    </row>
    <row r="960" spans="1:13" x14ac:dyDescent="0.25">
      <c r="A960">
        <f>(960-2)/100</f>
        <v>9.58</v>
      </c>
      <c r="B960" s="33">
        <f>Examples!$C$18-(Examples!$C$10+Examples!$C$11)*$A960-(Examples!$C$6*Examples!$C$7*Examples!$C$8*EXP(-Examples!$C$9*$A960)*(1-(Examples!$C$12*(1-EXP(-Examples!$C$13*$A960))/(1+EXP(MIN(700,MAX(-700,(Examples!$C$14*$A960-Examples!$C$15)/Examples!$C$16))))))+Examples!$C$17*$A960^2)</f>
        <v>-1145829.5503163838</v>
      </c>
      <c r="C960" s="33">
        <f>(Examples!$C$6*Examples!$C$7*Examples!$C$8*EXP(-Examples!$C$9*$A960)*(1-(Examples!$C$12*(1-EXP(-Examples!$C$13*$A960))/(1+EXP(MIN(700,MAX(-700,(Examples!$C$14*$A960-Examples!$C$15)/Examples!$C$16))))))+Examples!$C$17*$A960^2)</f>
        <v>1410529.5503163838</v>
      </c>
      <c r="D960" s="33">
        <f>Examples!$D$18-(Examples!$D$10+Examples!$D$11)*$A960-(Examples!$D$6*Examples!$D$7*Examples!$D$8*EXP(-Examples!$D$9*$A960)*(1-(Examples!$D$12*(1-EXP(-Examples!$D$13*$A960))/(1+EXP(MIN(700,MAX(-700,(Examples!$D$14*$A960-Examples!$D$15)/Examples!$D$16))))))+Examples!$D$17*$A960^2)</f>
        <v>1529522.584585706</v>
      </c>
      <c r="E960" s="33">
        <f>(Examples!$D$6*Examples!$D$7*Examples!$D$8*EXP(-Examples!$D$9*$A960)*(1-(Examples!$D$12*(1-EXP(-Examples!$D$13*$A960))/(1+EXP(MIN(700,MAX(-700,(Examples!$D$14*$A960-Examples!$D$15)/Examples!$D$16))))))+Examples!$D$17*$A960^2)</f>
        <v>539377.415414294</v>
      </c>
      <c r="F960" s="33">
        <f>Examples!$E$18-(Examples!$E$10+Examples!$E$11)*$A960-(Examples!$E$6*Examples!$E$7*Examples!$E$8*EXP(-Examples!$E$9*$A960)*(1-(Examples!$E$12*(1-EXP(-Examples!$E$13*$A960))/(1+EXP(MIN(700,MAX(-700,(Examples!$E$14*$A960-Examples!$E$15)/Examples!$E$16))))))+Examples!$E$17*$A960^2)</f>
        <v>1888403.3052229213</v>
      </c>
      <c r="G960" s="33">
        <f>(Examples!$E$6*Examples!$E$7*Examples!$E$8*EXP(-Examples!$E$9*$A960)*(1-(Examples!$E$12*(1-EXP(-Examples!$E$13*$A960))/(1+EXP(MIN(700,MAX(-700,(Examples!$E$14*$A960-Examples!$E$15)/Examples!$E$16))))))+Examples!$E$17*$A960^2)</f>
        <v>297296.69477707864</v>
      </c>
      <c r="H960" s="33">
        <f>Examples!$F$18-(Examples!$F$10+Examples!$F$11)*$A960-(Examples!$F$6*Examples!$F$7*Examples!$F$8*EXP(-Examples!$F$9*$A960)*(1-(Examples!$F$12*(1-EXP(-Examples!$F$13*$A960))/(1+EXP(MIN(700,MAX(-700,(Examples!$F$14*$A960-Examples!$F$15)/Examples!$F$16))))))+Examples!$F$17*$A960^2)</f>
        <v>-1878116.2702175633</v>
      </c>
      <c r="I960" s="33">
        <f>(Examples!$F$6*Examples!$F$7*Examples!$F$8*EXP(-Examples!$F$9*$A960)*(1-(Examples!$F$12*(1-EXP(-Examples!$F$13*$A960))/(1+EXP(MIN(700,MAX(-700,(Examples!$F$14*$A960-Examples!$F$15)/Examples!$F$16))))))+Examples!$F$17*$A960^2)</f>
        <v>1836516.2702175633</v>
      </c>
      <c r="J960" s="33">
        <f>Examples!$G$18-(Examples!$G$10+Examples!$G$11)*$A960-(Examples!$G$6*Examples!$G$7*Examples!$G$8*EXP(-Examples!$G$9*$A960)*(1-(Examples!$G$12*(1-EXP(-Examples!$G$13*$A960))/(1+EXP(MIN(700,MAX(-700,(Examples!$G$14*$A960-Examples!$G$15)/Examples!$G$16))))))+Examples!$G$17*$A960^2)</f>
        <v>216834.69341789547</v>
      </c>
      <c r="K960" s="33">
        <f>(Examples!$G$6*Examples!$G$7*Examples!$G$8*EXP(-Examples!$G$9*$A960)*(1-(Examples!$G$12*(1-EXP(-Examples!$G$13*$A960))/(1+EXP(MIN(700,MAX(-700,(Examples!$G$14*$A960-Examples!$G$15)/Examples!$G$16))))))+Examples!$G$17*$A960^2)</f>
        <v>804165.30658210453</v>
      </c>
      <c r="L960" s="33">
        <f>Examples!$H$18-(Examples!$H$10+Examples!$H$11)*$A960-(Examples!$H$6*Examples!$H$7*Examples!$H$8*EXP(-Examples!$H$9*$A960)*(1-(Examples!$H$12*(1-EXP(-Examples!$H$13*$A960))/(1+EXP(MIN(700,MAX(-700,(Examples!$H$14*$A960-Examples!$H$15)/Examples!$H$16))))))+Examples!$H$17*$A960^2)</f>
        <v>216830.28248728462</v>
      </c>
      <c r="M960" s="33">
        <f>(Examples!$H$6*Examples!$H$7*Examples!$H$8*EXP(-Examples!$H$9*$A960)*(1-(Examples!$H$12*(1-EXP(-Examples!$H$13*$A960))/(1+EXP(MIN(700,MAX(-700,(Examples!$H$14*$A960-Examples!$H$15)/Examples!$H$16))))))+Examples!$H$17*$A960^2)</f>
        <v>804169.71751271538</v>
      </c>
    </row>
    <row r="961" spans="1:13" x14ac:dyDescent="0.25">
      <c r="A961">
        <f>(961-2)/100</f>
        <v>9.59</v>
      </c>
      <c r="B961" s="33">
        <f>Examples!$C$18-(Examples!$C$10+Examples!$C$11)*$A961-(Examples!$C$6*Examples!$C$7*Examples!$C$8*EXP(-Examples!$C$9*$A961)*(1-(Examples!$C$12*(1-EXP(-Examples!$C$13*$A961))/(1+EXP(MIN(700,MAX(-700,(Examples!$C$14*$A961-Examples!$C$15)/Examples!$C$16))))))+Examples!$C$17*$A961^2)</f>
        <v>-1148953.5519890517</v>
      </c>
      <c r="C961" s="33">
        <f>(Examples!$C$6*Examples!$C$7*Examples!$C$8*EXP(-Examples!$C$9*$A961)*(1-(Examples!$C$12*(1-EXP(-Examples!$C$13*$A961))/(1+EXP(MIN(700,MAX(-700,(Examples!$C$14*$A961-Examples!$C$15)/Examples!$C$16))))))+Examples!$C$17*$A961^2)</f>
        <v>1413303.5519890517</v>
      </c>
      <c r="D961" s="33">
        <f>Examples!$D$18-(Examples!$D$10+Examples!$D$11)*$A961-(Examples!$D$6*Examples!$D$7*Examples!$D$8*EXP(-Examples!$D$9*$A961)*(1-(Examples!$D$12*(1-EXP(-Examples!$D$13*$A961))/(1+EXP(MIN(700,MAX(-700,(Examples!$D$14*$A961-Examples!$D$15)/Examples!$D$16))))))+Examples!$D$17*$A961^2)</f>
        <v>1528475.1669061466</v>
      </c>
      <c r="E961" s="33">
        <f>(Examples!$D$6*Examples!$D$7*Examples!$D$8*EXP(-Examples!$D$9*$A961)*(1-(Examples!$D$12*(1-EXP(-Examples!$D$13*$A961))/(1+EXP(MIN(700,MAX(-700,(Examples!$D$14*$A961-Examples!$D$15)/Examples!$D$16))))))+Examples!$D$17*$A961^2)</f>
        <v>539974.83309385343</v>
      </c>
      <c r="F961" s="33">
        <f>Examples!$E$18-(Examples!$E$10+Examples!$E$11)*$A961-(Examples!$E$6*Examples!$E$7*Examples!$E$8*EXP(-Examples!$E$9*$A961)*(1-(Examples!$E$12*(1-EXP(-Examples!$E$13*$A961))/(1+EXP(MIN(700,MAX(-700,(Examples!$E$14*$A961-Examples!$E$15)/Examples!$E$16))))))+Examples!$E$17*$A961^2)</f>
        <v>1887084.0911759597</v>
      </c>
      <c r="G961" s="33">
        <f>(Examples!$E$6*Examples!$E$7*Examples!$E$8*EXP(-Examples!$E$9*$A961)*(1-(Examples!$E$12*(1-EXP(-Examples!$E$13*$A961))/(1+EXP(MIN(700,MAX(-700,(Examples!$E$14*$A961-Examples!$E$15)/Examples!$E$16))))))+Examples!$E$17*$A961^2)</f>
        <v>297765.90882404032</v>
      </c>
      <c r="H961" s="33">
        <f>Examples!$F$18-(Examples!$F$10+Examples!$F$11)*$A961-(Examples!$F$6*Examples!$F$7*Examples!$F$8*EXP(-Examples!$F$9*$A961)*(1-(Examples!$F$12*(1-EXP(-Examples!$F$13*$A961))/(1+EXP(MIN(700,MAX(-700,(Examples!$F$14*$A961-Examples!$F$15)/Examples!$F$16))))))+Examples!$F$17*$A961^2)</f>
        <v>-1882147.3098496825</v>
      </c>
      <c r="I961" s="33">
        <f>(Examples!$F$6*Examples!$F$7*Examples!$F$8*EXP(-Examples!$F$9*$A961)*(1-(Examples!$F$12*(1-EXP(-Examples!$F$13*$A961))/(1+EXP(MIN(700,MAX(-700,(Examples!$F$14*$A961-Examples!$F$15)/Examples!$F$16))))))+Examples!$F$17*$A961^2)</f>
        <v>1840347.3098496825</v>
      </c>
      <c r="J961" s="33">
        <f>Examples!$G$18-(Examples!$G$10+Examples!$G$11)*$A961-(Examples!$G$6*Examples!$G$7*Examples!$G$8*EXP(-Examples!$G$9*$A961)*(1-(Examples!$G$12*(1-EXP(-Examples!$G$13*$A961))/(1+EXP(MIN(700,MAX(-700,(Examples!$G$14*$A961-Examples!$G$15)/Examples!$G$16))))))+Examples!$G$17*$A961^2)</f>
        <v>215045.44678931648</v>
      </c>
      <c r="K961" s="33">
        <f>(Examples!$G$6*Examples!$G$7*Examples!$G$8*EXP(-Examples!$G$9*$A961)*(1-(Examples!$G$12*(1-EXP(-Examples!$G$13*$A961))/(1+EXP(MIN(700,MAX(-700,(Examples!$G$14*$A961-Examples!$G$15)/Examples!$G$16))))))+Examples!$G$17*$A961^2)</f>
        <v>805454.55321068352</v>
      </c>
      <c r="L961" s="33">
        <f>Examples!$H$18-(Examples!$H$10+Examples!$H$11)*$A961-(Examples!$H$6*Examples!$H$7*Examples!$H$8*EXP(-Examples!$H$9*$A961)*(1-(Examples!$H$12*(1-EXP(-Examples!$H$13*$A961))/(1+EXP(MIN(700,MAX(-700,(Examples!$H$14*$A961-Examples!$H$15)/Examples!$H$16))))))+Examples!$H$17*$A961^2)</f>
        <v>215041.10930188233</v>
      </c>
      <c r="M961" s="33">
        <f>(Examples!$H$6*Examples!$H$7*Examples!$H$8*EXP(-Examples!$H$9*$A961)*(1-(Examples!$H$12*(1-EXP(-Examples!$H$13*$A961))/(1+EXP(MIN(700,MAX(-700,(Examples!$H$14*$A961-Examples!$H$15)/Examples!$H$16))))))+Examples!$H$17*$A961^2)</f>
        <v>805458.89069811767</v>
      </c>
    </row>
    <row r="962" spans="1:13" x14ac:dyDescent="0.25">
      <c r="A962">
        <f>(962-2)/100</f>
        <v>9.6</v>
      </c>
      <c r="B962" s="33">
        <f>Examples!$C$18-(Examples!$C$10+Examples!$C$11)*$A962-(Examples!$C$6*Examples!$C$7*Examples!$C$8*EXP(-Examples!$C$9*$A962)*(1-(Examples!$C$12*(1-EXP(-Examples!$C$13*$A962))/(1+EXP(MIN(700,MAX(-700,(Examples!$C$14*$A962-Examples!$C$15)/Examples!$C$16))))))+Examples!$C$17*$A962^2)</f>
        <v>-1152080.8577004154</v>
      </c>
      <c r="C962" s="33">
        <f>(Examples!$C$6*Examples!$C$7*Examples!$C$8*EXP(-Examples!$C$9*$A962)*(1-(Examples!$C$12*(1-EXP(-Examples!$C$13*$A962))/(1+EXP(MIN(700,MAX(-700,(Examples!$C$14*$A962-Examples!$C$15)/Examples!$C$16))))))+Examples!$C$17*$A962^2)</f>
        <v>1416080.8577004154</v>
      </c>
      <c r="D962" s="33">
        <f>Examples!$D$18-(Examples!$D$10+Examples!$D$11)*$A962-(Examples!$D$6*Examples!$D$7*Examples!$D$8*EXP(-Examples!$D$9*$A962)*(1-(Examples!$D$12*(1-EXP(-Examples!$D$13*$A962))/(1+EXP(MIN(700,MAX(-700,(Examples!$D$14*$A962-Examples!$D$15)/Examples!$D$16))))))+Examples!$D$17*$A962^2)</f>
        <v>1527425.1338842791</v>
      </c>
      <c r="E962" s="33">
        <f>(Examples!$D$6*Examples!$D$7*Examples!$D$8*EXP(-Examples!$D$9*$A962)*(1-(Examples!$D$12*(1-EXP(-Examples!$D$13*$A962))/(1+EXP(MIN(700,MAX(-700,(Examples!$D$14*$A962-Examples!$D$15)/Examples!$D$16))))))+Examples!$D$17*$A962^2)</f>
        <v>540574.86611572106</v>
      </c>
      <c r="F962" s="33">
        <f>Examples!$E$18-(Examples!$E$10+Examples!$E$11)*$A962-(Examples!$E$6*Examples!$E$7*Examples!$E$8*EXP(-Examples!$E$9*$A962)*(1-(Examples!$E$12*(1-EXP(-Examples!$E$13*$A962))/(1+EXP(MIN(700,MAX(-700,(Examples!$E$14*$A962-Examples!$E$15)/Examples!$E$16))))))+Examples!$E$17*$A962^2)</f>
        <v>1885763.7950173258</v>
      </c>
      <c r="G962" s="33">
        <f>(Examples!$E$6*Examples!$E$7*Examples!$E$8*EXP(-Examples!$E$9*$A962)*(1-(Examples!$E$12*(1-EXP(-Examples!$E$13*$A962))/(1+EXP(MIN(700,MAX(-700,(Examples!$E$14*$A962-Examples!$E$15)/Examples!$E$16))))))+Examples!$E$17*$A962^2)</f>
        <v>298236.20498267416</v>
      </c>
      <c r="H962" s="33">
        <f>Examples!$F$18-(Examples!$F$10+Examples!$F$11)*$A962-(Examples!$F$6*Examples!$F$7*Examples!$F$8*EXP(-Examples!$F$9*$A962)*(1-(Examples!$F$12*(1-EXP(-Examples!$F$13*$A962))/(1+EXP(MIN(700,MAX(-700,(Examples!$F$14*$A962-Examples!$F$15)/Examples!$F$16))))))+Examples!$F$17*$A962^2)</f>
        <v>-1886182.3583495973</v>
      </c>
      <c r="I962" s="33">
        <f>(Examples!$F$6*Examples!$F$7*Examples!$F$8*EXP(-Examples!$F$9*$A962)*(1-(Examples!$F$12*(1-EXP(-Examples!$F$13*$A962))/(1+EXP(MIN(700,MAX(-700,(Examples!$F$14*$A962-Examples!$F$15)/Examples!$F$16))))))+Examples!$F$17*$A962^2)</f>
        <v>1844182.3583495973</v>
      </c>
      <c r="J962" s="33">
        <f>Examples!$G$18-(Examples!$G$10+Examples!$G$11)*$A962-(Examples!$G$6*Examples!$G$7*Examples!$G$8*EXP(-Examples!$G$9*$A962)*(1-(Examples!$G$12*(1-EXP(-Examples!$G$13*$A962))/(1+EXP(MIN(700,MAX(-700,(Examples!$G$14*$A962-Examples!$G$15)/Examples!$G$16))))))+Examples!$G$17*$A962^2)</f>
        <v>213253.747384154</v>
      </c>
      <c r="K962" s="33">
        <f>(Examples!$G$6*Examples!$G$7*Examples!$G$8*EXP(-Examples!$G$9*$A962)*(1-(Examples!$G$12*(1-EXP(-Examples!$G$13*$A962))/(1+EXP(MIN(700,MAX(-700,(Examples!$G$14*$A962-Examples!$G$15)/Examples!$G$16))))))+Examples!$G$17*$A962^2)</f>
        <v>806746.252615846</v>
      </c>
      <c r="L962" s="33">
        <f>Examples!$H$18-(Examples!$H$10+Examples!$H$11)*$A962-(Examples!$H$6*Examples!$H$7*Examples!$H$8*EXP(-Examples!$H$9*$A962)*(1-(Examples!$H$12*(1-EXP(-Examples!$H$13*$A962))/(1+EXP(MIN(700,MAX(-700,(Examples!$H$14*$A962-Examples!$H$15)/Examples!$H$16))))))+Examples!$H$17*$A962^2)</f>
        <v>213249.4821180068</v>
      </c>
      <c r="M962" s="33">
        <f>(Examples!$H$6*Examples!$H$7*Examples!$H$8*EXP(-Examples!$H$9*$A962)*(1-(Examples!$H$12*(1-EXP(-Examples!$H$13*$A962))/(1+EXP(MIN(700,MAX(-700,(Examples!$H$14*$A962-Examples!$H$15)/Examples!$H$16))))))+Examples!$H$17*$A962^2)</f>
        <v>806750.5178819932</v>
      </c>
    </row>
    <row r="963" spans="1:13" x14ac:dyDescent="0.25">
      <c r="A963">
        <f>(963-2)/100</f>
        <v>9.61</v>
      </c>
      <c r="B963" s="33">
        <f>Examples!$C$18-(Examples!$C$10+Examples!$C$11)*$A963-(Examples!$C$6*Examples!$C$7*Examples!$C$8*EXP(-Examples!$C$9*$A963)*(1-(Examples!$C$12*(1-EXP(-Examples!$C$13*$A963))/(1+EXP(MIN(700,MAX(-700,(Examples!$C$14*$A963-Examples!$C$15)/Examples!$C$16))))))+Examples!$C$17*$A963^2)</f>
        <v>-1155211.4665397257</v>
      </c>
      <c r="C963" s="33">
        <f>(Examples!$C$6*Examples!$C$7*Examples!$C$8*EXP(-Examples!$C$9*$A963)*(1-(Examples!$C$12*(1-EXP(-Examples!$C$13*$A963))/(1+EXP(MIN(700,MAX(-700,(Examples!$C$14*$A963-Examples!$C$15)/Examples!$C$16))))))+Examples!$C$17*$A963^2)</f>
        <v>1418861.4665397257</v>
      </c>
      <c r="D963" s="33">
        <f>Examples!$D$18-(Examples!$D$10+Examples!$D$11)*$A963-(Examples!$D$6*Examples!$D$7*Examples!$D$8*EXP(-Examples!$D$9*$A963)*(1-(Examples!$D$12*(1-EXP(-Examples!$D$13*$A963))/(1+EXP(MIN(700,MAX(-700,(Examples!$D$14*$A963-Examples!$D$15)/Examples!$D$16))))))+Examples!$D$17*$A963^2)</f>
        <v>1526372.4926692485</v>
      </c>
      <c r="E963" s="33">
        <f>(Examples!$D$6*Examples!$D$7*Examples!$D$8*EXP(-Examples!$D$9*$A963)*(1-(Examples!$D$12*(1-EXP(-Examples!$D$13*$A963))/(1+EXP(MIN(700,MAX(-700,(Examples!$D$14*$A963-Examples!$D$15)/Examples!$D$16))))))+Examples!$D$17*$A963^2)</f>
        <v>541177.5073307514</v>
      </c>
      <c r="F963" s="33">
        <f>Examples!$E$18-(Examples!$E$10+Examples!$E$11)*$A963-(Examples!$E$6*Examples!$E$7*Examples!$E$8*EXP(-Examples!$E$9*$A963)*(1-(Examples!$E$12*(1-EXP(-Examples!$E$13*$A963))/(1+EXP(MIN(700,MAX(-700,(Examples!$E$14*$A963-Examples!$E$15)/Examples!$E$16))))))+Examples!$E$17*$A963^2)</f>
        <v>1884442.4185877142</v>
      </c>
      <c r="G963" s="33">
        <f>(Examples!$E$6*Examples!$E$7*Examples!$E$8*EXP(-Examples!$E$9*$A963)*(1-(Examples!$E$12*(1-EXP(-Examples!$E$13*$A963))/(1+EXP(MIN(700,MAX(-700,(Examples!$E$14*$A963-Examples!$E$15)/Examples!$E$16))))))+Examples!$E$17*$A963^2)</f>
        <v>298707.58141228574</v>
      </c>
      <c r="H963" s="33">
        <f>Examples!$F$18-(Examples!$F$10+Examples!$F$11)*$A963-(Examples!$F$6*Examples!$F$7*Examples!$F$8*EXP(-Examples!$F$9*$A963)*(1-(Examples!$F$12*(1-EXP(-Examples!$F$13*$A963))/(1+EXP(MIN(700,MAX(-700,(Examples!$F$14*$A963-Examples!$F$15)/Examples!$F$16))))))+Examples!$F$17*$A963^2)</f>
        <v>-1890221.4156907436</v>
      </c>
      <c r="I963" s="33">
        <f>(Examples!$F$6*Examples!$F$7*Examples!$F$8*EXP(-Examples!$F$9*$A963)*(1-(Examples!$F$12*(1-EXP(-Examples!$F$13*$A963))/(1+EXP(MIN(700,MAX(-700,(Examples!$F$14*$A963-Examples!$F$15)/Examples!$F$16))))))+Examples!$F$17*$A963^2)</f>
        <v>1848021.4156907436</v>
      </c>
      <c r="J963" s="33">
        <f>Examples!$G$18-(Examples!$G$10+Examples!$G$11)*$A963-(Examples!$G$6*Examples!$G$7*Examples!$G$8*EXP(-Examples!$G$9*$A963)*(1-(Examples!$G$12*(1-EXP(-Examples!$G$13*$A963))/(1+EXP(MIN(700,MAX(-700,(Examples!$G$14*$A963-Examples!$G$15)/Examples!$G$16))))))+Examples!$G$17*$A963^2)</f>
        <v>211459.59816587018</v>
      </c>
      <c r="K963" s="33">
        <f>(Examples!$G$6*Examples!$G$7*Examples!$G$8*EXP(-Examples!$G$9*$A963)*(1-(Examples!$G$12*(1-EXP(-Examples!$G$13*$A963))/(1+EXP(MIN(700,MAX(-700,(Examples!$G$14*$A963-Examples!$G$15)/Examples!$G$16))))))+Examples!$G$17*$A963^2)</f>
        <v>808040.40183412982</v>
      </c>
      <c r="L963" s="33">
        <f>Examples!$H$18-(Examples!$H$10+Examples!$H$11)*$A963-(Examples!$H$6*Examples!$H$7*Examples!$H$8*EXP(-Examples!$H$9*$A963)*(1-(Examples!$H$12*(1-EXP(-Examples!$H$13*$A963))/(1+EXP(MIN(700,MAX(-700,(Examples!$H$14*$A963-Examples!$H$15)/Examples!$H$16))))))+Examples!$H$17*$A963^2)</f>
        <v>211455.40391942789</v>
      </c>
      <c r="M963" s="33">
        <f>(Examples!$H$6*Examples!$H$7*Examples!$H$8*EXP(-Examples!$H$9*$A963)*(1-(Examples!$H$12*(1-EXP(-Examples!$H$13*$A963))/(1+EXP(MIN(700,MAX(-700,(Examples!$H$14*$A963-Examples!$H$15)/Examples!$H$16))))))+Examples!$H$17*$A963^2)</f>
        <v>808044.59608057211</v>
      </c>
    </row>
    <row r="964" spans="1:13" x14ac:dyDescent="0.25">
      <c r="A964">
        <f>(964-2)/100</f>
        <v>9.6199999999999992</v>
      </c>
      <c r="B964" s="33">
        <f>Examples!$C$18-(Examples!$C$10+Examples!$C$11)*$A964-(Examples!$C$6*Examples!$C$7*Examples!$C$8*EXP(-Examples!$C$9*$A964)*(1-(Examples!$C$12*(1-EXP(-Examples!$C$13*$A964))/(1+EXP(MIN(700,MAX(-700,(Examples!$C$14*$A964-Examples!$C$15)/Examples!$C$16))))))+Examples!$C$17*$A964^2)</f>
        <v>-1158345.3775989611</v>
      </c>
      <c r="C964" s="33">
        <f>(Examples!$C$6*Examples!$C$7*Examples!$C$8*EXP(-Examples!$C$9*$A964)*(1-(Examples!$C$12*(1-EXP(-Examples!$C$13*$A964))/(1+EXP(MIN(700,MAX(-700,(Examples!$C$14*$A964-Examples!$C$15)/Examples!$C$16))))))+Examples!$C$17*$A964^2)</f>
        <v>1421645.3775989611</v>
      </c>
      <c r="D964" s="33">
        <f>Examples!$D$18-(Examples!$D$10+Examples!$D$11)*$A964-(Examples!$D$6*Examples!$D$7*Examples!$D$8*EXP(-Examples!$D$9*$A964)*(1-(Examples!$D$12*(1-EXP(-Examples!$D$13*$A964))/(1+EXP(MIN(700,MAX(-700,(Examples!$D$14*$A964-Examples!$D$15)/Examples!$D$16))))))+Examples!$D$17*$A964^2)</f>
        <v>1525317.2503799242</v>
      </c>
      <c r="E964" s="33">
        <f>(Examples!$D$6*Examples!$D$7*Examples!$D$8*EXP(-Examples!$D$9*$A964)*(1-(Examples!$D$12*(1-EXP(-Examples!$D$13*$A964))/(1+EXP(MIN(700,MAX(-700,(Examples!$D$14*$A964-Examples!$D$15)/Examples!$D$16))))))+Examples!$D$17*$A964^2)</f>
        <v>541782.74962007592</v>
      </c>
      <c r="F964" s="33">
        <f>Examples!$E$18-(Examples!$E$10+Examples!$E$11)*$A964-(Examples!$E$6*Examples!$E$7*Examples!$E$8*EXP(-Examples!$E$9*$A964)*(1-(Examples!$E$12*(1-EXP(-Examples!$E$13*$A964))/(1+EXP(MIN(700,MAX(-700,(Examples!$E$14*$A964-Examples!$E$15)/Examples!$E$16))))))+Examples!$E$17*$A964^2)</f>
        <v>1883119.9637253184</v>
      </c>
      <c r="G964" s="33">
        <f>(Examples!$E$6*Examples!$E$7*Examples!$E$8*EXP(-Examples!$E$9*$A964)*(1-(Examples!$E$12*(1-EXP(-Examples!$E$13*$A964))/(1+EXP(MIN(700,MAX(-700,(Examples!$E$14*$A964-Examples!$E$15)/Examples!$E$16))))))+Examples!$E$17*$A964^2)</f>
        <v>299180.03627468162</v>
      </c>
      <c r="H964" s="33">
        <f>Examples!$F$18-(Examples!$F$10+Examples!$F$11)*$A964-(Examples!$F$6*Examples!$F$7*Examples!$F$8*EXP(-Examples!$F$9*$A964)*(1-(Examples!$F$12*(1-EXP(-Examples!$F$13*$A964))/(1+EXP(MIN(700,MAX(-700,(Examples!$F$14*$A964-Examples!$F$15)/Examples!$F$16))))))+Examples!$F$17*$A964^2)</f>
        <v>-1894264.4818466376</v>
      </c>
      <c r="I964" s="33">
        <f>(Examples!$F$6*Examples!$F$7*Examples!$F$8*EXP(-Examples!$F$9*$A964)*(1-(Examples!$F$12*(1-EXP(-Examples!$F$13*$A964))/(1+EXP(MIN(700,MAX(-700,(Examples!$F$14*$A964-Examples!$F$15)/Examples!$F$16))))))+Examples!$F$17*$A964^2)</f>
        <v>1851864.4818466376</v>
      </c>
      <c r="J964" s="33">
        <f>Examples!$G$18-(Examples!$G$10+Examples!$G$11)*$A964-(Examples!$G$6*Examples!$G$7*Examples!$G$8*EXP(-Examples!$G$9*$A964)*(1-(Examples!$G$12*(1-EXP(-Examples!$G$13*$A964))/(1+EXP(MIN(700,MAX(-700,(Examples!$G$14*$A964-Examples!$G$15)/Examples!$G$16))))))+Examples!$G$17*$A964^2)</f>
        <v>209663.00208783941</v>
      </c>
      <c r="K964" s="33">
        <f>(Examples!$G$6*Examples!$G$7*Examples!$G$8*EXP(-Examples!$G$9*$A964)*(1-(Examples!$G$12*(1-EXP(-Examples!$G$13*$A964))/(1+EXP(MIN(700,MAX(-700,(Examples!$G$14*$A964-Examples!$G$15)/Examples!$G$16))))))+Examples!$G$17*$A964^2)</f>
        <v>809336.99791216059</v>
      </c>
      <c r="L964" s="33">
        <f>Examples!$H$18-(Examples!$H$10+Examples!$H$11)*$A964-(Examples!$H$6*Examples!$H$7*Examples!$H$8*EXP(-Examples!$H$9*$A964)*(1-(Examples!$H$12*(1-EXP(-Examples!$H$13*$A964))/(1+EXP(MIN(700,MAX(-700,(Examples!$H$14*$A964-Examples!$H$15)/Examples!$H$16))))))+Examples!$H$17*$A964^2)</f>
        <v>209658.87767949037</v>
      </c>
      <c r="M964" s="33">
        <f>(Examples!$H$6*Examples!$H$7*Examples!$H$8*EXP(-Examples!$H$9*$A964)*(1-(Examples!$H$12*(1-EXP(-Examples!$H$13*$A964))/(1+EXP(MIN(700,MAX(-700,(Examples!$H$14*$A964-Examples!$H$15)/Examples!$H$16))))))+Examples!$H$17*$A964^2)</f>
        <v>809341.12232050963</v>
      </c>
    </row>
    <row r="965" spans="1:13" x14ac:dyDescent="0.25">
      <c r="A965">
        <f>(965-2)/100</f>
        <v>9.6300000000000008</v>
      </c>
      <c r="B965" s="33">
        <f>Examples!$C$18-(Examples!$C$10+Examples!$C$11)*$A965-(Examples!$C$6*Examples!$C$7*Examples!$C$8*EXP(-Examples!$C$9*$A965)*(1-(Examples!$C$12*(1-EXP(-Examples!$C$13*$A965))/(1+EXP(MIN(700,MAX(-700,(Examples!$C$14*$A965-Examples!$C$15)/Examples!$C$16))))))+Examples!$C$17*$A965^2)</f>
        <v>-1161482.5899728215</v>
      </c>
      <c r="C965" s="33">
        <f>(Examples!$C$6*Examples!$C$7*Examples!$C$8*EXP(-Examples!$C$9*$A965)*(1-(Examples!$C$12*(1-EXP(-Examples!$C$13*$A965))/(1+EXP(MIN(700,MAX(-700,(Examples!$C$14*$A965-Examples!$C$15)/Examples!$C$16))))))+Examples!$C$17*$A965^2)</f>
        <v>1424432.5899728215</v>
      </c>
      <c r="D965" s="33">
        <f>Examples!$D$18-(Examples!$D$10+Examples!$D$11)*$A965-(Examples!$D$6*Examples!$D$7*Examples!$D$8*EXP(-Examples!$D$9*$A965)*(1-(Examples!$D$12*(1-EXP(-Examples!$D$13*$A965))/(1+EXP(MIN(700,MAX(-700,(Examples!$D$14*$A965-Examples!$D$15)/Examples!$D$16))))))+Examples!$D$17*$A965^2)</f>
        <v>1524259.4141050004</v>
      </c>
      <c r="E965" s="33">
        <f>(Examples!$D$6*Examples!$D$7*Examples!$D$8*EXP(-Examples!$D$9*$A965)*(1-(Examples!$D$12*(1-EXP(-Examples!$D$13*$A965))/(1+EXP(MIN(700,MAX(-700,(Examples!$D$14*$A965-Examples!$D$15)/Examples!$D$16))))))+Examples!$D$17*$A965^2)</f>
        <v>542390.58589499956</v>
      </c>
      <c r="F965" s="33">
        <f>Examples!$E$18-(Examples!$E$10+Examples!$E$11)*$A965-(Examples!$E$6*Examples!$E$7*Examples!$E$8*EXP(-Examples!$E$9*$A965)*(1-(Examples!$E$12*(1-EXP(-Examples!$E$13*$A965))/(1+EXP(MIN(700,MAX(-700,(Examples!$E$14*$A965-Examples!$E$15)/Examples!$E$16))))))+Examples!$E$17*$A965^2)</f>
        <v>1881796.4322657683</v>
      </c>
      <c r="G965" s="33">
        <f>(Examples!$E$6*Examples!$E$7*Examples!$E$8*EXP(-Examples!$E$9*$A965)*(1-(Examples!$E$12*(1-EXP(-Examples!$E$13*$A965))/(1+EXP(MIN(700,MAX(-700,(Examples!$E$14*$A965-Examples!$E$15)/Examples!$E$16))))))+Examples!$E$17*$A965^2)</f>
        <v>299653.56773423176</v>
      </c>
      <c r="H965" s="33">
        <f>Examples!$F$18-(Examples!$F$10+Examples!$F$11)*$A965-(Examples!$F$6*Examples!$F$7*Examples!$F$8*EXP(-Examples!$F$9*$A965)*(1-(Examples!$F$12*(1-EXP(-Examples!$F$13*$A965))/(1+EXP(MIN(700,MAX(-700,(Examples!$F$14*$A965-Examples!$F$15)/Examples!$F$16))))))+Examples!$F$17*$A965^2)</f>
        <v>-1898311.5567908762</v>
      </c>
      <c r="I965" s="33">
        <f>(Examples!$F$6*Examples!$F$7*Examples!$F$8*EXP(-Examples!$F$9*$A965)*(1-(Examples!$F$12*(1-EXP(-Examples!$F$13*$A965))/(1+EXP(MIN(700,MAX(-700,(Examples!$F$14*$A965-Examples!$F$15)/Examples!$F$16))))))+Examples!$F$17*$A965^2)</f>
        <v>1855711.5567908762</v>
      </c>
      <c r="J965" s="33">
        <f>Examples!$G$18-(Examples!$G$10+Examples!$G$11)*$A965-(Examples!$G$6*Examples!$G$7*Examples!$G$8*EXP(-Examples!$G$9*$A965)*(1-(Examples!$G$12*(1-EXP(-Examples!$G$13*$A965))/(1+EXP(MIN(700,MAX(-700,(Examples!$G$14*$A965-Examples!$G$15)/Examples!$G$16))))))+Examples!$G$17*$A965^2)</f>
        <v>207863.9620933783</v>
      </c>
      <c r="K965" s="33">
        <f>(Examples!$G$6*Examples!$G$7*Examples!$G$8*EXP(-Examples!$G$9*$A965)*(1-(Examples!$G$12*(1-EXP(-Examples!$G$13*$A965))/(1+EXP(MIN(700,MAX(-700,(Examples!$G$14*$A965-Examples!$G$15)/Examples!$G$16))))))+Examples!$G$17*$A965^2)</f>
        <v>810636.0379066217</v>
      </c>
      <c r="L965" s="33">
        <f>Examples!$H$18-(Examples!$H$10+Examples!$H$11)*$A965-(Examples!$H$6*Examples!$H$7*Examples!$H$8*EXP(-Examples!$H$9*$A965)*(1-(Examples!$H$12*(1-EXP(-Examples!$H$13*$A965))/(1+EXP(MIN(700,MAX(-700,(Examples!$H$14*$A965-Examples!$H$15)/Examples!$H$16))))))+Examples!$H$17*$A965^2)</f>
        <v>207859.90636114997</v>
      </c>
      <c r="M965" s="33">
        <f>(Examples!$H$6*Examples!$H$7*Examples!$H$8*EXP(-Examples!$H$9*$A965)*(1-(Examples!$H$12*(1-EXP(-Examples!$H$13*$A965))/(1+EXP(MIN(700,MAX(-700,(Examples!$H$14*$A965-Examples!$H$15)/Examples!$H$16))))))+Examples!$H$17*$A965^2)</f>
        <v>810640.09363885003</v>
      </c>
    </row>
    <row r="966" spans="1:13" x14ac:dyDescent="0.25">
      <c r="A966">
        <f>(966-2)/100</f>
        <v>9.64</v>
      </c>
      <c r="B966" s="33">
        <f>Examples!$C$18-(Examples!$C$10+Examples!$C$11)*$A966-(Examples!$C$6*Examples!$C$7*Examples!$C$8*EXP(-Examples!$C$9*$A966)*(1-(Examples!$C$12*(1-EXP(-Examples!$C$13*$A966))/(1+EXP(MIN(700,MAX(-700,(Examples!$C$14*$A966-Examples!$C$15)/Examples!$C$16))))))+Examples!$C$17*$A966^2)</f>
        <v>-1164623.1027587163</v>
      </c>
      <c r="C966" s="33">
        <f>(Examples!$C$6*Examples!$C$7*Examples!$C$8*EXP(-Examples!$C$9*$A966)*(1-(Examples!$C$12*(1-EXP(-Examples!$C$13*$A966))/(1+EXP(MIN(700,MAX(-700,(Examples!$C$14*$A966-Examples!$C$15)/Examples!$C$16))))))+Examples!$C$17*$A966^2)</f>
        <v>1427223.1027587163</v>
      </c>
      <c r="D966" s="33">
        <f>Examples!$D$18-(Examples!$D$10+Examples!$D$11)*$A966-(Examples!$D$6*Examples!$D$7*Examples!$D$8*EXP(-Examples!$D$9*$A966)*(1-(Examples!$D$12*(1-EXP(-Examples!$D$13*$A966))/(1+EXP(MIN(700,MAX(-700,(Examples!$D$14*$A966-Examples!$D$15)/Examples!$D$16))))))+Examples!$D$17*$A966^2)</f>
        <v>1523198.9909031051</v>
      </c>
      <c r="E966" s="33">
        <f>(Examples!$D$6*Examples!$D$7*Examples!$D$8*EXP(-Examples!$D$9*$A966)*(1-(Examples!$D$12*(1-EXP(-Examples!$D$13*$A966))/(1+EXP(MIN(700,MAX(-700,(Examples!$D$14*$A966-Examples!$D$15)/Examples!$D$16))))))+Examples!$D$17*$A966^2)</f>
        <v>543001.00909689488</v>
      </c>
      <c r="F966" s="33">
        <f>Examples!$E$18-(Examples!$E$10+Examples!$E$11)*$A966-(Examples!$E$6*Examples!$E$7*Examples!$E$8*EXP(-Examples!$E$9*$A966)*(1-(Examples!$E$12*(1-EXP(-Examples!$E$13*$A966))/(1+EXP(MIN(700,MAX(-700,(Examples!$E$14*$A966-Examples!$E$15)/Examples!$E$16))))))+Examples!$E$17*$A966^2)</f>
        <v>1880471.8260420708</v>
      </c>
      <c r="G966" s="33">
        <f>(Examples!$E$6*Examples!$E$7*Examples!$E$8*EXP(-Examples!$E$9*$A966)*(1-(Examples!$E$12*(1-EXP(-Examples!$E$13*$A966))/(1+EXP(MIN(700,MAX(-700,(Examples!$E$14*$A966-Examples!$E$15)/Examples!$E$16))))))+Examples!$E$17*$A966^2)</f>
        <v>300128.17395792925</v>
      </c>
      <c r="H966" s="33">
        <f>Examples!$F$18-(Examples!$F$10+Examples!$F$11)*$A966-(Examples!$F$6*Examples!$F$7*Examples!$F$8*EXP(-Examples!$F$9*$A966)*(1-(Examples!$F$12*(1-EXP(-Examples!$F$13*$A966))/(1+EXP(MIN(700,MAX(-700,(Examples!$F$14*$A966-Examples!$F$15)/Examples!$F$16))))))+Examples!$F$17*$A966^2)</f>
        <v>-1902362.640497131</v>
      </c>
      <c r="I966" s="33">
        <f>(Examples!$F$6*Examples!$F$7*Examples!$F$8*EXP(-Examples!$F$9*$A966)*(1-(Examples!$F$12*(1-EXP(-Examples!$F$13*$A966))/(1+EXP(MIN(700,MAX(-700,(Examples!$F$14*$A966-Examples!$F$15)/Examples!$F$16))))))+Examples!$F$17*$A966^2)</f>
        <v>1859562.640497131</v>
      </c>
      <c r="J966" s="33">
        <f>Examples!$G$18-(Examples!$G$10+Examples!$G$11)*$A966-(Examples!$G$6*Examples!$G$7*Examples!$G$8*EXP(-Examples!$G$9*$A966)*(1-(Examples!$G$12*(1-EXP(-Examples!$G$13*$A966))/(1+EXP(MIN(700,MAX(-700,(Examples!$G$14*$A966-Examples!$G$15)/Examples!$G$16))))))+Examples!$G$17*$A966^2)</f>
        <v>206062.48111577868</v>
      </c>
      <c r="K966" s="33">
        <f>(Examples!$G$6*Examples!$G$7*Examples!$G$8*EXP(-Examples!$G$9*$A966)*(1-(Examples!$G$12*(1-EXP(-Examples!$G$13*$A966))/(1+EXP(MIN(700,MAX(-700,(Examples!$G$14*$A966-Examples!$G$15)/Examples!$G$16))))))+Examples!$G$17*$A966^2)</f>
        <v>811937.51888422132</v>
      </c>
      <c r="L966" s="33">
        <f>Examples!$H$18-(Examples!$H$10+Examples!$H$11)*$A966-(Examples!$H$6*Examples!$H$7*Examples!$H$8*EXP(-Examples!$H$9*$A966)*(1-(Examples!$H$12*(1-EXP(-Examples!$H$13*$A966))/(1+EXP(MIN(700,MAX(-700,(Examples!$H$14*$A966-Examples!$H$15)/Examples!$H$16))))))+Examples!$H$17*$A966^2)</f>
        <v>206058.49291701161</v>
      </c>
      <c r="M966" s="33">
        <f>(Examples!$H$6*Examples!$H$7*Examples!$H$8*EXP(-Examples!$H$9*$A966)*(1-(Examples!$H$12*(1-EXP(-Examples!$H$13*$A966))/(1+EXP(MIN(700,MAX(-700,(Examples!$H$14*$A966-Examples!$H$15)/Examples!$H$16))))))+Examples!$H$17*$A966^2)</f>
        <v>811941.50708298839</v>
      </c>
    </row>
    <row r="967" spans="1:13" x14ac:dyDescent="0.25">
      <c r="A967">
        <f>(967-2)/100</f>
        <v>9.65</v>
      </c>
      <c r="B967" s="33">
        <f>Examples!$C$18-(Examples!$C$10+Examples!$C$11)*$A967-(Examples!$C$6*Examples!$C$7*Examples!$C$8*EXP(-Examples!$C$9*$A967)*(1-(Examples!$C$12*(1-EXP(-Examples!$C$13*$A967))/(1+EXP(MIN(700,MAX(-700,(Examples!$C$14*$A967-Examples!$C$15)/Examples!$C$16))))))+Examples!$C$17*$A967^2)</f>
        <v>-1167766.9150567609</v>
      </c>
      <c r="C967" s="33">
        <f>(Examples!$C$6*Examples!$C$7*Examples!$C$8*EXP(-Examples!$C$9*$A967)*(1-(Examples!$C$12*(1-EXP(-Examples!$C$13*$A967))/(1+EXP(MIN(700,MAX(-700,(Examples!$C$14*$A967-Examples!$C$15)/Examples!$C$16))))))+Examples!$C$17*$A967^2)</f>
        <v>1430016.9150567609</v>
      </c>
      <c r="D967" s="33">
        <f>Examples!$D$18-(Examples!$D$10+Examples!$D$11)*$A967-(Examples!$D$6*Examples!$D$7*Examples!$D$8*EXP(-Examples!$D$9*$A967)*(1-(Examples!$D$12*(1-EXP(-Examples!$D$13*$A967))/(1+EXP(MIN(700,MAX(-700,(Examples!$D$14*$A967-Examples!$D$15)/Examples!$D$16))))))+Examples!$D$17*$A967^2)</f>
        <v>1522135.9878028999</v>
      </c>
      <c r="E967" s="33">
        <f>(Examples!$D$6*Examples!$D$7*Examples!$D$8*EXP(-Examples!$D$9*$A967)*(1-(Examples!$D$12*(1-EXP(-Examples!$D$13*$A967))/(1+EXP(MIN(700,MAX(-700,(Examples!$D$14*$A967-Examples!$D$15)/Examples!$D$16))))))+Examples!$D$17*$A967^2)</f>
        <v>543614.01219710009</v>
      </c>
      <c r="F967" s="33">
        <f>Examples!$E$18-(Examples!$E$10+Examples!$E$11)*$A967-(Examples!$E$6*Examples!$E$7*Examples!$E$8*EXP(-Examples!$E$9*$A967)*(1-(Examples!$E$12*(1-EXP(-Examples!$E$13*$A967))/(1+EXP(MIN(700,MAX(-700,(Examples!$E$14*$A967-Examples!$E$15)/Examples!$E$16))))))+Examples!$E$17*$A967^2)</f>
        <v>1879146.1468845485</v>
      </c>
      <c r="G967" s="33">
        <f>(Examples!$E$6*Examples!$E$7*Examples!$E$8*EXP(-Examples!$E$9*$A967)*(1-(Examples!$E$12*(1-EXP(-Examples!$E$13*$A967))/(1+EXP(MIN(700,MAX(-700,(Examples!$E$14*$A967-Examples!$E$15)/Examples!$E$16))))))+Examples!$E$17*$A967^2)</f>
        <v>300603.85311545141</v>
      </c>
      <c r="H967" s="33">
        <f>Examples!$F$18-(Examples!$F$10+Examples!$F$11)*$A967-(Examples!$F$6*Examples!$F$7*Examples!$F$8*EXP(-Examples!$F$9*$A967)*(1-(Examples!$F$12*(1-EXP(-Examples!$F$13*$A967))/(1+EXP(MIN(700,MAX(-700,(Examples!$F$14*$A967-Examples!$F$15)/Examples!$F$16))))))+Examples!$F$17*$A967^2)</f>
        <v>-1906417.7329391572</v>
      </c>
      <c r="I967" s="33">
        <f>(Examples!$F$6*Examples!$F$7*Examples!$F$8*EXP(-Examples!$F$9*$A967)*(1-(Examples!$F$12*(1-EXP(-Examples!$F$13*$A967))/(1+EXP(MIN(700,MAX(-700,(Examples!$F$14*$A967-Examples!$F$15)/Examples!$F$16))))))+Examples!$F$17*$A967^2)</f>
        <v>1863417.7329391572</v>
      </c>
      <c r="J967" s="33">
        <f>Examples!$G$18-(Examples!$G$10+Examples!$G$11)*$A967-(Examples!$G$6*Examples!$G$7*Examples!$G$8*EXP(-Examples!$G$9*$A967)*(1-(Examples!$G$12*(1-EXP(-Examples!$G$13*$A967))/(1+EXP(MIN(700,MAX(-700,(Examples!$G$14*$A967-Examples!$G$15)/Examples!$G$16))))))+Examples!$G$17*$A967^2)</f>
        <v>204258.56207833556</v>
      </c>
      <c r="K967" s="33">
        <f>(Examples!$G$6*Examples!$G$7*Examples!$G$8*EXP(-Examples!$G$9*$A967)*(1-(Examples!$G$12*(1-EXP(-Examples!$G$13*$A967))/(1+EXP(MIN(700,MAX(-700,(Examples!$G$14*$A967-Examples!$G$15)/Examples!$G$16))))))+Examples!$G$17*$A967^2)</f>
        <v>813241.43792166444</v>
      </c>
      <c r="L967" s="33">
        <f>Examples!$H$18-(Examples!$H$10+Examples!$H$11)*$A967-(Examples!$H$6*Examples!$H$7*Examples!$H$8*EXP(-Examples!$H$9*$A967)*(1-(Examples!$H$12*(1-EXP(-Examples!$H$13*$A967))/(1+EXP(MIN(700,MAX(-700,(Examples!$H$14*$A967-Examples!$H$15)/Examples!$H$16))))))+Examples!$H$17*$A967^2)</f>
        <v>204254.64028936287</v>
      </c>
      <c r="M967" s="33">
        <f>(Examples!$H$6*Examples!$H$7*Examples!$H$8*EXP(-Examples!$H$9*$A967)*(1-(Examples!$H$12*(1-EXP(-Examples!$H$13*$A967))/(1+EXP(MIN(700,MAX(-700,(Examples!$H$14*$A967-Examples!$H$15)/Examples!$H$16))))))+Examples!$H$17*$A967^2)</f>
        <v>813245.35971063713</v>
      </c>
    </row>
    <row r="968" spans="1:13" x14ac:dyDescent="0.25">
      <c r="A968">
        <f>(968-2)/100</f>
        <v>9.66</v>
      </c>
      <c r="B968" s="33">
        <f>Examples!$C$18-(Examples!$C$10+Examples!$C$11)*$A968-(Examples!$C$6*Examples!$C$7*Examples!$C$8*EXP(-Examples!$C$9*$A968)*(1-(Examples!$C$12*(1-EXP(-Examples!$C$13*$A968))/(1+EXP(MIN(700,MAX(-700,(Examples!$C$14*$A968-Examples!$C$15)/Examples!$C$16))))))+Examples!$C$17*$A968^2)</f>
        <v>-1170914.0259697647</v>
      </c>
      <c r="C968" s="33">
        <f>(Examples!$C$6*Examples!$C$7*Examples!$C$8*EXP(-Examples!$C$9*$A968)*(1-(Examples!$C$12*(1-EXP(-Examples!$C$13*$A968))/(1+EXP(MIN(700,MAX(-700,(Examples!$C$14*$A968-Examples!$C$15)/Examples!$C$16))))))+Examples!$C$17*$A968^2)</f>
        <v>1432814.0259697647</v>
      </c>
      <c r="D968" s="33">
        <f>Examples!$D$18-(Examples!$D$10+Examples!$D$11)*$A968-(Examples!$D$6*Examples!$D$7*Examples!$D$8*EXP(-Examples!$D$9*$A968)*(1-(Examples!$D$12*(1-EXP(-Examples!$D$13*$A968))/(1+EXP(MIN(700,MAX(-700,(Examples!$D$14*$A968-Examples!$D$15)/Examples!$D$16))))))+Examples!$D$17*$A968^2)</f>
        <v>1521070.4118031869</v>
      </c>
      <c r="E968" s="33">
        <f>(Examples!$D$6*Examples!$D$7*Examples!$D$8*EXP(-Examples!$D$9*$A968)*(1-(Examples!$D$12*(1-EXP(-Examples!$D$13*$A968))/(1+EXP(MIN(700,MAX(-700,(Examples!$D$14*$A968-Examples!$D$15)/Examples!$D$16))))))+Examples!$D$17*$A968^2)</f>
        <v>544229.58819681325</v>
      </c>
      <c r="F968" s="33">
        <f>Examples!$E$18-(Examples!$E$10+Examples!$E$11)*$A968-(Examples!$E$6*Examples!$E$7*Examples!$E$8*EXP(-Examples!$E$9*$A968)*(1-(Examples!$E$12*(1-EXP(-Examples!$E$13*$A968))/(1+EXP(MIN(700,MAX(-700,(Examples!$E$14*$A968-Examples!$E$15)/Examples!$E$16))))))+Examples!$E$17*$A968^2)</f>
        <v>1877819.3966207816</v>
      </c>
      <c r="G968" s="33">
        <f>(Examples!$E$6*Examples!$E$7*Examples!$E$8*EXP(-Examples!$E$9*$A968)*(1-(Examples!$E$12*(1-EXP(-Examples!$E$13*$A968))/(1+EXP(MIN(700,MAX(-700,(Examples!$E$14*$A968-Examples!$E$15)/Examples!$E$16))))))+Examples!$E$17*$A968^2)</f>
        <v>301080.60337921826</v>
      </c>
      <c r="H968" s="33">
        <f>Examples!$F$18-(Examples!$F$10+Examples!$F$11)*$A968-(Examples!$F$6*Examples!$F$7*Examples!$F$8*EXP(-Examples!$F$9*$A968)*(1-(Examples!$F$12*(1-EXP(-Examples!$F$13*$A968))/(1+EXP(MIN(700,MAX(-700,(Examples!$F$14*$A968-Examples!$F$15)/Examples!$F$16))))))+Examples!$F$17*$A968^2)</f>
        <v>-1910476.8340907863</v>
      </c>
      <c r="I968" s="33">
        <f>(Examples!$F$6*Examples!$F$7*Examples!$F$8*EXP(-Examples!$F$9*$A968)*(1-(Examples!$F$12*(1-EXP(-Examples!$F$13*$A968))/(1+EXP(MIN(700,MAX(-700,(Examples!$F$14*$A968-Examples!$F$15)/Examples!$F$16))))))+Examples!$F$17*$A968^2)</f>
        <v>1867276.8340907863</v>
      </c>
      <c r="J968" s="33">
        <f>Examples!$G$18-(Examples!$G$10+Examples!$G$11)*$A968-(Examples!$G$6*Examples!$G$7*Examples!$G$8*EXP(-Examples!$G$9*$A968)*(1-(Examples!$G$12*(1-EXP(-Examples!$G$13*$A968))/(1+EXP(MIN(700,MAX(-700,(Examples!$G$14*$A968-Examples!$G$15)/Examples!$G$16))))))+Examples!$G$17*$A968^2)</f>
        <v>202452.20789437951</v>
      </c>
      <c r="K968" s="33">
        <f>(Examples!$G$6*Examples!$G$7*Examples!$G$8*EXP(-Examples!$G$9*$A968)*(1-(Examples!$G$12*(1-EXP(-Examples!$G$13*$A968))/(1+EXP(MIN(700,MAX(-700,(Examples!$G$14*$A968-Examples!$G$15)/Examples!$G$16))))))+Examples!$G$17*$A968^2)</f>
        <v>814547.79210562049</v>
      </c>
      <c r="L968" s="33">
        <f>Examples!$H$18-(Examples!$H$10+Examples!$H$11)*$A968-(Examples!$H$6*Examples!$H$7*Examples!$H$8*EXP(-Examples!$H$9*$A968)*(1-(Examples!$H$12*(1-EXP(-Examples!$H$13*$A968))/(1+EXP(MIN(700,MAX(-700,(Examples!$H$14*$A968-Examples!$H$15)/Examples!$H$16))))))+Examples!$H$17*$A968^2)</f>
        <v>202448.35141021176</v>
      </c>
      <c r="M968" s="33">
        <f>(Examples!$H$6*Examples!$H$7*Examples!$H$8*EXP(-Examples!$H$9*$A968)*(1-(Examples!$H$12*(1-EXP(-Examples!$H$13*$A968))/(1+EXP(MIN(700,MAX(-700,(Examples!$H$14*$A968-Examples!$H$15)/Examples!$H$16))))))+Examples!$H$17*$A968^2)</f>
        <v>814551.64858978824</v>
      </c>
    </row>
    <row r="969" spans="1:13" x14ac:dyDescent="0.25">
      <c r="A969">
        <f>(969-2)/100</f>
        <v>9.67</v>
      </c>
      <c r="B969" s="33">
        <f>Examples!$C$18-(Examples!$C$10+Examples!$C$11)*$A969-(Examples!$C$6*Examples!$C$7*Examples!$C$8*EXP(-Examples!$C$9*$A969)*(1-(Examples!$C$12*(1-EXP(-Examples!$C$13*$A969))/(1+EXP(MIN(700,MAX(-700,(Examples!$C$14*$A969-Examples!$C$15)/Examples!$C$16))))))+Examples!$C$17*$A969^2)</f>
        <v>-1174064.4346032252</v>
      </c>
      <c r="C969" s="33">
        <f>(Examples!$C$6*Examples!$C$7*Examples!$C$8*EXP(-Examples!$C$9*$A969)*(1-(Examples!$C$12*(1-EXP(-Examples!$C$13*$A969))/(1+EXP(MIN(700,MAX(-700,(Examples!$C$14*$A969-Examples!$C$15)/Examples!$C$16))))))+Examples!$C$17*$A969^2)</f>
        <v>1435614.4346032252</v>
      </c>
      <c r="D969" s="33">
        <f>Examples!$D$18-(Examples!$D$10+Examples!$D$11)*$A969-(Examples!$D$6*Examples!$D$7*Examples!$D$8*EXP(-Examples!$D$9*$A969)*(1-(Examples!$D$12*(1-EXP(-Examples!$D$13*$A969))/(1+EXP(MIN(700,MAX(-700,(Examples!$D$14*$A969-Examples!$D$15)/Examples!$D$16))))))+Examples!$D$17*$A969^2)</f>
        <v>1520002.2698730109</v>
      </c>
      <c r="E969" s="33">
        <f>(Examples!$D$6*Examples!$D$7*Examples!$D$8*EXP(-Examples!$D$9*$A969)*(1-(Examples!$D$12*(1-EXP(-Examples!$D$13*$A969))/(1+EXP(MIN(700,MAX(-700,(Examples!$D$14*$A969-Examples!$D$15)/Examples!$D$16))))))+Examples!$D$17*$A969^2)</f>
        <v>544847.73012698907</v>
      </c>
      <c r="F969" s="33">
        <f>Examples!$E$18-(Examples!$E$10+Examples!$E$11)*$A969-(Examples!$E$6*Examples!$E$7*Examples!$E$8*EXP(-Examples!$E$9*$A969)*(1-(Examples!$E$12*(1-EXP(-Examples!$E$13*$A969))/(1+EXP(MIN(700,MAX(-700,(Examples!$E$14*$A969-Examples!$E$15)/Examples!$E$16))))))+Examples!$E$17*$A969^2)</f>
        <v>1876491.5770755501</v>
      </c>
      <c r="G969" s="33">
        <f>(Examples!$E$6*Examples!$E$7*Examples!$E$8*EXP(-Examples!$E$9*$A969)*(1-(Examples!$E$12*(1-EXP(-Examples!$E$13*$A969))/(1+EXP(MIN(700,MAX(-700,(Examples!$E$14*$A969-Examples!$E$15)/Examples!$E$16))))))+Examples!$E$17*$A969^2)</f>
        <v>301558.4229244499</v>
      </c>
      <c r="H969" s="33">
        <f>Examples!$F$18-(Examples!$F$10+Examples!$F$11)*$A969-(Examples!$F$6*Examples!$F$7*Examples!$F$8*EXP(-Examples!$F$9*$A969)*(1-(Examples!$F$12*(1-EXP(-Examples!$F$13*$A969))/(1+EXP(MIN(700,MAX(-700,(Examples!$F$14*$A969-Examples!$F$15)/Examples!$F$16))))))+Examples!$F$17*$A969^2)</f>
        <v>-1914539.9439259288</v>
      </c>
      <c r="I969" s="33">
        <f>(Examples!$F$6*Examples!$F$7*Examples!$F$8*EXP(-Examples!$F$9*$A969)*(1-(Examples!$F$12*(1-EXP(-Examples!$F$13*$A969))/(1+EXP(MIN(700,MAX(-700,(Examples!$F$14*$A969-Examples!$F$15)/Examples!$F$16))))))+Examples!$F$17*$A969^2)</f>
        <v>1871139.9439259288</v>
      </c>
      <c r="J969" s="33">
        <f>Examples!$G$18-(Examples!$G$10+Examples!$G$11)*$A969-(Examples!$G$6*Examples!$G$7*Examples!$G$8*EXP(-Examples!$G$9*$A969)*(1-(Examples!$G$12*(1-EXP(-Examples!$G$13*$A969))/(1+EXP(MIN(700,MAX(-700,(Examples!$G$14*$A969-Examples!$G$15)/Examples!$G$16))))))+Examples!$G$17*$A969^2)</f>
        <v>200643.42146730737</v>
      </c>
      <c r="K969" s="33">
        <f>(Examples!$G$6*Examples!$G$7*Examples!$G$8*EXP(-Examples!$G$9*$A969)*(1-(Examples!$G$12*(1-EXP(-Examples!$G$13*$A969))/(1+EXP(MIN(700,MAX(-700,(Examples!$G$14*$A969-Examples!$G$15)/Examples!$G$16))))))+Examples!$G$17*$A969^2)</f>
        <v>815856.57853269263</v>
      </c>
      <c r="L969" s="33">
        <f>Examples!$H$18-(Examples!$H$10+Examples!$H$11)*$A969-(Examples!$H$6*Examples!$H$7*Examples!$H$8*EXP(-Examples!$H$9*$A969)*(1-(Examples!$H$12*(1-EXP(-Examples!$H$13*$A969))/(1+EXP(MIN(700,MAX(-700,(Examples!$H$14*$A969-Examples!$H$15)/Examples!$H$16))))))+Examples!$H$17*$A969^2)</f>
        <v>200639.62920132233</v>
      </c>
      <c r="M969" s="33">
        <f>(Examples!$H$6*Examples!$H$7*Examples!$H$8*EXP(-Examples!$H$9*$A969)*(1-(Examples!$H$12*(1-EXP(-Examples!$H$13*$A969))/(1+EXP(MIN(700,MAX(-700,(Examples!$H$14*$A969-Examples!$H$15)/Examples!$H$16))))))+Examples!$H$17*$A969^2)</f>
        <v>815860.37079867767</v>
      </c>
    </row>
    <row r="970" spans="1:13" x14ac:dyDescent="0.25">
      <c r="A970">
        <f>(970-2)/100</f>
        <v>9.68</v>
      </c>
      <c r="B970" s="33">
        <f>Examples!$C$18-(Examples!$C$10+Examples!$C$11)*$A970-(Examples!$C$6*Examples!$C$7*Examples!$C$8*EXP(-Examples!$C$9*$A970)*(1-(Examples!$C$12*(1-EXP(-Examples!$C$13*$A970))/(1+EXP(MIN(700,MAX(-700,(Examples!$C$14*$A970-Examples!$C$15)/Examples!$C$16))))))+Examples!$C$17*$A970^2)</f>
        <v>-1177218.1400653201</v>
      </c>
      <c r="C970" s="33">
        <f>(Examples!$C$6*Examples!$C$7*Examples!$C$8*EXP(-Examples!$C$9*$A970)*(1-(Examples!$C$12*(1-EXP(-Examples!$C$13*$A970))/(1+EXP(MIN(700,MAX(-700,(Examples!$C$14*$A970-Examples!$C$15)/Examples!$C$16))))))+Examples!$C$17*$A970^2)</f>
        <v>1438418.1400653201</v>
      </c>
      <c r="D970" s="33">
        <f>Examples!$D$18-(Examples!$D$10+Examples!$D$11)*$A970-(Examples!$D$6*Examples!$D$7*Examples!$D$8*EXP(-Examples!$D$9*$A970)*(1-(Examples!$D$12*(1-EXP(-Examples!$D$13*$A970))/(1+EXP(MIN(700,MAX(-700,(Examples!$D$14*$A970-Examples!$D$15)/Examples!$D$16))))))+Examples!$D$17*$A970^2)</f>
        <v>1518931.5689517665</v>
      </c>
      <c r="E970" s="33">
        <f>(Examples!$D$6*Examples!$D$7*Examples!$D$8*EXP(-Examples!$D$9*$A970)*(1-(Examples!$D$12*(1-EXP(-Examples!$D$13*$A970))/(1+EXP(MIN(700,MAX(-700,(Examples!$D$14*$A970-Examples!$D$15)/Examples!$D$16))))))+Examples!$D$17*$A970^2)</f>
        <v>545468.43104823353</v>
      </c>
      <c r="F970" s="33">
        <f>Examples!$E$18-(Examples!$E$10+Examples!$E$11)*$A970-(Examples!$E$6*Examples!$E$7*Examples!$E$8*EXP(-Examples!$E$9*$A970)*(1-(Examples!$E$12*(1-EXP(-Examples!$E$13*$A970))/(1+EXP(MIN(700,MAX(-700,(Examples!$E$14*$A970-Examples!$E$15)/Examples!$E$16))))))+Examples!$E$17*$A970^2)</f>
        <v>1875162.690070776</v>
      </c>
      <c r="G970" s="33">
        <f>(Examples!$E$6*Examples!$E$7*Examples!$E$8*EXP(-Examples!$E$9*$A970)*(1-(Examples!$E$12*(1-EXP(-Examples!$E$13*$A970))/(1+EXP(MIN(700,MAX(-700,(Examples!$E$14*$A970-Examples!$E$15)/Examples!$E$16))))))+Examples!$E$17*$A970^2)</f>
        <v>302037.30992922402</v>
      </c>
      <c r="H970" s="33">
        <f>Examples!$F$18-(Examples!$F$10+Examples!$F$11)*$A970-(Examples!$F$6*Examples!$F$7*Examples!$F$8*EXP(-Examples!$F$9*$A970)*(1-(Examples!$F$12*(1-EXP(-Examples!$F$13*$A970))/(1+EXP(MIN(700,MAX(-700,(Examples!$F$14*$A970-Examples!$F$15)/Examples!$F$16))))))+Examples!$F$17*$A970^2)</f>
        <v>-1918607.0624185733</v>
      </c>
      <c r="I970" s="33">
        <f>(Examples!$F$6*Examples!$F$7*Examples!$F$8*EXP(-Examples!$F$9*$A970)*(1-(Examples!$F$12*(1-EXP(-Examples!$F$13*$A970))/(1+EXP(MIN(700,MAX(-700,(Examples!$F$14*$A970-Examples!$F$15)/Examples!$F$16))))))+Examples!$F$17*$A970^2)</f>
        <v>1875007.0624185733</v>
      </c>
      <c r="J970" s="33">
        <f>Examples!$G$18-(Examples!$G$10+Examples!$G$11)*$A970-(Examples!$G$6*Examples!$G$7*Examples!$G$8*EXP(-Examples!$G$9*$A970)*(1-(Examples!$G$12*(1-EXP(-Examples!$G$13*$A970))/(1+EXP(MIN(700,MAX(-700,(Examples!$G$14*$A970-Examples!$G$15)/Examples!$G$16))))))+Examples!$G$17*$A970^2)</f>
        <v>198832.20569061232</v>
      </c>
      <c r="K970" s="33">
        <f>(Examples!$G$6*Examples!$G$7*Examples!$G$8*EXP(-Examples!$G$9*$A970)*(1-(Examples!$G$12*(1-EXP(-Examples!$G$13*$A970))/(1+EXP(MIN(700,MAX(-700,(Examples!$G$14*$A970-Examples!$G$15)/Examples!$G$16))))))+Examples!$G$17*$A970^2)</f>
        <v>817167.79430938768</v>
      </c>
      <c r="L970" s="33">
        <f>Examples!$H$18-(Examples!$H$10+Examples!$H$11)*$A970-(Examples!$H$6*Examples!$H$7*Examples!$H$8*EXP(-Examples!$H$9*$A970)*(1-(Examples!$H$12*(1-EXP(-Examples!$H$13*$A970))/(1+EXP(MIN(700,MAX(-700,(Examples!$H$14*$A970-Examples!$H$15)/Examples!$H$16))))))+Examples!$H$17*$A970^2)</f>
        <v>198828.47657425003</v>
      </c>
      <c r="M970" s="33">
        <f>(Examples!$H$6*Examples!$H$7*Examples!$H$8*EXP(-Examples!$H$9*$A970)*(1-(Examples!$H$12*(1-EXP(-Examples!$H$13*$A970))/(1+EXP(MIN(700,MAX(-700,(Examples!$H$14*$A970-Examples!$H$15)/Examples!$H$16))))))+Examples!$H$17*$A970^2)</f>
        <v>817171.52342574997</v>
      </c>
    </row>
    <row r="971" spans="1:13" x14ac:dyDescent="0.25">
      <c r="A971">
        <f>(971-2)/100</f>
        <v>9.69</v>
      </c>
      <c r="B971" s="33">
        <f>Examples!$C$18-(Examples!$C$10+Examples!$C$11)*$A971-(Examples!$C$6*Examples!$C$7*Examples!$C$8*EXP(-Examples!$C$9*$A971)*(1-(Examples!$C$12*(1-EXP(-Examples!$C$13*$A971))/(1+EXP(MIN(700,MAX(-700,(Examples!$C$14*$A971-Examples!$C$15)/Examples!$C$16))))))+Examples!$C$17*$A971^2)</f>
        <v>-1180375.141466897</v>
      </c>
      <c r="C971" s="33">
        <f>(Examples!$C$6*Examples!$C$7*Examples!$C$8*EXP(-Examples!$C$9*$A971)*(1-(Examples!$C$12*(1-EXP(-Examples!$C$13*$A971))/(1+EXP(MIN(700,MAX(-700,(Examples!$C$14*$A971-Examples!$C$15)/Examples!$C$16))))))+Examples!$C$17*$A971^2)</f>
        <v>1441225.141466897</v>
      </c>
      <c r="D971" s="33">
        <f>Examples!$D$18-(Examples!$D$10+Examples!$D$11)*$A971-(Examples!$D$6*Examples!$D$7*Examples!$D$8*EXP(-Examples!$D$9*$A971)*(1-(Examples!$D$12*(1-EXP(-Examples!$D$13*$A971))/(1+EXP(MIN(700,MAX(-700,(Examples!$D$14*$A971-Examples!$D$15)/Examples!$D$16))))))+Examples!$D$17*$A971^2)</f>
        <v>1517858.3159492994</v>
      </c>
      <c r="E971" s="33">
        <f>(Examples!$D$6*Examples!$D$7*Examples!$D$8*EXP(-Examples!$D$9*$A971)*(1-(Examples!$D$12*(1-EXP(-Examples!$D$13*$A971))/(1+EXP(MIN(700,MAX(-700,(Examples!$D$14*$A971-Examples!$D$15)/Examples!$D$16))))))+Examples!$D$17*$A971^2)</f>
        <v>546091.68405070063</v>
      </c>
      <c r="F971" s="33">
        <f>Examples!$E$18-(Examples!$E$10+Examples!$E$11)*$A971-(Examples!$E$6*Examples!$E$7*Examples!$E$8*EXP(-Examples!$E$9*$A971)*(1-(Examples!$E$12*(1-EXP(-Examples!$E$13*$A971))/(1+EXP(MIN(700,MAX(-700,(Examples!$E$14*$A971-Examples!$E$15)/Examples!$E$16))))))+Examples!$E$17*$A971^2)</f>
        <v>1873832.7374254689</v>
      </c>
      <c r="G971" s="33">
        <f>(Examples!$E$6*Examples!$E$7*Examples!$E$8*EXP(-Examples!$E$9*$A971)*(1-(Examples!$E$12*(1-EXP(-Examples!$E$13*$A971))/(1+EXP(MIN(700,MAX(-700,(Examples!$E$14*$A971-Examples!$E$15)/Examples!$E$16))))))+Examples!$E$17*$A971^2)</f>
        <v>302517.2625745312</v>
      </c>
      <c r="H971" s="33">
        <f>Examples!$F$18-(Examples!$F$10+Examples!$F$11)*$A971-(Examples!$F$6*Examples!$F$7*Examples!$F$8*EXP(-Examples!$F$9*$A971)*(1-(Examples!$F$12*(1-EXP(-Examples!$F$13*$A971))/(1+EXP(MIN(700,MAX(-700,(Examples!$F$14*$A971-Examples!$F$15)/Examples!$F$16))))))+Examples!$F$17*$A971^2)</f>
        <v>-1922678.1895427855</v>
      </c>
      <c r="I971" s="33">
        <f>(Examples!$F$6*Examples!$F$7*Examples!$F$8*EXP(-Examples!$F$9*$A971)*(1-(Examples!$F$12*(1-EXP(-Examples!$F$13*$A971))/(1+EXP(MIN(700,MAX(-700,(Examples!$F$14*$A971-Examples!$F$15)/Examples!$F$16))))))+Examples!$F$17*$A971^2)</f>
        <v>1878878.1895427855</v>
      </c>
      <c r="J971" s="33">
        <f>Examples!$G$18-(Examples!$G$10+Examples!$G$11)*$A971-(Examples!$G$6*Examples!$G$7*Examples!$G$8*EXP(-Examples!$G$9*$A971)*(1-(Examples!$G$12*(1-EXP(-Examples!$G$13*$A971))/(1+EXP(MIN(700,MAX(-700,(Examples!$G$14*$A971-Examples!$G$15)/Examples!$G$16))))))+Examples!$G$17*$A971^2)</f>
        <v>197018.56344791478</v>
      </c>
      <c r="K971" s="33">
        <f>(Examples!$G$6*Examples!$G$7*Examples!$G$8*EXP(-Examples!$G$9*$A971)*(1-(Examples!$G$12*(1-EXP(-Examples!$G$13*$A971))/(1+EXP(MIN(700,MAX(-700,(Examples!$G$14*$A971-Examples!$G$15)/Examples!$G$16))))))+Examples!$G$17*$A971^2)</f>
        <v>818481.43655208522</v>
      </c>
      <c r="L971" s="33">
        <f>Examples!$H$18-(Examples!$H$10+Examples!$H$11)*$A971-(Examples!$H$6*Examples!$H$7*Examples!$H$8*EXP(-Examples!$H$9*$A971)*(1-(Examples!$H$12*(1-EXP(-Examples!$H$13*$A971))/(1+EXP(MIN(700,MAX(-700,(Examples!$H$14*$A971-Examples!$H$15)/Examples!$H$16))))))+Examples!$H$17*$A971^2)</f>
        <v>197014.8964303782</v>
      </c>
      <c r="M971" s="33">
        <f>(Examples!$H$6*Examples!$H$7*Examples!$H$8*EXP(-Examples!$H$9*$A971)*(1-(Examples!$H$12*(1-EXP(-Examples!$H$13*$A971))/(1+EXP(MIN(700,MAX(-700,(Examples!$H$14*$A971-Examples!$H$15)/Examples!$H$16))))))+Examples!$H$17*$A971^2)</f>
        <v>818485.1035696218</v>
      </c>
    </row>
    <row r="972" spans="1:13" x14ac:dyDescent="0.25">
      <c r="A972">
        <f>(972-2)/100</f>
        <v>9.6999999999999993</v>
      </c>
      <c r="B972" s="33">
        <f>Examples!$C$18-(Examples!$C$10+Examples!$C$11)*$A972-(Examples!$C$6*Examples!$C$7*Examples!$C$8*EXP(-Examples!$C$9*$A972)*(1-(Examples!$C$12*(1-EXP(-Examples!$C$13*$A972))/(1+EXP(MIN(700,MAX(-700,(Examples!$C$14*$A972-Examples!$C$15)/Examples!$C$16))))))+Examples!$C$17*$A972^2)</f>
        <v>-1183535.4379214686</v>
      </c>
      <c r="C972" s="33">
        <f>(Examples!$C$6*Examples!$C$7*Examples!$C$8*EXP(-Examples!$C$9*$A972)*(1-(Examples!$C$12*(1-EXP(-Examples!$C$13*$A972))/(1+EXP(MIN(700,MAX(-700,(Examples!$C$14*$A972-Examples!$C$15)/Examples!$C$16))))))+Examples!$C$17*$A972^2)</f>
        <v>1444035.4379214686</v>
      </c>
      <c r="D972" s="33">
        <f>Examples!$D$18-(Examples!$D$10+Examples!$D$11)*$A972-(Examples!$D$6*Examples!$D$7*Examples!$D$8*EXP(-Examples!$D$9*$A972)*(1-(Examples!$D$12*(1-EXP(-Examples!$D$13*$A972))/(1+EXP(MIN(700,MAX(-700,(Examples!$D$14*$A972-Examples!$D$15)/Examples!$D$16))))))+Examples!$D$17*$A972^2)</f>
        <v>1516782.5177460127</v>
      </c>
      <c r="E972" s="33">
        <f>(Examples!$D$6*Examples!$D$7*Examples!$D$8*EXP(-Examples!$D$9*$A972)*(1-(Examples!$D$12*(1-EXP(-Examples!$D$13*$A972))/(1+EXP(MIN(700,MAX(-700,(Examples!$D$14*$A972-Examples!$D$15)/Examples!$D$16))))))+Examples!$D$17*$A972^2)</f>
        <v>546717.48225398723</v>
      </c>
      <c r="F972" s="33">
        <f>Examples!$E$18-(Examples!$E$10+Examples!$E$11)*$A972-(Examples!$E$6*Examples!$E$7*Examples!$E$8*EXP(-Examples!$E$9*$A972)*(1-(Examples!$E$12*(1-EXP(-Examples!$E$13*$A972))/(1+EXP(MIN(700,MAX(-700,(Examples!$E$14*$A972-Examples!$E$15)/Examples!$E$16))))))+Examples!$E$17*$A972^2)</f>
        <v>1872501.7209556699</v>
      </c>
      <c r="G972" s="33">
        <f>(Examples!$E$6*Examples!$E$7*Examples!$E$8*EXP(-Examples!$E$9*$A972)*(1-(Examples!$E$12*(1-EXP(-Examples!$E$13*$A972))/(1+EXP(MIN(700,MAX(-700,(Examples!$E$14*$A972-Examples!$E$15)/Examples!$E$16))))))+Examples!$E$17*$A972^2)</f>
        <v>302998.27904433024</v>
      </c>
      <c r="H972" s="33">
        <f>Examples!$F$18-(Examples!$F$10+Examples!$F$11)*$A972-(Examples!$F$6*Examples!$F$7*Examples!$F$8*EXP(-Examples!$F$9*$A972)*(1-(Examples!$F$12*(1-EXP(-Examples!$F$13*$A972))/(1+EXP(MIN(700,MAX(-700,(Examples!$F$14*$A972-Examples!$F$15)/Examples!$F$16))))))+Examples!$F$17*$A972^2)</f>
        <v>-1926753.3252727105</v>
      </c>
      <c r="I972" s="33">
        <f>(Examples!$F$6*Examples!$F$7*Examples!$F$8*EXP(-Examples!$F$9*$A972)*(1-(Examples!$F$12*(1-EXP(-Examples!$F$13*$A972))/(1+EXP(MIN(700,MAX(-700,(Examples!$F$14*$A972-Examples!$F$15)/Examples!$F$16))))))+Examples!$F$17*$A972^2)</f>
        <v>1882753.3252727105</v>
      </c>
      <c r="J972" s="33">
        <f>Examples!$G$18-(Examples!$G$10+Examples!$G$11)*$A972-(Examples!$G$6*Examples!$G$7*Examples!$G$8*EXP(-Examples!$G$9*$A972)*(1-(Examples!$G$12*(1-EXP(-Examples!$G$13*$A972))/(1+EXP(MIN(700,MAX(-700,(Examples!$G$14*$A972-Examples!$G$15)/Examples!$G$16))))))+Examples!$G$17*$A972^2)</f>
        <v>195202.497612993</v>
      </c>
      <c r="K972" s="33">
        <f>(Examples!$G$6*Examples!$G$7*Examples!$G$8*EXP(-Examples!$G$9*$A972)*(1-(Examples!$G$12*(1-EXP(-Examples!$G$13*$A972))/(1+EXP(MIN(700,MAX(-700,(Examples!$G$14*$A972-Examples!$G$15)/Examples!$G$16))))))+Examples!$G$17*$A972^2)</f>
        <v>819797.502387007</v>
      </c>
      <c r="L972" s="33">
        <f>Examples!$H$18-(Examples!$H$10+Examples!$H$11)*$A972-(Examples!$H$6*Examples!$H$7*Examples!$H$8*EXP(-Examples!$H$9*$A972)*(1-(Examples!$H$12*(1-EXP(-Examples!$H$13*$A972))/(1+EXP(MIN(700,MAX(-700,(Examples!$H$14*$A972-Examples!$H$15)/Examples!$H$16))))))+Examples!$H$17*$A972^2)</f>
        <v>195198.89166095247</v>
      </c>
      <c r="M972" s="33">
        <f>(Examples!$H$6*Examples!$H$7*Examples!$H$8*EXP(-Examples!$H$9*$A972)*(1-(Examples!$H$12*(1-EXP(-Examples!$H$13*$A972))/(1+EXP(MIN(700,MAX(-700,(Examples!$H$14*$A972-Examples!$H$15)/Examples!$H$16))))))+Examples!$H$17*$A972^2)</f>
        <v>819801.10833904753</v>
      </c>
    </row>
    <row r="973" spans="1:13" x14ac:dyDescent="0.25">
      <c r="A973">
        <f>(973-2)/100</f>
        <v>9.7100000000000009</v>
      </c>
      <c r="B973" s="33">
        <f>Examples!$C$18-(Examples!$C$10+Examples!$C$11)*$A973-(Examples!$C$6*Examples!$C$7*Examples!$C$8*EXP(-Examples!$C$9*$A973)*(1-(Examples!$C$12*(1-EXP(-Examples!$C$13*$A973))/(1+EXP(MIN(700,MAX(-700,(Examples!$C$14*$A973-Examples!$C$15)/Examples!$C$16))))))+Examples!$C$17*$A973^2)</f>
        <v>-1186699.0285452027</v>
      </c>
      <c r="C973" s="33">
        <f>(Examples!$C$6*Examples!$C$7*Examples!$C$8*EXP(-Examples!$C$9*$A973)*(1-(Examples!$C$12*(1-EXP(-Examples!$C$13*$A973))/(1+EXP(MIN(700,MAX(-700,(Examples!$C$14*$A973-Examples!$C$15)/Examples!$C$16))))))+Examples!$C$17*$A973^2)</f>
        <v>1446849.0285452027</v>
      </c>
      <c r="D973" s="33">
        <f>Examples!$D$18-(Examples!$D$10+Examples!$D$11)*$A973-(Examples!$D$6*Examples!$D$7*Examples!$D$8*EXP(-Examples!$D$9*$A973)*(1-(Examples!$D$12*(1-EXP(-Examples!$D$13*$A973))/(1+EXP(MIN(700,MAX(-700,(Examples!$D$14*$A973-Examples!$D$15)/Examples!$D$16))))))+Examples!$D$17*$A973^2)</f>
        <v>1515704.1811929708</v>
      </c>
      <c r="E973" s="33">
        <f>(Examples!$D$6*Examples!$D$7*Examples!$D$8*EXP(-Examples!$D$9*$A973)*(1-(Examples!$D$12*(1-EXP(-Examples!$D$13*$A973))/(1+EXP(MIN(700,MAX(-700,(Examples!$D$14*$A973-Examples!$D$15)/Examples!$D$16))))))+Examples!$D$17*$A973^2)</f>
        <v>547345.81880702905</v>
      </c>
      <c r="F973" s="33">
        <f>Examples!$E$18-(Examples!$E$10+Examples!$E$11)*$A973-(Examples!$E$6*Examples!$E$7*Examples!$E$8*EXP(-Examples!$E$9*$A973)*(1-(Examples!$E$12*(1-EXP(-Examples!$E$13*$A973))/(1+EXP(MIN(700,MAX(-700,(Examples!$E$14*$A973-Examples!$E$15)/Examples!$E$16))))))+Examples!$E$17*$A973^2)</f>
        <v>1871169.642474398</v>
      </c>
      <c r="G973" s="33">
        <f>(Examples!$E$6*Examples!$E$7*Examples!$E$8*EXP(-Examples!$E$9*$A973)*(1-(Examples!$E$12*(1-EXP(-Examples!$E$13*$A973))/(1+EXP(MIN(700,MAX(-700,(Examples!$E$14*$A973-Examples!$E$15)/Examples!$E$16))))))+Examples!$E$17*$A973^2)</f>
        <v>303480.35752560192</v>
      </c>
      <c r="H973" s="33">
        <f>Examples!$F$18-(Examples!$F$10+Examples!$F$11)*$A973-(Examples!$F$6*Examples!$F$7*Examples!$F$8*EXP(-Examples!$F$9*$A973)*(1-(Examples!$F$12*(1-EXP(-Examples!$F$13*$A973))/(1+EXP(MIN(700,MAX(-700,(Examples!$F$14*$A973-Examples!$F$15)/Examples!$F$16))))))+Examples!$F$17*$A973^2)</f>
        <v>-1930832.46958257</v>
      </c>
      <c r="I973" s="33">
        <f>(Examples!$F$6*Examples!$F$7*Examples!$F$8*EXP(-Examples!$F$9*$A973)*(1-(Examples!$F$12*(1-EXP(-Examples!$F$13*$A973))/(1+EXP(MIN(700,MAX(-700,(Examples!$F$14*$A973-Examples!$F$15)/Examples!$F$16))))))+Examples!$F$17*$A973^2)</f>
        <v>1886632.46958257</v>
      </c>
      <c r="J973" s="33">
        <f>Examples!$G$18-(Examples!$G$10+Examples!$G$11)*$A973-(Examples!$G$6*Examples!$G$7*Examples!$G$8*EXP(-Examples!$G$9*$A973)*(1-(Examples!$G$12*(1-EXP(-Examples!$G$13*$A973))/(1+EXP(MIN(700,MAX(-700,(Examples!$G$14*$A973-Examples!$G$15)/Examples!$G$16))))))+Examples!$G$17*$A973^2)</f>
        <v>193384.01104981336</v>
      </c>
      <c r="K973" s="33">
        <f>(Examples!$G$6*Examples!$G$7*Examples!$G$8*EXP(-Examples!$G$9*$A973)*(1-(Examples!$G$12*(1-EXP(-Examples!$G$13*$A973))/(1+EXP(MIN(700,MAX(-700,(Examples!$G$14*$A973-Examples!$G$15)/Examples!$G$16))))))+Examples!$G$17*$A973^2)</f>
        <v>821115.98895018664</v>
      </c>
      <c r="L973" s="33">
        <f>Examples!$H$18-(Examples!$H$10+Examples!$H$11)*$A973-(Examples!$H$6*Examples!$H$7*Examples!$H$8*EXP(-Examples!$H$9*$A973)*(1-(Examples!$H$12*(1-EXP(-Examples!$H$13*$A973))/(1+EXP(MIN(700,MAX(-700,(Examples!$H$14*$A973-Examples!$H$15)/Examples!$H$16))))))+Examples!$H$17*$A973^2)</f>
        <v>193380.46514711704</v>
      </c>
      <c r="M973" s="33">
        <f>(Examples!$H$6*Examples!$H$7*Examples!$H$8*EXP(-Examples!$H$9*$A973)*(1-(Examples!$H$12*(1-EXP(-Examples!$H$13*$A973))/(1+EXP(MIN(700,MAX(-700,(Examples!$H$14*$A973-Examples!$H$15)/Examples!$H$16))))))+Examples!$H$17*$A973^2)</f>
        <v>821119.53485288296</v>
      </c>
    </row>
    <row r="974" spans="1:13" x14ac:dyDescent="0.25">
      <c r="A974">
        <f>(974-2)/100</f>
        <v>9.7200000000000006</v>
      </c>
      <c r="B974" s="33">
        <f>Examples!$C$18-(Examples!$C$10+Examples!$C$11)*$A974-(Examples!$C$6*Examples!$C$7*Examples!$C$8*EXP(-Examples!$C$9*$A974)*(1-(Examples!$C$12*(1-EXP(-Examples!$C$13*$A974))/(1+EXP(MIN(700,MAX(-700,(Examples!$C$14*$A974-Examples!$C$15)/Examples!$C$16))))))+Examples!$C$17*$A974^2)</f>
        <v>-1189865.9124569127</v>
      </c>
      <c r="C974" s="33">
        <f>(Examples!$C$6*Examples!$C$7*Examples!$C$8*EXP(-Examples!$C$9*$A974)*(1-(Examples!$C$12*(1-EXP(-Examples!$C$13*$A974))/(1+EXP(MIN(700,MAX(-700,(Examples!$C$14*$A974-Examples!$C$15)/Examples!$C$16))))))+Examples!$C$17*$A974^2)</f>
        <v>1449665.9124569127</v>
      </c>
      <c r="D974" s="33">
        <f>Examples!$D$18-(Examples!$D$10+Examples!$D$11)*$A974-(Examples!$D$6*Examples!$D$7*Examples!$D$8*EXP(-Examples!$D$9*$A974)*(1-(Examples!$D$12*(1-EXP(-Examples!$D$13*$A974))/(1+EXP(MIN(700,MAX(-700,(Examples!$D$14*$A974-Examples!$D$15)/Examples!$D$16))))))+Examples!$D$17*$A974^2)</f>
        <v>1514623.3131120044</v>
      </c>
      <c r="E974" s="33">
        <f>(Examples!$D$6*Examples!$D$7*Examples!$D$8*EXP(-Examples!$D$9*$A974)*(1-(Examples!$D$12*(1-EXP(-Examples!$D$13*$A974))/(1+EXP(MIN(700,MAX(-700,(Examples!$D$14*$A974-Examples!$D$15)/Examples!$D$16))))))+Examples!$D$17*$A974^2)</f>
        <v>547976.68688799557</v>
      </c>
      <c r="F974" s="33">
        <f>Examples!$E$18-(Examples!$E$10+Examples!$E$11)*$A974-(Examples!$E$6*Examples!$E$7*Examples!$E$8*EXP(-Examples!$E$9*$A974)*(1-(Examples!$E$12*(1-EXP(-Examples!$E$13*$A974))/(1+EXP(MIN(700,MAX(-700,(Examples!$E$14*$A974-Examples!$E$15)/Examples!$E$16))))))+Examples!$E$17*$A974^2)</f>
        <v>1869836.5037915986</v>
      </c>
      <c r="G974" s="33">
        <f>(Examples!$E$6*Examples!$E$7*Examples!$E$8*EXP(-Examples!$E$9*$A974)*(1-(Examples!$E$12*(1-EXP(-Examples!$E$13*$A974))/(1+EXP(MIN(700,MAX(-700,(Examples!$E$14*$A974-Examples!$E$15)/Examples!$E$16))))))+Examples!$E$17*$A974^2)</f>
        <v>303963.49620840151</v>
      </c>
      <c r="H974" s="33">
        <f>Examples!$F$18-(Examples!$F$10+Examples!$F$11)*$A974-(Examples!$F$6*Examples!$F$7*Examples!$F$8*EXP(-Examples!$F$9*$A974)*(1-(Examples!$F$12*(1-EXP(-Examples!$F$13*$A974))/(1+EXP(MIN(700,MAX(-700,(Examples!$F$14*$A974-Examples!$F$15)/Examples!$F$16))))))+Examples!$F$17*$A974^2)</f>
        <v>-1934915.6224466613</v>
      </c>
      <c r="I974" s="33">
        <f>(Examples!$F$6*Examples!$F$7*Examples!$F$8*EXP(-Examples!$F$9*$A974)*(1-(Examples!$F$12*(1-EXP(-Examples!$F$13*$A974))/(1+EXP(MIN(700,MAX(-700,(Examples!$F$14*$A974-Examples!$F$15)/Examples!$F$16))))))+Examples!$F$17*$A974^2)</f>
        <v>1890515.6224466613</v>
      </c>
      <c r="J974" s="33">
        <f>Examples!$G$18-(Examples!$G$10+Examples!$G$11)*$A974-(Examples!$G$6*Examples!$G$7*Examples!$G$8*EXP(-Examples!$G$9*$A974)*(1-(Examples!$G$12*(1-EXP(-Examples!$G$13*$A974))/(1+EXP(MIN(700,MAX(-700,(Examples!$G$14*$A974-Examples!$G$15)/Examples!$G$16))))))+Examples!$G$17*$A974^2)</f>
        <v>191563.10661256174</v>
      </c>
      <c r="K974" s="33">
        <f>(Examples!$G$6*Examples!$G$7*Examples!$G$8*EXP(-Examples!$G$9*$A974)*(1-(Examples!$G$12*(1-EXP(-Examples!$G$13*$A974))/(1+EXP(MIN(700,MAX(-700,(Examples!$G$14*$A974-Examples!$G$15)/Examples!$G$16))))))+Examples!$G$17*$A974^2)</f>
        <v>822436.89338743826</v>
      </c>
      <c r="L974" s="33">
        <f>Examples!$H$18-(Examples!$H$10+Examples!$H$11)*$A974-(Examples!$H$6*Examples!$H$7*Examples!$H$8*EXP(-Examples!$H$9*$A974)*(1-(Examples!$H$12*(1-EXP(-Examples!$H$13*$A974))/(1+EXP(MIN(700,MAX(-700,(Examples!$H$14*$A974-Examples!$H$15)/Examples!$H$16))))))+Examples!$H$17*$A974^2)</f>
        <v>191559.61975995044</v>
      </c>
      <c r="M974" s="33">
        <f>(Examples!$H$6*Examples!$H$7*Examples!$H$8*EXP(-Examples!$H$9*$A974)*(1-(Examples!$H$12*(1-EXP(-Examples!$H$13*$A974))/(1+EXP(MIN(700,MAX(-700,(Examples!$H$14*$A974-Examples!$H$15)/Examples!$H$16))))))+Examples!$H$17*$A974^2)</f>
        <v>822440.38024004956</v>
      </c>
    </row>
    <row r="975" spans="1:13" x14ac:dyDescent="0.25">
      <c r="A975">
        <f>(975-2)/100</f>
        <v>9.73</v>
      </c>
      <c r="B975" s="33">
        <f>Examples!$C$18-(Examples!$C$10+Examples!$C$11)*$A975-(Examples!$C$6*Examples!$C$7*Examples!$C$8*EXP(-Examples!$C$9*$A975)*(1-(Examples!$C$12*(1-EXP(-Examples!$C$13*$A975))/(1+EXP(MIN(700,MAX(-700,(Examples!$C$14*$A975-Examples!$C$15)/Examples!$C$16))))))+Examples!$C$17*$A975^2)</f>
        <v>-1193036.0887780546</v>
      </c>
      <c r="C975" s="33">
        <f>(Examples!$C$6*Examples!$C$7*Examples!$C$8*EXP(-Examples!$C$9*$A975)*(1-(Examples!$C$12*(1-EXP(-Examples!$C$13*$A975))/(1+EXP(MIN(700,MAX(-700,(Examples!$C$14*$A975-Examples!$C$15)/Examples!$C$16))))))+Examples!$C$17*$A975^2)</f>
        <v>1452486.0887780546</v>
      </c>
      <c r="D975" s="33">
        <f>Examples!$D$18-(Examples!$D$10+Examples!$D$11)*$A975-(Examples!$D$6*Examples!$D$7*Examples!$D$8*EXP(-Examples!$D$9*$A975)*(1-(Examples!$D$12*(1-EXP(-Examples!$D$13*$A975))/(1+EXP(MIN(700,MAX(-700,(Examples!$D$14*$A975-Examples!$D$15)/Examples!$D$16))))))+Examples!$D$17*$A975^2)</f>
        <v>1513539.9202958136</v>
      </c>
      <c r="E975" s="33">
        <f>(Examples!$D$6*Examples!$D$7*Examples!$D$8*EXP(-Examples!$D$9*$A975)*(1-(Examples!$D$12*(1-EXP(-Examples!$D$13*$A975))/(1+EXP(MIN(700,MAX(-700,(Examples!$D$14*$A975-Examples!$D$15)/Examples!$D$16))))))+Examples!$D$17*$A975^2)</f>
        <v>548610.07970418641</v>
      </c>
      <c r="F975" s="33">
        <f>Examples!$E$18-(Examples!$E$10+Examples!$E$11)*$A975-(Examples!$E$6*Examples!$E$7*Examples!$E$8*EXP(-Examples!$E$9*$A975)*(1-(Examples!$E$12*(1-EXP(-Examples!$E$13*$A975))/(1+EXP(MIN(700,MAX(-700,(Examples!$E$14*$A975-Examples!$E$15)/Examples!$E$16))))))+Examples!$E$17*$A975^2)</f>
        <v>1868502.3067140884</v>
      </c>
      <c r="G975" s="33">
        <f>(Examples!$E$6*Examples!$E$7*Examples!$E$8*EXP(-Examples!$E$9*$A975)*(1-(Examples!$E$12*(1-EXP(-Examples!$E$13*$A975))/(1+EXP(MIN(700,MAX(-700,(Examples!$E$14*$A975-Examples!$E$15)/Examples!$E$16))))))+Examples!$E$17*$A975^2)</f>
        <v>304447.69328591152</v>
      </c>
      <c r="H975" s="33">
        <f>Examples!$F$18-(Examples!$F$10+Examples!$F$11)*$A975-(Examples!$F$6*Examples!$F$7*Examples!$F$8*EXP(-Examples!$F$9*$A975)*(1-(Examples!$F$12*(1-EXP(-Examples!$F$13*$A975))/(1+EXP(MIN(700,MAX(-700,(Examples!$F$14*$A975-Examples!$F$15)/Examples!$F$16))))))+Examples!$F$17*$A975^2)</f>
        <v>-1939002.7838393613</v>
      </c>
      <c r="I975" s="33">
        <f>(Examples!$F$6*Examples!$F$7*Examples!$F$8*EXP(-Examples!$F$9*$A975)*(1-(Examples!$F$12*(1-EXP(-Examples!$F$13*$A975))/(1+EXP(MIN(700,MAX(-700,(Examples!$F$14*$A975-Examples!$F$15)/Examples!$F$16))))))+Examples!$F$17*$A975^2)</f>
        <v>1894402.7838393613</v>
      </c>
      <c r="J975" s="33">
        <f>Examples!$G$18-(Examples!$G$10+Examples!$G$11)*$A975-(Examples!$G$6*Examples!$G$7*Examples!$G$8*EXP(-Examples!$G$9*$A975)*(1-(Examples!$G$12*(1-EXP(-Examples!$G$13*$A975))/(1+EXP(MIN(700,MAX(-700,(Examples!$G$14*$A975-Examples!$G$15)/Examples!$G$16))))))+Examples!$G$17*$A975^2)</f>
        <v>189739.78714567225</v>
      </c>
      <c r="K975" s="33">
        <f>(Examples!$G$6*Examples!$G$7*Examples!$G$8*EXP(-Examples!$G$9*$A975)*(1-(Examples!$G$12*(1-EXP(-Examples!$G$13*$A975))/(1+EXP(MIN(700,MAX(-700,(Examples!$G$14*$A975-Examples!$G$15)/Examples!$G$16))))))+Examples!$G$17*$A975^2)</f>
        <v>823760.21285432775</v>
      </c>
      <c r="L975" s="33">
        <f>Examples!$H$18-(Examples!$H$10+Examples!$H$11)*$A975-(Examples!$H$6*Examples!$H$7*Examples!$H$8*EXP(-Examples!$H$9*$A975)*(1-(Examples!$H$12*(1-EXP(-Examples!$H$13*$A975))/(1+EXP(MIN(700,MAX(-700,(Examples!$H$14*$A975-Examples!$H$15)/Examples!$H$16))))))+Examples!$H$17*$A975^2)</f>
        <v>189736.35836049879</v>
      </c>
      <c r="M975" s="33">
        <f>(Examples!$H$6*Examples!$H$7*Examples!$H$8*EXP(-Examples!$H$9*$A975)*(1-(Examples!$H$12*(1-EXP(-Examples!$H$13*$A975))/(1+EXP(MIN(700,MAX(-700,(Examples!$H$14*$A975-Examples!$H$15)/Examples!$H$16))))))+Examples!$H$17*$A975^2)</f>
        <v>823763.64163950121</v>
      </c>
    </row>
    <row r="976" spans="1:13" x14ac:dyDescent="0.25">
      <c r="A976">
        <f>(976-2)/100</f>
        <v>9.74</v>
      </c>
      <c r="B976" s="33">
        <f>Examples!$C$18-(Examples!$C$10+Examples!$C$11)*$A976-(Examples!$C$6*Examples!$C$7*Examples!$C$8*EXP(-Examples!$C$9*$A976)*(1-(Examples!$C$12*(1-EXP(-Examples!$C$13*$A976))/(1+EXP(MIN(700,MAX(-700,(Examples!$C$14*$A976-Examples!$C$15)/Examples!$C$16))))))+Examples!$C$17*$A976^2)</f>
        <v>-1196209.5566327139</v>
      </c>
      <c r="C976" s="33">
        <f>(Examples!$C$6*Examples!$C$7*Examples!$C$8*EXP(-Examples!$C$9*$A976)*(1-(Examples!$C$12*(1-EXP(-Examples!$C$13*$A976))/(1+EXP(MIN(700,MAX(-700,(Examples!$C$14*$A976-Examples!$C$15)/Examples!$C$16))))))+Examples!$C$17*$A976^2)</f>
        <v>1455309.5566327139</v>
      </c>
      <c r="D976" s="33">
        <f>Examples!$D$18-(Examples!$D$10+Examples!$D$11)*$A976-(Examples!$D$6*Examples!$D$7*Examples!$D$8*EXP(-Examples!$D$9*$A976)*(1-(Examples!$D$12*(1-EXP(-Examples!$D$13*$A976))/(1+EXP(MIN(700,MAX(-700,(Examples!$D$14*$A976-Examples!$D$15)/Examples!$D$16))))))+Examples!$D$17*$A976^2)</f>
        <v>1512454.0095080733</v>
      </c>
      <c r="E976" s="33">
        <f>(Examples!$D$6*Examples!$D$7*Examples!$D$8*EXP(-Examples!$D$9*$A976)*(1-(Examples!$D$12*(1-EXP(-Examples!$D$13*$A976))/(1+EXP(MIN(700,MAX(-700,(Examples!$D$14*$A976-Examples!$D$15)/Examples!$D$16))))))+Examples!$D$17*$A976^2)</f>
        <v>549245.99049192679</v>
      </c>
      <c r="F976" s="33">
        <f>Examples!$E$18-(Examples!$E$10+Examples!$E$11)*$A976-(Examples!$E$6*Examples!$E$7*Examples!$E$8*EXP(-Examples!$E$9*$A976)*(1-(Examples!$E$12*(1-EXP(-Examples!$E$13*$A976))/(1+EXP(MIN(700,MAX(-700,(Examples!$E$14*$A976-Examples!$E$15)/Examples!$E$16))))))+Examples!$E$17*$A976^2)</f>
        <v>1867167.0530455078</v>
      </c>
      <c r="G976" s="33">
        <f>(Examples!$E$6*Examples!$E$7*Examples!$E$8*EXP(-Examples!$E$9*$A976)*(1-(Examples!$E$12*(1-EXP(-Examples!$E$13*$A976))/(1+EXP(MIN(700,MAX(-700,(Examples!$E$14*$A976-Examples!$E$15)/Examples!$E$16))))))+Examples!$E$17*$A976^2)</f>
        <v>304932.94695449225</v>
      </c>
      <c r="H976" s="33">
        <f>Examples!$F$18-(Examples!$F$10+Examples!$F$11)*$A976-(Examples!$F$6*Examples!$F$7*Examples!$F$8*EXP(-Examples!$F$9*$A976)*(1-(Examples!$F$12*(1-EXP(-Examples!$F$13*$A976))/(1+EXP(MIN(700,MAX(-700,(Examples!$F$14*$A976-Examples!$F$15)/Examples!$F$16))))))+Examples!$F$17*$A976^2)</f>
        <v>-1943093.9537351222</v>
      </c>
      <c r="I976" s="33">
        <f>(Examples!$F$6*Examples!$F$7*Examples!$F$8*EXP(-Examples!$F$9*$A976)*(1-(Examples!$F$12*(1-EXP(-Examples!$F$13*$A976))/(1+EXP(MIN(700,MAX(-700,(Examples!$F$14*$A976-Examples!$F$15)/Examples!$F$16))))))+Examples!$F$17*$A976^2)</f>
        <v>1898293.9537351222</v>
      </c>
      <c r="J976" s="33">
        <f>Examples!$G$18-(Examples!$G$10+Examples!$G$11)*$A976-(Examples!$G$6*Examples!$G$7*Examples!$G$8*EXP(-Examples!$G$9*$A976)*(1-(Examples!$G$12*(1-EXP(-Examples!$G$13*$A976))/(1+EXP(MIN(700,MAX(-700,(Examples!$G$14*$A976-Examples!$G$15)/Examples!$G$16))))))+Examples!$G$17*$A976^2)</f>
        <v>187914.0554838595</v>
      </c>
      <c r="K976" s="33">
        <f>(Examples!$G$6*Examples!$G$7*Examples!$G$8*EXP(-Examples!$G$9*$A976)*(1-(Examples!$G$12*(1-EXP(-Examples!$G$13*$A976))/(1+EXP(MIN(700,MAX(-700,(Examples!$G$14*$A976-Examples!$G$15)/Examples!$G$16))))))+Examples!$G$17*$A976^2)</f>
        <v>825085.9445161405</v>
      </c>
      <c r="L976" s="33">
        <f>Examples!$H$18-(Examples!$H$10+Examples!$H$11)*$A976-(Examples!$H$6*Examples!$H$7*Examples!$H$8*EXP(-Examples!$H$9*$A976)*(1-(Examples!$H$12*(1-EXP(-Examples!$H$13*$A976))/(1+EXP(MIN(700,MAX(-700,(Examples!$H$14*$A976-Examples!$H$15)/Examples!$H$16))))))+Examples!$H$17*$A976^2)</f>
        <v>187910.6837998128</v>
      </c>
      <c r="M976" s="33">
        <f>(Examples!$H$6*Examples!$H$7*Examples!$H$8*EXP(-Examples!$H$9*$A976)*(1-(Examples!$H$12*(1-EXP(-Examples!$H$13*$A976))/(1+EXP(MIN(700,MAX(-700,(Examples!$H$14*$A976-Examples!$H$15)/Examples!$H$16))))))+Examples!$H$17*$A976^2)</f>
        <v>825089.3162001872</v>
      </c>
    </row>
    <row r="977" spans="1:13" x14ac:dyDescent="0.25">
      <c r="A977">
        <f>(977-2)/100</f>
        <v>9.75</v>
      </c>
      <c r="B977" s="33">
        <f>Examples!$C$18-(Examples!$C$10+Examples!$C$11)*$A977-(Examples!$C$6*Examples!$C$7*Examples!$C$8*EXP(-Examples!$C$9*$A977)*(1-(Examples!$C$12*(1-EXP(-Examples!$C$13*$A977))/(1+EXP(MIN(700,MAX(-700,(Examples!$C$14*$A977-Examples!$C$15)/Examples!$C$16))))))+Examples!$C$17*$A977^2)</f>
        <v>-1199386.3151476004</v>
      </c>
      <c r="C977" s="33">
        <f>(Examples!$C$6*Examples!$C$7*Examples!$C$8*EXP(-Examples!$C$9*$A977)*(1-(Examples!$C$12*(1-EXP(-Examples!$C$13*$A977))/(1+EXP(MIN(700,MAX(-700,(Examples!$C$14*$A977-Examples!$C$15)/Examples!$C$16))))))+Examples!$C$17*$A977^2)</f>
        <v>1458136.3151476004</v>
      </c>
      <c r="D977" s="33">
        <f>Examples!$D$18-(Examples!$D$10+Examples!$D$11)*$A977-(Examples!$D$6*Examples!$D$7*Examples!$D$8*EXP(-Examples!$D$9*$A977)*(1-(Examples!$D$12*(1-EXP(-Examples!$D$13*$A977))/(1+EXP(MIN(700,MAX(-700,(Examples!$D$14*$A977-Examples!$D$15)/Examples!$D$16))))))+Examples!$D$17*$A977^2)</f>
        <v>1511365.5874835378</v>
      </c>
      <c r="E977" s="33">
        <f>(Examples!$D$6*Examples!$D$7*Examples!$D$8*EXP(-Examples!$D$9*$A977)*(1-(Examples!$D$12*(1-EXP(-Examples!$D$13*$A977))/(1+EXP(MIN(700,MAX(-700,(Examples!$D$14*$A977-Examples!$D$15)/Examples!$D$16))))))+Examples!$D$17*$A977^2)</f>
        <v>549884.41251646203</v>
      </c>
      <c r="F977" s="33">
        <f>Examples!$E$18-(Examples!$E$10+Examples!$E$11)*$A977-(Examples!$E$6*Examples!$E$7*Examples!$E$8*EXP(-Examples!$E$9*$A977)*(1-(Examples!$E$12*(1-EXP(-Examples!$E$13*$A977))/(1+EXP(MIN(700,MAX(-700,(Examples!$E$14*$A977-Examples!$E$15)/Examples!$E$16))))))+Examples!$E$17*$A977^2)</f>
        <v>1865830.7445862682</v>
      </c>
      <c r="G977" s="33">
        <f>(Examples!$E$6*Examples!$E$7*Examples!$E$8*EXP(-Examples!$E$9*$A977)*(1-(Examples!$E$12*(1-EXP(-Examples!$E$13*$A977))/(1+EXP(MIN(700,MAX(-700,(Examples!$E$14*$A977-Examples!$E$15)/Examples!$E$16))))))+Examples!$E$17*$A977^2)</f>
        <v>305419.25541373179</v>
      </c>
      <c r="H977" s="33">
        <f>Examples!$F$18-(Examples!$F$10+Examples!$F$11)*$A977-(Examples!$F$6*Examples!$F$7*Examples!$F$8*EXP(-Examples!$F$9*$A977)*(1-(Examples!$F$12*(1-EXP(-Examples!$F$13*$A977))/(1+EXP(MIN(700,MAX(-700,(Examples!$F$14*$A977-Examples!$F$15)/Examples!$F$16))))))+Examples!$F$17*$A977^2)</f>
        <v>-1947189.1321084728</v>
      </c>
      <c r="I977" s="33">
        <f>(Examples!$F$6*Examples!$F$7*Examples!$F$8*EXP(-Examples!$F$9*$A977)*(1-(Examples!$F$12*(1-EXP(-Examples!$F$13*$A977))/(1+EXP(MIN(700,MAX(-700,(Examples!$F$14*$A977-Examples!$F$15)/Examples!$F$16))))))+Examples!$F$17*$A977^2)</f>
        <v>1902189.1321084728</v>
      </c>
      <c r="J977" s="33">
        <f>Examples!$G$18-(Examples!$G$10+Examples!$G$11)*$A977-(Examples!$G$6*Examples!$G$7*Examples!$G$8*EXP(-Examples!$G$9*$A977)*(1-(Examples!$G$12*(1-EXP(-Examples!$G$13*$A977))/(1+EXP(MIN(700,MAX(-700,(Examples!$G$14*$A977-Examples!$G$15)/Examples!$G$16))))))+Examples!$G$17*$A977^2)</f>
        <v>186085.91445214767</v>
      </c>
      <c r="K977" s="33">
        <f>(Examples!$G$6*Examples!$G$7*Examples!$G$8*EXP(-Examples!$G$9*$A977)*(1-(Examples!$G$12*(1-EXP(-Examples!$G$13*$A977))/(1+EXP(MIN(700,MAX(-700,(Examples!$G$14*$A977-Examples!$G$15)/Examples!$G$16))))))+Examples!$G$17*$A977^2)</f>
        <v>826414.08554785233</v>
      </c>
      <c r="L977" s="33">
        <f>Examples!$H$18-(Examples!$H$10+Examples!$H$11)*$A977-(Examples!$H$6*Examples!$H$7*Examples!$H$8*EXP(-Examples!$H$9*$A977)*(1-(Examples!$H$12*(1-EXP(-Examples!$H$13*$A977))/(1+EXP(MIN(700,MAX(-700,(Examples!$H$14*$A977-Examples!$H$15)/Examples!$H$16))))))+Examples!$H$17*$A977^2)</f>
        <v>186082.59891898197</v>
      </c>
      <c r="M977" s="33">
        <f>(Examples!$H$6*Examples!$H$7*Examples!$H$8*EXP(-Examples!$H$9*$A977)*(1-(Examples!$H$12*(1-EXP(-Examples!$H$13*$A977))/(1+EXP(MIN(700,MAX(-700,(Examples!$H$14*$A977-Examples!$H$15)/Examples!$H$16))))))+Examples!$H$17*$A977^2)</f>
        <v>826417.40108101803</v>
      </c>
    </row>
    <row r="978" spans="1:13" x14ac:dyDescent="0.25">
      <c r="A978">
        <f>(978-2)/100</f>
        <v>9.76</v>
      </c>
      <c r="B978" s="33">
        <f>Examples!$C$18-(Examples!$C$10+Examples!$C$11)*$A978-(Examples!$C$6*Examples!$C$7*Examples!$C$8*EXP(-Examples!$C$9*$A978)*(1-(Examples!$C$12*(1-EXP(-Examples!$C$13*$A978))/(1+EXP(MIN(700,MAX(-700,(Examples!$C$14*$A978-Examples!$C$15)/Examples!$C$16))))))+Examples!$C$17*$A978^2)</f>
        <v>-1202566.3634520411</v>
      </c>
      <c r="C978" s="33">
        <f>(Examples!$C$6*Examples!$C$7*Examples!$C$8*EXP(-Examples!$C$9*$A978)*(1-(Examples!$C$12*(1-EXP(-Examples!$C$13*$A978))/(1+EXP(MIN(700,MAX(-700,(Examples!$C$14*$A978-Examples!$C$15)/Examples!$C$16))))))+Examples!$C$17*$A978^2)</f>
        <v>1460966.3634520411</v>
      </c>
      <c r="D978" s="33">
        <f>Examples!$D$18-(Examples!$D$10+Examples!$D$11)*$A978-(Examples!$D$6*Examples!$D$7*Examples!$D$8*EXP(-Examples!$D$9*$A978)*(1-(Examples!$D$12*(1-EXP(-Examples!$D$13*$A978))/(1+EXP(MIN(700,MAX(-700,(Examples!$D$14*$A978-Examples!$D$15)/Examples!$D$16))))))+Examples!$D$17*$A978^2)</f>
        <v>1510274.6609281453</v>
      </c>
      <c r="E978" s="33">
        <f>(Examples!$D$6*Examples!$D$7*Examples!$D$8*EXP(-Examples!$D$9*$A978)*(1-(Examples!$D$12*(1-EXP(-Examples!$D$13*$A978))/(1+EXP(MIN(700,MAX(-700,(Examples!$D$14*$A978-Examples!$D$15)/Examples!$D$16))))))+Examples!$D$17*$A978^2)</f>
        <v>550525.33907185472</v>
      </c>
      <c r="F978" s="33">
        <f>Examples!$E$18-(Examples!$E$10+Examples!$E$11)*$A978-(Examples!$E$6*Examples!$E$7*Examples!$E$8*EXP(-Examples!$E$9*$A978)*(1-(Examples!$E$12*(1-EXP(-Examples!$E$13*$A978))/(1+EXP(MIN(700,MAX(-700,(Examples!$E$14*$A978-Examples!$E$15)/Examples!$E$16))))))+Examples!$E$17*$A978^2)</f>
        <v>1864493.3831335041</v>
      </c>
      <c r="G978" s="33">
        <f>(Examples!$E$6*Examples!$E$7*Examples!$E$8*EXP(-Examples!$E$9*$A978)*(1-(Examples!$E$12*(1-EXP(-Examples!$E$13*$A978))/(1+EXP(MIN(700,MAX(-700,(Examples!$E$14*$A978-Examples!$E$15)/Examples!$E$16))))))+Examples!$E$17*$A978^2)</f>
        <v>305906.61686649587</v>
      </c>
      <c r="H978" s="33">
        <f>Examples!$F$18-(Examples!$F$10+Examples!$F$11)*$A978-(Examples!$F$6*Examples!$F$7*Examples!$F$8*EXP(-Examples!$F$9*$A978)*(1-(Examples!$F$12*(1-EXP(-Examples!$F$13*$A978))/(1+EXP(MIN(700,MAX(-700,(Examples!$F$14*$A978-Examples!$F$15)/Examples!$F$16))))))+Examples!$F$17*$A978^2)</f>
        <v>-1951288.318934019</v>
      </c>
      <c r="I978" s="33">
        <f>(Examples!$F$6*Examples!$F$7*Examples!$F$8*EXP(-Examples!$F$9*$A978)*(1-(Examples!$F$12*(1-EXP(-Examples!$F$13*$A978))/(1+EXP(MIN(700,MAX(-700,(Examples!$F$14*$A978-Examples!$F$15)/Examples!$F$16))))))+Examples!$F$17*$A978^2)</f>
        <v>1906088.318934019</v>
      </c>
      <c r="J978" s="33">
        <f>Examples!$G$18-(Examples!$G$10+Examples!$G$11)*$A978-(Examples!$G$6*Examples!$G$7*Examples!$G$8*EXP(-Examples!$G$9*$A978)*(1-(Examples!$G$12*(1-EXP(-Examples!$G$13*$A978))/(1+EXP(MIN(700,MAX(-700,(Examples!$G$14*$A978-Examples!$G$15)/Examples!$G$16))))))+Examples!$G$17*$A978^2)</f>
        <v>184255.36686590128</v>
      </c>
      <c r="K978" s="33">
        <f>(Examples!$G$6*Examples!$G$7*Examples!$G$8*EXP(-Examples!$G$9*$A978)*(1-(Examples!$G$12*(1-EXP(-Examples!$G$13*$A978))/(1+EXP(MIN(700,MAX(-700,(Examples!$G$14*$A978-Examples!$G$15)/Examples!$G$16))))))+Examples!$G$17*$A978^2)</f>
        <v>827744.63313409872</v>
      </c>
      <c r="L978" s="33">
        <f>Examples!$H$18-(Examples!$H$10+Examples!$H$11)*$A978-(Examples!$H$6*Examples!$H$7*Examples!$H$8*EXP(-Examples!$H$9*$A978)*(1-(Examples!$H$12*(1-EXP(-Examples!$H$13*$A978))/(1+EXP(MIN(700,MAX(-700,(Examples!$H$14*$A978-Examples!$H$15)/Examples!$H$16))))))+Examples!$H$17*$A978^2)</f>
        <v>184252.10654916905</v>
      </c>
      <c r="M978" s="33">
        <f>(Examples!$H$6*Examples!$H$7*Examples!$H$8*EXP(-Examples!$H$9*$A978)*(1-(Examples!$H$12*(1-EXP(-Examples!$H$13*$A978))/(1+EXP(MIN(700,MAX(-700,(Examples!$H$14*$A978-Examples!$H$15)/Examples!$H$16))))))+Examples!$H$17*$A978^2)</f>
        <v>827747.89345083095</v>
      </c>
    </row>
    <row r="979" spans="1:13" x14ac:dyDescent="0.25">
      <c r="A979">
        <f>(979-2)/100</f>
        <v>9.77</v>
      </c>
      <c r="B979" s="33">
        <f>Examples!$C$18-(Examples!$C$10+Examples!$C$11)*$A979-(Examples!$C$6*Examples!$C$7*Examples!$C$8*EXP(-Examples!$C$9*$A979)*(1-(Examples!$C$12*(1-EXP(-Examples!$C$13*$A979))/(1+EXP(MIN(700,MAX(-700,(Examples!$C$14*$A979-Examples!$C$15)/Examples!$C$16))))))+Examples!$C$17*$A979^2)</f>
        <v>-1205749.700677969</v>
      </c>
      <c r="C979" s="33">
        <f>(Examples!$C$6*Examples!$C$7*Examples!$C$8*EXP(-Examples!$C$9*$A979)*(1-(Examples!$C$12*(1-EXP(-Examples!$C$13*$A979))/(1+EXP(MIN(700,MAX(-700,(Examples!$C$14*$A979-Examples!$C$15)/Examples!$C$16))))))+Examples!$C$17*$A979^2)</f>
        <v>1463799.700677969</v>
      </c>
      <c r="D979" s="33">
        <f>Examples!$D$18-(Examples!$D$10+Examples!$D$11)*$A979-(Examples!$D$6*Examples!$D$7*Examples!$D$8*EXP(-Examples!$D$9*$A979)*(1-(Examples!$D$12*(1-EXP(-Examples!$D$13*$A979))/(1+EXP(MIN(700,MAX(-700,(Examples!$D$14*$A979-Examples!$D$15)/Examples!$D$16))))))+Examples!$D$17*$A979^2)</f>
        <v>1509181.2365191211</v>
      </c>
      <c r="E979" s="33">
        <f>(Examples!$D$6*Examples!$D$7*Examples!$D$8*EXP(-Examples!$D$9*$A979)*(1-(Examples!$D$12*(1-EXP(-Examples!$D$13*$A979))/(1+EXP(MIN(700,MAX(-700,(Examples!$D$14*$A979-Examples!$D$15)/Examples!$D$16))))))+Examples!$D$17*$A979^2)</f>
        <v>551168.76348087902</v>
      </c>
      <c r="F979" s="33">
        <f>Examples!$E$18-(Examples!$E$10+Examples!$E$11)*$A979-(Examples!$E$6*Examples!$E$7*Examples!$E$8*EXP(-Examples!$E$9*$A979)*(1-(Examples!$E$12*(1-EXP(-Examples!$E$13*$A979))/(1+EXP(MIN(700,MAX(-700,(Examples!$E$14*$A979-Examples!$E$15)/Examples!$E$16))))))+Examples!$E$17*$A979^2)</f>
        <v>1863154.9704810246</v>
      </c>
      <c r="G979" s="33">
        <f>(Examples!$E$6*Examples!$E$7*Examples!$E$8*EXP(-Examples!$E$9*$A979)*(1-(Examples!$E$12*(1-EXP(-Examples!$E$13*$A979))/(1+EXP(MIN(700,MAX(-700,(Examples!$E$14*$A979-Examples!$E$15)/Examples!$E$16))))))+Examples!$E$17*$A979^2)</f>
        <v>306395.02951897541</v>
      </c>
      <c r="H979" s="33">
        <f>Examples!$F$18-(Examples!$F$10+Examples!$F$11)*$A979-(Examples!$F$6*Examples!$F$7*Examples!$F$8*EXP(-Examples!$F$9*$A979)*(1-(Examples!$F$12*(1-EXP(-Examples!$F$13*$A979))/(1+EXP(MIN(700,MAX(-700,(Examples!$F$14*$A979-Examples!$F$15)/Examples!$F$16))))))+Examples!$F$17*$A979^2)</f>
        <v>-1955391.5141864417</v>
      </c>
      <c r="I979" s="33">
        <f>(Examples!$F$6*Examples!$F$7*Examples!$F$8*EXP(-Examples!$F$9*$A979)*(1-(Examples!$F$12*(1-EXP(-Examples!$F$13*$A979))/(1+EXP(MIN(700,MAX(-700,(Examples!$F$14*$A979-Examples!$F$15)/Examples!$F$16))))))+Examples!$F$17*$A979^2)</f>
        <v>1909991.5141864417</v>
      </c>
      <c r="J979" s="33">
        <f>Examples!$G$18-(Examples!$G$10+Examples!$G$11)*$A979-(Examples!$G$6*Examples!$G$7*Examples!$G$8*EXP(-Examples!$G$9*$A979)*(1-(Examples!$G$12*(1-EXP(-Examples!$G$13*$A979))/(1+EXP(MIN(700,MAX(-700,(Examples!$G$14*$A979-Examples!$G$15)/Examples!$G$16))))))+Examples!$G$17*$A979^2)</f>
        <v>182422.41553085553</v>
      </c>
      <c r="K979" s="33">
        <f>(Examples!$G$6*Examples!$G$7*Examples!$G$8*EXP(-Examples!$G$9*$A979)*(1-(Examples!$G$12*(1-EXP(-Examples!$G$13*$A979))/(1+EXP(MIN(700,MAX(-700,(Examples!$G$14*$A979-Examples!$G$15)/Examples!$G$16))))))+Examples!$G$17*$A979^2)</f>
        <v>829077.58446914447</v>
      </c>
      <c r="L979" s="33">
        <f>Examples!$H$18-(Examples!$H$10+Examples!$H$11)*$A979-(Examples!$H$6*Examples!$H$7*Examples!$H$8*EXP(-Examples!$H$9*$A979)*(1-(Examples!$H$12*(1-EXP(-Examples!$H$13*$A979))/(1+EXP(MIN(700,MAX(-700,(Examples!$H$14*$A979-Examples!$H$15)/Examples!$H$16))))))+Examples!$H$17*$A979^2)</f>
        <v>182419.20951164525</v>
      </c>
      <c r="M979" s="33">
        <f>(Examples!$H$6*Examples!$H$7*Examples!$H$8*EXP(-Examples!$H$9*$A979)*(1-(Examples!$H$12*(1-EXP(-Examples!$H$13*$A979))/(1+EXP(MIN(700,MAX(-700,(Examples!$H$14*$A979-Examples!$H$15)/Examples!$H$16))))))+Examples!$H$17*$A979^2)</f>
        <v>829080.79048835475</v>
      </c>
    </row>
    <row r="980" spans="1:13" x14ac:dyDescent="0.25">
      <c r="A980">
        <f>(980-2)/100</f>
        <v>9.7799999999999994</v>
      </c>
      <c r="B980" s="33">
        <f>Examples!$C$18-(Examples!$C$10+Examples!$C$11)*$A980-(Examples!$C$6*Examples!$C$7*Examples!$C$8*EXP(-Examples!$C$9*$A980)*(1-(Examples!$C$12*(1-EXP(-Examples!$C$13*$A980))/(1+EXP(MIN(700,MAX(-700,(Examples!$C$14*$A980-Examples!$C$15)/Examples!$C$16))))))+Examples!$C$17*$A980^2)</f>
        <v>-1208936.3259599193</v>
      </c>
      <c r="C980" s="33">
        <f>(Examples!$C$6*Examples!$C$7*Examples!$C$8*EXP(-Examples!$C$9*$A980)*(1-(Examples!$C$12*(1-EXP(-Examples!$C$13*$A980))/(1+EXP(MIN(700,MAX(-700,(Examples!$C$14*$A980-Examples!$C$15)/Examples!$C$16))))))+Examples!$C$17*$A980^2)</f>
        <v>1466636.3259599193</v>
      </c>
      <c r="D980" s="33">
        <f>Examples!$D$18-(Examples!$D$10+Examples!$D$11)*$A980-(Examples!$D$6*Examples!$D$7*Examples!$D$8*EXP(-Examples!$D$9*$A980)*(1-(Examples!$D$12*(1-EXP(-Examples!$D$13*$A980))/(1+EXP(MIN(700,MAX(-700,(Examples!$D$14*$A980-Examples!$D$15)/Examples!$D$16))))))+Examples!$D$17*$A980^2)</f>
        <v>1508085.3209050831</v>
      </c>
      <c r="E980" s="33">
        <f>(Examples!$D$6*Examples!$D$7*Examples!$D$8*EXP(-Examples!$D$9*$A980)*(1-(Examples!$D$12*(1-EXP(-Examples!$D$13*$A980))/(1+EXP(MIN(700,MAX(-700,(Examples!$D$14*$A980-Examples!$D$15)/Examples!$D$16))))))+Examples!$D$17*$A980^2)</f>
        <v>551814.67909491691</v>
      </c>
      <c r="F980" s="33">
        <f>Examples!$E$18-(Examples!$E$10+Examples!$E$11)*$A980-(Examples!$E$6*Examples!$E$7*Examples!$E$8*EXP(-Examples!$E$9*$A980)*(1-(Examples!$E$12*(1-EXP(-Examples!$E$13*$A980))/(1+EXP(MIN(700,MAX(-700,(Examples!$E$14*$A980-Examples!$E$15)/Examples!$E$16))))))+Examples!$E$17*$A980^2)</f>
        <v>1861815.5084192655</v>
      </c>
      <c r="G980" s="33">
        <f>(Examples!$E$6*Examples!$E$7*Examples!$E$8*EXP(-Examples!$E$9*$A980)*(1-(Examples!$E$12*(1-EXP(-Examples!$E$13*$A980))/(1+EXP(MIN(700,MAX(-700,(Examples!$E$14*$A980-Examples!$E$15)/Examples!$E$16))))))+Examples!$E$17*$A980^2)</f>
        <v>306884.49158073438</v>
      </c>
      <c r="H980" s="33">
        <f>Examples!$F$18-(Examples!$F$10+Examples!$F$11)*$A980-(Examples!$F$6*Examples!$F$7*Examples!$F$8*EXP(-Examples!$F$9*$A980)*(1-(Examples!$F$12*(1-EXP(-Examples!$F$13*$A980))/(1+EXP(MIN(700,MAX(-700,(Examples!$F$14*$A980-Examples!$F$15)/Examples!$F$16))))))+Examples!$F$17*$A980^2)</f>
        <v>-1959498.7178404981</v>
      </c>
      <c r="I980" s="33">
        <f>(Examples!$F$6*Examples!$F$7*Examples!$F$8*EXP(-Examples!$F$9*$A980)*(1-(Examples!$F$12*(1-EXP(-Examples!$F$13*$A980))/(1+EXP(MIN(700,MAX(-700,(Examples!$F$14*$A980-Examples!$F$15)/Examples!$F$16))))))+Examples!$F$17*$A980^2)</f>
        <v>1913898.7178404981</v>
      </c>
      <c r="J980" s="33">
        <f>Examples!$G$18-(Examples!$G$10+Examples!$G$11)*$A980-(Examples!$G$6*Examples!$G$7*Examples!$G$8*EXP(-Examples!$G$9*$A980)*(1-(Examples!$G$12*(1-EXP(-Examples!$G$13*$A980))/(1+EXP(MIN(700,MAX(-700,(Examples!$G$14*$A980-Examples!$G$15)/Examples!$G$16))))))+Examples!$G$17*$A980^2)</f>
        <v>180587.06324314617</v>
      </c>
      <c r="K980" s="33">
        <f>(Examples!$G$6*Examples!$G$7*Examples!$G$8*EXP(-Examples!$G$9*$A980)*(1-(Examples!$G$12*(1-EXP(-Examples!$G$13*$A980))/(1+EXP(MIN(700,MAX(-700,(Examples!$G$14*$A980-Examples!$G$15)/Examples!$G$16))))))+Examples!$G$17*$A980^2)</f>
        <v>830412.93675685383</v>
      </c>
      <c r="L980" s="33">
        <f>Examples!$H$18-(Examples!$H$10+Examples!$H$11)*$A980-(Examples!$H$6*Examples!$H$7*Examples!$H$8*EXP(-Examples!$H$9*$A980)*(1-(Examples!$H$12*(1-EXP(-Examples!$H$13*$A980))/(1+EXP(MIN(700,MAX(-700,(Examples!$H$14*$A980-Examples!$H$15)/Examples!$H$16))))))+Examples!$H$17*$A980^2)</f>
        <v>180583.91061782441</v>
      </c>
      <c r="M980" s="33">
        <f>(Examples!$H$6*Examples!$H$7*Examples!$H$8*EXP(-Examples!$H$9*$A980)*(1-(Examples!$H$12*(1-EXP(-Examples!$H$13*$A980))/(1+EXP(MIN(700,MAX(-700,(Examples!$H$14*$A980-Examples!$H$15)/Examples!$H$16))))))+Examples!$H$17*$A980^2)</f>
        <v>830416.08938217559</v>
      </c>
    </row>
    <row r="981" spans="1:13" x14ac:dyDescent="0.25">
      <c r="A981">
        <f>(981-2)/100</f>
        <v>9.7899999999999991</v>
      </c>
      <c r="B981" s="33">
        <f>Examples!$C$18-(Examples!$C$10+Examples!$C$11)*$A981-(Examples!$C$6*Examples!$C$7*Examples!$C$8*EXP(-Examples!$C$9*$A981)*(1-(Examples!$C$12*(1-EXP(-Examples!$C$13*$A981))/(1+EXP(MIN(700,MAX(-700,(Examples!$C$14*$A981-Examples!$C$15)/Examples!$C$16))))))+Examples!$C$17*$A981^2)</f>
        <v>-1212126.2384350186</v>
      </c>
      <c r="C981" s="33">
        <f>(Examples!$C$6*Examples!$C$7*Examples!$C$8*EXP(-Examples!$C$9*$A981)*(1-(Examples!$C$12*(1-EXP(-Examples!$C$13*$A981))/(1+EXP(MIN(700,MAX(-700,(Examples!$C$14*$A981-Examples!$C$15)/Examples!$C$16))))))+Examples!$C$17*$A981^2)</f>
        <v>1469476.2384350186</v>
      </c>
      <c r="D981" s="33">
        <f>Examples!$D$18-(Examples!$D$10+Examples!$D$11)*$A981-(Examples!$D$6*Examples!$D$7*Examples!$D$8*EXP(-Examples!$D$9*$A981)*(1-(Examples!$D$12*(1-EXP(-Examples!$D$13*$A981))/(1+EXP(MIN(700,MAX(-700,(Examples!$D$14*$A981-Examples!$D$15)/Examples!$D$16))))))+Examples!$D$17*$A981^2)</f>
        <v>1506986.9207061464</v>
      </c>
      <c r="E981" s="33">
        <f>(Examples!$D$6*Examples!$D$7*Examples!$D$8*EXP(-Examples!$D$9*$A981)*(1-(Examples!$D$12*(1-EXP(-Examples!$D$13*$A981))/(1+EXP(MIN(700,MAX(-700,(Examples!$D$14*$A981-Examples!$D$15)/Examples!$D$16))))))+Examples!$D$17*$A981^2)</f>
        <v>552463.07929385372</v>
      </c>
      <c r="F981" s="33">
        <f>Examples!$E$18-(Examples!$E$10+Examples!$E$11)*$A981-(Examples!$E$6*Examples!$E$7*Examples!$E$8*EXP(-Examples!$E$9*$A981)*(1-(Examples!$E$12*(1-EXP(-Examples!$E$13*$A981))/(1+EXP(MIN(700,MAX(-700,(Examples!$E$14*$A981-Examples!$E$15)/Examples!$E$16))))))+Examples!$E$17*$A981^2)</f>
        <v>1860474.9987352439</v>
      </c>
      <c r="G981" s="33">
        <f>(Examples!$E$6*Examples!$E$7*Examples!$E$8*EXP(-Examples!$E$9*$A981)*(1-(Examples!$E$12*(1-EXP(-Examples!$E$13*$A981))/(1+EXP(MIN(700,MAX(-700,(Examples!$E$14*$A981-Examples!$E$15)/Examples!$E$16))))))+Examples!$E$17*$A981^2)</f>
        <v>307375.00126475602</v>
      </c>
      <c r="H981" s="33">
        <f>Examples!$F$18-(Examples!$F$10+Examples!$F$11)*$A981-(Examples!$F$6*Examples!$F$7*Examples!$F$8*EXP(-Examples!$F$9*$A981)*(1-(Examples!$F$12*(1-EXP(-Examples!$F$13*$A981))/(1+EXP(MIN(700,MAX(-700,(Examples!$F$14*$A981-Examples!$F$15)/Examples!$F$16))))))+Examples!$F$17*$A981^2)</f>
        <v>-1963609.929871022</v>
      </c>
      <c r="I981" s="33">
        <f>(Examples!$F$6*Examples!$F$7*Examples!$F$8*EXP(-Examples!$F$9*$A981)*(1-(Examples!$F$12*(1-EXP(-Examples!$F$13*$A981))/(1+EXP(MIN(700,MAX(-700,(Examples!$F$14*$A981-Examples!$F$15)/Examples!$F$16))))))+Examples!$F$17*$A981^2)</f>
        <v>1917809.929871022</v>
      </c>
      <c r="J981" s="33">
        <f>Examples!$G$18-(Examples!$G$10+Examples!$G$11)*$A981-(Examples!$G$6*Examples!$G$7*Examples!$G$8*EXP(-Examples!$G$9*$A981)*(1-(Examples!$G$12*(1-EXP(-Examples!$G$13*$A981))/(1+EXP(MIN(700,MAX(-700,(Examples!$G$14*$A981-Examples!$G$15)/Examples!$G$16))))))+Examples!$G$17*$A981^2)</f>
        <v>178749.31278934039</v>
      </c>
      <c r="K981" s="33">
        <f>(Examples!$G$6*Examples!$G$7*Examples!$G$8*EXP(-Examples!$G$9*$A981)*(1-(Examples!$G$12*(1-EXP(-Examples!$G$13*$A981))/(1+EXP(MIN(700,MAX(-700,(Examples!$G$14*$A981-Examples!$G$15)/Examples!$G$16))))))+Examples!$G$17*$A981^2)</f>
        <v>831750.68721065961</v>
      </c>
      <c r="L981" s="33">
        <f>Examples!$H$18-(Examples!$H$10+Examples!$H$11)*$A981-(Examples!$H$6*Examples!$H$7*Examples!$H$8*EXP(-Examples!$H$9*$A981)*(1-(Examples!$H$12*(1-EXP(-Examples!$H$13*$A981))/(1+EXP(MIN(700,MAX(-700,(Examples!$H$14*$A981-Examples!$H$15)/Examples!$H$16))))))+Examples!$H$17*$A981^2)</f>
        <v>178746.21266929782</v>
      </c>
      <c r="M981" s="33">
        <f>(Examples!$H$6*Examples!$H$7*Examples!$H$8*EXP(-Examples!$H$9*$A981)*(1-(Examples!$H$12*(1-EXP(-Examples!$H$13*$A981))/(1+EXP(MIN(700,MAX(-700,(Examples!$H$14*$A981-Examples!$H$15)/Examples!$H$16))))))+Examples!$H$17*$A981^2)</f>
        <v>831753.78733070218</v>
      </c>
    </row>
    <row r="982" spans="1:13" x14ac:dyDescent="0.25">
      <c r="A982">
        <f>(982-2)/100</f>
        <v>9.8000000000000007</v>
      </c>
      <c r="B982" s="33">
        <f>Examples!$C$18-(Examples!$C$10+Examples!$C$11)*$A982-(Examples!$C$6*Examples!$C$7*Examples!$C$8*EXP(-Examples!$C$9*$A982)*(1-(Examples!$C$12*(1-EXP(-Examples!$C$13*$A982))/(1+EXP(MIN(700,MAX(-700,(Examples!$C$14*$A982-Examples!$C$15)/Examples!$C$16))))))+Examples!$C$17*$A982^2)</f>
        <v>-1215319.4372429792</v>
      </c>
      <c r="C982" s="33">
        <f>(Examples!$C$6*Examples!$C$7*Examples!$C$8*EXP(-Examples!$C$9*$A982)*(1-(Examples!$C$12*(1-EXP(-Examples!$C$13*$A982))/(1+EXP(MIN(700,MAX(-700,(Examples!$C$14*$A982-Examples!$C$15)/Examples!$C$16))))))+Examples!$C$17*$A982^2)</f>
        <v>1472319.4372429792</v>
      </c>
      <c r="D982" s="33">
        <f>Examples!$D$18-(Examples!$D$10+Examples!$D$11)*$A982-(Examples!$D$6*Examples!$D$7*Examples!$D$8*EXP(-Examples!$D$9*$A982)*(1-(Examples!$D$12*(1-EXP(-Examples!$D$13*$A982))/(1+EXP(MIN(700,MAX(-700,(Examples!$D$14*$A982-Examples!$D$15)/Examples!$D$16))))))+Examples!$D$17*$A982^2)</f>
        <v>1505886.0425140262</v>
      </c>
      <c r="E982" s="33">
        <f>(Examples!$D$6*Examples!$D$7*Examples!$D$8*EXP(-Examples!$D$9*$A982)*(1-(Examples!$D$12*(1-EXP(-Examples!$D$13*$A982))/(1+EXP(MIN(700,MAX(-700,(Examples!$D$14*$A982-Examples!$D$15)/Examples!$D$16))))))+Examples!$D$17*$A982^2)</f>
        <v>553113.95748597395</v>
      </c>
      <c r="F982" s="33">
        <f>Examples!$E$18-(Examples!$E$10+Examples!$E$11)*$A982-(Examples!$E$6*Examples!$E$7*Examples!$E$8*EXP(-Examples!$E$9*$A982)*(1-(Examples!$E$12*(1-EXP(-Examples!$E$13*$A982))/(1+EXP(MIN(700,MAX(-700,(Examples!$E$14*$A982-Examples!$E$15)/Examples!$E$16))))))+Examples!$E$17*$A982^2)</f>
        <v>1859133.4432125113</v>
      </c>
      <c r="G982" s="33">
        <f>(Examples!$E$6*Examples!$E$7*Examples!$E$8*EXP(-Examples!$E$9*$A982)*(1-(Examples!$E$12*(1-EXP(-Examples!$E$13*$A982))/(1+EXP(MIN(700,MAX(-700,(Examples!$E$14*$A982-Examples!$E$15)/Examples!$E$16))))))+Examples!$E$17*$A982^2)</f>
        <v>307866.55678748881</v>
      </c>
      <c r="H982" s="33">
        <f>Examples!$F$18-(Examples!$F$10+Examples!$F$11)*$A982-(Examples!$F$6*Examples!$F$7*Examples!$F$8*EXP(-Examples!$F$9*$A982)*(1-(Examples!$F$12*(1-EXP(-Examples!$F$13*$A982))/(1+EXP(MIN(700,MAX(-700,(Examples!$F$14*$A982-Examples!$F$15)/Examples!$F$16))))))+Examples!$F$17*$A982^2)</f>
        <v>-1967725.1502529215</v>
      </c>
      <c r="I982" s="33">
        <f>(Examples!$F$6*Examples!$F$7*Examples!$F$8*EXP(-Examples!$F$9*$A982)*(1-(Examples!$F$12*(1-EXP(-Examples!$F$13*$A982))/(1+EXP(MIN(700,MAX(-700,(Examples!$F$14*$A982-Examples!$F$15)/Examples!$F$16))))))+Examples!$F$17*$A982^2)</f>
        <v>1921725.1502529215</v>
      </c>
      <c r="J982" s="33">
        <f>Examples!$G$18-(Examples!$G$10+Examples!$G$11)*$A982-(Examples!$G$6*Examples!$G$7*Examples!$G$8*EXP(-Examples!$G$9*$A982)*(1-(Examples!$G$12*(1-EXP(-Examples!$G$13*$A982))/(1+EXP(MIN(700,MAX(-700,(Examples!$G$14*$A982-Examples!$G$15)/Examples!$G$16))))))+Examples!$G$17*$A982^2)</f>
        <v>176909.16694646585</v>
      </c>
      <c r="K982" s="33">
        <f>(Examples!$G$6*Examples!$G$7*Examples!$G$8*EXP(-Examples!$G$9*$A982)*(1-(Examples!$G$12*(1-EXP(-Examples!$G$13*$A982))/(1+EXP(MIN(700,MAX(-700,(Examples!$G$14*$A982-Examples!$G$15)/Examples!$G$16))))))+Examples!$G$17*$A982^2)</f>
        <v>833090.83305353415</v>
      </c>
      <c r="L982" s="33">
        <f>Examples!$H$18-(Examples!$H$10+Examples!$H$11)*$A982-(Examples!$H$6*Examples!$H$7*Examples!$H$8*EXP(-Examples!$H$9*$A982)*(1-(Examples!$H$12*(1-EXP(-Examples!$H$13*$A982))/(1+EXP(MIN(700,MAX(-700,(Examples!$H$14*$A982-Examples!$H$15)/Examples!$H$16))))))+Examples!$H$17*$A982^2)</f>
        <v>176906.11845786811</v>
      </c>
      <c r="M982" s="33">
        <f>(Examples!$H$6*Examples!$H$7*Examples!$H$8*EXP(-Examples!$H$9*$A982)*(1-(Examples!$H$12*(1-EXP(-Examples!$H$13*$A982))/(1+EXP(MIN(700,MAX(-700,(Examples!$H$14*$A982-Examples!$H$15)/Examples!$H$16))))))+Examples!$H$17*$A982^2)</f>
        <v>833093.88154213189</v>
      </c>
    </row>
    <row r="983" spans="1:13" x14ac:dyDescent="0.25">
      <c r="A983">
        <f>(983-2)/100</f>
        <v>9.81</v>
      </c>
      <c r="B983" s="33">
        <f>Examples!$C$18-(Examples!$C$10+Examples!$C$11)*$A983-(Examples!$C$6*Examples!$C$7*Examples!$C$8*EXP(-Examples!$C$9*$A983)*(1-(Examples!$C$12*(1-EXP(-Examples!$C$13*$A983))/(1+EXP(MIN(700,MAX(-700,(Examples!$C$14*$A983-Examples!$C$15)/Examples!$C$16))))))+Examples!$C$17*$A983^2)</f>
        <v>-1218515.9215260881</v>
      </c>
      <c r="C983" s="33">
        <f>(Examples!$C$6*Examples!$C$7*Examples!$C$8*EXP(-Examples!$C$9*$A983)*(1-(Examples!$C$12*(1-EXP(-Examples!$C$13*$A983))/(1+EXP(MIN(700,MAX(-700,(Examples!$C$14*$A983-Examples!$C$15)/Examples!$C$16))))))+Examples!$C$17*$A983^2)</f>
        <v>1475165.9215260881</v>
      </c>
      <c r="D983" s="33">
        <f>Examples!$D$18-(Examples!$D$10+Examples!$D$11)*$A983-(Examples!$D$6*Examples!$D$7*Examples!$D$8*EXP(-Examples!$D$9*$A983)*(1-(Examples!$D$12*(1-EXP(-Examples!$D$13*$A983))/(1+EXP(MIN(700,MAX(-700,(Examples!$D$14*$A983-Examples!$D$15)/Examples!$D$16))))))+Examples!$D$17*$A983^2)</f>
        <v>1504782.6928921435</v>
      </c>
      <c r="E983" s="33">
        <f>(Examples!$D$6*Examples!$D$7*Examples!$D$8*EXP(-Examples!$D$9*$A983)*(1-(Examples!$D$12*(1-EXP(-Examples!$D$13*$A983))/(1+EXP(MIN(700,MAX(-700,(Examples!$D$14*$A983-Examples!$D$15)/Examples!$D$16))))))+Examples!$D$17*$A983^2)</f>
        <v>553767.3071078565</v>
      </c>
      <c r="F983" s="33">
        <f>Examples!$E$18-(Examples!$E$10+Examples!$E$11)*$A983-(Examples!$E$6*Examples!$E$7*Examples!$E$8*EXP(-Examples!$E$9*$A983)*(1-(Examples!$E$12*(1-EXP(-Examples!$E$13*$A983))/(1+EXP(MIN(700,MAX(-700,(Examples!$E$14*$A983-Examples!$E$15)/Examples!$E$16))))))+Examples!$E$17*$A983^2)</f>
        <v>1857790.8436311095</v>
      </c>
      <c r="G983" s="33">
        <f>(Examples!$E$6*Examples!$E$7*Examples!$E$8*EXP(-Examples!$E$9*$A983)*(1-(Examples!$E$12*(1-EXP(-Examples!$E$13*$A983))/(1+EXP(MIN(700,MAX(-700,(Examples!$E$14*$A983-Examples!$E$15)/Examples!$E$16))))))+Examples!$E$17*$A983^2)</f>
        <v>308359.1563688906</v>
      </c>
      <c r="H983" s="33">
        <f>Examples!$F$18-(Examples!$F$10+Examples!$F$11)*$A983-(Examples!$F$6*Examples!$F$7*Examples!$F$8*EXP(-Examples!$F$9*$A983)*(1-(Examples!$F$12*(1-EXP(-Examples!$F$13*$A983))/(1+EXP(MIN(700,MAX(-700,(Examples!$F$14*$A983-Examples!$F$15)/Examples!$F$16))))))+Examples!$F$17*$A983^2)</f>
        <v>-1971844.3789611787</v>
      </c>
      <c r="I983" s="33">
        <f>(Examples!$F$6*Examples!$F$7*Examples!$F$8*EXP(-Examples!$F$9*$A983)*(1-(Examples!$F$12*(1-EXP(-Examples!$F$13*$A983))/(1+EXP(MIN(700,MAX(-700,(Examples!$F$14*$A983-Examples!$F$15)/Examples!$F$16))))))+Examples!$F$17*$A983^2)</f>
        <v>1925644.3789611787</v>
      </c>
      <c r="J983" s="33">
        <f>Examples!$G$18-(Examples!$G$10+Examples!$G$11)*$A983-(Examples!$G$6*Examples!$G$7*Examples!$G$8*EXP(-Examples!$G$9*$A983)*(1-(Examples!$G$12*(1-EXP(-Examples!$G$13*$A983))/(1+EXP(MIN(700,MAX(-700,(Examples!$G$14*$A983-Examples!$G$15)/Examples!$G$16))))))+Examples!$G$17*$A983^2)</f>
        <v>175066.628482042</v>
      </c>
      <c r="K983" s="33">
        <f>(Examples!$G$6*Examples!$G$7*Examples!$G$8*EXP(-Examples!$G$9*$A983)*(1-(Examples!$G$12*(1-EXP(-Examples!$G$13*$A983))/(1+EXP(MIN(700,MAX(-700,(Examples!$G$14*$A983-Examples!$G$15)/Examples!$G$16))))))+Examples!$G$17*$A983^2)</f>
        <v>834433.371517958</v>
      </c>
      <c r="L983" s="33">
        <f>Examples!$H$18-(Examples!$H$10+Examples!$H$11)*$A983-(Examples!$H$6*Examples!$H$7*Examples!$H$8*EXP(-Examples!$H$9*$A983)*(1-(Examples!$H$12*(1-EXP(-Examples!$H$13*$A983))/(1+EXP(MIN(700,MAX(-700,(Examples!$H$14*$A983-Examples!$H$15)/Examples!$H$16))))))+Examples!$H$17*$A983^2)</f>
        <v>175063.63076558441</v>
      </c>
      <c r="M983" s="33">
        <f>(Examples!$H$6*Examples!$H$7*Examples!$H$8*EXP(-Examples!$H$9*$A983)*(1-(Examples!$H$12*(1-EXP(-Examples!$H$13*$A983))/(1+EXP(MIN(700,MAX(-700,(Examples!$H$14*$A983-Examples!$H$15)/Examples!$H$16))))))+Examples!$H$17*$A983^2)</f>
        <v>834436.36923441559</v>
      </c>
    </row>
    <row r="984" spans="1:13" x14ac:dyDescent="0.25">
      <c r="A984">
        <f>(984-2)/100</f>
        <v>9.82</v>
      </c>
      <c r="B984" s="33">
        <f>Examples!$C$18-(Examples!$C$10+Examples!$C$11)*$A984-(Examples!$C$6*Examples!$C$7*Examples!$C$8*EXP(-Examples!$C$9*$A984)*(1-(Examples!$C$12*(1-EXP(-Examples!$C$13*$A984))/(1+EXP(MIN(700,MAX(-700,(Examples!$C$14*$A984-Examples!$C$15)/Examples!$C$16))))))+Examples!$C$17*$A984^2)</f>
        <v>-1221715.6904292044</v>
      </c>
      <c r="C984" s="33">
        <f>(Examples!$C$6*Examples!$C$7*Examples!$C$8*EXP(-Examples!$C$9*$A984)*(1-(Examples!$C$12*(1-EXP(-Examples!$C$13*$A984))/(1+EXP(MIN(700,MAX(-700,(Examples!$C$14*$A984-Examples!$C$15)/Examples!$C$16))))))+Examples!$C$17*$A984^2)</f>
        <v>1478015.6904292044</v>
      </c>
      <c r="D984" s="33">
        <f>Examples!$D$18-(Examples!$D$10+Examples!$D$11)*$A984-(Examples!$D$6*Examples!$D$7*Examples!$D$8*EXP(-Examples!$D$9*$A984)*(1-(Examples!$D$12*(1-EXP(-Examples!$D$13*$A984))/(1+EXP(MIN(700,MAX(-700,(Examples!$D$14*$A984-Examples!$D$15)/Examples!$D$16))))))+Examples!$D$17*$A984^2)</f>
        <v>1503676.8783757286</v>
      </c>
      <c r="E984" s="33">
        <f>(Examples!$D$6*Examples!$D$7*Examples!$D$8*EXP(-Examples!$D$9*$A984)*(1-(Examples!$D$12*(1-EXP(-Examples!$D$13*$A984))/(1+EXP(MIN(700,MAX(-700,(Examples!$D$14*$A984-Examples!$D$15)/Examples!$D$16))))))+Examples!$D$17*$A984^2)</f>
        <v>554423.12162427139</v>
      </c>
      <c r="F984" s="33">
        <f>Examples!$E$18-(Examples!$E$10+Examples!$E$11)*$A984-(Examples!$E$6*Examples!$E$7*Examples!$E$8*EXP(-Examples!$E$9*$A984)*(1-(Examples!$E$12*(1-EXP(-Examples!$E$13*$A984))/(1+EXP(MIN(700,MAX(-700,(Examples!$E$14*$A984-Examples!$E$15)/Examples!$E$16))))))+Examples!$E$17*$A984^2)</f>
        <v>1856447.2017675268</v>
      </c>
      <c r="G984" s="33">
        <f>(Examples!$E$6*Examples!$E$7*Examples!$E$8*EXP(-Examples!$E$9*$A984)*(1-(Examples!$E$12*(1-EXP(-Examples!$E$13*$A984))/(1+EXP(MIN(700,MAX(-700,(Examples!$E$14*$A984-Examples!$E$15)/Examples!$E$16))))))+Examples!$E$17*$A984^2)</f>
        <v>308852.79823247314</v>
      </c>
      <c r="H984" s="33">
        <f>Examples!$F$18-(Examples!$F$10+Examples!$F$11)*$A984-(Examples!$F$6*Examples!$F$7*Examples!$F$8*EXP(-Examples!$F$9*$A984)*(1-(Examples!$F$12*(1-EXP(-Examples!$F$13*$A984))/(1+EXP(MIN(700,MAX(-700,(Examples!$F$14*$A984-Examples!$F$15)/Examples!$F$16))))))+Examples!$F$17*$A984^2)</f>
        <v>-1975967.6159708526</v>
      </c>
      <c r="I984" s="33">
        <f>(Examples!$F$6*Examples!$F$7*Examples!$F$8*EXP(-Examples!$F$9*$A984)*(1-(Examples!$F$12*(1-EXP(-Examples!$F$13*$A984))/(1+EXP(MIN(700,MAX(-700,(Examples!$F$14*$A984-Examples!$F$15)/Examples!$F$16))))))+Examples!$F$17*$A984^2)</f>
        <v>1929567.6159708526</v>
      </c>
      <c r="J984" s="33">
        <f>Examples!$G$18-(Examples!$G$10+Examples!$G$11)*$A984-(Examples!$G$6*Examples!$G$7*Examples!$G$8*EXP(-Examples!$G$9*$A984)*(1-(Examples!$G$12*(1-EXP(-Examples!$G$13*$A984))/(1+EXP(MIN(700,MAX(-700,(Examples!$G$14*$A984-Examples!$G$15)/Examples!$G$16))))))+Examples!$G$17*$A984^2)</f>
        <v>173221.70015410893</v>
      </c>
      <c r="K984" s="33">
        <f>(Examples!$G$6*Examples!$G$7*Examples!$G$8*EXP(-Examples!$G$9*$A984)*(1-(Examples!$G$12*(1-EXP(-Examples!$G$13*$A984))/(1+EXP(MIN(700,MAX(-700,(Examples!$G$14*$A984-Examples!$G$15)/Examples!$G$16))))))+Examples!$G$17*$A984^2)</f>
        <v>835778.29984589107</v>
      </c>
      <c r="L984" s="33">
        <f>Examples!$H$18-(Examples!$H$10+Examples!$H$11)*$A984-(Examples!$H$6*Examples!$H$7*Examples!$H$8*EXP(-Examples!$H$9*$A984)*(1-(Examples!$H$12*(1-EXP(-Examples!$H$13*$A984))/(1+EXP(MIN(700,MAX(-700,(Examples!$H$14*$A984-Examples!$H$15)/Examples!$H$16))))))+Examples!$H$17*$A984^2)</f>
        <v>173218.75236477482</v>
      </c>
      <c r="M984" s="33">
        <f>(Examples!$H$6*Examples!$H$7*Examples!$H$8*EXP(-Examples!$H$9*$A984)*(1-(Examples!$H$12*(1-EXP(-Examples!$H$13*$A984))/(1+EXP(MIN(700,MAX(-700,(Examples!$H$14*$A984-Examples!$H$15)/Examples!$H$16))))))+Examples!$H$17*$A984^2)</f>
        <v>835781.24763522518</v>
      </c>
    </row>
    <row r="985" spans="1:13" x14ac:dyDescent="0.25">
      <c r="A985">
        <f>(985-2)/100</f>
        <v>9.83</v>
      </c>
      <c r="B985" s="33">
        <f>Examples!$C$18-(Examples!$C$10+Examples!$C$11)*$A985-(Examples!$C$6*Examples!$C$7*Examples!$C$8*EXP(-Examples!$C$9*$A985)*(1-(Examples!$C$12*(1-EXP(-Examples!$C$13*$A985))/(1+EXP(MIN(700,MAX(-700,(Examples!$C$14*$A985-Examples!$C$15)/Examples!$C$16))))))+Examples!$C$17*$A985^2)</f>
        <v>-1224918.7430997475</v>
      </c>
      <c r="C985" s="33">
        <f>(Examples!$C$6*Examples!$C$7*Examples!$C$8*EXP(-Examples!$C$9*$A985)*(1-(Examples!$C$12*(1-EXP(-Examples!$C$13*$A985))/(1+EXP(MIN(700,MAX(-700,(Examples!$C$14*$A985-Examples!$C$15)/Examples!$C$16))))))+Examples!$C$17*$A985^2)</f>
        <v>1480868.7430997475</v>
      </c>
      <c r="D985" s="33">
        <f>Examples!$D$18-(Examples!$D$10+Examples!$D$11)*$A985-(Examples!$D$6*Examples!$D$7*Examples!$D$8*EXP(-Examples!$D$9*$A985)*(1-(Examples!$D$12*(1-EXP(-Examples!$D$13*$A985))/(1+EXP(MIN(700,MAX(-700,(Examples!$D$14*$A985-Examples!$D$15)/Examples!$D$16))))))+Examples!$D$17*$A985^2)</f>
        <v>1502568.6054719249</v>
      </c>
      <c r="E985" s="33">
        <f>(Examples!$D$6*Examples!$D$7*Examples!$D$8*EXP(-Examples!$D$9*$A985)*(1-(Examples!$D$12*(1-EXP(-Examples!$D$13*$A985))/(1+EXP(MIN(700,MAX(-700,(Examples!$D$14*$A985-Examples!$D$15)/Examples!$D$16))))))+Examples!$D$17*$A985^2)</f>
        <v>555081.39452807512</v>
      </c>
      <c r="F985" s="33">
        <f>Examples!$E$18-(Examples!$E$10+Examples!$E$11)*$A985-(Examples!$E$6*Examples!$E$7*Examples!$E$8*EXP(-Examples!$E$9*$A985)*(1-(Examples!$E$12*(1-EXP(-Examples!$E$13*$A985))/(1+EXP(MIN(700,MAX(-700,(Examples!$E$14*$A985-Examples!$E$15)/Examples!$E$16))))))+Examples!$E$17*$A985^2)</f>
        <v>1855102.5193946552</v>
      </c>
      <c r="G985" s="33">
        <f>(Examples!$E$6*Examples!$E$7*Examples!$E$8*EXP(-Examples!$E$9*$A985)*(1-(Examples!$E$12*(1-EXP(-Examples!$E$13*$A985))/(1+EXP(MIN(700,MAX(-700,(Examples!$E$14*$A985-Examples!$E$15)/Examples!$E$16))))))+Examples!$E$17*$A985^2)</f>
        <v>309347.48060534487</v>
      </c>
      <c r="H985" s="33">
        <f>Examples!$F$18-(Examples!$F$10+Examples!$F$11)*$A985-(Examples!$F$6*Examples!$F$7*Examples!$F$8*EXP(-Examples!$F$9*$A985)*(1-(Examples!$F$12*(1-EXP(-Examples!$F$13*$A985))/(1+EXP(MIN(700,MAX(-700,(Examples!$F$14*$A985-Examples!$F$15)/Examples!$F$16))))))+Examples!$F$17*$A985^2)</f>
        <v>-1980094.8612570767</v>
      </c>
      <c r="I985" s="33">
        <f>(Examples!$F$6*Examples!$F$7*Examples!$F$8*EXP(-Examples!$F$9*$A985)*(1-(Examples!$F$12*(1-EXP(-Examples!$F$13*$A985))/(1+EXP(MIN(700,MAX(-700,(Examples!$F$14*$A985-Examples!$F$15)/Examples!$F$16))))))+Examples!$F$17*$A985^2)</f>
        <v>1933494.8612570767</v>
      </c>
      <c r="J985" s="33">
        <f>Examples!$G$18-(Examples!$G$10+Examples!$G$11)*$A985-(Examples!$G$6*Examples!$G$7*Examples!$G$8*EXP(-Examples!$G$9*$A985)*(1-(Examples!$G$12*(1-EXP(-Examples!$G$13*$A985))/(1+EXP(MIN(700,MAX(-700,(Examples!$G$14*$A985-Examples!$G$15)/Examples!$G$16))))))+Examples!$G$17*$A985^2)</f>
        <v>171374.38471125776</v>
      </c>
      <c r="K985" s="33">
        <f>(Examples!$G$6*Examples!$G$7*Examples!$G$8*EXP(-Examples!$G$9*$A985)*(1-(Examples!$G$12*(1-EXP(-Examples!$G$13*$A985))/(1+EXP(MIN(700,MAX(-700,(Examples!$G$14*$A985-Examples!$G$15)/Examples!$G$16))))))+Examples!$G$17*$A985^2)</f>
        <v>837125.61528874224</v>
      </c>
      <c r="L985" s="33">
        <f>Examples!$H$18-(Examples!$H$10+Examples!$H$11)*$A985-(Examples!$H$6*Examples!$H$7*Examples!$H$8*EXP(-Examples!$H$9*$A985)*(1-(Examples!$H$12*(1-EXP(-Examples!$H$13*$A985))/(1+EXP(MIN(700,MAX(-700,(Examples!$H$14*$A985-Examples!$H$15)/Examples!$H$16))))))+Examples!$H$17*$A985^2)</f>
        <v>171371.48601808143</v>
      </c>
      <c r="M985" s="33">
        <f>(Examples!$H$6*Examples!$H$7*Examples!$H$8*EXP(-Examples!$H$9*$A985)*(1-(Examples!$H$12*(1-EXP(-Examples!$H$13*$A985))/(1+EXP(MIN(700,MAX(-700,(Examples!$H$14*$A985-Examples!$H$15)/Examples!$H$16))))))+Examples!$H$17*$A985^2)</f>
        <v>837128.51398191857</v>
      </c>
    </row>
    <row r="986" spans="1:13" x14ac:dyDescent="0.25">
      <c r="A986">
        <f>(986-2)/100</f>
        <v>9.84</v>
      </c>
      <c r="B986" s="33">
        <f>Examples!$C$18-(Examples!$C$10+Examples!$C$11)*$A986-(Examples!$C$6*Examples!$C$7*Examples!$C$8*EXP(-Examples!$C$9*$A986)*(1-(Examples!$C$12*(1-EXP(-Examples!$C$13*$A986))/(1+EXP(MIN(700,MAX(-700,(Examples!$C$14*$A986-Examples!$C$15)/Examples!$C$16))))))+Examples!$C$17*$A986^2)</f>
        <v>-1228125.0786876904</v>
      </c>
      <c r="C986" s="33">
        <f>(Examples!$C$6*Examples!$C$7*Examples!$C$8*EXP(-Examples!$C$9*$A986)*(1-(Examples!$C$12*(1-EXP(-Examples!$C$13*$A986))/(1+EXP(MIN(700,MAX(-700,(Examples!$C$14*$A986-Examples!$C$15)/Examples!$C$16))))))+Examples!$C$17*$A986^2)</f>
        <v>1483725.0786876904</v>
      </c>
      <c r="D986" s="33">
        <f>Examples!$D$18-(Examples!$D$10+Examples!$D$11)*$A986-(Examples!$D$6*Examples!$D$7*Examples!$D$8*EXP(-Examples!$D$9*$A986)*(1-(Examples!$D$12*(1-EXP(-Examples!$D$13*$A986))/(1+EXP(MIN(700,MAX(-700,(Examples!$D$14*$A986-Examples!$D$15)/Examples!$D$16))))))+Examples!$D$17*$A986^2)</f>
        <v>1501457.8806598934</v>
      </c>
      <c r="E986" s="33">
        <f>(Examples!$D$6*Examples!$D$7*Examples!$D$8*EXP(-Examples!$D$9*$A986)*(1-(Examples!$D$12*(1-EXP(-Examples!$D$13*$A986))/(1+EXP(MIN(700,MAX(-700,(Examples!$D$14*$A986-Examples!$D$15)/Examples!$D$16))))))+Examples!$D$17*$A986^2)</f>
        <v>555742.11934010661</v>
      </c>
      <c r="F986" s="33">
        <f>Examples!$E$18-(Examples!$E$10+Examples!$E$11)*$A986-(Examples!$E$6*Examples!$E$7*Examples!$E$8*EXP(-Examples!$E$9*$A986)*(1-(Examples!$E$12*(1-EXP(-Examples!$E$13*$A986))/(1+EXP(MIN(700,MAX(-700,(Examples!$E$14*$A986-Examples!$E$15)/Examples!$E$16))))))+Examples!$E$17*$A986^2)</f>
        <v>1853756.7982817471</v>
      </c>
      <c r="G986" s="33">
        <f>(Examples!$E$6*Examples!$E$7*Examples!$E$8*EXP(-Examples!$E$9*$A986)*(1-(Examples!$E$12*(1-EXP(-Examples!$E$13*$A986))/(1+EXP(MIN(700,MAX(-700,(Examples!$E$14*$A986-Examples!$E$15)/Examples!$E$16))))))+Examples!$E$17*$A986^2)</f>
        <v>309843.20171825291</v>
      </c>
      <c r="H986" s="33">
        <f>Examples!$F$18-(Examples!$F$10+Examples!$F$11)*$A986-(Examples!$F$6*Examples!$F$7*Examples!$F$8*EXP(-Examples!$F$9*$A986)*(1-(Examples!$F$12*(1-EXP(-Examples!$F$13*$A986))/(1+EXP(MIN(700,MAX(-700,(Examples!$F$14*$A986-Examples!$F$15)/Examples!$F$16))))))+Examples!$F$17*$A986^2)</f>
        <v>-1984226.1147950585</v>
      </c>
      <c r="I986" s="33">
        <f>(Examples!$F$6*Examples!$F$7*Examples!$F$8*EXP(-Examples!$F$9*$A986)*(1-(Examples!$F$12*(1-EXP(-Examples!$F$13*$A986))/(1+EXP(MIN(700,MAX(-700,(Examples!$F$14*$A986-Examples!$F$15)/Examples!$F$16))))))+Examples!$F$17*$A986^2)</f>
        <v>1937426.1147950585</v>
      </c>
      <c r="J986" s="33">
        <f>Examples!$G$18-(Examples!$G$10+Examples!$G$11)*$A986-(Examples!$G$6*Examples!$G$7*Examples!$G$8*EXP(-Examples!$G$9*$A986)*(1-(Examples!$G$12*(1-EXP(-Examples!$G$13*$A986))/(1+EXP(MIN(700,MAX(-700,(Examples!$G$14*$A986-Examples!$G$15)/Examples!$G$16))))))+Examples!$G$17*$A986^2)</f>
        <v>169524.68489266129</v>
      </c>
      <c r="K986" s="33">
        <f>(Examples!$G$6*Examples!$G$7*Examples!$G$8*EXP(-Examples!$G$9*$A986)*(1-(Examples!$G$12*(1-EXP(-Examples!$G$13*$A986))/(1+EXP(MIN(700,MAX(-700,(Examples!$G$14*$A986-Examples!$G$15)/Examples!$G$16))))))+Examples!$G$17*$A986^2)</f>
        <v>838475.31510733871</v>
      </c>
      <c r="L986" s="33">
        <f>Examples!$H$18-(Examples!$H$10+Examples!$H$11)*$A986-(Examples!$H$6*Examples!$H$7*Examples!$H$8*EXP(-Examples!$H$9*$A986)*(1-(Examples!$H$12*(1-EXP(-Examples!$H$13*$A986))/(1+EXP(MIN(700,MAX(-700,(Examples!$H$14*$A986-Examples!$H$15)/Examples!$H$16))))))+Examples!$H$17*$A986^2)</f>
        <v>169521.83447849459</v>
      </c>
      <c r="M986" s="33">
        <f>(Examples!$H$6*Examples!$H$7*Examples!$H$8*EXP(-Examples!$H$9*$A986)*(1-(Examples!$H$12*(1-EXP(-Examples!$H$13*$A986))/(1+EXP(MIN(700,MAX(-700,(Examples!$H$14*$A986-Examples!$H$15)/Examples!$H$16))))))+Examples!$H$17*$A986^2)</f>
        <v>838478.16552150541</v>
      </c>
    </row>
    <row r="987" spans="1:13" x14ac:dyDescent="0.25">
      <c r="A987">
        <f>(987-2)/100</f>
        <v>9.85</v>
      </c>
      <c r="B987" s="33">
        <f>Examples!$C$18-(Examples!$C$10+Examples!$C$11)*$A987-(Examples!$C$6*Examples!$C$7*Examples!$C$8*EXP(-Examples!$C$9*$A987)*(1-(Examples!$C$12*(1-EXP(-Examples!$C$13*$A987))/(1+EXP(MIN(700,MAX(-700,(Examples!$C$14*$A987-Examples!$C$15)/Examples!$C$16))))))+Examples!$C$17*$A987^2)</f>
        <v>-1231334.6963455533</v>
      </c>
      <c r="C987" s="33">
        <f>(Examples!$C$6*Examples!$C$7*Examples!$C$8*EXP(-Examples!$C$9*$A987)*(1-(Examples!$C$12*(1-EXP(-Examples!$C$13*$A987))/(1+EXP(MIN(700,MAX(-700,(Examples!$C$14*$A987-Examples!$C$15)/Examples!$C$16))))))+Examples!$C$17*$A987^2)</f>
        <v>1486584.6963455533</v>
      </c>
      <c r="D987" s="33">
        <f>Examples!$D$18-(Examples!$D$10+Examples!$D$11)*$A987-(Examples!$D$6*Examples!$D$7*Examples!$D$8*EXP(-Examples!$D$9*$A987)*(1-(Examples!$D$12*(1-EXP(-Examples!$D$13*$A987))/(1+EXP(MIN(700,MAX(-700,(Examples!$D$14*$A987-Examples!$D$15)/Examples!$D$16))))))+Examples!$D$17*$A987^2)</f>
        <v>1500344.7103909168</v>
      </c>
      <c r="E987" s="33">
        <f>(Examples!$D$6*Examples!$D$7*Examples!$D$8*EXP(-Examples!$D$9*$A987)*(1-(Examples!$D$12*(1-EXP(-Examples!$D$13*$A987))/(1+EXP(MIN(700,MAX(-700,(Examples!$D$14*$A987-Examples!$D$15)/Examples!$D$16))))))+Examples!$D$17*$A987^2)</f>
        <v>556405.28960908321</v>
      </c>
      <c r="F987" s="33">
        <f>Examples!$E$18-(Examples!$E$10+Examples!$E$11)*$A987-(Examples!$E$6*Examples!$E$7*Examples!$E$8*EXP(-Examples!$E$9*$A987)*(1-(Examples!$E$12*(1-EXP(-Examples!$E$13*$A987))/(1+EXP(MIN(700,MAX(-700,(Examples!$E$14*$A987-Examples!$E$15)/Examples!$E$16))))))+Examples!$E$17*$A987^2)</f>
        <v>1852410.0401943752</v>
      </c>
      <c r="G987" s="33">
        <f>(Examples!$E$6*Examples!$E$7*Examples!$E$8*EXP(-Examples!$E$9*$A987)*(1-(Examples!$E$12*(1-EXP(-Examples!$E$13*$A987))/(1+EXP(MIN(700,MAX(-700,(Examples!$E$14*$A987-Examples!$E$15)/Examples!$E$16))))))+Examples!$E$17*$A987^2)</f>
        <v>310339.95980562479</v>
      </c>
      <c r="H987" s="33">
        <f>Examples!$F$18-(Examples!$F$10+Examples!$F$11)*$A987-(Examples!$F$6*Examples!$F$7*Examples!$F$8*EXP(-Examples!$F$9*$A987)*(1-(Examples!$F$12*(1-EXP(-Examples!$F$13*$A987))/(1+EXP(MIN(700,MAX(-700,(Examples!$F$14*$A987-Examples!$F$15)/Examples!$F$16))))))+Examples!$F$17*$A987^2)</f>
        <v>-1988361.3765600792</v>
      </c>
      <c r="I987" s="33">
        <f>(Examples!$F$6*Examples!$F$7*Examples!$F$8*EXP(-Examples!$F$9*$A987)*(1-(Examples!$F$12*(1-EXP(-Examples!$F$13*$A987))/(1+EXP(MIN(700,MAX(-700,(Examples!$F$14*$A987-Examples!$F$15)/Examples!$F$16))))))+Examples!$F$17*$A987^2)</f>
        <v>1941361.3765600792</v>
      </c>
      <c r="J987" s="33">
        <f>Examples!$G$18-(Examples!$G$10+Examples!$G$11)*$A987-(Examples!$G$6*Examples!$G$7*Examples!$G$8*EXP(-Examples!$G$9*$A987)*(1-(Examples!$G$12*(1-EXP(-Examples!$G$13*$A987))/(1+EXP(MIN(700,MAX(-700,(Examples!$G$14*$A987-Examples!$G$15)/Examples!$G$16))))))+Examples!$G$17*$A987^2)</f>
        <v>167672.60342810221</v>
      </c>
      <c r="K987" s="33">
        <f>(Examples!$G$6*Examples!$G$7*Examples!$G$8*EXP(-Examples!$G$9*$A987)*(1-(Examples!$G$12*(1-EXP(-Examples!$G$13*$A987))/(1+EXP(MIN(700,MAX(-700,(Examples!$G$14*$A987-Examples!$G$15)/Examples!$G$16))))))+Examples!$G$17*$A987^2)</f>
        <v>839827.39657189779</v>
      </c>
      <c r="L987" s="33">
        <f>Examples!$H$18-(Examples!$H$10+Examples!$H$11)*$A987-(Examples!$H$6*Examples!$H$7*Examples!$H$8*EXP(-Examples!$H$9*$A987)*(1-(Examples!$H$12*(1-EXP(-Examples!$H$13*$A987))/(1+EXP(MIN(700,MAX(-700,(Examples!$H$14*$A987-Examples!$H$15)/Examples!$H$16))))))+Examples!$H$17*$A987^2)</f>
        <v>167669.80048938515</v>
      </c>
      <c r="M987" s="33">
        <f>(Examples!$H$6*Examples!$H$7*Examples!$H$8*EXP(-Examples!$H$9*$A987)*(1-(Examples!$H$12*(1-EXP(-Examples!$H$13*$A987))/(1+EXP(MIN(700,MAX(-700,(Examples!$H$14*$A987-Examples!$H$15)/Examples!$H$16))))))+Examples!$H$17*$A987^2)</f>
        <v>839830.19951061485</v>
      </c>
    </row>
    <row r="988" spans="1:13" x14ac:dyDescent="0.25">
      <c r="A988">
        <f>(988-2)/100</f>
        <v>9.86</v>
      </c>
      <c r="B988" s="33">
        <f>Examples!$C$18-(Examples!$C$10+Examples!$C$11)*$A988-(Examples!$C$6*Examples!$C$7*Examples!$C$8*EXP(-Examples!$C$9*$A988)*(1-(Examples!$C$12*(1-EXP(-Examples!$C$13*$A988))/(1+EXP(MIN(700,MAX(-700,(Examples!$C$14*$A988-Examples!$C$15)/Examples!$C$16))))))+Examples!$C$17*$A988^2)</f>
        <v>-1234547.5952283938</v>
      </c>
      <c r="C988" s="33">
        <f>(Examples!$C$6*Examples!$C$7*Examples!$C$8*EXP(-Examples!$C$9*$A988)*(1-(Examples!$C$12*(1-EXP(-Examples!$C$13*$A988))/(1+EXP(MIN(700,MAX(-700,(Examples!$C$14*$A988-Examples!$C$15)/Examples!$C$16))))))+Examples!$C$17*$A988^2)</f>
        <v>1489447.5952283938</v>
      </c>
      <c r="D988" s="33">
        <f>Examples!$D$18-(Examples!$D$10+Examples!$D$11)*$A988-(Examples!$D$6*Examples!$D$7*Examples!$D$8*EXP(-Examples!$D$9*$A988)*(1-(Examples!$D$12*(1-EXP(-Examples!$D$13*$A988))/(1+EXP(MIN(700,MAX(-700,(Examples!$D$14*$A988-Examples!$D$15)/Examples!$D$16))))))+Examples!$D$17*$A988^2)</f>
        <v>1499229.1010885029</v>
      </c>
      <c r="E988" s="33">
        <f>(Examples!$D$6*Examples!$D$7*Examples!$D$8*EXP(-Examples!$D$9*$A988)*(1-(Examples!$D$12*(1-EXP(-Examples!$D$13*$A988))/(1+EXP(MIN(700,MAX(-700,(Examples!$D$14*$A988-Examples!$D$15)/Examples!$D$16))))))+Examples!$D$17*$A988^2)</f>
        <v>557070.89891149709</v>
      </c>
      <c r="F988" s="33">
        <f>Examples!$E$18-(Examples!$E$10+Examples!$E$11)*$A988-(Examples!$E$6*Examples!$E$7*Examples!$E$8*EXP(-Examples!$E$9*$A988)*(1-(Examples!$E$12*(1-EXP(-Examples!$E$13*$A988))/(1+EXP(MIN(700,MAX(-700,(Examples!$E$14*$A988-Examples!$E$15)/Examples!$E$16))))))+Examples!$E$17*$A988^2)</f>
        <v>1851062.2468943915</v>
      </c>
      <c r="G988" s="33">
        <f>(Examples!$E$6*Examples!$E$7*Examples!$E$8*EXP(-Examples!$E$9*$A988)*(1-(Examples!$E$12*(1-EXP(-Examples!$E$13*$A988))/(1+EXP(MIN(700,MAX(-700,(Examples!$E$14*$A988-Examples!$E$15)/Examples!$E$16))))))+Examples!$E$17*$A988^2)</f>
        <v>310837.75310560846</v>
      </c>
      <c r="H988" s="33">
        <f>Examples!$F$18-(Examples!$F$10+Examples!$F$11)*$A988-(Examples!$F$6*Examples!$F$7*Examples!$F$8*EXP(-Examples!$F$9*$A988)*(1-(Examples!$F$12*(1-EXP(-Examples!$F$13*$A988))/(1+EXP(MIN(700,MAX(-700,(Examples!$F$14*$A988-Examples!$F$15)/Examples!$F$16))))))+Examples!$F$17*$A988^2)</f>
        <v>-1992500.6465274952</v>
      </c>
      <c r="I988" s="33">
        <f>(Examples!$F$6*Examples!$F$7*Examples!$F$8*EXP(-Examples!$F$9*$A988)*(1-(Examples!$F$12*(1-EXP(-Examples!$F$13*$A988))/(1+EXP(MIN(700,MAX(-700,(Examples!$F$14*$A988-Examples!$F$15)/Examples!$F$16))))))+Examples!$F$17*$A988^2)</f>
        <v>1945300.6465274952</v>
      </c>
      <c r="J988" s="33">
        <f>Examples!$G$18-(Examples!$G$10+Examples!$G$11)*$A988-(Examples!$G$6*Examples!$G$7*Examples!$G$8*EXP(-Examples!$G$9*$A988)*(1-(Examples!$G$12*(1-EXP(-Examples!$G$13*$A988))/(1+EXP(MIN(700,MAX(-700,(Examples!$G$14*$A988-Examples!$G$15)/Examples!$G$16))))))+Examples!$G$17*$A988^2)</f>
        <v>165818.14303800475</v>
      </c>
      <c r="K988" s="33">
        <f>(Examples!$G$6*Examples!$G$7*Examples!$G$8*EXP(-Examples!$G$9*$A988)*(1-(Examples!$G$12*(1-EXP(-Examples!$G$13*$A988))/(1+EXP(MIN(700,MAX(-700,(Examples!$G$14*$A988-Examples!$G$15)/Examples!$G$16))))))+Examples!$G$17*$A988^2)</f>
        <v>841181.85696199525</v>
      </c>
      <c r="L988" s="33">
        <f>Examples!$H$18-(Examples!$H$10+Examples!$H$11)*$A988-(Examples!$H$6*Examples!$H$7*Examples!$H$8*EXP(-Examples!$H$9*$A988)*(1-(Examples!$H$12*(1-EXP(-Examples!$H$13*$A988))/(1+EXP(MIN(700,MAX(-700,(Examples!$H$14*$A988-Examples!$H$15)/Examples!$H$16))))))+Examples!$H$17*$A988^2)</f>
        <v>165815.38678453967</v>
      </c>
      <c r="M988" s="33">
        <f>(Examples!$H$6*Examples!$H$7*Examples!$H$8*EXP(-Examples!$H$9*$A988)*(1-(Examples!$H$12*(1-EXP(-Examples!$H$13*$A988))/(1+EXP(MIN(700,MAX(-700,(Examples!$H$14*$A988-Examples!$H$15)/Examples!$H$16))))))+Examples!$H$17*$A988^2)</f>
        <v>841184.61321546033</v>
      </c>
    </row>
    <row r="989" spans="1:13" x14ac:dyDescent="0.25">
      <c r="A989">
        <f>(989-2)/100</f>
        <v>9.8699999999999992</v>
      </c>
      <c r="B989" s="33">
        <f>Examples!$C$18-(Examples!$C$10+Examples!$C$11)*$A989-(Examples!$C$6*Examples!$C$7*Examples!$C$8*EXP(-Examples!$C$9*$A989)*(1-(Examples!$C$12*(1-EXP(-Examples!$C$13*$A989))/(1+EXP(MIN(700,MAX(-700,(Examples!$C$14*$A989-Examples!$C$15)/Examples!$C$16))))))+Examples!$C$17*$A989^2)</f>
        <v>-1237763.7744938019</v>
      </c>
      <c r="C989" s="33">
        <f>(Examples!$C$6*Examples!$C$7*Examples!$C$8*EXP(-Examples!$C$9*$A989)*(1-(Examples!$C$12*(1-EXP(-Examples!$C$13*$A989))/(1+EXP(MIN(700,MAX(-700,(Examples!$C$14*$A989-Examples!$C$15)/Examples!$C$16))))))+Examples!$C$17*$A989^2)</f>
        <v>1492313.7744938019</v>
      </c>
      <c r="D989" s="33">
        <f>Examples!$D$18-(Examples!$D$10+Examples!$D$11)*$A989-(Examples!$D$6*Examples!$D$7*Examples!$D$8*EXP(-Examples!$D$9*$A989)*(1-(Examples!$D$12*(1-EXP(-Examples!$D$13*$A989))/(1+EXP(MIN(700,MAX(-700,(Examples!$D$14*$A989-Examples!$D$15)/Examples!$D$16))))))+Examples!$D$17*$A989^2)</f>
        <v>1498111.0591484883</v>
      </c>
      <c r="E989" s="33">
        <f>(Examples!$D$6*Examples!$D$7*Examples!$D$8*EXP(-Examples!$D$9*$A989)*(1-(Examples!$D$12*(1-EXP(-Examples!$D$13*$A989))/(1+EXP(MIN(700,MAX(-700,(Examples!$D$14*$A989-Examples!$D$15)/Examples!$D$16))))))+Examples!$D$17*$A989^2)</f>
        <v>557738.94085151167</v>
      </c>
      <c r="F989" s="33">
        <f>Examples!$E$18-(Examples!$E$10+Examples!$E$11)*$A989-(Examples!$E$6*Examples!$E$7*Examples!$E$8*EXP(-Examples!$E$9*$A989)*(1-(Examples!$E$12*(1-EXP(-Examples!$E$13*$A989))/(1+EXP(MIN(700,MAX(-700,(Examples!$E$14*$A989-Examples!$E$15)/Examples!$E$16))))))+Examples!$E$17*$A989^2)</f>
        <v>1849713.4201398874</v>
      </c>
      <c r="G989" s="33">
        <f>(Examples!$E$6*Examples!$E$7*Examples!$E$8*EXP(-Examples!$E$9*$A989)*(1-(Examples!$E$12*(1-EXP(-Examples!$E$13*$A989))/(1+EXP(MIN(700,MAX(-700,(Examples!$E$14*$A989-Examples!$E$15)/Examples!$E$16))))))+Examples!$E$17*$A989^2)</f>
        <v>311336.57986011257</v>
      </c>
      <c r="H989" s="33">
        <f>Examples!$F$18-(Examples!$F$10+Examples!$F$11)*$A989-(Examples!$F$6*Examples!$F$7*Examples!$F$8*EXP(-Examples!$F$9*$A989)*(1-(Examples!$F$12*(1-EXP(-Examples!$F$13*$A989))/(1+EXP(MIN(700,MAX(-700,(Examples!$F$14*$A989-Examples!$F$15)/Examples!$F$16))))))+Examples!$F$17*$A989^2)</f>
        <v>-1996643.9246727363</v>
      </c>
      <c r="I989" s="33">
        <f>(Examples!$F$6*Examples!$F$7*Examples!$F$8*EXP(-Examples!$F$9*$A989)*(1-(Examples!$F$12*(1-EXP(-Examples!$F$13*$A989))/(1+EXP(MIN(700,MAX(-700,(Examples!$F$14*$A989-Examples!$F$15)/Examples!$F$16))))))+Examples!$F$17*$A989^2)</f>
        <v>1949243.9246727363</v>
      </c>
      <c r="J989" s="33">
        <f>Examples!$G$18-(Examples!$G$10+Examples!$G$11)*$A989-(Examples!$G$6*Examples!$G$7*Examples!$G$8*EXP(-Examples!$G$9*$A989)*(1-(Examples!$G$12*(1-EXP(-Examples!$G$13*$A989))/(1+EXP(MIN(700,MAX(-700,(Examples!$G$14*$A989-Examples!$G$15)/Examples!$G$16))))))+Examples!$G$17*$A989^2)</f>
        <v>163961.306433463</v>
      </c>
      <c r="K989" s="33">
        <f>(Examples!$G$6*Examples!$G$7*Examples!$G$8*EXP(-Examples!$G$9*$A989)*(1-(Examples!$G$12*(1-EXP(-Examples!$G$13*$A989))/(1+EXP(MIN(700,MAX(-700,(Examples!$G$14*$A989-Examples!$G$15)/Examples!$G$16))))))+Examples!$G$17*$A989^2)</f>
        <v>842538.693566537</v>
      </c>
      <c r="L989" s="33">
        <f>Examples!$H$18-(Examples!$H$10+Examples!$H$11)*$A989-(Examples!$H$6*Examples!$H$7*Examples!$H$8*EXP(-Examples!$H$9*$A989)*(1-(Examples!$H$12*(1-EXP(-Examples!$H$13*$A989))/(1+EXP(MIN(700,MAX(-700,(Examples!$H$14*$A989-Examples!$H$15)/Examples!$H$16))))))+Examples!$H$17*$A989^2)</f>
        <v>163958.59608819289</v>
      </c>
      <c r="M989" s="33">
        <f>(Examples!$H$6*Examples!$H$7*Examples!$H$8*EXP(-Examples!$H$9*$A989)*(1-(Examples!$H$12*(1-EXP(-Examples!$H$13*$A989))/(1+EXP(MIN(700,MAX(-700,(Examples!$H$14*$A989-Examples!$H$15)/Examples!$H$16))))))+Examples!$H$17*$A989^2)</f>
        <v>842541.40391180711</v>
      </c>
    </row>
    <row r="990" spans="1:13" x14ac:dyDescent="0.25">
      <c r="A990">
        <f>(990-2)/100</f>
        <v>9.8800000000000008</v>
      </c>
      <c r="B990" s="33">
        <f>Examples!$C$18-(Examples!$C$10+Examples!$C$11)*$A990-(Examples!$C$6*Examples!$C$7*Examples!$C$8*EXP(-Examples!$C$9*$A990)*(1-(Examples!$C$12*(1-EXP(-Examples!$C$13*$A990))/(1+EXP(MIN(700,MAX(-700,(Examples!$C$14*$A990-Examples!$C$15)/Examples!$C$16))))))+Examples!$C$17*$A990^2)</f>
        <v>-1240983.2333018905</v>
      </c>
      <c r="C990" s="33">
        <f>(Examples!$C$6*Examples!$C$7*Examples!$C$8*EXP(-Examples!$C$9*$A990)*(1-(Examples!$C$12*(1-EXP(-Examples!$C$13*$A990))/(1+EXP(MIN(700,MAX(-700,(Examples!$C$14*$A990-Examples!$C$15)/Examples!$C$16))))))+Examples!$C$17*$A990^2)</f>
        <v>1495183.2333018905</v>
      </c>
      <c r="D990" s="33">
        <f>Examples!$D$18-(Examples!$D$10+Examples!$D$11)*$A990-(Examples!$D$6*Examples!$D$7*Examples!$D$8*EXP(-Examples!$D$9*$A990)*(1-(Examples!$D$12*(1-EXP(-Examples!$D$13*$A990))/(1+EXP(MIN(700,MAX(-700,(Examples!$D$14*$A990-Examples!$D$15)/Examples!$D$16))))))+Examples!$D$17*$A990^2)</f>
        <v>1496990.590939143</v>
      </c>
      <c r="E990" s="33">
        <f>(Examples!$D$6*Examples!$D$7*Examples!$D$8*EXP(-Examples!$D$9*$A990)*(1-(Examples!$D$12*(1-EXP(-Examples!$D$13*$A990))/(1+EXP(MIN(700,MAX(-700,(Examples!$D$14*$A990-Examples!$D$15)/Examples!$D$16))))))+Examples!$D$17*$A990^2)</f>
        <v>558409.40906085703</v>
      </c>
      <c r="F990" s="33">
        <f>Examples!$E$18-(Examples!$E$10+Examples!$E$11)*$A990-(Examples!$E$6*Examples!$E$7*Examples!$E$8*EXP(-Examples!$E$9*$A990)*(1-(Examples!$E$12*(1-EXP(-Examples!$E$13*$A990))/(1+EXP(MIN(700,MAX(-700,(Examples!$E$14*$A990-Examples!$E$15)/Examples!$E$16))))))+Examples!$E$17*$A990^2)</f>
        <v>1848363.5616851549</v>
      </c>
      <c r="G990" s="33">
        <f>(Examples!$E$6*Examples!$E$7*Examples!$E$8*EXP(-Examples!$E$9*$A990)*(1-(Examples!$E$12*(1-EXP(-Examples!$E$13*$A990))/(1+EXP(MIN(700,MAX(-700,(Examples!$E$14*$A990-Examples!$E$15)/Examples!$E$16))))))+Examples!$E$17*$A990^2)</f>
        <v>311836.43831484503</v>
      </c>
      <c r="H990" s="33">
        <f>Examples!$F$18-(Examples!$F$10+Examples!$F$11)*$A990-(Examples!$F$6*Examples!$F$7*Examples!$F$8*EXP(-Examples!$F$9*$A990)*(1-(Examples!$F$12*(1-EXP(-Examples!$F$13*$A990))/(1+EXP(MIN(700,MAX(-700,(Examples!$F$14*$A990-Examples!$F$15)/Examples!$F$16))))))+Examples!$F$17*$A990^2)</f>
        <v>-2000791.2109713063</v>
      </c>
      <c r="I990" s="33">
        <f>(Examples!$F$6*Examples!$F$7*Examples!$F$8*EXP(-Examples!$F$9*$A990)*(1-(Examples!$F$12*(1-EXP(-Examples!$F$13*$A990))/(1+EXP(MIN(700,MAX(-700,(Examples!$F$14*$A990-Examples!$F$15)/Examples!$F$16))))))+Examples!$F$17*$A990^2)</f>
        <v>1953191.2109713063</v>
      </c>
      <c r="J990" s="33">
        <f>Examples!$G$18-(Examples!$G$10+Examples!$G$11)*$A990-(Examples!$G$6*Examples!$G$7*Examples!$G$8*EXP(-Examples!$G$9*$A990)*(1-(Examples!$G$12*(1-EXP(-Examples!$G$13*$A990))/(1+EXP(MIN(700,MAX(-700,(Examples!$G$14*$A990-Examples!$G$15)/Examples!$G$16))))))+Examples!$G$17*$A990^2)</f>
        <v>162102.096316271</v>
      </c>
      <c r="K990" s="33">
        <f>(Examples!$G$6*Examples!$G$7*Examples!$G$8*EXP(-Examples!$G$9*$A990)*(1-(Examples!$G$12*(1-EXP(-Examples!$G$13*$A990))/(1+EXP(MIN(700,MAX(-700,(Examples!$G$14*$A990-Examples!$G$15)/Examples!$G$16))))))+Examples!$G$17*$A990^2)</f>
        <v>843897.903683729</v>
      </c>
      <c r="L990" s="33">
        <f>Examples!$H$18-(Examples!$H$10+Examples!$H$11)*$A990-(Examples!$H$6*Examples!$H$7*Examples!$H$8*EXP(-Examples!$H$9*$A990)*(1-(Examples!$H$12*(1-EXP(-Examples!$H$13*$A990))/(1+EXP(MIN(700,MAX(-700,(Examples!$H$14*$A990-Examples!$H$15)/Examples!$H$16))))))+Examples!$H$17*$A990^2)</f>
        <v>162099.43111506104</v>
      </c>
      <c r="M990" s="33">
        <f>(Examples!$H$6*Examples!$H$7*Examples!$H$8*EXP(-Examples!$H$9*$A990)*(1-(Examples!$H$12*(1-EXP(-Examples!$H$13*$A990))/(1+EXP(MIN(700,MAX(-700,(Examples!$H$14*$A990-Examples!$H$15)/Examples!$H$16))))))+Examples!$H$17*$A990^2)</f>
        <v>843900.56888493896</v>
      </c>
    </row>
    <row r="991" spans="1:13" x14ac:dyDescent="0.25">
      <c r="A991">
        <f>(991-2)/100</f>
        <v>9.89</v>
      </c>
      <c r="B991" s="33">
        <f>Examples!$C$18-(Examples!$C$10+Examples!$C$11)*$A991-(Examples!$C$6*Examples!$C$7*Examples!$C$8*EXP(-Examples!$C$9*$A991)*(1-(Examples!$C$12*(1-EXP(-Examples!$C$13*$A991))/(1+EXP(MIN(700,MAX(-700,(Examples!$C$14*$A991-Examples!$C$15)/Examples!$C$16))))))+Examples!$C$17*$A991^2)</f>
        <v>-1244205.9708152872</v>
      </c>
      <c r="C991" s="33">
        <f>(Examples!$C$6*Examples!$C$7*Examples!$C$8*EXP(-Examples!$C$9*$A991)*(1-(Examples!$C$12*(1-EXP(-Examples!$C$13*$A991))/(1+EXP(MIN(700,MAX(-700,(Examples!$C$14*$A991-Examples!$C$15)/Examples!$C$16))))))+Examples!$C$17*$A991^2)</f>
        <v>1498055.9708152872</v>
      </c>
      <c r="D991" s="33">
        <f>Examples!$D$18-(Examples!$D$10+Examples!$D$11)*$A991-(Examples!$D$6*Examples!$D$7*Examples!$D$8*EXP(-Examples!$D$9*$A991)*(1-(Examples!$D$12*(1-EXP(-Examples!$D$13*$A991))/(1+EXP(MIN(700,MAX(-700,(Examples!$D$14*$A991-Examples!$D$15)/Examples!$D$16))))))+Examples!$D$17*$A991^2)</f>
        <v>1495867.702801273</v>
      </c>
      <c r="E991" s="33">
        <f>(Examples!$D$6*Examples!$D$7*Examples!$D$8*EXP(-Examples!$D$9*$A991)*(1-(Examples!$D$12*(1-EXP(-Examples!$D$13*$A991))/(1+EXP(MIN(700,MAX(-700,(Examples!$D$14*$A991-Examples!$D$15)/Examples!$D$16))))))+Examples!$D$17*$A991^2)</f>
        <v>559082.29719872703</v>
      </c>
      <c r="F991" s="33">
        <f>Examples!$E$18-(Examples!$E$10+Examples!$E$11)*$A991-(Examples!$E$6*Examples!$E$7*Examples!$E$8*EXP(-Examples!$E$9*$A991)*(1-(Examples!$E$12*(1-EXP(-Examples!$E$13*$A991))/(1+EXP(MIN(700,MAX(-700,(Examples!$E$14*$A991-Examples!$E$15)/Examples!$E$16))))))+Examples!$E$17*$A991^2)</f>
        <v>1847012.6732806489</v>
      </c>
      <c r="G991" s="33">
        <f>(Examples!$E$6*Examples!$E$7*Examples!$E$8*EXP(-Examples!$E$9*$A991)*(1-(Examples!$E$12*(1-EXP(-Examples!$E$13*$A991))/(1+EXP(MIN(700,MAX(-700,(Examples!$E$14*$A991-Examples!$E$15)/Examples!$E$16))))))+Examples!$E$17*$A991^2)</f>
        <v>312337.326719351</v>
      </c>
      <c r="H991" s="33">
        <f>Examples!$F$18-(Examples!$F$10+Examples!$F$11)*$A991-(Examples!$F$6*Examples!$F$7*Examples!$F$8*EXP(-Examples!$F$9*$A991)*(1-(Examples!$F$12*(1-EXP(-Examples!$F$13*$A991))/(1+EXP(MIN(700,MAX(-700,(Examples!$F$14*$A991-Examples!$F$15)/Examples!$F$16))))))+Examples!$F$17*$A991^2)</f>
        <v>-2004942.5053987801</v>
      </c>
      <c r="I991" s="33">
        <f>(Examples!$F$6*Examples!$F$7*Examples!$F$8*EXP(-Examples!$F$9*$A991)*(1-(Examples!$F$12*(1-EXP(-Examples!$F$13*$A991))/(1+EXP(MIN(700,MAX(-700,(Examples!$F$14*$A991-Examples!$F$15)/Examples!$F$16))))))+Examples!$F$17*$A991^2)</f>
        <v>1957142.5053987801</v>
      </c>
      <c r="J991" s="33">
        <f>Examples!$G$18-(Examples!$G$10+Examples!$G$11)*$A991-(Examples!$G$6*Examples!$G$7*Examples!$G$8*EXP(-Examples!$G$9*$A991)*(1-(Examples!$G$12*(1-EXP(-Examples!$G$13*$A991))/(1+EXP(MIN(700,MAX(-700,(Examples!$G$14*$A991-Examples!$G$15)/Examples!$G$16))))))+Examples!$G$17*$A991^2)</f>
        <v>160240.51537895366</v>
      </c>
      <c r="K991" s="33">
        <f>(Examples!$G$6*Examples!$G$7*Examples!$G$8*EXP(-Examples!$G$9*$A991)*(1-(Examples!$G$12*(1-EXP(-Examples!$G$13*$A991))/(1+EXP(MIN(700,MAX(-700,(Examples!$G$14*$A991-Examples!$G$15)/Examples!$G$16))))))+Examples!$G$17*$A991^2)</f>
        <v>845259.48462104634</v>
      </c>
      <c r="L991" s="33">
        <f>Examples!$H$18-(Examples!$H$10+Examples!$H$11)*$A991-(Examples!$H$6*Examples!$H$7*Examples!$H$8*EXP(-Examples!$H$9*$A991)*(1-(Examples!$H$12*(1-EXP(-Examples!$H$13*$A991))/(1+EXP(MIN(700,MAX(-700,(Examples!$H$14*$A991-Examples!$H$15)/Examples!$H$16))))))+Examples!$H$17*$A991^2)</f>
        <v>160237.89457037637</v>
      </c>
      <c r="M991" s="33">
        <f>(Examples!$H$6*Examples!$H$7*Examples!$H$8*EXP(-Examples!$H$9*$A991)*(1-(Examples!$H$12*(1-EXP(-Examples!$H$13*$A991))/(1+EXP(MIN(700,MAX(-700,(Examples!$H$14*$A991-Examples!$H$15)/Examples!$H$16))))))+Examples!$H$17*$A991^2)</f>
        <v>845262.10542962363</v>
      </c>
    </row>
    <row r="992" spans="1:13" x14ac:dyDescent="0.25">
      <c r="A992">
        <f>(992-2)/100</f>
        <v>9.9</v>
      </c>
      <c r="B992" s="33">
        <f>Examples!$C$18-(Examples!$C$10+Examples!$C$11)*$A992-(Examples!$C$6*Examples!$C$7*Examples!$C$8*EXP(-Examples!$C$9*$A992)*(1-(Examples!$C$12*(1-EXP(-Examples!$C$13*$A992))/(1+EXP(MIN(700,MAX(-700,(Examples!$C$14*$A992-Examples!$C$15)/Examples!$C$16))))))+Examples!$C$17*$A992^2)</f>
        <v>-1247431.9861991296</v>
      </c>
      <c r="C992" s="33">
        <f>(Examples!$C$6*Examples!$C$7*Examples!$C$8*EXP(-Examples!$C$9*$A992)*(1-(Examples!$C$12*(1-EXP(-Examples!$C$13*$A992))/(1+EXP(MIN(700,MAX(-700,(Examples!$C$14*$A992-Examples!$C$15)/Examples!$C$16))))))+Examples!$C$17*$A992^2)</f>
        <v>1500931.9861991296</v>
      </c>
      <c r="D992" s="33">
        <f>Examples!$D$18-(Examples!$D$10+Examples!$D$11)*$A992-(Examples!$D$6*Examples!$D$7*Examples!$D$8*EXP(-Examples!$D$9*$A992)*(1-(Examples!$D$12*(1-EXP(-Examples!$D$13*$A992))/(1+EXP(MIN(700,MAX(-700,(Examples!$D$14*$A992-Examples!$D$15)/Examples!$D$16))))))+Examples!$D$17*$A992^2)</f>
        <v>1494742.4010483236</v>
      </c>
      <c r="E992" s="33">
        <f>(Examples!$D$6*Examples!$D$7*Examples!$D$8*EXP(-Examples!$D$9*$A992)*(1-(Examples!$D$12*(1-EXP(-Examples!$D$13*$A992))/(1+EXP(MIN(700,MAX(-700,(Examples!$D$14*$A992-Examples!$D$15)/Examples!$D$16))))))+Examples!$D$17*$A992^2)</f>
        <v>559757.59895167628</v>
      </c>
      <c r="F992" s="33">
        <f>Examples!$E$18-(Examples!$E$10+Examples!$E$11)*$A992-(Examples!$E$6*Examples!$E$7*Examples!$E$8*EXP(-Examples!$E$9*$A992)*(1-(Examples!$E$12*(1-EXP(-Examples!$E$13*$A992))/(1+EXP(MIN(700,MAX(-700,(Examples!$E$14*$A992-Examples!$E$15)/Examples!$E$16))))))+Examples!$E$17*$A992^2)</f>
        <v>1845660.7566729495</v>
      </c>
      <c r="G992" s="33">
        <f>(Examples!$E$6*Examples!$E$7*Examples!$E$8*EXP(-Examples!$E$9*$A992)*(1-(Examples!$E$12*(1-EXP(-Examples!$E$13*$A992))/(1+EXP(MIN(700,MAX(-700,(Examples!$E$14*$A992-Examples!$E$15)/Examples!$E$16))))))+Examples!$E$17*$A992^2)</f>
        <v>312839.24332705053</v>
      </c>
      <c r="H992" s="33">
        <f>Examples!$F$18-(Examples!$F$10+Examples!$F$11)*$A992-(Examples!$F$6*Examples!$F$7*Examples!$F$8*EXP(-Examples!$F$9*$A992)*(1-(Examples!$F$12*(1-EXP(-Examples!$F$13*$A992))/(1+EXP(MIN(700,MAX(-700,(Examples!$F$14*$A992-Examples!$F$15)/Examples!$F$16))))))+Examples!$F$17*$A992^2)</f>
        <v>-2009097.8079308085</v>
      </c>
      <c r="I992" s="33">
        <f>(Examples!$F$6*Examples!$F$7*Examples!$F$8*EXP(-Examples!$F$9*$A992)*(1-(Examples!$F$12*(1-EXP(-Examples!$F$13*$A992))/(1+EXP(MIN(700,MAX(-700,(Examples!$F$14*$A992-Examples!$F$15)/Examples!$F$16))))))+Examples!$F$17*$A992^2)</f>
        <v>1961097.8079308085</v>
      </c>
      <c r="J992" s="33">
        <f>Examples!$G$18-(Examples!$G$10+Examples!$G$11)*$A992-(Examples!$G$6*Examples!$G$7*Examples!$G$8*EXP(-Examples!$G$9*$A992)*(1-(Examples!$G$12*(1-EXP(-Examples!$G$13*$A992))/(1+EXP(MIN(700,MAX(-700,(Examples!$G$14*$A992-Examples!$G$15)/Examples!$G$16))))))+Examples!$G$17*$A992^2)</f>
        <v>158376.56630479405</v>
      </c>
      <c r="K992" s="33">
        <f>(Examples!$G$6*Examples!$G$7*Examples!$G$8*EXP(-Examples!$G$9*$A992)*(1-(Examples!$G$12*(1-EXP(-Examples!$G$13*$A992))/(1+EXP(MIN(700,MAX(-700,(Examples!$G$14*$A992-Examples!$G$15)/Examples!$G$16))))))+Examples!$G$17*$A992^2)</f>
        <v>846623.43369520595</v>
      </c>
      <c r="L992" s="33">
        <f>Examples!$H$18-(Examples!$H$10+Examples!$H$11)*$A992-(Examples!$H$6*Examples!$H$7*Examples!$H$8*EXP(-Examples!$H$9*$A992)*(1-(Examples!$H$12*(1-EXP(-Examples!$H$13*$A992))/(1+EXP(MIN(700,MAX(-700,(Examples!$H$14*$A992-Examples!$H$15)/Examples!$H$16))))))+Examples!$H$17*$A992^2)</f>
        <v>158373.98914991878</v>
      </c>
      <c r="M992" s="33">
        <f>(Examples!$H$6*Examples!$H$7*Examples!$H$8*EXP(-Examples!$H$9*$A992)*(1-(Examples!$H$12*(1-EXP(-Examples!$H$13*$A992))/(1+EXP(MIN(700,MAX(-700,(Examples!$H$14*$A992-Examples!$H$15)/Examples!$H$16))))))+Examples!$H$17*$A992^2)</f>
        <v>846626.01085008122</v>
      </c>
    </row>
    <row r="993" spans="1:13" x14ac:dyDescent="0.25">
      <c r="A993">
        <f>(993-2)/100</f>
        <v>9.91</v>
      </c>
      <c r="B993" s="33">
        <f>Examples!$C$18-(Examples!$C$10+Examples!$C$11)*$A993-(Examples!$C$6*Examples!$C$7*Examples!$C$8*EXP(-Examples!$C$9*$A993)*(1-(Examples!$C$12*(1-EXP(-Examples!$C$13*$A993))/(1+EXP(MIN(700,MAX(-700,(Examples!$C$14*$A993-Examples!$C$15)/Examples!$C$16))))))+Examples!$C$17*$A993^2)</f>
        <v>-1250661.2786210557</v>
      </c>
      <c r="C993" s="33">
        <f>(Examples!$C$6*Examples!$C$7*Examples!$C$8*EXP(-Examples!$C$9*$A993)*(1-(Examples!$C$12*(1-EXP(-Examples!$C$13*$A993))/(1+EXP(MIN(700,MAX(-700,(Examples!$C$14*$A993-Examples!$C$15)/Examples!$C$16))))))+Examples!$C$17*$A993^2)</f>
        <v>1503811.2786210557</v>
      </c>
      <c r="D993" s="33">
        <f>Examples!$D$18-(Examples!$D$10+Examples!$D$11)*$A993-(Examples!$D$6*Examples!$D$7*Examples!$D$8*EXP(-Examples!$D$9*$A993)*(1-(Examples!$D$12*(1-EXP(-Examples!$D$13*$A993))/(1+EXP(MIN(700,MAX(-700,(Examples!$D$14*$A993-Examples!$D$15)/Examples!$D$16))))))+Examples!$D$17*$A993^2)</f>
        <v>1493614.6919664843</v>
      </c>
      <c r="E993" s="33">
        <f>(Examples!$D$6*Examples!$D$7*Examples!$D$8*EXP(-Examples!$D$9*$A993)*(1-(Examples!$D$12*(1-EXP(-Examples!$D$13*$A993))/(1+EXP(MIN(700,MAX(-700,(Examples!$D$14*$A993-Examples!$D$15)/Examples!$D$16))))))+Examples!$D$17*$A993^2)</f>
        <v>560435.3080335157</v>
      </c>
      <c r="F993" s="33">
        <f>Examples!$E$18-(Examples!$E$10+Examples!$E$11)*$A993-(Examples!$E$6*Examples!$E$7*Examples!$E$8*EXP(-Examples!$E$9*$A993)*(1-(Examples!$E$12*(1-EXP(-Examples!$E$13*$A993))/(1+EXP(MIN(700,MAX(-700,(Examples!$E$14*$A993-Examples!$E$15)/Examples!$E$16))))))+Examples!$E$17*$A993^2)</f>
        <v>1844307.8136047251</v>
      </c>
      <c r="G993" s="33">
        <f>(Examples!$E$6*Examples!$E$7*Examples!$E$8*EXP(-Examples!$E$9*$A993)*(1-(Examples!$E$12*(1-EXP(-Examples!$E$13*$A993))/(1+EXP(MIN(700,MAX(-700,(Examples!$E$14*$A993-Examples!$E$15)/Examples!$E$16))))))+Examples!$E$17*$A993^2)</f>
        <v>313342.18639527506</v>
      </c>
      <c r="H993" s="33">
        <f>Examples!$F$18-(Examples!$F$10+Examples!$F$11)*$A993-(Examples!$F$6*Examples!$F$7*Examples!$F$8*EXP(-Examples!$F$9*$A993)*(1-(Examples!$F$12*(1-EXP(-Examples!$F$13*$A993))/(1+EXP(MIN(700,MAX(-700,(Examples!$F$14*$A993-Examples!$F$15)/Examples!$F$16))))))+Examples!$F$17*$A993^2)</f>
        <v>-2013257.1185431147</v>
      </c>
      <c r="I993" s="33">
        <f>(Examples!$F$6*Examples!$F$7*Examples!$F$8*EXP(-Examples!$F$9*$A993)*(1-(Examples!$F$12*(1-EXP(-Examples!$F$13*$A993))/(1+EXP(MIN(700,MAX(-700,(Examples!$F$14*$A993-Examples!$F$15)/Examples!$F$16))))))+Examples!$F$17*$A993^2)</f>
        <v>1965057.1185431147</v>
      </c>
      <c r="J993" s="33">
        <f>Examples!$G$18-(Examples!$G$10+Examples!$G$11)*$A993-(Examples!$G$6*Examples!$G$7*Examples!$G$8*EXP(-Examples!$G$9*$A993)*(1-(Examples!$G$12*(1-EXP(-Examples!$G$13*$A993))/(1+EXP(MIN(700,MAX(-700,(Examples!$G$14*$A993-Examples!$G$15)/Examples!$G$16))))))+Examples!$G$17*$A993^2)</f>
        <v>156510.25176786433</v>
      </c>
      <c r="K993" s="33">
        <f>(Examples!$G$6*Examples!$G$7*Examples!$G$8*EXP(-Examples!$G$9*$A993)*(1-(Examples!$G$12*(1-EXP(-Examples!$G$13*$A993))/(1+EXP(MIN(700,MAX(-700,(Examples!$G$14*$A993-Examples!$G$15)/Examples!$G$16))))))+Examples!$G$17*$A993^2)</f>
        <v>847989.74823213567</v>
      </c>
      <c r="L993" s="33">
        <f>Examples!$H$18-(Examples!$H$10+Examples!$H$11)*$A993-(Examples!$H$6*Examples!$H$7*Examples!$H$8*EXP(-Examples!$H$9*$A993)*(1-(Examples!$H$12*(1-EXP(-Examples!$H$13*$A993))/(1+EXP(MIN(700,MAX(-700,(Examples!$H$14*$A993-Examples!$H$15)/Examples!$H$16))))))+Examples!$H$17*$A993^2)</f>
        <v>156507.71754004911</v>
      </c>
      <c r="M993" s="33">
        <f>(Examples!$H$6*Examples!$H$7*Examples!$H$8*EXP(-Examples!$H$9*$A993)*(1-(Examples!$H$12*(1-EXP(-Examples!$H$13*$A993))/(1+EXP(MIN(700,MAX(-700,(Examples!$H$14*$A993-Examples!$H$15)/Examples!$H$16))))))+Examples!$H$17*$A993^2)</f>
        <v>847992.28245995089</v>
      </c>
    </row>
    <row r="994" spans="1:13" x14ac:dyDescent="0.25">
      <c r="A994">
        <f>(994-2)/100</f>
        <v>9.92</v>
      </c>
      <c r="B994" s="33">
        <f>Examples!$C$18-(Examples!$C$10+Examples!$C$11)*$A994-(Examples!$C$6*Examples!$C$7*Examples!$C$8*EXP(-Examples!$C$9*$A994)*(1-(Examples!$C$12*(1-EXP(-Examples!$C$13*$A994))/(1+EXP(MIN(700,MAX(-700,(Examples!$C$14*$A994-Examples!$C$15)/Examples!$C$16))))))+Examples!$C$17*$A994^2)</f>
        <v>-1253893.8472511966</v>
      </c>
      <c r="C994" s="33">
        <f>(Examples!$C$6*Examples!$C$7*Examples!$C$8*EXP(-Examples!$C$9*$A994)*(1-(Examples!$C$12*(1-EXP(-Examples!$C$13*$A994))/(1+EXP(MIN(700,MAX(-700,(Examples!$C$14*$A994-Examples!$C$15)/Examples!$C$16))))))+Examples!$C$17*$A994^2)</f>
        <v>1506693.8472511966</v>
      </c>
      <c r="D994" s="33">
        <f>Examples!$D$18-(Examples!$D$10+Examples!$D$11)*$A994-(Examples!$D$6*Examples!$D$7*Examples!$D$8*EXP(-Examples!$D$9*$A994)*(1-(Examples!$D$12*(1-EXP(-Examples!$D$13*$A994))/(1+EXP(MIN(700,MAX(-700,(Examples!$D$14*$A994-Examples!$D$15)/Examples!$D$16))))))+Examples!$D$17*$A994^2)</f>
        <v>1492484.5818147897</v>
      </c>
      <c r="E994" s="33">
        <f>(Examples!$D$6*Examples!$D$7*Examples!$D$8*EXP(-Examples!$D$9*$A994)*(1-(Examples!$D$12*(1-EXP(-Examples!$D$13*$A994))/(1+EXP(MIN(700,MAX(-700,(Examples!$D$14*$A994-Examples!$D$15)/Examples!$D$16))))))+Examples!$D$17*$A994^2)</f>
        <v>561115.4181852102</v>
      </c>
      <c r="F994" s="33">
        <f>Examples!$E$18-(Examples!$E$10+Examples!$E$11)*$A994-(Examples!$E$6*Examples!$E$7*Examples!$E$8*EXP(-Examples!$E$9*$A994)*(1-(Examples!$E$12*(1-EXP(-Examples!$E$13*$A994))/(1+EXP(MIN(700,MAX(-700,(Examples!$E$14*$A994-Examples!$E$15)/Examples!$E$16))))))+Examples!$E$17*$A994^2)</f>
        <v>1842953.845814697</v>
      </c>
      <c r="G994" s="33">
        <f>(Examples!$E$6*Examples!$E$7*Examples!$E$8*EXP(-Examples!$E$9*$A994)*(1-(Examples!$E$12*(1-EXP(-Examples!$E$13*$A994))/(1+EXP(MIN(700,MAX(-700,(Examples!$E$14*$A994-Examples!$E$15)/Examples!$E$16))))))+Examples!$E$17*$A994^2)</f>
        <v>313846.15418530308</v>
      </c>
      <c r="H994" s="33">
        <f>Examples!$F$18-(Examples!$F$10+Examples!$F$11)*$A994-(Examples!$F$6*Examples!$F$7*Examples!$F$8*EXP(-Examples!$F$9*$A994)*(1-(Examples!$F$12*(1-EXP(-Examples!$F$13*$A994))/(1+EXP(MIN(700,MAX(-700,(Examples!$F$14*$A994-Examples!$F$15)/Examples!$F$16))))))+Examples!$F$17*$A994^2)</f>
        <v>-2017420.4372114937</v>
      </c>
      <c r="I994" s="33">
        <f>(Examples!$F$6*Examples!$F$7*Examples!$F$8*EXP(-Examples!$F$9*$A994)*(1-(Examples!$F$12*(1-EXP(-Examples!$F$13*$A994))/(1+EXP(MIN(700,MAX(-700,(Examples!$F$14*$A994-Examples!$F$15)/Examples!$F$16))))))+Examples!$F$17*$A994^2)</f>
        <v>1969020.4372114937</v>
      </c>
      <c r="J994" s="33">
        <f>Examples!$G$18-(Examples!$G$10+Examples!$G$11)*$A994-(Examples!$G$6*Examples!$G$7*Examples!$G$8*EXP(-Examples!$G$9*$A994)*(1-(Examples!$G$12*(1-EXP(-Examples!$G$13*$A994))/(1+EXP(MIN(700,MAX(-700,(Examples!$G$14*$A994-Examples!$G$15)/Examples!$G$16))))))+Examples!$G$17*$A994^2)</f>
        <v>154641.57443305512</v>
      </c>
      <c r="K994" s="33">
        <f>(Examples!$G$6*Examples!$G$7*Examples!$G$8*EXP(-Examples!$G$9*$A994)*(1-(Examples!$G$12*(1-EXP(-Examples!$G$13*$A994))/(1+EXP(MIN(700,MAX(-700,(Examples!$G$14*$A994-Examples!$G$15)/Examples!$G$16))))))+Examples!$G$17*$A994^2)</f>
        <v>849358.42556694488</v>
      </c>
      <c r="L994" s="33">
        <f>Examples!$H$18-(Examples!$H$10+Examples!$H$11)*$A994-(Examples!$H$6*Examples!$H$7*Examples!$H$8*EXP(-Examples!$H$9*$A994)*(1-(Examples!$H$12*(1-EXP(-Examples!$H$13*$A994))/(1+EXP(MIN(700,MAX(-700,(Examples!$H$14*$A994-Examples!$H$15)/Examples!$H$16))))))+Examples!$H$17*$A994^2)</f>
        <v>154639.08241774316</v>
      </c>
      <c r="M994" s="33">
        <f>(Examples!$H$6*Examples!$H$7*Examples!$H$8*EXP(-Examples!$H$9*$A994)*(1-(Examples!$H$12*(1-EXP(-Examples!$H$13*$A994))/(1+EXP(MIN(700,MAX(-700,(Examples!$H$14*$A994-Examples!$H$15)/Examples!$H$16))))))+Examples!$H$17*$A994^2)</f>
        <v>849360.91758225684</v>
      </c>
    </row>
    <row r="995" spans="1:13" x14ac:dyDescent="0.25">
      <c r="A995">
        <f>(995-2)/100</f>
        <v>9.93</v>
      </c>
      <c r="B995" s="33">
        <f>Examples!$C$18-(Examples!$C$10+Examples!$C$11)*$A995-(Examples!$C$6*Examples!$C$7*Examples!$C$8*EXP(-Examples!$C$9*$A995)*(1-(Examples!$C$12*(1-EXP(-Examples!$C$13*$A995))/(1+EXP(MIN(700,MAX(-700,(Examples!$C$14*$A995-Examples!$C$15)/Examples!$C$16))))))+Examples!$C$17*$A995^2)</f>
        <v>-1257129.6912621693</v>
      </c>
      <c r="C995" s="33">
        <f>(Examples!$C$6*Examples!$C$7*Examples!$C$8*EXP(-Examples!$C$9*$A995)*(1-(Examples!$C$12*(1-EXP(-Examples!$C$13*$A995))/(1+EXP(MIN(700,MAX(-700,(Examples!$C$14*$A995-Examples!$C$15)/Examples!$C$16))))))+Examples!$C$17*$A995^2)</f>
        <v>1509579.6912621693</v>
      </c>
      <c r="D995" s="33">
        <f>Examples!$D$18-(Examples!$D$10+Examples!$D$11)*$A995-(Examples!$D$6*Examples!$D$7*Examples!$D$8*EXP(-Examples!$D$9*$A995)*(1-(Examples!$D$12*(1-EXP(-Examples!$D$13*$A995))/(1+EXP(MIN(700,MAX(-700,(Examples!$D$14*$A995-Examples!$D$15)/Examples!$D$16))))))+Examples!$D$17*$A995^2)</f>
        <v>1491352.0768252248</v>
      </c>
      <c r="E995" s="33">
        <f>(Examples!$D$6*Examples!$D$7*Examples!$D$8*EXP(-Examples!$D$9*$A995)*(1-(Examples!$D$12*(1-EXP(-Examples!$D$13*$A995))/(1+EXP(MIN(700,MAX(-700,(Examples!$D$14*$A995-Examples!$D$15)/Examples!$D$16))))))+Examples!$D$17*$A995^2)</f>
        <v>561797.92317477521</v>
      </c>
      <c r="F995" s="33">
        <f>Examples!$E$18-(Examples!$E$10+Examples!$E$11)*$A995-(Examples!$E$6*Examples!$E$7*Examples!$E$8*EXP(-Examples!$E$9*$A995)*(1-(Examples!$E$12*(1-EXP(-Examples!$E$13*$A995))/(1+EXP(MIN(700,MAX(-700,(Examples!$E$14*$A995-Examples!$E$15)/Examples!$E$16))))))+Examples!$E$17*$A995^2)</f>
        <v>1841598.8550376052</v>
      </c>
      <c r="G995" s="33">
        <f>(Examples!$E$6*Examples!$E$7*Examples!$E$8*EXP(-Examples!$E$9*$A995)*(1-(Examples!$E$12*(1-EXP(-Examples!$E$13*$A995))/(1+EXP(MIN(700,MAX(-700,(Examples!$E$14*$A995-Examples!$E$15)/Examples!$E$16))))))+Examples!$E$17*$A995^2)</f>
        <v>314351.1449623949</v>
      </c>
      <c r="H995" s="33">
        <f>Examples!$F$18-(Examples!$F$10+Examples!$F$11)*$A995-(Examples!$F$6*Examples!$F$7*Examples!$F$8*EXP(-Examples!$F$9*$A995)*(1-(Examples!$F$12*(1-EXP(-Examples!$F$13*$A995))/(1+EXP(MIN(700,MAX(-700,(Examples!$F$14*$A995-Examples!$F$15)/Examples!$F$16))))))+Examples!$F$17*$A995^2)</f>
        <v>-2021587.7639118137</v>
      </c>
      <c r="I995" s="33">
        <f>(Examples!$F$6*Examples!$F$7*Examples!$F$8*EXP(-Examples!$F$9*$A995)*(1-(Examples!$F$12*(1-EXP(-Examples!$F$13*$A995))/(1+EXP(MIN(700,MAX(-700,(Examples!$F$14*$A995-Examples!$F$15)/Examples!$F$16))))))+Examples!$F$17*$A995^2)</f>
        <v>1972987.7639118137</v>
      </c>
      <c r="J995" s="33">
        <f>Examples!$G$18-(Examples!$G$10+Examples!$G$11)*$A995-(Examples!$G$6*Examples!$G$7*Examples!$G$8*EXP(-Examples!$G$9*$A995)*(1-(Examples!$G$12*(1-EXP(-Examples!$G$13*$A995))/(1+EXP(MIN(700,MAX(-700,(Examples!$G$14*$A995-Examples!$G$15)/Examples!$G$16))))))+Examples!$G$17*$A995^2)</f>
        <v>152770.53695610492</v>
      </c>
      <c r="K995" s="33">
        <f>(Examples!$G$6*Examples!$G$7*Examples!$G$8*EXP(-Examples!$G$9*$A995)*(1-(Examples!$G$12*(1-EXP(-Examples!$G$13*$A995))/(1+EXP(MIN(700,MAX(-700,(Examples!$G$14*$A995-Examples!$G$15)/Examples!$G$16))))))+Examples!$G$17*$A995^2)</f>
        <v>850729.46304389508</v>
      </c>
      <c r="L995" s="33">
        <f>Examples!$H$18-(Examples!$H$10+Examples!$H$11)*$A995-(Examples!$H$6*Examples!$H$7*Examples!$H$8*EXP(-Examples!$H$9*$A995)*(1-(Examples!$H$12*(1-EXP(-Examples!$H$13*$A995))/(1+EXP(MIN(700,MAX(-700,(Examples!$H$14*$A995-Examples!$H$15)/Examples!$H$16))))))+Examples!$H$17*$A995^2)</f>
        <v>152768.08645062312</v>
      </c>
      <c r="M995" s="33">
        <f>(Examples!$H$6*Examples!$H$7*Examples!$H$8*EXP(-Examples!$H$9*$A995)*(1-(Examples!$H$12*(1-EXP(-Examples!$H$13*$A995))/(1+EXP(MIN(700,MAX(-700,(Examples!$H$14*$A995-Examples!$H$15)/Examples!$H$16))))))+Examples!$H$17*$A995^2)</f>
        <v>850731.91354937688</v>
      </c>
    </row>
    <row r="996" spans="1:13" x14ac:dyDescent="0.25">
      <c r="A996">
        <f>(996-2)/100</f>
        <v>9.94</v>
      </c>
      <c r="B996" s="33">
        <f>Examples!$C$18-(Examples!$C$10+Examples!$C$11)*$A996-(Examples!$C$6*Examples!$C$7*Examples!$C$8*EXP(-Examples!$C$9*$A996)*(1-(Examples!$C$12*(1-EXP(-Examples!$C$13*$A996))/(1+EXP(MIN(700,MAX(-700,(Examples!$C$14*$A996-Examples!$C$15)/Examples!$C$16))))))+Examples!$C$17*$A996^2)</f>
        <v>-1260368.8098290688</v>
      </c>
      <c r="C996" s="33">
        <f>(Examples!$C$6*Examples!$C$7*Examples!$C$8*EXP(-Examples!$C$9*$A996)*(1-(Examples!$C$12*(1-EXP(-Examples!$C$13*$A996))/(1+EXP(MIN(700,MAX(-700,(Examples!$C$14*$A996-Examples!$C$15)/Examples!$C$16))))))+Examples!$C$17*$A996^2)</f>
        <v>1512468.8098290688</v>
      </c>
      <c r="D996" s="33">
        <f>Examples!$D$18-(Examples!$D$10+Examples!$D$11)*$A996-(Examples!$D$6*Examples!$D$7*Examples!$D$8*EXP(-Examples!$D$9*$A996)*(1-(Examples!$D$12*(1-EXP(-Examples!$D$13*$A996))/(1+EXP(MIN(700,MAX(-700,(Examples!$D$14*$A996-Examples!$D$15)/Examples!$D$16))))))+Examples!$D$17*$A996^2)</f>
        <v>1490217.1832028267</v>
      </c>
      <c r="E996" s="33">
        <f>(Examples!$D$6*Examples!$D$7*Examples!$D$8*EXP(-Examples!$D$9*$A996)*(1-(Examples!$D$12*(1-EXP(-Examples!$D$13*$A996))/(1+EXP(MIN(700,MAX(-700,(Examples!$D$14*$A996-Examples!$D$15)/Examples!$D$16))))))+Examples!$D$17*$A996^2)</f>
        <v>562482.81679717335</v>
      </c>
      <c r="F996" s="33">
        <f>Examples!$E$18-(Examples!$E$10+Examples!$E$11)*$A996-(Examples!$E$6*Examples!$E$7*Examples!$E$8*EXP(-Examples!$E$9*$A996)*(1-(Examples!$E$12*(1-EXP(-Examples!$E$13*$A996))/(1+EXP(MIN(700,MAX(-700,(Examples!$E$14*$A996-Examples!$E$15)/Examples!$E$16))))))+Examples!$E$17*$A996^2)</f>
        <v>1840242.8430041727</v>
      </c>
      <c r="G996" s="33">
        <f>(Examples!$E$6*Examples!$E$7*Examples!$E$8*EXP(-Examples!$E$9*$A996)*(1-(Examples!$E$12*(1-EXP(-Examples!$E$13*$A996))/(1+EXP(MIN(700,MAX(-700,(Examples!$E$14*$A996-Examples!$E$15)/Examples!$E$16))))))+Examples!$E$17*$A996^2)</f>
        <v>314857.15699582745</v>
      </c>
      <c r="H996" s="33">
        <f>Examples!$F$18-(Examples!$F$10+Examples!$F$11)*$A996-(Examples!$F$6*Examples!$F$7*Examples!$F$8*EXP(-Examples!$F$9*$A996)*(1-(Examples!$F$12*(1-EXP(-Examples!$F$13*$A996))/(1+EXP(MIN(700,MAX(-700,(Examples!$F$14*$A996-Examples!$F$15)/Examples!$F$16))))))+Examples!$F$17*$A996^2)</f>
        <v>-2025759.0986200147</v>
      </c>
      <c r="I996" s="33">
        <f>(Examples!$F$6*Examples!$F$7*Examples!$F$8*EXP(-Examples!$F$9*$A996)*(1-(Examples!$F$12*(1-EXP(-Examples!$F$13*$A996))/(1+EXP(MIN(700,MAX(-700,(Examples!$F$14*$A996-Examples!$F$15)/Examples!$F$16))))))+Examples!$F$17*$A996^2)</f>
        <v>1976959.0986200147</v>
      </c>
      <c r="J996" s="33">
        <f>Examples!$G$18-(Examples!$G$10+Examples!$G$11)*$A996-(Examples!$G$6*Examples!$G$7*Examples!$G$8*EXP(-Examples!$G$9*$A996)*(1-(Examples!$G$12*(1-EXP(-Examples!$G$13*$A996))/(1+EXP(MIN(700,MAX(-700,(Examples!$G$14*$A996-Examples!$G$15)/Examples!$G$16))))))+Examples!$G$17*$A996^2)</f>
        <v>150897.14198362886</v>
      </c>
      <c r="K996" s="33">
        <f>(Examples!$G$6*Examples!$G$7*Examples!$G$8*EXP(-Examples!$G$9*$A996)*(1-(Examples!$G$12*(1-EXP(-Examples!$G$13*$A996))/(1+EXP(MIN(700,MAX(-700,(Examples!$G$14*$A996-Examples!$G$15)/Examples!$G$16))))))+Examples!$G$17*$A996^2)</f>
        <v>852102.85801637114</v>
      </c>
      <c r="L996" s="33">
        <f>Examples!$H$18-(Examples!$H$10+Examples!$H$11)*$A996-(Examples!$H$6*Examples!$H$7*Examples!$H$8*EXP(-Examples!$H$9*$A996)*(1-(Examples!$H$12*(1-EXP(-Examples!$H$13*$A996))/(1+EXP(MIN(700,MAX(-700,(Examples!$H$14*$A996-Examples!$H$15)/Examples!$H$16))))))+Examples!$H$17*$A996^2)</f>
        <v>150894.73229699093</v>
      </c>
      <c r="M996" s="33">
        <f>(Examples!$H$6*Examples!$H$7*Examples!$H$8*EXP(-Examples!$H$9*$A996)*(1-(Examples!$H$12*(1-EXP(-Examples!$H$13*$A996))/(1+EXP(MIN(700,MAX(-700,(Examples!$H$14*$A996-Examples!$H$15)/Examples!$H$16))))))+Examples!$H$17*$A996^2)</f>
        <v>852105.26770300907</v>
      </c>
    </row>
    <row r="997" spans="1:13" x14ac:dyDescent="0.25">
      <c r="A997">
        <f>(997-2)/100</f>
        <v>9.9499999999999993</v>
      </c>
      <c r="B997" s="33">
        <f>Examples!$C$18-(Examples!$C$10+Examples!$C$11)*$A997-(Examples!$C$6*Examples!$C$7*Examples!$C$8*EXP(-Examples!$C$9*$A997)*(1-(Examples!$C$12*(1-EXP(-Examples!$C$13*$A997))/(1+EXP(MIN(700,MAX(-700,(Examples!$C$14*$A997-Examples!$C$15)/Examples!$C$16))))))+Examples!$C$17*$A997^2)</f>
        <v>-1263611.2021294623</v>
      </c>
      <c r="C997" s="33">
        <f>(Examples!$C$6*Examples!$C$7*Examples!$C$8*EXP(-Examples!$C$9*$A997)*(1-(Examples!$C$12*(1-EXP(-Examples!$C$13*$A997))/(1+EXP(MIN(700,MAX(-700,(Examples!$C$14*$A997-Examples!$C$15)/Examples!$C$16))))))+Examples!$C$17*$A997^2)</f>
        <v>1515361.2021294623</v>
      </c>
      <c r="D997" s="33">
        <f>Examples!$D$18-(Examples!$D$10+Examples!$D$11)*$A997-(Examples!$D$6*Examples!$D$7*Examples!$D$8*EXP(-Examples!$D$9*$A997)*(1-(Examples!$D$12*(1-EXP(-Examples!$D$13*$A997))/(1+EXP(MIN(700,MAX(-700,(Examples!$D$14*$A997-Examples!$D$15)/Examples!$D$16))))))+Examples!$D$17*$A997^2)</f>
        <v>1489079.9071257873</v>
      </c>
      <c r="E997" s="33">
        <f>(Examples!$D$6*Examples!$D$7*Examples!$D$8*EXP(-Examples!$D$9*$A997)*(1-(Examples!$D$12*(1-EXP(-Examples!$D$13*$A997))/(1+EXP(MIN(700,MAX(-700,(Examples!$D$14*$A997-Examples!$D$15)/Examples!$D$16))))))+Examples!$D$17*$A997^2)</f>
        <v>563170.09287421277</v>
      </c>
      <c r="F997" s="33">
        <f>Examples!$E$18-(Examples!$E$10+Examples!$E$11)*$A997-(Examples!$E$6*Examples!$E$7*Examples!$E$8*EXP(-Examples!$E$9*$A997)*(1-(Examples!$E$12*(1-EXP(-Examples!$E$13*$A997))/(1+EXP(MIN(700,MAX(-700,(Examples!$E$14*$A997-Examples!$E$15)/Examples!$E$16))))))+Examples!$E$17*$A997^2)</f>
        <v>1838885.8114410727</v>
      </c>
      <c r="G997" s="33">
        <f>(Examples!$E$6*Examples!$E$7*Examples!$E$8*EXP(-Examples!$E$9*$A997)*(1-(Examples!$E$12*(1-EXP(-Examples!$E$13*$A997))/(1+EXP(MIN(700,MAX(-700,(Examples!$E$14*$A997-Examples!$E$15)/Examples!$E$16))))))+Examples!$E$17*$A997^2)</f>
        <v>315364.18855892733</v>
      </c>
      <c r="H997" s="33">
        <f>Examples!$F$18-(Examples!$F$10+Examples!$F$11)*$A997-(Examples!$F$6*Examples!$F$7*Examples!$F$8*EXP(-Examples!$F$9*$A997)*(1-(Examples!$F$12*(1-EXP(-Examples!$F$13*$A997))/(1+EXP(MIN(700,MAX(-700,(Examples!$F$14*$A997-Examples!$F$15)/Examples!$F$16))))))+Examples!$F$17*$A997^2)</f>
        <v>-2029934.4413121096</v>
      </c>
      <c r="I997" s="33">
        <f>(Examples!$F$6*Examples!$F$7*Examples!$F$8*EXP(-Examples!$F$9*$A997)*(1-(Examples!$F$12*(1-EXP(-Examples!$F$13*$A997))/(1+EXP(MIN(700,MAX(-700,(Examples!$F$14*$A997-Examples!$F$15)/Examples!$F$16))))))+Examples!$F$17*$A997^2)</f>
        <v>1980934.4413121096</v>
      </c>
      <c r="J997" s="33">
        <f>Examples!$G$18-(Examples!$G$10+Examples!$G$11)*$A997-(Examples!$G$6*Examples!$G$7*Examples!$G$8*EXP(-Examples!$G$9*$A997)*(1-(Examples!$G$12*(1-EXP(-Examples!$G$13*$A997))/(1+EXP(MIN(700,MAX(-700,(Examples!$G$14*$A997-Examples!$G$15)/Examples!$G$16))))))+Examples!$G$17*$A997^2)</f>
        <v>149021.39215314889</v>
      </c>
      <c r="K997" s="33">
        <f>(Examples!$G$6*Examples!$G$7*Examples!$G$8*EXP(-Examples!$G$9*$A997)*(1-(Examples!$G$12*(1-EXP(-Examples!$G$13*$A997))/(1+EXP(MIN(700,MAX(-700,(Examples!$G$14*$A997-Examples!$G$15)/Examples!$G$16))))))+Examples!$G$17*$A997^2)</f>
        <v>853478.60784685111</v>
      </c>
      <c r="L997" s="33">
        <f>Examples!$H$18-(Examples!$H$10+Examples!$H$11)*$A997-(Examples!$H$6*Examples!$H$7*Examples!$H$8*EXP(-Examples!$H$9*$A997)*(1-(Examples!$H$12*(1-EXP(-Examples!$H$13*$A997))/(1+EXP(MIN(700,MAX(-700,(Examples!$H$14*$A997-Examples!$H$15)/Examples!$H$16))))))+Examples!$H$17*$A997^2)</f>
        <v>149019.02260586096</v>
      </c>
      <c r="M997" s="33">
        <f>(Examples!$H$6*Examples!$H$7*Examples!$H$8*EXP(-Examples!$H$9*$A997)*(1-(Examples!$H$12*(1-EXP(-Examples!$H$13*$A997))/(1+EXP(MIN(700,MAX(-700,(Examples!$H$14*$A997-Examples!$H$15)/Examples!$H$16))))))+Examples!$H$17*$A997^2)</f>
        <v>853480.97739413904</v>
      </c>
    </row>
    <row r="998" spans="1:13" x14ac:dyDescent="0.25">
      <c r="A998">
        <f>(998-2)/100</f>
        <v>9.9600000000000009</v>
      </c>
      <c r="B998" s="33">
        <f>Examples!$C$18-(Examples!$C$10+Examples!$C$11)*$A998-(Examples!$C$6*Examples!$C$7*Examples!$C$8*EXP(-Examples!$C$9*$A998)*(1-(Examples!$C$12*(1-EXP(-Examples!$C$13*$A998))/(1+EXP(MIN(700,MAX(-700,(Examples!$C$14*$A998-Examples!$C$15)/Examples!$C$16))))))+Examples!$C$17*$A998^2)</f>
        <v>-1266856.8673433803</v>
      </c>
      <c r="C998" s="33">
        <f>(Examples!$C$6*Examples!$C$7*Examples!$C$8*EXP(-Examples!$C$9*$A998)*(1-(Examples!$C$12*(1-EXP(-Examples!$C$13*$A998))/(1+EXP(MIN(700,MAX(-700,(Examples!$C$14*$A998-Examples!$C$15)/Examples!$C$16))))))+Examples!$C$17*$A998^2)</f>
        <v>1518256.8673433803</v>
      </c>
      <c r="D998" s="33">
        <f>Examples!$D$18-(Examples!$D$10+Examples!$D$11)*$A998-(Examples!$D$6*Examples!$D$7*Examples!$D$8*EXP(-Examples!$D$9*$A998)*(1-(Examples!$D$12*(1-EXP(-Examples!$D$13*$A998))/(1+EXP(MIN(700,MAX(-700,(Examples!$D$14*$A998-Examples!$D$15)/Examples!$D$16))))))+Examples!$D$17*$A998^2)</f>
        <v>1487940.2547455567</v>
      </c>
      <c r="E998" s="33">
        <f>(Examples!$D$6*Examples!$D$7*Examples!$D$8*EXP(-Examples!$D$9*$A998)*(1-(Examples!$D$12*(1-EXP(-Examples!$D$13*$A998))/(1+EXP(MIN(700,MAX(-700,(Examples!$D$14*$A998-Examples!$D$15)/Examples!$D$16))))))+Examples!$D$17*$A998^2)</f>
        <v>563859.74525444326</v>
      </c>
      <c r="F998" s="33">
        <f>Examples!$E$18-(Examples!$E$10+Examples!$E$11)*$A998-(Examples!$E$6*Examples!$E$7*Examples!$E$8*EXP(-Examples!$E$9*$A998)*(1-(Examples!$E$12*(1-EXP(-Examples!$E$13*$A998))/(1+EXP(MIN(700,MAX(-700,(Examples!$E$14*$A998-Examples!$E$15)/Examples!$E$16))))))+Examples!$E$17*$A998^2)</f>
        <v>1837527.7620708961</v>
      </c>
      <c r="G998" s="33">
        <f>(Examples!$E$6*Examples!$E$7*Examples!$E$8*EXP(-Examples!$E$9*$A998)*(1-(Examples!$E$12*(1-EXP(-Examples!$E$13*$A998))/(1+EXP(MIN(700,MAX(-700,(Examples!$E$14*$A998-Examples!$E$15)/Examples!$E$16))))))+Examples!$E$17*$A998^2)</f>
        <v>315872.23792910395</v>
      </c>
      <c r="H998" s="33">
        <f>Examples!$F$18-(Examples!$F$10+Examples!$F$11)*$A998-(Examples!$F$6*Examples!$F$7*Examples!$F$8*EXP(-Examples!$F$9*$A998)*(1-(Examples!$F$12*(1-EXP(-Examples!$F$13*$A998))/(1+EXP(MIN(700,MAX(-700,(Examples!$F$14*$A998-Examples!$F$15)/Examples!$F$16))))))+Examples!$F$17*$A998^2)</f>
        <v>-2034113.7919641826</v>
      </c>
      <c r="I998" s="33">
        <f>(Examples!$F$6*Examples!$F$7*Examples!$F$8*EXP(-Examples!$F$9*$A998)*(1-(Examples!$F$12*(1-EXP(-Examples!$F$13*$A998))/(1+EXP(MIN(700,MAX(-700,(Examples!$F$14*$A998-Examples!$F$15)/Examples!$F$16))))))+Examples!$F$17*$A998^2)</f>
        <v>1984913.7919641826</v>
      </c>
      <c r="J998" s="33">
        <f>Examples!$G$18-(Examples!$G$10+Examples!$G$11)*$A998-(Examples!$G$6*Examples!$G$7*Examples!$G$8*EXP(-Examples!$G$9*$A998)*(1-(Examples!$G$12*(1-EXP(-Examples!$G$13*$A998))/(1+EXP(MIN(700,MAX(-700,(Examples!$G$14*$A998-Examples!$G$15)/Examples!$G$16))))))+Examples!$G$17*$A998^2)</f>
        <v>147143.29009312182</v>
      </c>
      <c r="K998" s="33">
        <f>(Examples!$G$6*Examples!$G$7*Examples!$G$8*EXP(-Examples!$G$9*$A998)*(1-(Examples!$G$12*(1-EXP(-Examples!$G$13*$A998))/(1+EXP(MIN(700,MAX(-700,(Examples!$G$14*$A998-Examples!$G$15)/Examples!$G$16))))))+Examples!$G$17*$A998^2)</f>
        <v>854856.70990687818</v>
      </c>
      <c r="L998" s="33">
        <f>Examples!$H$18-(Examples!$H$10+Examples!$H$11)*$A998-(Examples!$H$6*Examples!$H$7*Examples!$H$8*EXP(-Examples!$H$9*$A998)*(1-(Examples!$H$12*(1-EXP(-Examples!$H$13*$A998))/(1+EXP(MIN(700,MAX(-700,(Examples!$H$14*$A998-Examples!$H$15)/Examples!$H$16))))))+Examples!$H$17*$A998^2)</f>
        <v>147140.96001699171</v>
      </c>
      <c r="M998" s="33">
        <f>(Examples!$H$6*Examples!$H$7*Examples!$H$8*EXP(-Examples!$H$9*$A998)*(1-(Examples!$H$12*(1-EXP(-Examples!$H$13*$A998))/(1+EXP(MIN(700,MAX(-700,(Examples!$H$14*$A998-Examples!$H$15)/Examples!$H$16))))))+Examples!$H$17*$A998^2)</f>
        <v>854859.03998300829</v>
      </c>
    </row>
    <row r="999" spans="1:13" x14ac:dyDescent="0.25">
      <c r="A999">
        <f>(999-2)/100</f>
        <v>9.9700000000000006</v>
      </c>
      <c r="B999" s="33">
        <f>Examples!$C$18-(Examples!$C$10+Examples!$C$11)*$A999-(Examples!$C$6*Examples!$C$7*Examples!$C$8*EXP(-Examples!$C$9*$A999)*(1-(Examples!$C$12*(1-EXP(-Examples!$C$13*$A999))/(1+EXP(MIN(700,MAX(-700,(Examples!$C$14*$A999-Examples!$C$15)/Examples!$C$16))))))+Examples!$C$17*$A999^2)</f>
        <v>-1270105.8046533077</v>
      </c>
      <c r="C999" s="33">
        <f>(Examples!$C$6*Examples!$C$7*Examples!$C$8*EXP(-Examples!$C$9*$A999)*(1-(Examples!$C$12*(1-EXP(-Examples!$C$13*$A999))/(1+EXP(MIN(700,MAX(-700,(Examples!$C$14*$A999-Examples!$C$15)/Examples!$C$16))))))+Examples!$C$17*$A999^2)</f>
        <v>1521155.8046533077</v>
      </c>
      <c r="D999" s="33">
        <f>Examples!$D$18-(Examples!$D$10+Examples!$D$11)*$A999-(Examples!$D$6*Examples!$D$7*Examples!$D$8*EXP(-Examples!$D$9*$A999)*(1-(Examples!$D$12*(1-EXP(-Examples!$D$13*$A999))/(1+EXP(MIN(700,MAX(-700,(Examples!$D$14*$A999-Examples!$D$15)/Examples!$D$16))))))+Examples!$D$17*$A999^2)</f>
        <v>1486798.2321869461</v>
      </c>
      <c r="E999" s="33">
        <f>(Examples!$D$6*Examples!$D$7*Examples!$D$8*EXP(-Examples!$D$9*$A999)*(1-(Examples!$D$12*(1-EXP(-Examples!$D$13*$A999))/(1+EXP(MIN(700,MAX(-700,(Examples!$D$14*$A999-Examples!$D$15)/Examples!$D$16))))))+Examples!$D$17*$A999^2)</f>
        <v>564551.76781305403</v>
      </c>
      <c r="F999" s="33">
        <f>Examples!$E$18-(Examples!$E$10+Examples!$E$11)*$A999-(Examples!$E$6*Examples!$E$7*Examples!$E$8*EXP(-Examples!$E$9*$A999)*(1-(Examples!$E$12*(1-EXP(-Examples!$E$13*$A999))/(1+EXP(MIN(700,MAX(-700,(Examples!$E$14*$A999-Examples!$E$15)/Examples!$E$16))))))+Examples!$E$17*$A999^2)</f>
        <v>1836168.696612119</v>
      </c>
      <c r="G999" s="33">
        <f>(Examples!$E$6*Examples!$E$7*Examples!$E$8*EXP(-Examples!$E$9*$A999)*(1-(Examples!$E$12*(1-EXP(-Examples!$E$13*$A999))/(1+EXP(MIN(700,MAX(-700,(Examples!$E$14*$A999-Examples!$E$15)/Examples!$E$16))))))+Examples!$E$17*$A999^2)</f>
        <v>316381.30338788097</v>
      </c>
      <c r="H999" s="33">
        <f>Examples!$F$18-(Examples!$F$10+Examples!$F$11)*$A999-(Examples!$F$6*Examples!$F$7*Examples!$F$8*EXP(-Examples!$F$9*$A999)*(1-(Examples!$F$12*(1-EXP(-Examples!$F$13*$A999))/(1+EXP(MIN(700,MAX(-700,(Examples!$F$14*$A999-Examples!$F$15)/Examples!$F$16))))))+Examples!$F$17*$A999^2)</f>
        <v>-2038297.150552389</v>
      </c>
      <c r="I999" s="33">
        <f>(Examples!$F$6*Examples!$F$7*Examples!$F$8*EXP(-Examples!$F$9*$A999)*(1-(Examples!$F$12*(1-EXP(-Examples!$F$13*$A999))/(1+EXP(MIN(700,MAX(-700,(Examples!$F$14*$A999-Examples!$F$15)/Examples!$F$16))))))+Examples!$F$17*$A999^2)</f>
        <v>1988897.150552389</v>
      </c>
      <c r="J999" s="33">
        <f>Examples!$G$18-(Examples!$G$10+Examples!$G$11)*$A999-(Examples!$G$6*Examples!$G$7*Examples!$G$8*EXP(-Examples!$G$9*$A999)*(1-(Examples!$G$12*(1-EXP(-Examples!$G$13*$A999))/(1+EXP(MIN(700,MAX(-700,(Examples!$G$14*$A999-Examples!$G$15)/Examples!$G$16))))))+Examples!$G$17*$A999^2)</f>
        <v>145262.8384229705</v>
      </c>
      <c r="K999" s="33">
        <f>(Examples!$G$6*Examples!$G$7*Examples!$G$8*EXP(-Examples!$G$9*$A999)*(1-(Examples!$G$12*(1-EXP(-Examples!$G$13*$A999))/(1+EXP(MIN(700,MAX(-700,(Examples!$G$14*$A999-Examples!$G$15)/Examples!$G$16))))))+Examples!$G$17*$A999^2)</f>
        <v>856237.1615770295</v>
      </c>
      <c r="L999" s="33">
        <f>Examples!$H$18-(Examples!$H$10+Examples!$H$11)*$A999-(Examples!$H$6*Examples!$H$7*Examples!$H$8*EXP(-Examples!$H$9*$A999)*(1-(Examples!$H$12*(1-EXP(-Examples!$H$13*$A999))/(1+EXP(MIN(700,MAX(-700,(Examples!$H$14*$A999-Examples!$H$15)/Examples!$H$16))))))+Examples!$H$17*$A999^2)</f>
        <v>145260.54716091976</v>
      </c>
      <c r="M999" s="33">
        <f>(Examples!$H$6*Examples!$H$7*Examples!$H$8*EXP(-Examples!$H$9*$A999)*(1-(Examples!$H$12*(1-EXP(-Examples!$H$13*$A999))/(1+EXP(MIN(700,MAX(-700,(Examples!$H$14*$A999-Examples!$H$15)/Examples!$H$16))))))+Examples!$H$17*$A999^2)</f>
        <v>856239.45283908024</v>
      </c>
    </row>
    <row r="1000" spans="1:13" x14ac:dyDescent="0.25">
      <c r="A1000">
        <f>(1000-2)/100</f>
        <v>9.98</v>
      </c>
      <c r="B1000" s="33">
        <f>Examples!$C$18-(Examples!$C$10+Examples!$C$11)*$A1000-(Examples!$C$6*Examples!$C$7*Examples!$C$8*EXP(-Examples!$C$9*$A1000)*(1-(Examples!$C$12*(1-EXP(-Examples!$C$13*$A1000))/(1+EXP(MIN(700,MAX(-700,(Examples!$C$14*$A1000-Examples!$C$15)/Examples!$C$16))))))+Examples!$C$17*$A1000^2)</f>
        <v>-1273358.0132441805</v>
      </c>
      <c r="C1000" s="33">
        <f>(Examples!$C$6*Examples!$C$7*Examples!$C$8*EXP(-Examples!$C$9*$A1000)*(1-(Examples!$C$12*(1-EXP(-Examples!$C$13*$A1000))/(1+EXP(MIN(700,MAX(-700,(Examples!$C$14*$A1000-Examples!$C$15)/Examples!$C$16))))))+Examples!$C$17*$A1000^2)</f>
        <v>1524058.0132441805</v>
      </c>
      <c r="D1000" s="33">
        <f>Examples!$D$18-(Examples!$D$10+Examples!$D$11)*$A1000-(Examples!$D$6*Examples!$D$7*Examples!$D$8*EXP(-Examples!$D$9*$A1000)*(1-(Examples!$D$12*(1-EXP(-Examples!$D$13*$A1000))/(1+EXP(MIN(700,MAX(-700,(Examples!$D$14*$A1000-Examples!$D$15)/Examples!$D$16))))))+Examples!$D$17*$A1000^2)</f>
        <v>1485653.8455482279</v>
      </c>
      <c r="E1000" s="33">
        <f>(Examples!$D$6*Examples!$D$7*Examples!$D$8*EXP(-Examples!$D$9*$A1000)*(1-(Examples!$D$12*(1-EXP(-Examples!$D$13*$A1000))/(1+EXP(MIN(700,MAX(-700,(Examples!$D$14*$A1000-Examples!$D$15)/Examples!$D$16))))))+Examples!$D$17*$A1000^2)</f>
        <v>565246.15445177199</v>
      </c>
      <c r="F1000" s="33">
        <f>Examples!$E$18-(Examples!$E$10+Examples!$E$11)*$A1000-(Examples!$E$6*Examples!$E$7*Examples!$E$8*EXP(-Examples!$E$9*$A1000)*(1-(Examples!$E$12*(1-EXP(-Examples!$E$13*$A1000))/(1+EXP(MIN(700,MAX(-700,(Examples!$E$14*$A1000-Examples!$E$15)/Examples!$E$16))))))+Examples!$E$17*$A1000^2)</f>
        <v>1834808.6167790715</v>
      </c>
      <c r="G1000" s="33">
        <f>(Examples!$E$6*Examples!$E$7*Examples!$E$8*EXP(-Examples!$E$9*$A1000)*(1-(Examples!$E$12*(1-EXP(-Examples!$E$13*$A1000))/(1+EXP(MIN(700,MAX(-700,(Examples!$E$14*$A1000-Examples!$E$15)/Examples!$E$16))))))+Examples!$E$17*$A1000^2)</f>
        <v>316891.38322092849</v>
      </c>
      <c r="H1000" s="33">
        <f>Examples!$F$18-(Examples!$F$10+Examples!$F$11)*$A1000-(Examples!$F$6*Examples!$F$7*Examples!$F$8*EXP(-Examples!$F$9*$A1000)*(1-(Examples!$F$12*(1-EXP(-Examples!$F$13*$A1000))/(1+EXP(MIN(700,MAX(-700,(Examples!$F$14*$A1000-Examples!$F$15)/Examples!$F$16))))))+Examples!$F$17*$A1000^2)</f>
        <v>-2042484.5170529559</v>
      </c>
      <c r="I1000" s="33">
        <f>(Examples!$F$6*Examples!$F$7*Examples!$F$8*EXP(-Examples!$F$9*$A1000)*(1-(Examples!$F$12*(1-EXP(-Examples!$F$13*$A1000))/(1+EXP(MIN(700,MAX(-700,(Examples!$F$14*$A1000-Examples!$F$15)/Examples!$F$16))))))+Examples!$F$17*$A1000^2)</f>
        <v>1992884.5170529559</v>
      </c>
      <c r="J1000" s="33">
        <f>Examples!$G$18-(Examples!$G$10+Examples!$G$11)*$A1000-(Examples!$G$6*Examples!$G$7*Examples!$G$8*EXP(-Examples!$G$9*$A1000)*(1-(Examples!$G$12*(1-EXP(-Examples!$G$13*$A1000))/(1+EXP(MIN(700,MAX(-700,(Examples!$G$14*$A1000-Examples!$G$15)/Examples!$G$16))))))+Examples!$G$17*$A1000^2)</f>
        <v>143380.03975311026</v>
      </c>
      <c r="K1000" s="33">
        <f>(Examples!$G$6*Examples!$G$7*Examples!$G$8*EXP(-Examples!$G$9*$A1000)*(1-(Examples!$G$12*(1-EXP(-Examples!$G$13*$A1000))/(1+EXP(MIN(700,MAX(-700,(Examples!$G$14*$A1000-Examples!$G$15)/Examples!$G$16))))))+Examples!$G$17*$A1000^2)</f>
        <v>857619.96024688974</v>
      </c>
      <c r="L1000" s="33">
        <f>Examples!$H$18-(Examples!$H$10+Examples!$H$11)*$A1000-(Examples!$H$6*Examples!$H$7*Examples!$H$8*EXP(-Examples!$H$9*$A1000)*(1-(Examples!$H$12*(1-EXP(-Examples!$H$13*$A1000))/(1+EXP(MIN(700,MAX(-700,(Examples!$H$14*$A1000-Examples!$H$15)/Examples!$H$16))))))+Examples!$H$17*$A1000^2)</f>
        <v>143377.78665898973</v>
      </c>
      <c r="M1000" s="33">
        <f>(Examples!$H$6*Examples!$H$7*Examples!$H$8*EXP(-Examples!$H$9*$A1000)*(1-(Examples!$H$12*(1-EXP(-Examples!$H$13*$A1000))/(1+EXP(MIN(700,MAX(-700,(Examples!$H$14*$A1000-Examples!$H$15)/Examples!$H$16))))))+Examples!$H$17*$A1000^2)</f>
        <v>857622.21334101027</v>
      </c>
    </row>
    <row r="1001" spans="1:13" x14ac:dyDescent="0.25">
      <c r="A1001">
        <f>(1001-2)/100</f>
        <v>9.99</v>
      </c>
      <c r="B1001" s="33">
        <f>Examples!$C$18-(Examples!$C$10+Examples!$C$11)*$A1001-(Examples!$C$6*Examples!$C$7*Examples!$C$8*EXP(-Examples!$C$9*$A1001)*(1-(Examples!$C$12*(1-EXP(-Examples!$C$13*$A1001))/(1+EXP(MIN(700,MAX(-700,(Examples!$C$14*$A1001-Examples!$C$15)/Examples!$C$16))))))+Examples!$C$17*$A1001^2)</f>
        <v>-1276613.4923033754</v>
      </c>
      <c r="C1001" s="33">
        <f>(Examples!$C$6*Examples!$C$7*Examples!$C$8*EXP(-Examples!$C$9*$A1001)*(1-(Examples!$C$12*(1-EXP(-Examples!$C$13*$A1001))/(1+EXP(MIN(700,MAX(-700,(Examples!$C$14*$A1001-Examples!$C$15)/Examples!$C$16))))))+Examples!$C$17*$A1001^2)</f>
        <v>1526963.4923033754</v>
      </c>
      <c r="D1001" s="33">
        <f>Examples!$D$18-(Examples!$D$10+Examples!$D$11)*$A1001-(Examples!$D$6*Examples!$D$7*Examples!$D$8*EXP(-Examples!$D$9*$A1001)*(1-(Examples!$D$12*(1-EXP(-Examples!$D$13*$A1001))/(1+EXP(MIN(700,MAX(-700,(Examples!$D$14*$A1001-Examples!$D$15)/Examples!$D$16))))))+Examples!$D$17*$A1001^2)</f>
        <v>1484507.1009012414</v>
      </c>
      <c r="E1001" s="33">
        <f>(Examples!$D$6*Examples!$D$7*Examples!$D$8*EXP(-Examples!$D$9*$A1001)*(1-(Examples!$D$12*(1-EXP(-Examples!$D$13*$A1001))/(1+EXP(MIN(700,MAX(-700,(Examples!$D$14*$A1001-Examples!$D$15)/Examples!$D$16))))))+Examples!$D$17*$A1001^2)</f>
        <v>565942.8990987587</v>
      </c>
      <c r="F1001" s="33">
        <f>Examples!$E$18-(Examples!$E$10+Examples!$E$11)*$A1001-(Examples!$E$6*Examples!$E$7*Examples!$E$8*EXP(-Examples!$E$9*$A1001)*(1-(Examples!$E$12*(1-EXP(-Examples!$E$13*$A1001))/(1+EXP(MIN(700,MAX(-700,(Examples!$E$14*$A1001-Examples!$E$15)/Examples!$E$16))))))+Examples!$E$17*$A1001^2)</f>
        <v>1833447.5242819069</v>
      </c>
      <c r="G1001" s="33">
        <f>(Examples!$E$6*Examples!$E$7*Examples!$E$8*EXP(-Examples!$E$9*$A1001)*(1-(Examples!$E$12*(1-EXP(-Examples!$E$13*$A1001))/(1+EXP(MIN(700,MAX(-700,(Examples!$E$14*$A1001-Examples!$E$15)/Examples!$E$16))))))+Examples!$E$17*$A1001^2)</f>
        <v>317402.47571809305</v>
      </c>
      <c r="H1001" s="33">
        <f>Examples!$F$18-(Examples!$F$10+Examples!$F$11)*$A1001-(Examples!$F$6*Examples!$F$7*Examples!$F$8*EXP(-Examples!$F$9*$A1001)*(1-(Examples!$F$12*(1-EXP(-Examples!$F$13*$A1001))/(1+EXP(MIN(700,MAX(-700,(Examples!$F$14*$A1001-Examples!$F$15)/Examples!$F$16))))))+Examples!$F$17*$A1001^2)</f>
        <v>-2046675.8914421822</v>
      </c>
      <c r="I1001" s="33">
        <f>(Examples!$F$6*Examples!$F$7*Examples!$F$8*EXP(-Examples!$F$9*$A1001)*(1-(Examples!$F$12*(1-EXP(-Examples!$F$13*$A1001))/(1+EXP(MIN(700,MAX(-700,(Examples!$F$14*$A1001-Examples!$F$15)/Examples!$F$16))))))+Examples!$F$17*$A1001^2)</f>
        <v>1996875.8914421822</v>
      </c>
      <c r="J1001" s="33">
        <f>Examples!$G$18-(Examples!$G$10+Examples!$G$11)*$A1001-(Examples!$G$6*Examples!$G$7*Examples!$G$8*EXP(-Examples!$G$9*$A1001)*(1-(Examples!$G$12*(1-EXP(-Examples!$G$13*$A1001))/(1+EXP(MIN(700,MAX(-700,(Examples!$G$14*$A1001-Examples!$G$15)/Examples!$G$16))))))+Examples!$G$17*$A1001^2)</f>
        <v>141494.89668498014</v>
      </c>
      <c r="K1001" s="33">
        <f>(Examples!$G$6*Examples!$G$7*Examples!$G$8*EXP(-Examples!$G$9*$A1001)*(1-(Examples!$G$12*(1-EXP(-Examples!$G$13*$A1001))/(1+EXP(MIN(700,MAX(-700,(Examples!$G$14*$A1001-Examples!$G$15)/Examples!$G$16))))))+Examples!$G$17*$A1001^2)</f>
        <v>859005.10331501986</v>
      </c>
      <c r="L1001" s="33">
        <f>Examples!$H$18-(Examples!$H$10+Examples!$H$11)*$A1001-(Examples!$H$6*Examples!$H$7*Examples!$H$8*EXP(-Examples!$H$9*$A1001)*(1-(Examples!$H$12*(1-EXP(-Examples!$H$13*$A1001))/(1+EXP(MIN(700,MAX(-700,(Examples!$H$14*$A1001-Examples!$H$15)/Examples!$H$16))))))+Examples!$H$17*$A1001^2)</f>
        <v>141492.681123388</v>
      </c>
      <c r="M1001" s="33">
        <f>(Examples!$H$6*Examples!$H$7*Examples!$H$8*EXP(-Examples!$H$9*$A1001)*(1-(Examples!$H$12*(1-EXP(-Examples!$H$13*$A1001))/(1+EXP(MIN(700,MAX(-700,(Examples!$H$14*$A1001-Examples!$H$15)/Examples!$H$16))))))+Examples!$H$17*$A1001^2)</f>
        <v>859007.318876612</v>
      </c>
    </row>
    <row r="1002" spans="1:13" x14ac:dyDescent="0.25">
      <c r="A1002">
        <f>(1002-2)/100</f>
        <v>10</v>
      </c>
      <c r="B1002" s="33">
        <f>Examples!$C$18-(Examples!$C$10+Examples!$C$11)*$A1002-(Examples!$C$6*Examples!$C$7*Examples!$C$8*EXP(-Examples!$C$9*$A1002)*(1-(Examples!$C$12*(1-EXP(-Examples!$C$13*$A1002))/(1+EXP(MIN(700,MAX(-700,(Examples!$C$14*$A1002-Examples!$C$15)/Examples!$C$16))))))+Examples!$C$17*$A1002^2)</f>
        <v>-1279872.2410207032</v>
      </c>
      <c r="C1002" s="33">
        <f>(Examples!$C$6*Examples!$C$7*Examples!$C$8*EXP(-Examples!$C$9*$A1002)*(1-(Examples!$C$12*(1-EXP(-Examples!$C$13*$A1002))/(1+EXP(MIN(700,MAX(-700,(Examples!$C$14*$A1002-Examples!$C$15)/Examples!$C$16))))))+Examples!$C$17*$A1002^2)</f>
        <v>1529872.2410207032</v>
      </c>
      <c r="D1002" s="33">
        <f>Examples!$D$18-(Examples!$D$10+Examples!$D$11)*$A1002-(Examples!$D$6*Examples!$D$7*Examples!$D$8*EXP(-Examples!$D$9*$A1002)*(1-(Examples!$D$12*(1-EXP(-Examples!$D$13*$A1002))/(1+EXP(MIN(700,MAX(-700,(Examples!$D$14*$A1002-Examples!$D$15)/Examples!$D$16))))))+Examples!$D$17*$A1002^2)</f>
        <v>1483358.0042914914</v>
      </c>
      <c r="E1002" s="33">
        <f>(Examples!$D$6*Examples!$D$7*Examples!$D$8*EXP(-Examples!$D$9*$A1002)*(1-(Examples!$D$12*(1-EXP(-Examples!$D$13*$A1002))/(1+EXP(MIN(700,MAX(-700,(Examples!$D$14*$A1002-Examples!$D$15)/Examples!$D$16))))))+Examples!$D$17*$A1002^2)</f>
        <v>566641.99570850865</v>
      </c>
      <c r="F1002" s="33">
        <f>Examples!$E$18-(Examples!$E$10+Examples!$E$11)*$A1002-(Examples!$E$6*Examples!$E$7*Examples!$E$8*EXP(-Examples!$E$9*$A1002)*(1-(Examples!$E$12*(1-EXP(-Examples!$E$13*$A1002))/(1+EXP(MIN(700,MAX(-700,(Examples!$E$14*$A1002-Examples!$E$15)/Examples!$E$16))))))+Examples!$E$17*$A1002^2)</f>
        <v>1832085.4208265722</v>
      </c>
      <c r="G1002" s="33">
        <f>(Examples!$E$6*Examples!$E$7*Examples!$E$8*EXP(-Examples!$E$9*$A1002)*(1-(Examples!$E$12*(1-EXP(-Examples!$E$13*$A1002))/(1+EXP(MIN(700,MAX(-700,(Examples!$E$14*$A1002-Examples!$E$15)/Examples!$E$16))))))+Examples!$E$17*$A1002^2)</f>
        <v>317914.57917342772</v>
      </c>
      <c r="H1002" s="33">
        <f>Examples!$F$18-(Examples!$F$10+Examples!$F$11)*$A1002-(Examples!$F$6*Examples!$F$7*Examples!$F$8*EXP(-Examples!$F$9*$A1002)*(1-(Examples!$F$12*(1-EXP(-Examples!$F$13*$A1002))/(1+EXP(MIN(700,MAX(-700,(Examples!$F$14*$A1002-Examples!$F$15)/Examples!$F$16))))))+Examples!$F$17*$A1002^2)</f>
        <v>-2050871.2736964377</v>
      </c>
      <c r="I1002" s="33">
        <f>(Examples!$F$6*Examples!$F$7*Examples!$F$8*EXP(-Examples!$F$9*$A1002)*(1-(Examples!$F$12*(1-EXP(-Examples!$F$13*$A1002))/(1+EXP(MIN(700,MAX(-700,(Examples!$F$14*$A1002-Examples!$F$15)/Examples!$F$16))))))+Examples!$F$17*$A1002^2)</f>
        <v>2000871.2736964377</v>
      </c>
      <c r="J1002" s="33">
        <f>Examples!$G$18-(Examples!$G$10+Examples!$G$11)*$A1002-(Examples!$G$6*Examples!$G$7*Examples!$G$8*EXP(-Examples!$G$9*$A1002)*(1-(Examples!$G$12*(1-EXP(-Examples!$G$13*$A1002))/(1+EXP(MIN(700,MAX(-700,(Examples!$G$14*$A1002-Examples!$G$15)/Examples!$G$16))))))+Examples!$G$17*$A1002^2)</f>
        <v>139607.41181107098</v>
      </c>
      <c r="K1002" s="33">
        <f>(Examples!$G$6*Examples!$G$7*Examples!$G$8*EXP(-Examples!$G$9*$A1002)*(1-(Examples!$G$12*(1-EXP(-Examples!$G$13*$A1002))/(1+EXP(MIN(700,MAX(-700,(Examples!$G$14*$A1002-Examples!$G$15)/Examples!$G$16))))))+Examples!$G$17*$A1002^2)</f>
        <v>860392.58818892902</v>
      </c>
      <c r="L1002" s="33">
        <f>Examples!$H$18-(Examples!$H$10+Examples!$H$11)*$A1002-(Examples!$H$6*Examples!$H$7*Examples!$H$8*EXP(-Examples!$H$9*$A1002)*(1-(Examples!$H$12*(1-EXP(-Examples!$H$13*$A1002))/(1+EXP(MIN(700,MAX(-700,(Examples!$H$14*$A1002-Examples!$H$15)/Examples!$H$16))))))+Examples!$H$17*$A1002^2)</f>
        <v>139605.23315717466</v>
      </c>
      <c r="M1002" s="33">
        <f>(Examples!$H$6*Examples!$H$7*Examples!$H$8*EXP(-Examples!$H$9*$A1002)*(1-(Examples!$H$12*(1-EXP(-Examples!$H$13*$A1002))/(1+EXP(MIN(700,MAX(-700,(Examples!$H$14*$A1002-Examples!$H$15)/Examples!$H$16))))))+Examples!$H$17*$A1002^2)</f>
        <v>860394.76684282534</v>
      </c>
    </row>
  </sheetData>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K520"/>
  <sheetViews>
    <sheetView workbookViewId="0"/>
  </sheetViews>
  <sheetFormatPr baseColWidth="10" defaultColWidth="8.7109375" defaultRowHeight="15" x14ac:dyDescent="0.25"/>
  <cols>
    <col min="2" max="2" width="54" customWidth="1"/>
    <col min="3" max="5" width="23" customWidth="1"/>
  </cols>
  <sheetData>
    <row r="2" spans="2:11" ht="18" x14ac:dyDescent="0.25">
      <c r="B2" s="59" t="s">
        <v>118</v>
      </c>
      <c r="C2" s="59"/>
      <c r="D2" s="59"/>
      <c r="E2" s="59"/>
      <c r="F2" s="58"/>
      <c r="G2" s="58"/>
      <c r="H2" s="58"/>
      <c r="J2" s="4">
        <f>IF(ISNUMBER($C$12),$C$12,0)</f>
        <v>0.62</v>
      </c>
      <c r="K2">
        <v>0</v>
      </c>
    </row>
    <row r="3" spans="2:11" ht="42" customHeight="1" x14ac:dyDescent="0.25">
      <c r="B3" s="9" t="s">
        <v>119</v>
      </c>
      <c r="C3" s="10"/>
      <c r="D3" s="10"/>
      <c r="E3" s="10"/>
      <c r="J3" s="4">
        <f>IF(ISNUMBER($C$12),$C$12,0)</f>
        <v>0.62</v>
      </c>
      <c r="K3">
        <f>MAX(C20:D520)</f>
        <v>518798.83005803236</v>
      </c>
    </row>
    <row r="4" spans="2:11" x14ac:dyDescent="0.25">
      <c r="B4" s="10"/>
      <c r="C4" s="10"/>
      <c r="D4" s="10"/>
      <c r="E4" s="10"/>
    </row>
    <row r="5" spans="2:11" x14ac:dyDescent="0.25">
      <c r="B5" s="20" t="s">
        <v>34</v>
      </c>
      <c r="C5" s="10"/>
      <c r="D5" s="10"/>
      <c r="E5" s="10"/>
    </row>
    <row r="6" spans="2:11" x14ac:dyDescent="0.25">
      <c r="B6" s="10" t="s">
        <v>120</v>
      </c>
      <c r="C6" s="17">
        <v>0.95</v>
      </c>
      <c r="D6" s="10"/>
      <c r="E6" s="10"/>
    </row>
    <row r="7" spans="2:11" x14ac:dyDescent="0.25">
      <c r="B7" s="10" t="s">
        <v>121</v>
      </c>
      <c r="C7" s="19">
        <v>2</v>
      </c>
      <c r="D7" s="10"/>
      <c r="E7" s="10"/>
    </row>
    <row r="8" spans="2:11" x14ac:dyDescent="0.25">
      <c r="B8" s="10" t="s">
        <v>122</v>
      </c>
      <c r="C8" s="17">
        <v>0.6</v>
      </c>
      <c r="D8" s="10"/>
      <c r="E8" s="10"/>
    </row>
    <row r="9" spans="2:11" x14ac:dyDescent="0.25">
      <c r="B9" s="10" t="s">
        <v>123</v>
      </c>
      <c r="C9" s="19">
        <v>0.3</v>
      </c>
      <c r="D9" s="10"/>
      <c r="E9" s="10"/>
    </row>
    <row r="10" spans="2:11" x14ac:dyDescent="0.25">
      <c r="B10" s="10" t="s">
        <v>124</v>
      </c>
      <c r="C10" s="19">
        <v>0.1</v>
      </c>
      <c r="D10" s="10"/>
      <c r="E10" s="10"/>
    </row>
    <row r="11" spans="2:11" x14ac:dyDescent="0.25">
      <c r="B11" s="10"/>
      <c r="C11" s="10"/>
      <c r="D11" s="10"/>
      <c r="E11" s="10"/>
    </row>
    <row r="12" spans="2:11" ht="38.1" customHeight="1" x14ac:dyDescent="0.25">
      <c r="B12" s="3" t="s">
        <v>125</v>
      </c>
      <c r="C12" s="22">
        <f>IFERROR(INDEX(B20:B520,MATCH(1,E20:E520,0)),"Not in 0–5 year grid")</f>
        <v>0.62</v>
      </c>
      <c r="D12" s="10"/>
      <c r="E12" s="10"/>
    </row>
    <row r="13" spans="2:11" ht="38.1" customHeight="1" x14ac:dyDescent="0.25">
      <c r="B13" s="10" t="s">
        <v>126</v>
      </c>
      <c r="C13" s="30">
        <f>IF(C10+C7&gt;0,Dashboard!C27*C6/(C10+C7),"Unbounded if positive efficacy")</f>
        <v>180952.38095238095</v>
      </c>
      <c r="D13" s="10"/>
      <c r="E13" s="10"/>
    </row>
    <row r="14" spans="2:11" ht="38.1" customHeight="1" x14ac:dyDescent="0.25">
      <c r="B14" s="10" t="s">
        <v>127</v>
      </c>
      <c r="C14" s="30">
        <f>IF(C10+C9&gt;0,Dashboard!C27*C8/(C10+C9),"Unbounded if positive efficacy")</f>
        <v>600000</v>
      </c>
      <c r="D14" s="10"/>
      <c r="E14" s="10"/>
    </row>
    <row r="19" spans="2:5" ht="33.950000000000003" customHeight="1" x14ac:dyDescent="0.25">
      <c r="B19" s="6" t="s">
        <v>128</v>
      </c>
      <c r="C19" s="6" t="s">
        <v>129</v>
      </c>
      <c r="D19" s="6" t="s">
        <v>130</v>
      </c>
      <c r="E19" s="6" t="s">
        <v>131</v>
      </c>
    </row>
    <row r="20" spans="2:5" x14ac:dyDescent="0.25">
      <c r="B20" s="4">
        <f>(20-20)/100</f>
        <v>0</v>
      </c>
      <c r="C20" s="33">
        <f>IF($C$10+$C$7=0,Dashboard!$C$27*$C$6*B20,Dashboard!$C$27*$C$6*(1-EXP(-($C$10+$C$7)*B20))/($C$10+$C$7))</f>
        <v>0</v>
      </c>
      <c r="D20" s="33">
        <f>IF($C$10+$C$9=0,Dashboard!$C$27*$C$8*B20,Dashboard!$C$27*$C$8*(1-EXP(-($C$10+$C$9)*B20))/($C$10+$C$9))</f>
        <v>0</v>
      </c>
      <c r="E20">
        <f t="shared" ref="E20:E83" si="0">IF(AND(B20&gt;0,D20&gt;C20),1,0)</f>
        <v>0</v>
      </c>
    </row>
    <row r="21" spans="2:5" x14ac:dyDescent="0.25">
      <c r="B21" s="4">
        <f>(21-20)/100</f>
        <v>0.01</v>
      </c>
      <c r="C21" s="33">
        <f>IF($C$10+$C$7=0,Dashboard!$C$27*$C$6*B21,Dashboard!$C$27*$C$6*(1-EXP(-($C$10+$C$7)*B21))/($C$10+$C$7))</f>
        <v>3760.3778398120794</v>
      </c>
      <c r="D21" s="33">
        <f>IF($C$10+$C$9=0,Dashboard!$C$27*$C$8*B21,Dashboard!$C$27*$C$8*(1-EXP(-($C$10+$C$9)*B21))/($C$10+$C$9))</f>
        <v>2395.206393605109</v>
      </c>
      <c r="E21">
        <f t="shared" si="0"/>
        <v>0</v>
      </c>
    </row>
    <row r="22" spans="2:5" x14ac:dyDescent="0.25">
      <c r="B22" s="4">
        <f>(22-20)/100</f>
        <v>0.02</v>
      </c>
      <c r="C22" s="33">
        <f>IF($C$10+$C$7=0,Dashboard!$C$27*$C$6*B22,Dashboard!$C$27*$C$6*(1-EXP(-($C$10+$C$7)*B22))/($C$10+$C$7))</f>
        <v>7442.611134502803</v>
      </c>
      <c r="D22" s="33">
        <f>IF($C$10+$C$9=0,Dashboard!$C$27*$C$8*B22,Dashboard!$C$27*$C$8*(1-EXP(-($C$10+$C$9)*B22))/($C$10+$C$9))</f>
        <v>4780.8510977636051</v>
      </c>
      <c r="E22">
        <f t="shared" si="0"/>
        <v>0</v>
      </c>
    </row>
    <row r="23" spans="2:5" x14ac:dyDescent="0.25">
      <c r="B23" s="4">
        <f>(23-20)/100</f>
        <v>0.03</v>
      </c>
      <c r="C23" s="33">
        <f>IF($C$10+$C$7=0,Dashboard!$C$27*$C$6*B23,Dashboard!$C$27*$C$6*(1-EXP(-($C$10+$C$7)*B23))/($C$10+$C$7))</f>
        <v>11048.323808633037</v>
      </c>
      <c r="D23" s="33">
        <f>IF($C$10+$C$9=0,Dashboard!$C$27*$C$8*B23,Dashboard!$C$27*$C$8*(1-EXP(-($C$10+$C$9)*B23))/($C$10+$C$9))</f>
        <v>7156.9722828416889</v>
      </c>
      <c r="E23">
        <f t="shared" si="0"/>
        <v>0</v>
      </c>
    </row>
    <row r="24" spans="2:5" x14ac:dyDescent="0.25">
      <c r="B24" s="4">
        <f>(24-20)/100</f>
        <v>0.04</v>
      </c>
      <c r="C24" s="33">
        <f>IF($C$10+$C$7=0,Dashboard!$C$27*$C$6*B24,Dashboard!$C$27*$C$6*(1-EXP(-($C$10+$C$7)*B24))/($C$10+$C$7))</f>
        <v>14579.106039929822</v>
      </c>
      <c r="D24" s="33">
        <f>IF($C$10+$C$9=0,Dashboard!$C$27*$C$8*B24,Dashboard!$C$27*$C$8*(1-EXP(-($C$10+$C$9)*B24))/($C$10+$C$9))</f>
        <v>9523.6079668289167</v>
      </c>
      <c r="E24">
        <f t="shared" si="0"/>
        <v>0</v>
      </c>
    </row>
    <row r="25" spans="2:5" x14ac:dyDescent="0.25">
      <c r="B25" s="4">
        <f>(25-20)/100</f>
        <v>0.05</v>
      </c>
      <c r="C25" s="33">
        <f>IF($C$10+$C$7=0,Dashboard!$C$27*$C$6*B25,Dashboard!$C$27*$C$6*(1-EXP(-($C$10+$C$7)*B25))/($C$10+$C$7))</f>
        <v>18036.514960580509</v>
      </c>
      <c r="D25" s="33">
        <f>IF($C$10+$C$9=0,Dashboard!$C$27*$C$8*B25,Dashboard!$C$27*$C$8*(1-EXP(-($C$10+$C$9)*B25))/($C$10+$C$9))</f>
        <v>11880.796015946848</v>
      </c>
      <c r="E25">
        <f t="shared" si="0"/>
        <v>0</v>
      </c>
    </row>
    <row r="26" spans="2:5" x14ac:dyDescent="0.25">
      <c r="B26" s="4">
        <f>(26-20)/100</f>
        <v>0.06</v>
      </c>
      <c r="C26" s="33">
        <f>IF($C$10+$C$7=0,Dashboard!$C$27*$C$6*B26,Dashboard!$C$27*$C$6*(1-EXP(-($C$10+$C$7)*B26))/($C$10+$C$7))</f>
        <v>21422.075343953282</v>
      </c>
      <c r="D26" s="33">
        <f>IF($C$10+$C$9=0,Dashboard!$C$27*$C$8*B26,Dashboard!$C$27*$C$8*(1-EXP(-($C$10+$C$9)*B26))/($C$10+$C$9))</f>
        <v>14228.574145254424</v>
      </c>
      <c r="E26">
        <f t="shared" si="0"/>
        <v>0</v>
      </c>
    </row>
    <row r="27" spans="2:5" x14ac:dyDescent="0.25">
      <c r="B27" s="4">
        <f>(27-20)/100</f>
        <v>7.0000000000000007E-2</v>
      </c>
      <c r="C27" s="33">
        <f>IF($C$10+$C$7=0,Dashboard!$C$27*$C$6*B27,Dashboard!$C$27*$C$6*(1-EXP(-($C$10+$C$7)*B27))/($C$10+$C$7))</f>
        <v>24737.280277046964</v>
      </c>
      <c r="D27" s="33">
        <f>IF($C$10+$C$9=0,Dashboard!$C$27*$C$8*B27,Dashboard!$C$27*$C$8*(1-EXP(-($C$10+$C$9)*B27))/($C$10+$C$9))</f>
        <v>16566.979919251888</v>
      </c>
      <c r="E27">
        <f t="shared" si="0"/>
        <v>0</v>
      </c>
    </row>
    <row r="28" spans="2:5" x14ac:dyDescent="0.25">
      <c r="B28" s="4">
        <f>(28-20)/100</f>
        <v>0.08</v>
      </c>
      <c r="C28" s="33">
        <f>IF($C$10+$C$7=0,Dashboard!$C$27*$C$6*B28,Dashboard!$C$27*$C$6*(1-EXP(-($C$10+$C$7)*B28))/($C$10+$C$7))</f>
        <v>27983.591818966514</v>
      </c>
      <c r="D28" s="33">
        <f>IF($C$10+$C$9=0,Dashboard!$C$27*$C$8*B28,Dashboard!$C$27*$C$8*(1-EXP(-($C$10+$C$9)*B28))/($C$10+$C$9))</f>
        <v>18896.050752481442</v>
      </c>
      <c r="E28">
        <f t="shared" si="0"/>
        <v>0</v>
      </c>
    </row>
    <row r="29" spans="2:5" x14ac:dyDescent="0.25">
      <c r="B29" s="4">
        <f>(29-20)/100</f>
        <v>0.09</v>
      </c>
      <c r="C29" s="33">
        <f>IF($C$10+$C$7=0,Dashboard!$C$27*$C$6*B29,Dashboard!$C$27*$C$6*(1-EXP(-($C$10+$C$7)*B29))/($C$10+$C$7))</f>
        <v>31162.441645714865</v>
      </c>
      <c r="D29" s="33">
        <f>IF($C$10+$C$9=0,Dashboard!$C$27*$C$8*B29,Dashboard!$C$27*$C$8*(1-EXP(-($C$10+$C$9)*B29))/($C$10+$C$9))</f>
        <v>21215.82391012615</v>
      </c>
      <c r="E29">
        <f t="shared" si="0"/>
        <v>0</v>
      </c>
    </row>
    <row r="30" spans="2:5" x14ac:dyDescent="0.25">
      <c r="B30" s="4">
        <f>(30-20)/100</f>
        <v>0.1</v>
      </c>
      <c r="C30" s="33">
        <f>IF($C$10+$C$7=0,Dashboard!$C$27*$C$6*B30,Dashboard!$C$27*$C$6*(1-EXP(-($C$10+$C$7)*B30))/($C$10+$C$7))</f>
        <v>34275.231681585188</v>
      </c>
      <c r="D30" s="33">
        <f>IF($C$10+$C$9=0,Dashboard!$C$27*$C$8*B30,Dashboard!$C$27*$C$8*(1-EXP(-($C$10+$C$9)*B30))/($C$10+$C$9))</f>
        <v>23526.336508606095</v>
      </c>
      <c r="E30">
        <f t="shared" si="0"/>
        <v>0</v>
      </c>
    </row>
    <row r="31" spans="2:5" x14ac:dyDescent="0.25">
      <c r="B31" s="4">
        <f>(31-20)/100</f>
        <v>0.11</v>
      </c>
      <c r="C31" s="33">
        <f>IF($C$10+$C$7=0,Dashboard!$C$27*$C$6*B31,Dashboard!$C$27*$C$6*(1-EXP(-($C$10+$C$7)*B31))/($C$10+$C$7))</f>
        <v>37323.33471743227</v>
      </c>
      <c r="D31" s="33">
        <f>IF($C$10+$C$9=0,Dashboard!$C$27*$C$8*B31,Dashboard!$C$27*$C$8*(1-EXP(-($C$10+$C$9)*B31))/($C$10+$C$9))</f>
        <v>25827.625516171993</v>
      </c>
      <c r="E31">
        <f t="shared" si="0"/>
        <v>0</v>
      </c>
    </row>
    <row r="32" spans="2:5" x14ac:dyDescent="0.25">
      <c r="B32" s="4">
        <f>(32-20)/100</f>
        <v>0.12</v>
      </c>
      <c r="C32" s="33">
        <f>IF($C$10+$C$7=0,Dashboard!$C$27*$C$6*B32,Dashboard!$C$27*$C$6*(1-EXP(-($C$10+$C$7)*B32))/($C$10+$C$7))</f>
        <v>40308.095016095467</v>
      </c>
      <c r="D32" s="33">
        <f>IF($C$10+$C$9=0,Dashboard!$C$27*$C$8*B32,Dashboard!$C$27*$C$8*(1-EXP(-($C$10+$C$9)*B32))/($C$10+$C$9))</f>
        <v>28119.727753497158</v>
      </c>
      <c r="E32">
        <f t="shared" si="0"/>
        <v>0</v>
      </c>
    </row>
    <row r="33" spans="2:5" x14ac:dyDescent="0.25">
      <c r="B33" s="4">
        <f>(33-20)/100</f>
        <v>0.13</v>
      </c>
      <c r="C33" s="33">
        <f>IF($C$10+$C$7=0,Dashboard!$C$27*$C$6*B33,Dashboard!$C$27*$C$6*(1-EXP(-($C$10+$C$7)*B33))/($C$10+$C$7))</f>
        <v>43230.828905240458</v>
      </c>
      <c r="D33" s="33">
        <f>IF($C$10+$C$9=0,Dashboard!$C$27*$C$8*B33,Dashboard!$C$27*$C$8*(1-EXP(-($C$10+$C$9)*B33))/($C$10+$C$9))</f>
        <v>30402.679894266283</v>
      </c>
      <c r="E33">
        <f t="shared" si="0"/>
        <v>0</v>
      </c>
    </row>
    <row r="34" spans="2:5" x14ac:dyDescent="0.25">
      <c r="B34" s="4">
        <f>(34-20)/100</f>
        <v>0.14000000000000001</v>
      </c>
      <c r="C34" s="33">
        <f>IF($C$10+$C$7=0,Dashboard!$C$27*$C$6*B34,Dashboard!$C$27*$C$6*(1-EXP(-($C$10+$C$7)*B34))/($C$10+$C$7))</f>
        <v>46092.825357881113</v>
      </c>
      <c r="D34" s="33">
        <f>IF($C$10+$C$9=0,Dashboard!$C$27*$C$8*B34,Dashboard!$C$27*$C$8*(1-EXP(-($C$10+$C$9)*B34))/($C$10+$C$9))</f>
        <v>32676.518465762227</v>
      </c>
      <c r="E34">
        <f t="shared" si="0"/>
        <v>0</v>
      </c>
    </row>
    <row r="35" spans="2:5" x14ac:dyDescent="0.25">
      <c r="B35" s="4">
        <f>(35-20)/100</f>
        <v>0.15</v>
      </c>
      <c r="C35" s="33">
        <f>IF($C$10+$C$7=0,Dashboard!$C$27*$C$6*B35,Dashboard!$C$27*$C$6*(1-EXP(-($C$10+$C$7)*B35))/($C$10+$C$7))</f>
        <v>48895.346560837337</v>
      </c>
      <c r="D35" s="33">
        <f>IF($C$10+$C$9=0,Dashboard!$C$27*$C$8*B35,Dashboard!$C$27*$C$8*(1-EXP(-($C$10+$C$9)*B35))/($C$10+$C$9))</f>
        <v>34941.279849450766</v>
      </c>
      <c r="E35">
        <f t="shared" si="0"/>
        <v>0</v>
      </c>
    </row>
    <row r="36" spans="2:5" x14ac:dyDescent="0.25">
      <c r="B36" s="4">
        <f>(36-20)/100</f>
        <v>0.16</v>
      </c>
      <c r="C36" s="33">
        <f>IF($C$10+$C$7=0,Dashboard!$C$27*$C$6*B36,Dashboard!$C$27*$C$6*(1-EXP(-($C$10+$C$7)*B36))/($C$10+$C$7))</f>
        <v>51639.628471380114</v>
      </c>
      <c r="D36" s="33">
        <f>IF($C$10+$C$9=0,Dashboard!$C$27*$C$8*B36,Dashboard!$C$27*$C$8*(1-EXP(-($C$10+$C$9)*B36))/($C$10+$C$9))</f>
        <v>37197.000281562316</v>
      </c>
      <c r="E36">
        <f t="shared" si="0"/>
        <v>0</v>
      </c>
    </row>
    <row r="37" spans="2:5" x14ac:dyDescent="0.25">
      <c r="B37" s="4">
        <f>(37-20)/100</f>
        <v>0.17</v>
      </c>
      <c r="C37" s="33">
        <f>IF($C$10+$C$7=0,Dashboard!$C$27*$C$6*B37,Dashboard!$C$27*$C$6*(1-EXP(-($C$10+$C$7)*B37))/($C$10+$C$7))</f>
        <v>54326.881362308479</v>
      </c>
      <c r="D37" s="33">
        <f>IF($C$10+$C$9=0,Dashboard!$C$27*$C$8*B37,Dashboard!$C$27*$C$8*(1-EXP(-($C$10+$C$9)*B37))/($C$10+$C$9))</f>
        <v>39443.715853671878</v>
      </c>
      <c r="E37">
        <f t="shared" si="0"/>
        <v>0</v>
      </c>
    </row>
    <row r="38" spans="2:5" x14ac:dyDescent="0.25">
      <c r="B38" s="4">
        <f>(38-20)/100</f>
        <v>0.18</v>
      </c>
      <c r="C38" s="33">
        <f>IF($C$10+$C$7=0,Dashboard!$C$27*$C$6*B38,Dashboard!$C$27*$C$6*(1-EXP(-($C$10+$C$7)*B38))/($C$10+$C$7))</f>
        <v>56958.290355699653</v>
      </c>
      <c r="D38" s="33">
        <f>IF($C$10+$C$9=0,Dashboard!$C$27*$C$8*B38,Dashboard!$C$27*$C$8*(1-EXP(-($C$10+$C$9)*B38))/($C$10+$C$9))</f>
        <v>41681.46251327655</v>
      </c>
      <c r="E38">
        <f t="shared" si="0"/>
        <v>0</v>
      </c>
    </row>
    <row r="39" spans="2:5" x14ac:dyDescent="0.25">
      <c r="B39" s="4">
        <f>(39-20)/100</f>
        <v>0.19</v>
      </c>
      <c r="C39" s="33">
        <f>IF($C$10+$C$7=0,Dashboard!$C$27*$C$6*B39,Dashboard!$C$27*$C$6*(1-EXP(-($C$10+$C$7)*B39))/($C$10+$C$7))</f>
        <v>59535.015945566942</v>
      </c>
      <c r="D39" s="33">
        <f>IF($C$10+$C$9=0,Dashboard!$C$27*$C$8*B39,Dashboard!$C$27*$C$8*(1-EXP(-($C$10+$C$9)*B39))/($C$10+$C$9))</f>
        <v>43910.27606437065</v>
      </c>
      <c r="E39">
        <f t="shared" si="0"/>
        <v>0</v>
      </c>
    </row>
    <row r="40" spans="2:5" x14ac:dyDescent="0.25">
      <c r="B40" s="4">
        <f>(40-20)/100</f>
        <v>0.2</v>
      </c>
      <c r="C40" s="33">
        <f>IF($C$10+$C$7=0,Dashboard!$C$27*$C$6*B40,Dashboard!$C$27*$C$6*(1-EXP(-($C$10+$C$7)*B40))/($C$10+$C$7))</f>
        <v>62058.194509656394</v>
      </c>
      <c r="D40" s="33">
        <f>IF($C$10+$C$9=0,Dashboard!$C$27*$C$8*B40,Dashboard!$C$27*$C$8*(1-EXP(-($C$10+$C$9)*B40))/($C$10+$C$9))</f>
        <v>46130.192168018548</v>
      </c>
      <c r="E40">
        <f t="shared" si="0"/>
        <v>0</v>
      </c>
    </row>
    <row r="41" spans="2:5" x14ac:dyDescent="0.25">
      <c r="B41" s="4">
        <f>(41-20)/100</f>
        <v>0.21</v>
      </c>
      <c r="C41" s="33">
        <f>IF($C$10+$C$7=0,Dashboard!$C$27*$C$6*B41,Dashboard!$C$27*$C$6*(1-EXP(-($C$10+$C$7)*B41))/($C$10+$C$7))</f>
        <v>64528.938810607928</v>
      </c>
      <c r="D41" s="33">
        <f>IF($C$10+$C$9=0,Dashboard!$C$27*$C$8*B41,Dashboard!$C$27*$C$8*(1-EXP(-($C$10+$C$9)*B41))/($C$10+$C$9))</f>
        <v>48341.246342925202</v>
      </c>
      <c r="E41">
        <f t="shared" si="0"/>
        <v>0</v>
      </c>
    </row>
    <row r="42" spans="2:5" x14ac:dyDescent="0.25">
      <c r="B42" s="4">
        <f>(42-20)/100</f>
        <v>0.22</v>
      </c>
      <c r="C42" s="33">
        <f>IF($C$10+$C$7=0,Dashboard!$C$27*$C$6*B42,Dashboard!$C$27*$C$6*(1-EXP(-($C$10+$C$7)*B42))/($C$10+$C$7))</f>
        <v>66948.338486701599</v>
      </c>
      <c r="D42" s="33">
        <f>IF($C$10+$C$9=0,Dashboard!$C$27*$C$8*B42,Dashboard!$C$27*$C$8*(1-EXP(-($C$10+$C$9)*B42))/($C$10+$C$9))</f>
        <v>50543.473966004618</v>
      </c>
      <c r="E42">
        <f t="shared" si="0"/>
        <v>0</v>
      </c>
    </row>
    <row r="43" spans="2:5" x14ac:dyDescent="0.25">
      <c r="B43" s="4">
        <f>(43-20)/100</f>
        <v>0.23</v>
      </c>
      <c r="C43" s="33">
        <f>IF($C$10+$C$7=0,Dashboard!$C$27*$C$6*B43,Dashboard!$C$27*$C$6*(1-EXP(-($C$10+$C$7)*B43))/($C$10+$C$7))</f>
        <v>69317.460532405705</v>
      </c>
      <c r="D43" s="33">
        <f>IF($C$10+$C$9=0,Dashboard!$C$27*$C$8*B43,Dashboard!$C$27*$C$8*(1-EXP(-($C$10+$C$9)*B43))/($C$10+$C$9))</f>
        <v>52736.910272945774</v>
      </c>
      <c r="E43">
        <f t="shared" si="0"/>
        <v>0</v>
      </c>
    </row>
    <row r="44" spans="2:5" x14ac:dyDescent="0.25">
      <c r="B44" s="4">
        <f>(44-20)/100</f>
        <v>0.24</v>
      </c>
      <c r="C44" s="33">
        <f>IF($C$10+$C$7=0,Dashboard!$C$27*$C$6*B44,Dashboard!$C$27*$C$6*(1-EXP(-($C$10+$C$7)*B44))/($C$10+$C$7))</f>
        <v>71637.349768938773</v>
      </c>
      <c r="D44" s="33">
        <f>IF($C$10+$C$9=0,Dashboard!$C$27*$C$8*B44,Dashboard!$C$27*$C$8*(1-EXP(-($C$10+$C$9)*B44))/($C$10+$C$9))</f>
        <v>54921.59035877628</v>
      </c>
      <c r="E44">
        <f t="shared" si="0"/>
        <v>0</v>
      </c>
    </row>
    <row r="45" spans="2:5" x14ac:dyDescent="0.25">
      <c r="B45" s="4">
        <f>(45-20)/100</f>
        <v>0.25</v>
      </c>
      <c r="C45" s="33">
        <f>IF($C$10+$C$7=0,Dashboard!$C$27*$C$6*B45,Dashboard!$C$27*$C$6*(1-EXP(-($C$10+$C$7)*B45))/($C$10+$C$7))</f>
        <v>73909.029305052507</v>
      </c>
      <c r="D45" s="33">
        <f>IF($C$10+$C$9=0,Dashboard!$C$27*$C$8*B45,Dashboard!$C$27*$C$8*(1-EXP(-($C$10+$C$9)*B45))/($C$10+$C$9))</f>
        <v>57097.549178424284</v>
      </c>
      <c r="E45">
        <f t="shared" si="0"/>
        <v>0</v>
      </c>
    </row>
    <row r="46" spans="2:5" x14ac:dyDescent="0.25">
      <c r="B46" s="4">
        <f>(46-20)/100</f>
        <v>0.26</v>
      </c>
      <c r="C46" s="33">
        <f>IF($C$10+$C$7=0,Dashboard!$C$27*$C$6*B46,Dashboard!$C$27*$C$6*(1-EXP(-($C$10+$C$7)*B46))/($C$10+$C$7))</f>
        <v>76133.500988239437</v>
      </c>
      <c r="D46" s="33">
        <f>IF($C$10+$C$9=0,Dashboard!$C$27*$C$8*B46,Dashboard!$C$27*$C$8*(1-EXP(-($C$10+$C$9)*B46))/($C$10+$C$9))</f>
        <v>59264.82154727717</v>
      </c>
      <c r="E46">
        <f t="shared" si="0"/>
        <v>0</v>
      </c>
    </row>
    <row r="47" spans="2:5" x14ac:dyDescent="0.25">
      <c r="B47" s="4">
        <f>(47-20)/100</f>
        <v>0.27</v>
      </c>
      <c r="C47" s="33">
        <f>IF($C$10+$C$7=0,Dashboard!$C$27*$C$6*B47,Dashboard!$C$27*$C$6*(1-EXP(-($C$10+$C$7)*B47))/($C$10+$C$7))</f>
        <v>78311.745846563819</v>
      </c>
      <c r="D47" s="33">
        <f>IF($C$10+$C$9=0,Dashboard!$C$27*$C$8*B47,Dashboard!$C$27*$C$8*(1-EXP(-($C$10+$C$9)*B47))/($C$10+$C$9))</f>
        <v>61423.442141739069</v>
      </c>
      <c r="E47">
        <f t="shared" si="0"/>
        <v>0</v>
      </c>
    </row>
    <row r="48" spans="2:5" x14ac:dyDescent="0.25">
      <c r="B48" s="4">
        <f>(48-20)/100</f>
        <v>0.28000000000000003</v>
      </c>
      <c r="C48" s="33">
        <f>IF($C$10+$C$7=0,Dashboard!$C$27*$C$6*B48,Dashboard!$C$27*$C$6*(1-EXP(-($C$10+$C$7)*B48))/($C$10+$C$7))</f>
        <v>80444.724521310985</v>
      </c>
      <c r="D48" s="33">
        <f>IF($C$10+$C$9=0,Dashboard!$C$27*$C$8*B48,Dashboard!$C$27*$C$8*(1-EXP(-($C$10+$C$9)*B48))/($C$10+$C$9))</f>
        <v>63573.445499785674</v>
      </c>
      <c r="E48">
        <f t="shared" si="0"/>
        <v>0</v>
      </c>
    </row>
    <row r="49" spans="2:5" x14ac:dyDescent="0.25">
      <c r="B49" s="4">
        <f>(49-20)/100</f>
        <v>0.28999999999999998</v>
      </c>
      <c r="C49" s="33">
        <f>IF($C$10+$C$7=0,Dashboard!$C$27*$C$6*B49,Dashboard!$C$27*$C$6*(1-EXP(-($C$10+$C$7)*B49))/($C$10+$C$7))</f>
        <v>82533.377690645633</v>
      </c>
      <c r="D49" s="33">
        <f>IF($C$10+$C$9=0,Dashboard!$C$27*$C$8*B49,Dashboard!$C$27*$C$8*(1-EXP(-($C$10+$C$9)*B49))/($C$10+$C$9))</f>
        <v>65714.866021516413</v>
      </c>
      <c r="E49">
        <f t="shared" si="0"/>
        <v>0</v>
      </c>
    </row>
    <row r="50" spans="2:5" x14ac:dyDescent="0.25">
      <c r="B50" s="4">
        <f>(50-20)/100</f>
        <v>0.3</v>
      </c>
      <c r="C50" s="33">
        <f>IF($C$10+$C$7=0,Dashboard!$C$27*$C$6*B50,Dashboard!$C$27*$C$6*(1-EXP(-($C$10+$C$7)*B50))/($C$10+$C$7))</f>
        <v>84578.626484466222</v>
      </c>
      <c r="D50" s="33">
        <f>IF($C$10+$C$9=0,Dashboard!$C$27*$C$8*B50,Dashboard!$C$27*$C$8*(1-EXP(-($C$10+$C$9)*B50))/($C$10+$C$9))</f>
        <v>67847.737969705515</v>
      </c>
      <c r="E50">
        <f t="shared" si="0"/>
        <v>0</v>
      </c>
    </row>
    <row r="51" spans="2:5" x14ac:dyDescent="0.25">
      <c r="B51" s="4">
        <f>(51-20)/100</f>
        <v>0.31</v>
      </c>
      <c r="C51" s="33">
        <f>IF($C$10+$C$7=0,Dashboard!$C$27*$C$6*B51,Dashboard!$C$27*$C$6*(1-EXP(-($C$10+$C$7)*B51))/($C$10+$C$7))</f>
        <v>86581.372890638158</v>
      </c>
      <c r="D51" s="33">
        <f>IF($C$10+$C$9=0,Dashboard!$C$27*$C$8*B51,Dashboard!$C$27*$C$8*(1-EXP(-($C$10+$C$9)*B51))/($C$10+$C$9))</f>
        <v>69972.09547034945</v>
      </c>
      <c r="E51">
        <f t="shared" si="0"/>
        <v>0</v>
      </c>
    </row>
    <row r="52" spans="2:5" x14ac:dyDescent="0.25">
      <c r="B52" s="4">
        <f>(52-20)/100</f>
        <v>0.32</v>
      </c>
      <c r="C52" s="33">
        <f>IF($C$10+$C$7=0,Dashboard!$C$27*$C$6*B52,Dashboard!$C$27*$C$6*(1-EXP(-($C$10+$C$7)*B52))/($C$10+$C$7))</f>
        <v>88542.50015278504</v>
      </c>
      <c r="D52" s="33">
        <f>IF($C$10+$C$9=0,Dashboard!$C$27*$C$8*B52,Dashboard!$C$27*$C$8*(1-EXP(-($C$10+$C$9)*B52))/($C$10+$C$9))</f>
        <v>72087.972513213725</v>
      </c>
      <c r="E52">
        <f t="shared" si="0"/>
        <v>0</v>
      </c>
    </row>
    <row r="53" spans="2:5" x14ac:dyDescent="0.25">
      <c r="B53" s="4">
        <f>(53-20)/100</f>
        <v>0.33</v>
      </c>
      <c r="C53" s="33">
        <f>IF($C$10+$C$7=0,Dashboard!$C$27*$C$6*B53,Dashboard!$C$27*$C$6*(1-EXP(-($C$10+$C$7)*B53))/($C$10+$C$7))</f>
        <v>90462.873159813491</v>
      </c>
      <c r="D53" s="33">
        <f>IF($C$10+$C$9=0,Dashboard!$C$27*$C$8*B53,Dashboard!$C$27*$C$8*(1-EXP(-($C$10+$C$9)*B53))/($C$10+$C$9))</f>
        <v>74195.402952376055</v>
      </c>
      <c r="E53">
        <f t="shared" si="0"/>
        <v>0</v>
      </c>
    </row>
    <row r="54" spans="2:5" x14ac:dyDescent="0.25">
      <c r="B54" s="4">
        <f>(54-20)/100</f>
        <v>0.34</v>
      </c>
      <c r="C54" s="33">
        <f>IF($C$10+$C$7=0,Dashboard!$C$27*$C$6*B54,Dashboard!$C$27*$C$6*(1-EXP(-($C$10+$C$7)*B54))/($C$10+$C$7))</f>
        <v>92343.338827342974</v>
      </c>
      <c r="D54" s="33">
        <f>IF($C$10+$C$9=0,Dashboard!$C$27*$C$8*B54,Dashboard!$C$27*$C$8*(1-EXP(-($C$10+$C$9)*B54))/($C$10+$C$9))</f>
        <v>76294.420506768409</v>
      </c>
      <c r="E54">
        <f t="shared" si="0"/>
        <v>0</v>
      </c>
    </row>
    <row r="55" spans="2:5" x14ac:dyDescent="0.25">
      <c r="B55" s="4">
        <f>(55-20)/100</f>
        <v>0.35</v>
      </c>
      <c r="C55" s="33">
        <f>IF($C$10+$C$7=0,Dashboard!$C$27*$C$6*B55,Dashboard!$C$27*$C$6*(1-EXP(-($C$10+$C$7)*B55))/($C$10+$C$7))</f>
        <v>94184.726471209622</v>
      </c>
      <c r="D55" s="33">
        <f>IF($C$10+$C$9=0,Dashboard!$C$27*$C$8*B55,Dashboard!$C$27*$C$8*(1-EXP(-($C$10+$C$9)*B55))/($C$10+$C$9))</f>
        <v>78385.058760716478</v>
      </c>
      <c r="E55">
        <f t="shared" si="0"/>
        <v>0</v>
      </c>
    </row>
    <row r="56" spans="2:5" x14ac:dyDescent="0.25">
      <c r="B56" s="4">
        <f>(56-20)/100</f>
        <v>0.36</v>
      </c>
      <c r="C56" s="33">
        <f>IF($C$10+$C$7=0,Dashboard!$C$27*$C$6*B56,Dashboard!$C$27*$C$6*(1-EXP(-($C$10+$C$7)*B56))/($C$10+$C$7))</f>
        <v>95987.848173207734</v>
      </c>
      <c r="D56" s="33">
        <f>IF($C$10+$C$9=0,Dashboard!$C$27*$C$8*B56,Dashboard!$C$27*$C$8*(1-EXP(-($C$10+$C$9)*B56))/($C$10+$C$9))</f>
        <v>80467.351164477004</v>
      </c>
      <c r="E56">
        <f t="shared" si="0"/>
        <v>0</v>
      </c>
    </row>
    <row r="57" spans="2:5" x14ac:dyDescent="0.25">
      <c r="B57" s="4">
        <f>(57-20)/100</f>
        <v>0.37</v>
      </c>
      <c r="C57" s="33">
        <f>IF($C$10+$C$7=0,Dashboard!$C$27*$C$6*B57,Dashboard!$C$27*$C$6*(1-EXP(-($C$10+$C$7)*B57))/($C$10+$C$7))</f>
        <v>97753.499139231048</v>
      </c>
      <c r="D57" s="33">
        <f>IF($C$10+$C$9=0,Dashboard!$C$27*$C$8*B57,Dashboard!$C$27*$C$8*(1-EXP(-($C$10+$C$9)*B57))/($C$10+$C$9))</f>
        <v>82541.331034772695</v>
      </c>
      <c r="E57">
        <f t="shared" si="0"/>
        <v>0</v>
      </c>
    </row>
    <row r="58" spans="2:5" x14ac:dyDescent="0.25">
      <c r="B58" s="4">
        <f>(58-20)/100</f>
        <v>0.38</v>
      </c>
      <c r="C58" s="33">
        <f>IF($C$10+$C$7=0,Dashboard!$C$27*$C$6*B58,Dashboard!$C$27*$C$6*(1-EXP(-($C$10+$C$7)*B58))/($C$10+$C$7))</f>
        <v>99482.458049971465</v>
      </c>
      <c r="D58" s="33">
        <f>IF($C$10+$C$9=0,Dashboard!$C$27*$C$8*B58,Dashboard!$C$27*$C$8*(1-EXP(-($C$10+$C$9)*B58))/($C$10+$C$9))</f>
        <v>84607.031555325928</v>
      </c>
      <c r="E58">
        <f t="shared" si="0"/>
        <v>0</v>
      </c>
    </row>
    <row r="59" spans="2:5" x14ac:dyDescent="0.25">
      <c r="B59" s="4">
        <f>(59-20)/100</f>
        <v>0.39</v>
      </c>
      <c r="C59" s="33">
        <f>IF($C$10+$C$7=0,Dashboard!$C$27*$C$6*B59,Dashboard!$C$27*$C$6*(1-EXP(-($C$10+$C$7)*B59))/($C$10+$C$7))</f>
        <v>101175.48740432982</v>
      </c>
      <c r="D59" s="33">
        <f>IF($C$10+$C$9=0,Dashboard!$C$27*$C$8*B59,Dashboard!$C$27*$C$8*(1-EXP(-($C$10+$C$9)*B59))/($C$10+$C$9))</f>
        <v>86664.485777388923</v>
      </c>
      <c r="E59">
        <f t="shared" si="0"/>
        <v>0</v>
      </c>
    </row>
    <row r="60" spans="2:5" x14ac:dyDescent="0.25">
      <c r="B60" s="4">
        <f>(60-20)/100</f>
        <v>0.4</v>
      </c>
      <c r="C60" s="33">
        <f>IF($C$10+$C$7=0,Dashboard!$C$27*$C$6*B60,Dashboard!$C$27*$C$6*(1-EXP(-($C$10+$C$7)*B60))/($C$10+$C$7))</f>
        <v>102833.33385569035</v>
      </c>
      <c r="D60" s="33">
        <f>IF($C$10+$C$9=0,Dashboard!$C$27*$C$8*B60,Dashboard!$C$27*$C$8*(1-EXP(-($C$10+$C$9)*B60))/($C$10+$C$9))</f>
        <v>88713.726620273184</v>
      </c>
      <c r="E60">
        <f t="shared" si="0"/>
        <v>0</v>
      </c>
    </row>
    <row r="61" spans="2:5" x14ac:dyDescent="0.25">
      <c r="B61" s="4">
        <f>(61-20)/100</f>
        <v>0.41</v>
      </c>
      <c r="C61" s="33">
        <f>IF($C$10+$C$7=0,Dashboard!$C$27*$C$6*B61,Dashboard!$C$27*$C$6*(1-EXP(-($C$10+$C$7)*B61))/($C$10+$C$7))</f>
        <v>104456.72854120674</v>
      </c>
      <c r="D61" s="33">
        <f>IF($C$10+$C$9=0,Dashboard!$C$27*$C$8*B61,Dashboard!$C$27*$C$8*(1-EXP(-($C$10+$C$9)*B61))/($C$10+$C$9))</f>
        <v>90754.786871875942</v>
      </c>
      <c r="E61">
        <f t="shared" si="0"/>
        <v>0</v>
      </c>
    </row>
    <row r="62" spans="2:5" x14ac:dyDescent="0.25">
      <c r="B62" s="4">
        <f>(62-20)/100</f>
        <v>0.42</v>
      </c>
      <c r="C62" s="33">
        <f>IF($C$10+$C$7=0,Dashboard!$C$27*$C$6*B62,Dashboard!$C$27*$C$6*(1-EXP(-($C$10+$C$7)*B62))/($C$10+$C$7))</f>
        <v>106046.38740424564</v>
      </c>
      <c r="D62" s="33">
        <f>IF($C$10+$C$9=0,Dashboard!$C$27*$C$8*B62,Dashboard!$C$27*$C$8*(1-EXP(-($C$10+$C$9)*B62))/($C$10+$C$9))</f>
        <v>92787.699189204752</v>
      </c>
      <c r="E62">
        <f t="shared" si="0"/>
        <v>0</v>
      </c>
    </row>
    <row r="63" spans="2:5" x14ac:dyDescent="0.25">
      <c r="B63" s="4">
        <f>(63-20)/100</f>
        <v>0.43</v>
      </c>
      <c r="C63" s="33">
        <f>IF($C$10+$C$7=0,Dashboard!$C$27*$C$6*B63,Dashboard!$C$27*$C$6*(1-EXP(-($C$10+$C$7)*B63))/($C$10+$C$7))</f>
        <v>107603.01151012926</v>
      </c>
      <c r="D63" s="33">
        <f>IF($C$10+$C$9=0,Dashboard!$C$27*$C$8*B63,Dashboard!$C$27*$C$8*(1-EXP(-($C$10+$C$9)*B63))/($C$10+$C$9))</f>
        <v>94812.496098900054</v>
      </c>
      <c r="E63">
        <f t="shared" si="0"/>
        <v>0</v>
      </c>
    </row>
    <row r="64" spans="2:5" x14ac:dyDescent="0.25">
      <c r="B64" s="4">
        <f>(64-20)/100</f>
        <v>0.44</v>
      </c>
      <c r="C64" s="33">
        <f>IF($C$10+$C$7=0,Dashboard!$C$27*$C$6*B64,Dashboard!$C$27*$C$6*(1-EXP(-($C$10+$C$7)*B64))/($C$10+$C$7))</f>
        <v>109127.28735531651</v>
      </c>
      <c r="D64" s="33">
        <f>IF($C$10+$C$9=0,Dashboard!$C$27*$C$8*B64,Dashboard!$C$27*$C$8*(1-EXP(-($C$10+$C$9)*B64))/($C$10+$C$9))</f>
        <v>96829.209997755635</v>
      </c>
      <c r="E64">
        <f t="shared" si="0"/>
        <v>0</v>
      </c>
    </row>
    <row r="65" spans="2:5" x14ac:dyDescent="0.25">
      <c r="B65" s="4">
        <f>(65-20)/100</f>
        <v>0.45</v>
      </c>
      <c r="C65" s="33">
        <f>IF($C$10+$C$7=0,Dashboard!$C$27*$C$6*B65,Dashboard!$C$27*$C$6*(1-EXP(-($C$10+$C$7)*B65))/($C$10+$C$7))</f>
        <v>110619.88717015897</v>
      </c>
      <c r="D65" s="33">
        <f>IF($C$10+$C$9=0,Dashboard!$C$27*$C$8*B65,Dashboard!$C$27*$C$8*(1-EXP(-($C$10+$C$9)*B65))/($C$10+$C$9))</f>
        <v>98837.873153236796</v>
      </c>
      <c r="E65">
        <f t="shared" si="0"/>
        <v>0</v>
      </c>
    </row>
    <row r="66" spans="2:5" x14ac:dyDescent="0.25">
      <c r="B66" s="4">
        <f>(66-20)/100</f>
        <v>0.46</v>
      </c>
      <c r="C66" s="33">
        <f>IF($C$10+$C$7=0,Dashboard!$C$27*$C$6*B66,Dashboard!$C$27*$C$6*(1-EXP(-($C$10+$C$7)*B66))/($C$10+$C$7))</f>
        <v>112081.46921536559</v>
      </c>
      <c r="D66" s="33">
        <f>IF($C$10+$C$9=0,Dashboard!$C$27*$C$8*B66,Dashboard!$C$27*$C$8*(1-EXP(-($C$10+$C$9)*B66))/($C$10+$C$9))</f>
        <v>100838.51770399694</v>
      </c>
      <c r="E66">
        <f t="shared" si="0"/>
        <v>0</v>
      </c>
    </row>
    <row r="67" spans="2:5" x14ac:dyDescent="0.25">
      <c r="B67" s="4">
        <f>(67-20)/100</f>
        <v>0.47</v>
      </c>
      <c r="C67" s="33">
        <f>IF($C$10+$C$7=0,Dashboard!$C$27*$C$6*B67,Dashboard!$C$27*$C$6*(1-EXP(-($C$10+$C$7)*B67))/($C$10+$C$7))</f>
        <v>113512.67807230612</v>
      </c>
      <c r="D67" s="33">
        <f>IF($C$10+$C$9=0,Dashboard!$C$27*$C$8*B67,Dashboard!$C$27*$C$8*(1-EXP(-($C$10+$C$9)*B67))/($C$10+$C$9))</f>
        <v>102831.17566039163</v>
      </c>
      <c r="E67">
        <f t="shared" si="0"/>
        <v>0</v>
      </c>
    </row>
    <row r="68" spans="2:5" x14ac:dyDescent="0.25">
      <c r="B68" s="4">
        <f>(68-20)/100</f>
        <v>0.48</v>
      </c>
      <c r="C68" s="33">
        <f>IF($C$10+$C$7=0,Dashboard!$C$27*$C$6*B68,Dashboard!$C$27*$C$6*(1-EXP(-($C$10+$C$7)*B68))/($C$10+$C$7))</f>
        <v>114914.14492728209</v>
      </c>
      <c r="D68" s="33">
        <f>IF($C$10+$C$9=0,Dashboard!$C$27*$C$8*B68,Dashboard!$C$27*$C$8*(1-EXP(-($C$10+$C$9)*B68))/($C$10+$C$9))</f>
        <v>104815.8789049906</v>
      </c>
      <c r="E68">
        <f t="shared" si="0"/>
        <v>0</v>
      </c>
    </row>
    <row r="69" spans="2:5" x14ac:dyDescent="0.25">
      <c r="B69" s="4">
        <f>(69-20)/100</f>
        <v>0.49</v>
      </c>
      <c r="C69" s="33">
        <f>IF($C$10+$C$7=0,Dashboard!$C$27*$C$6*B69,Dashboard!$C$27*$C$6*(1-EXP(-($C$10+$C$7)*B69))/($C$10+$C$7))</f>
        <v>116286.48784989005</v>
      </c>
      <c r="D69" s="33">
        <f>IF($C$10+$C$9=0,Dashboard!$C$27*$C$8*B69,Dashboard!$C$27*$C$8*(1-EXP(-($C$10+$C$9)*B69))/($C$10+$C$9))</f>
        <v>106792.65919308808</v>
      </c>
      <c r="E69">
        <f t="shared" si="0"/>
        <v>0</v>
      </c>
    </row>
    <row r="70" spans="2:5" x14ac:dyDescent="0.25">
      <c r="B70" s="4">
        <f>(70-20)/100</f>
        <v>0.5</v>
      </c>
      <c r="C70" s="33">
        <f>IF($C$10+$C$7=0,Dashboard!$C$27*$C$6*B70,Dashboard!$C$27*$C$6*(1-EXP(-($C$10+$C$7)*B70))/($C$10+$C$7))</f>
        <v>117630.31206560048</v>
      </c>
      <c r="D70" s="33">
        <f>IF($C$10+$C$9=0,Dashboard!$C$27*$C$8*B70,Dashboard!$C$27*$C$8*(1-EXP(-($C$10+$C$9)*B70))/($C$10+$C$9))</f>
        <v>108761.54815321091</v>
      </c>
      <c r="E70">
        <f t="shared" si="0"/>
        <v>0</v>
      </c>
    </row>
    <row r="71" spans="2:5" x14ac:dyDescent="0.25">
      <c r="B71" s="4">
        <f>(71-20)/100</f>
        <v>0.51</v>
      </c>
      <c r="C71" s="33">
        <f>IF($C$10+$C$7=0,Dashboard!$C$27*$C$6*B71,Dashboard!$C$27*$C$6*(1-EXP(-($C$10+$C$7)*B71))/($C$10+$C$7))</f>
        <v>118946.2102226718</v>
      </c>
      <c r="D71" s="33">
        <f>IF($C$10+$C$9=0,Dashboard!$C$27*$C$8*B71,Dashboard!$C$27*$C$8*(1-EXP(-($C$10+$C$9)*B71))/($C$10+$C$9))</f>
        <v>110722.57728762437</v>
      </c>
      <c r="E71">
        <f t="shared" si="0"/>
        <v>0</v>
      </c>
    </row>
    <row r="72" spans="2:5" x14ac:dyDescent="0.25">
      <c r="B72" s="4">
        <f>(72-20)/100</f>
        <v>0.52</v>
      </c>
      <c r="C72" s="33">
        <f>IF($C$10+$C$7=0,Dashboard!$C$27*$C$6*B72,Dashboard!$C$27*$C$6*(1-EXP(-($C$10+$C$7)*B72))/($C$10+$C$7))</f>
        <v>120234.76265351799</v>
      </c>
      <c r="D72" s="33">
        <f>IF($C$10+$C$9=0,Dashboard!$C$27*$C$8*B72,Dashboard!$C$27*$C$8*(1-EXP(-($C$10+$C$9)*B72))/($C$10+$C$9))</f>
        <v>112675.77797283663</v>
      </c>
      <c r="E72">
        <f t="shared" si="0"/>
        <v>0</v>
      </c>
    </row>
    <row r="73" spans="2:5" x14ac:dyDescent="0.25">
      <c r="B73" s="4">
        <f>(73-20)/100</f>
        <v>0.53</v>
      </c>
      <c r="C73" s="33">
        <f>IF($C$10+$C$7=0,Dashboard!$C$27*$C$6*B73,Dashboard!$C$27*$C$6*(1-EXP(-($C$10+$C$7)*B73))/($C$10+$C$7))</f>
        <v>121496.53763064469</v>
      </c>
      <c r="D73" s="33">
        <f>IF($C$10+$C$9=0,Dashboard!$C$27*$C$8*B73,Dashboard!$C$27*$C$8*(1-EXP(-($C$10+$C$9)*B73))/($C$10+$C$9))</f>
        <v>114621.18146010012</v>
      </c>
      <c r="E73">
        <f t="shared" si="0"/>
        <v>0</v>
      </c>
    </row>
    <row r="74" spans="2:5" x14ac:dyDescent="0.25">
      <c r="B74" s="4">
        <f>(74-20)/100</f>
        <v>0.54</v>
      </c>
      <c r="C74" s="33">
        <f>IF($C$10+$C$7=0,Dashboard!$C$27*$C$6*B74,Dashboard!$C$27*$C$6*(1-EXP(-($C$10+$C$7)*B74))/($C$10+$C$7))</f>
        <v>122732.09161726636</v>
      </c>
      <c r="D74" s="33">
        <f>IF($C$10+$C$9=0,Dashboard!$C$27*$C$8*B74,Dashboard!$C$27*$C$8*(1-EXP(-($C$10+$C$9)*B74))/($C$10+$C$9))</f>
        <v>116558.81887591221</v>
      </c>
      <c r="E74">
        <f t="shared" si="0"/>
        <v>0</v>
      </c>
    </row>
    <row r="75" spans="2:5" x14ac:dyDescent="0.25">
      <c r="B75" s="4">
        <f>(75-20)/100</f>
        <v>0.55000000000000004</v>
      </c>
      <c r="C75" s="33">
        <f>IF($C$10+$C$7=0,Dashboard!$C$27*$C$6*B75,Dashboard!$C$27*$C$6*(1-EXP(-($C$10+$C$7)*B75))/($C$10+$C$7))</f>
        <v>123941.9695127157</v>
      </c>
      <c r="D75" s="33">
        <f>IF($C$10+$C$9=0,Dashboard!$C$27*$C$8*B75,Dashboard!$C$27*$C$8*(1-EXP(-($C$10+$C$9)*B75))/($C$10+$C$9))</f>
        <v>118488.7212225129</v>
      </c>
      <c r="E75">
        <f t="shared" si="0"/>
        <v>0</v>
      </c>
    </row>
    <row r="76" spans="2:5" x14ac:dyDescent="0.25">
      <c r="B76" s="4">
        <f>(76-20)/100</f>
        <v>0.56000000000000005</v>
      </c>
      <c r="C76" s="33">
        <f>IF($C$10+$C$7=0,Dashboard!$C$27*$C$6*B76,Dashboard!$C$27*$C$6*(1-EXP(-($C$10+$C$7)*B76))/($C$10+$C$7))</f>
        <v>125126.70489275307</v>
      </c>
      <c r="D76" s="33">
        <f>IF($C$10+$C$9=0,Dashboard!$C$27*$C$8*B76,Dashboard!$C$27*$C$8*(1-EXP(-($C$10+$C$9)*B76))/($C$10+$C$9))</f>
        <v>120410.91937838095</v>
      </c>
      <c r="E76">
        <f t="shared" si="0"/>
        <v>0</v>
      </c>
    </row>
    <row r="77" spans="2:5" x14ac:dyDescent="0.25">
      <c r="B77" s="4">
        <f>(77-20)/100</f>
        <v>0.56999999999999995</v>
      </c>
      <c r="C77" s="33">
        <f>IF($C$10+$C$7=0,Dashboard!$C$27*$C$6*B77,Dashboard!$C$27*$C$6*(1-EXP(-($C$10+$C$7)*B77))/($C$10+$C$7))</f>
        <v>126286.82024488202</v>
      </c>
      <c r="D77" s="33">
        <f>IF($C$10+$C$9=0,Dashboard!$C$27*$C$8*B77,Dashboard!$C$27*$C$8*(1-EXP(-($C$10+$C$9)*B77))/($C$10+$C$9))</f>
        <v>122325.44409872775</v>
      </c>
      <c r="E77">
        <f t="shared" si="0"/>
        <v>0</v>
      </c>
    </row>
    <row r="78" spans="2:5" x14ac:dyDescent="0.25">
      <c r="B78" s="4">
        <f>(78-20)/100</f>
        <v>0.57999999999999996</v>
      </c>
      <c r="C78" s="33">
        <f>IF($C$10+$C$7=0,Dashboard!$C$27*$C$6*B78,Dashboard!$C$27*$C$6*(1-EXP(-($C$10+$C$7)*B78))/($C$10+$C$7))</f>
        <v>127422.82719877493</v>
      </c>
      <c r="D78" s="33">
        <f>IF($C$10+$C$9=0,Dashboard!$C$27*$C$8*B78,Dashboard!$C$27*$C$8*(1-EXP(-($C$10+$C$9)*B78))/($C$10+$C$9))</f>
        <v>124232.32601598978</v>
      </c>
      <c r="E78">
        <f t="shared" si="0"/>
        <v>0</v>
      </c>
    </row>
    <row r="79" spans="2:5" x14ac:dyDescent="0.25">
      <c r="B79" s="4">
        <f>(79-20)/100</f>
        <v>0.59</v>
      </c>
      <c r="C79" s="33">
        <f>IF($C$10+$C$7=0,Dashboard!$C$27*$C$6*B79,Dashboard!$C$27*$C$6*(1-EXP(-($C$10+$C$7)*B79))/($C$10+$C$7))</f>
        <v>128535.22675190966</v>
      </c>
      <c r="D79" s="33">
        <f>IF($C$10+$C$9=0,Dashboard!$C$27*$C$8*B79,Dashboard!$C$27*$C$8*(1-EXP(-($C$10+$C$9)*B79))/($C$10+$C$9))</f>
        <v>126131.59564031837</v>
      </c>
      <c r="E79">
        <f t="shared" si="0"/>
        <v>0</v>
      </c>
    </row>
    <row r="80" spans="2:5" x14ac:dyDescent="0.25">
      <c r="B80" s="4">
        <f>(80-20)/100</f>
        <v>0.6</v>
      </c>
      <c r="C80" s="33">
        <f>IF($C$10+$C$7=0,Dashboard!$C$27*$C$6*B80,Dashboard!$C$27*$C$6*(1-EXP(-($C$10+$C$7)*B80))/($C$10+$C$7))</f>
        <v>129624.50949051771</v>
      </c>
      <c r="D80" s="33">
        <f>IF($C$10+$C$9=0,Dashboard!$C$27*$C$8*B80,Dashboard!$C$27*$C$8*(1-EXP(-($C$10+$C$9)*B80))/($C$10+$C$9))</f>
        <v>128023.28336006792</v>
      </c>
      <c r="E80">
        <f t="shared" si="0"/>
        <v>0</v>
      </c>
    </row>
    <row r="81" spans="2:5" x14ac:dyDescent="0.25">
      <c r="B81" s="4">
        <f>(81-20)/100</f>
        <v>0.61</v>
      </c>
      <c r="C81" s="33">
        <f>IF($C$10+$C$7=0,Dashboard!$C$27*$C$6*B81,Dashboard!$C$27*$C$6*(1-EXP(-($C$10+$C$7)*B81))/($C$10+$C$7))</f>
        <v>130691.15580594094</v>
      </c>
      <c r="D81" s="33">
        <f>IF($C$10+$C$9=0,Dashboard!$C$27*$C$8*B81,Dashboard!$C$27*$C$8*(1-EXP(-($C$10+$C$9)*B81))/($C$10+$C$9))</f>
        <v>129907.41944228249</v>
      </c>
      <c r="E81">
        <f t="shared" si="0"/>
        <v>0</v>
      </c>
    </row>
    <row r="82" spans="2:5" x14ac:dyDescent="0.25">
      <c r="B82" s="4">
        <f>(82-20)/100</f>
        <v>0.62</v>
      </c>
      <c r="C82" s="33">
        <f>IF($C$10+$C$7=0,Dashboard!$C$27*$C$6*B82,Dashboard!$C$27*$C$6*(1-EXP(-($C$10+$C$7)*B82))/($C$10+$C$7))</f>
        <v>131735.6361064915</v>
      </c>
      <c r="D82" s="33">
        <f>IF($C$10+$C$9=0,Dashboard!$C$27*$C$8*B82,Dashboard!$C$27*$C$8*(1-EXP(-($C$10+$C$9)*B82))/($C$10+$C$9))</f>
        <v>131784.03403317943</v>
      </c>
      <c r="E82">
        <f t="shared" si="0"/>
        <v>1</v>
      </c>
    </row>
    <row r="83" spans="2:5" x14ac:dyDescent="0.25">
      <c r="B83" s="4">
        <f>(83-20)/100</f>
        <v>0.63</v>
      </c>
      <c r="C83" s="33">
        <f>IF($C$10+$C$7=0,Dashboard!$C$27*$C$6*B83,Dashboard!$C$27*$C$6*(1-EXP(-($C$10+$C$7)*B83))/($C$10+$C$7))</f>
        <v>132758.41102490976</v>
      </c>
      <c r="D83" s="33">
        <f>IF($C$10+$C$9=0,Dashboard!$C$27*$C$8*B83,Dashboard!$C$27*$C$8*(1-EXP(-($C$10+$C$9)*B83))/($C$10+$C$9))</f>
        <v>133653.15715863233</v>
      </c>
      <c r="E83">
        <f t="shared" si="0"/>
        <v>1</v>
      </c>
    </row>
    <row r="84" spans="2:5" x14ac:dyDescent="0.25">
      <c r="B84" s="4">
        <f>(84-20)/100</f>
        <v>0.64</v>
      </c>
      <c r="C84" s="33">
        <f>IF($C$10+$C$7=0,Dashboard!$C$27*$C$6*B84,Dashboard!$C$27*$C$6*(1-EXP(-($C$10+$C$7)*B84))/($C$10+$C$7))</f>
        <v>133759.93162151094</v>
      </c>
      <c r="D84" s="33">
        <f>IF($C$10+$C$9=0,Dashboard!$C$27*$C$8*B84,Dashboard!$C$27*$C$8*(1-EXP(-($C$10+$C$9)*B84))/($C$10+$C$9))</f>
        <v>135514.81872465095</v>
      </c>
      <c r="E84">
        <f t="shared" ref="E84:E147" si="1">IF(AND(B84&gt;0,D84&gt;C84),1,0)</f>
        <v>1</v>
      </c>
    </row>
    <row r="85" spans="2:5" x14ac:dyDescent="0.25">
      <c r="B85" s="4">
        <f>(85-20)/100</f>
        <v>0.65</v>
      </c>
      <c r="C85" s="33">
        <f>IF($C$10+$C$7=0,Dashboard!$C$27*$C$6*B85,Dashboard!$C$27*$C$6*(1-EXP(-($C$10+$C$7)*B85))/($C$10+$C$7))</f>
        <v>134740.63958310976</v>
      </c>
      <c r="D85" s="33">
        <f>IF($C$10+$C$9=0,Dashboard!$C$27*$C$8*B85,Dashboard!$C$27*$C$8*(1-EXP(-($C$10+$C$9)*B85))/($C$10+$C$9))</f>
        <v>137369.04851786024</v>
      </c>
      <c r="E85">
        <f t="shared" si="1"/>
        <v>1</v>
      </c>
    </row>
    <row r="86" spans="2:5" x14ac:dyDescent="0.25">
      <c r="B86" s="4">
        <f>(86-20)/100</f>
        <v>0.66</v>
      </c>
      <c r="C86" s="33">
        <f>IF($C$10+$C$7=0,Dashboard!$C$27*$C$6*B86,Dashboard!$C$27*$C$6*(1-EXP(-($C$10+$C$7)*B86))/($C$10+$C$7))</f>
        <v>135700.96741781154</v>
      </c>
      <c r="D86" s="33">
        <f>IF($C$10+$C$9=0,Dashboard!$C$27*$C$8*B86,Dashboard!$C$27*$C$8*(1-EXP(-($C$10+$C$9)*B86))/($C$10+$C$9))</f>
        <v>139215.87620597632</v>
      </c>
      <c r="E86">
        <f t="shared" si="1"/>
        <v>1</v>
      </c>
    </row>
    <row r="87" spans="2:5" x14ac:dyDescent="0.25">
      <c r="B87" s="4">
        <f>(87-20)/100</f>
        <v>0.67</v>
      </c>
      <c r="C87" s="33">
        <f>IF($C$10+$C$7=0,Dashboard!$C$27*$C$6*B87,Dashboard!$C$27*$C$6*(1-EXP(-($C$10+$C$7)*B87))/($C$10+$C$7))</f>
        <v>136641.33864575549</v>
      </c>
      <c r="D87" s="33">
        <f>IF($C$10+$C$9=0,Dashboard!$C$27*$C$8*B87,Dashboard!$C$27*$C$8*(1-EXP(-($C$10+$C$9)*B87))/($C$10+$C$9))</f>
        <v>141055.33133828163</v>
      </c>
      <c r="E87">
        <f t="shared" si="1"/>
        <v>1</v>
      </c>
    </row>
    <row r="88" spans="2:5" x14ac:dyDescent="0.25">
      <c r="B88" s="4">
        <f>(88-20)/100</f>
        <v>0.68</v>
      </c>
      <c r="C88" s="33">
        <f>IF($C$10+$C$7=0,Dashboard!$C$27*$C$6*B88,Dashboard!$C$27*$C$6*(1-EXP(-($C$10+$C$7)*B88))/($C$10+$C$7))</f>
        <v>137562.16798589361</v>
      </c>
      <c r="D88" s="33">
        <f>IF($C$10+$C$9=0,Dashboard!$C$27*$C$8*B88,Dashboard!$C$27*$C$8*(1-EXP(-($C$10+$C$9)*B88))/($C$10+$C$9))</f>
        <v>142887.44334609745</v>
      </c>
      <c r="E88">
        <f t="shared" si="1"/>
        <v>1</v>
      </c>
    </row>
    <row r="89" spans="2:5" x14ac:dyDescent="0.25">
      <c r="B89" s="4">
        <f>(89-20)/100</f>
        <v>0.69</v>
      </c>
      <c r="C89" s="33">
        <f>IF($C$10+$C$7=0,Dashboard!$C$27*$C$6*B89,Dashboard!$C$27*$C$6*(1-EXP(-($C$10+$C$7)*B89))/($C$10+$C$7))</f>
        <v>138463.86153888889</v>
      </c>
      <c r="D89" s="33">
        <f>IF($C$10+$C$9=0,Dashboard!$C$27*$C$8*B89,Dashboard!$C$27*$C$8*(1-EXP(-($C$10+$C$9)*B89))/($C$10+$C$9))</f>
        <v>144712.24154325514</v>
      </c>
      <c r="E89">
        <f t="shared" si="1"/>
        <v>1</v>
      </c>
    </row>
    <row r="90" spans="2:5" x14ac:dyDescent="0.25">
      <c r="B90" s="4">
        <f>(90-20)/100</f>
        <v>0.7</v>
      </c>
      <c r="C90" s="33">
        <f>IF($C$10+$C$7=0,Dashboard!$C$27*$C$6*B90,Dashboard!$C$27*$C$6*(1-EXP(-($C$10+$C$7)*B90))/($C$10+$C$7))</f>
        <v>139346.81696621189</v>
      </c>
      <c r="D90" s="33">
        <f>IF($C$10+$C$9=0,Dashboard!$C$27*$C$8*B90,Dashboard!$C$27*$C$8*(1-EXP(-($C$10+$C$9)*B90))/($C$10+$C$9))</f>
        <v>146529.75512656471</v>
      </c>
      <c r="E90">
        <f t="shared" si="1"/>
        <v>1</v>
      </c>
    </row>
    <row r="91" spans="2:5" x14ac:dyDescent="0.25">
      <c r="B91" s="4">
        <f>(91-20)/100</f>
        <v>0.71</v>
      </c>
      <c r="C91" s="33">
        <f>IF($C$10+$C$7=0,Dashboard!$C$27*$C$6*B91,Dashboard!$C$27*$C$6*(1-EXP(-($C$10+$C$7)*B91))/($C$10+$C$7))</f>
        <v>140211.42366551605</v>
      </c>
      <c r="D91" s="33">
        <f>IF($C$10+$C$9=0,Dashboard!$C$27*$C$8*B91,Dashboard!$C$27*$C$8*(1-EXP(-($C$10+$C$9)*B91))/($C$10+$C$9))</f>
        <v>148340.01317628223</v>
      </c>
      <c r="E91">
        <f t="shared" si="1"/>
        <v>1</v>
      </c>
    </row>
    <row r="92" spans="2:5" x14ac:dyDescent="0.25">
      <c r="B92" s="4">
        <f>(92-20)/100</f>
        <v>0.72</v>
      </c>
      <c r="C92" s="33">
        <f>IF($C$10+$C$7=0,Dashboard!$C$27*$C$6*B92,Dashboard!$C$27*$C$6*(1-EXP(-($C$10+$C$7)*B92))/($C$10+$C$7))</f>
        <v>141058.06294236856</v>
      </c>
      <c r="D92" s="33">
        <f>IF($C$10+$C$9=0,Dashboard!$C$27*$C$8*B92,Dashboard!$C$27*$C$8*(1-EXP(-($C$10+$C$9)*B92))/($C$10+$C$9))</f>
        <v>150143.04465657522</v>
      </c>
      <c r="E92">
        <f t="shared" si="1"/>
        <v>1</v>
      </c>
    </row>
    <row r="93" spans="2:5" x14ac:dyDescent="0.25">
      <c r="B93" s="4">
        <f>(93-20)/100</f>
        <v>0.73</v>
      </c>
      <c r="C93" s="33">
        <f>IF($C$10+$C$7=0,Dashboard!$C$27*$C$6*B93,Dashboard!$C$27*$C$6*(1-EXP(-($C$10+$C$7)*B93))/($C$10+$C$7))</f>
        <v>141887.10817841187</v>
      </c>
      <c r="D93" s="33">
        <f>IF($C$10+$C$9=0,Dashboard!$C$27*$C$8*B93,Dashboard!$C$27*$C$8*(1-EXP(-($C$10+$C$9)*B93))/($C$10+$C$9))</f>
        <v>151938.87841598573</v>
      </c>
      <c r="E93">
        <f t="shared" si="1"/>
        <v>1</v>
      </c>
    </row>
    <row r="94" spans="2:5" x14ac:dyDescent="0.25">
      <c r="B94" s="4">
        <f>(94-20)/100</f>
        <v>0.74</v>
      </c>
      <c r="C94" s="33">
        <f>IF($C$10+$C$7=0,Dashboard!$C$27*$C$6*B94,Dashboard!$C$27*$C$6*(1-EXP(-($C$10+$C$7)*B94))/($C$10+$C$7))</f>
        <v>142698.92499603145</v>
      </c>
      <c r="D94" s="33">
        <f>IF($C$10+$C$9=0,Dashboard!$C$27*$C$8*B94,Dashboard!$C$27*$C$8*(1-EXP(-($C$10+$C$9)*B94))/($C$10+$C$9))</f>
        <v>153727.54318789224</v>
      </c>
      <c r="E94">
        <f t="shared" si="1"/>
        <v>1</v>
      </c>
    </row>
    <row r="95" spans="2:5" x14ac:dyDescent="0.25">
      <c r="B95" s="4">
        <f>(95-20)/100</f>
        <v>0.75</v>
      </c>
      <c r="C95" s="33">
        <f>IF($C$10+$C$7=0,Dashboard!$C$27*$C$6*B95,Dashboard!$C$27*$C$6*(1-EXP(-($C$10+$C$7)*B95))/($C$10+$C$7))</f>
        <v>143493.87141960097</v>
      </c>
      <c r="D95" s="33">
        <f>IF($C$10+$C$9=0,Dashboard!$C$27*$C$8*B95,Dashboard!$C$27*$C$8*(1-EXP(-($C$10+$C$9)*B95))/($C$10+$C$9))</f>
        <v>155509.06759096927</v>
      </c>
      <c r="E95">
        <f t="shared" si="1"/>
        <v>1</v>
      </c>
    </row>
    <row r="96" spans="2:5" x14ac:dyDescent="0.25">
      <c r="B96" s="4">
        <f>(96-20)/100</f>
        <v>0.76</v>
      </c>
      <c r="C96" s="33">
        <f>IF($C$10+$C$7=0,Dashboard!$C$27*$C$6*B96,Dashboard!$C$27*$C$6*(1-EXP(-($C$10+$C$7)*B96))/($C$10+$C$7))</f>
        <v>144272.29803337689</v>
      </c>
      <c r="D96" s="33">
        <f>IF($C$10+$C$9=0,Dashboard!$C$27*$C$8*B96,Dashboard!$C$27*$C$8*(1-EXP(-($C$10+$C$9)*B96))/($C$10+$C$9))</f>
        <v>157283.48012964532</v>
      </c>
      <c r="E96">
        <f t="shared" si="1"/>
        <v>1</v>
      </c>
    </row>
    <row r="97" spans="2:5" x14ac:dyDescent="0.25">
      <c r="B97" s="4">
        <f>(97-20)/100</f>
        <v>0.77</v>
      </c>
      <c r="C97" s="33">
        <f>IF($C$10+$C$7=0,Dashboard!$C$27*$C$6*B97,Dashboard!$C$27*$C$6*(1-EXP(-($C$10+$C$7)*B97))/($C$10+$C$7))</f>
        <v>145034.54813611187</v>
      </c>
      <c r="D97" s="33">
        <f>IF($C$10+$C$9=0,Dashboard!$C$27*$C$8*B97,Dashboard!$C$27*$C$8*(1-EXP(-($C$10+$C$9)*B97))/($C$10+$C$9))</f>
        <v>159050.80919455877</v>
      </c>
      <c r="E97">
        <f t="shared" si="1"/>
        <v>1</v>
      </c>
    </row>
    <row r="98" spans="2:5" x14ac:dyDescent="0.25">
      <c r="B98" s="4">
        <f>(98-20)/100</f>
        <v>0.78</v>
      </c>
      <c r="C98" s="33">
        <f>IF($C$10+$C$7=0,Dashboard!$C$27*$C$6*B98,Dashboard!$C$27*$C$6*(1-EXP(-($C$10+$C$7)*B98))/($C$10+$C$7))</f>
        <v>145780.95789245499</v>
      </c>
      <c r="D98" s="33">
        <f>IF($C$10+$C$9=0,Dashboard!$C$27*$C$8*B98,Dashboard!$C$27*$C$8*(1-EXP(-($C$10+$C$9)*B98))/($C$10+$C$9))</f>
        <v>160811.0830630124</v>
      </c>
      <c r="E98">
        <f t="shared" si="1"/>
        <v>1</v>
      </c>
    </row>
    <row r="99" spans="2:5" x14ac:dyDescent="0.25">
      <c r="B99" s="4">
        <f>(99-20)/100</f>
        <v>0.79</v>
      </c>
      <c r="C99" s="33">
        <f>IF($C$10+$C$7=0,Dashboard!$C$27*$C$6*B99,Dashboard!$C$27*$C$6*(1-EXP(-($C$10+$C$7)*B99))/($C$10+$C$7))</f>
        <v>146511.85648120585</v>
      </c>
      <c r="D99" s="33">
        <f>IF($C$10+$C$9=0,Dashboard!$C$27*$C$8*B99,Dashboard!$C$27*$C$8*(1-EXP(-($C$10+$C$9)*B99))/($C$10+$C$9))</f>
        <v>162564.32989942573</v>
      </c>
      <c r="E99">
        <f t="shared" si="1"/>
        <v>1</v>
      </c>
    </row>
    <row r="100" spans="2:5" x14ac:dyDescent="0.25">
      <c r="B100" s="4">
        <f>(100-20)/100</f>
        <v>0.8</v>
      </c>
      <c r="C100" s="33">
        <f>IF($C$10+$C$7=0,Dashboard!$C$27*$C$6*B100,Dashboard!$C$27*$C$6*(1-EXP(-($C$10+$C$7)*B100))/($C$10+$C$7))</f>
        <v>147227.56624048771</v>
      </c>
      <c r="D100" s="33">
        <f>IF($C$10+$C$9=0,Dashboard!$C$27*$C$8*B100,Dashboard!$C$27*$C$8*(1-EXP(-($C$10+$C$9)*B100))/($C$10+$C$9))</f>
        <v>164310.57775578549</v>
      </c>
      <c r="E100">
        <f t="shared" si="1"/>
        <v>1</v>
      </c>
    </row>
    <row r="101" spans="2:5" x14ac:dyDescent="0.25">
      <c r="B101" s="4">
        <f>(101-20)/100</f>
        <v>0.81</v>
      </c>
      <c r="C101" s="33">
        <f>IF($C$10+$C$7=0,Dashboard!$C$27*$C$6*B101,Dashboard!$C$27*$C$6*(1-EXP(-($C$10+$C$7)*B101))/($C$10+$C$7))</f>
        <v>147928.40280990399</v>
      </c>
      <c r="D101" s="33">
        <f>IF($C$10+$C$9=0,Dashboard!$C$27*$C$8*B101,Dashboard!$C$27*$C$8*(1-EXP(-($C$10+$C$9)*B101))/($C$10+$C$9))</f>
        <v>166049.85457209457</v>
      </c>
      <c r="E101">
        <f t="shared" si="1"/>
        <v>1</v>
      </c>
    </row>
    <row r="102" spans="2:5" x14ac:dyDescent="0.25">
      <c r="B102" s="4">
        <f>(102-20)/100</f>
        <v>0.82</v>
      </c>
      <c r="C102" s="33">
        <f>IF($C$10+$C$7=0,Dashboard!$C$27*$C$6*B102,Dashboard!$C$27*$C$6*(1-EXP(-($C$10+$C$7)*B102))/($C$10+$C$7))</f>
        <v>148614.67526974017</v>
      </c>
      <c r="D102" s="33">
        <f>IF($C$10+$C$9=0,Dashboard!$C$27*$C$8*B102,Dashboard!$C$27*$C$8*(1-EXP(-($C$10+$C$9)*B102))/($C$10+$C$9))</f>
        <v>167782.18817681918</v>
      </c>
      <c r="E102">
        <f t="shared" si="1"/>
        <v>1</v>
      </c>
    </row>
    <row r="103" spans="2:5" x14ac:dyDescent="0.25">
      <c r="B103" s="4">
        <f>(103-20)/100</f>
        <v>0.83</v>
      </c>
      <c r="C103" s="33">
        <f>IF($C$10+$C$7=0,Dashboard!$C$27*$C$6*B103,Dashboard!$C$27*$C$6*(1-EXP(-($C$10+$C$7)*B103))/($C$10+$C$7))</f>
        <v>149286.68627727352</v>
      </c>
      <c r="D103" s="33">
        <f>IF($C$10+$C$9=0,Dashboard!$C$27*$C$8*B103,Dashboard!$C$27*$C$8*(1-EXP(-($C$10+$C$9)*B103))/($C$10+$C$9))</f>
        <v>169507.606287334</v>
      </c>
      <c r="E103">
        <f t="shared" si="1"/>
        <v>1</v>
      </c>
    </row>
    <row r="104" spans="2:5" x14ac:dyDescent="0.25">
      <c r="B104" s="4">
        <f>(104-20)/100</f>
        <v>0.84</v>
      </c>
      <c r="C104" s="33">
        <f>IF($C$10+$C$7=0,Dashboard!$C$27*$C$6*B104,Dashboard!$C$27*$C$6*(1-EXP(-($C$10+$C$7)*B104))/($C$10+$C$7))</f>
        <v>149944.73220024962</v>
      </c>
      <c r="D104" s="33">
        <f>IF($C$10+$C$9=0,Dashboard!$C$27*$C$8*B104,Dashboard!$C$27*$C$8*(1-EXP(-($C$10+$C$9)*B104))/($C$10+$C$9))</f>
        <v>171226.13651036564</v>
      </c>
      <c r="E104">
        <f t="shared" si="1"/>
        <v>1</v>
      </c>
    </row>
    <row r="105" spans="2:5" x14ac:dyDescent="0.25">
      <c r="B105" s="4">
        <f>(105-20)/100</f>
        <v>0.85</v>
      </c>
      <c r="C105" s="33">
        <f>IF($C$10+$C$7=0,Dashboard!$C$27*$C$6*B105,Dashboard!$C$27*$C$6*(1-EXP(-($C$10+$C$7)*B105))/($C$10+$C$7))</f>
        <v>150589.10324758542</v>
      </c>
      <c r="D105" s="33">
        <f>IF($C$10+$C$9=0,Dashboard!$C$27*$C$8*B105,Dashboard!$C$27*$C$8*(1-EXP(-($C$10+$C$9)*B105))/($C$10+$C$9))</f>
        <v>172937.8063424342</v>
      </c>
      <c r="E105">
        <f t="shared" si="1"/>
        <v>1</v>
      </c>
    </row>
    <row r="106" spans="2:5" x14ac:dyDescent="0.25">
      <c r="B106" s="4">
        <f>(106-20)/100</f>
        <v>0.86</v>
      </c>
      <c r="C106" s="33">
        <f>IF($C$10+$C$7=0,Dashboard!$C$27*$C$6*B106,Dashboard!$C$27*$C$6*(1-EXP(-($C$10+$C$7)*B106))/($C$10+$C$7))</f>
        <v>151220.0835973561</v>
      </c>
      <c r="D106" s="33">
        <f>IF($C$10+$C$9=0,Dashboard!$C$27*$C$8*B106,Dashboard!$C$27*$C$8*(1-EXP(-($C$10+$C$9)*B106))/($C$10+$C$9))</f>
        <v>174642.6431702936</v>
      </c>
      <c r="E106">
        <f t="shared" si="1"/>
        <v>1</v>
      </c>
    </row>
    <row r="107" spans="2:5" x14ac:dyDescent="0.25">
      <c r="B107" s="4">
        <f>(107-20)/100</f>
        <v>0.87</v>
      </c>
      <c r="C107" s="33">
        <f>IF($C$10+$C$7=0,Dashboard!$C$27*$C$6*B107,Dashboard!$C$27*$C$6*(1-EXP(-($C$10+$C$7)*B107))/($C$10+$C$7))</f>
        <v>151837.95152212222</v>
      </c>
      <c r="D107" s="33">
        <f>IF($C$10+$C$9=0,Dashboard!$C$27*$C$8*B107,Dashboard!$C$27*$C$8*(1-EXP(-($C$10+$C$9)*B107))/($C$10+$C$9))</f>
        <v>176340.67427136935</v>
      </c>
      <c r="E107">
        <f t="shared" si="1"/>
        <v>1</v>
      </c>
    </row>
    <row r="108" spans="2:5" x14ac:dyDescent="0.25">
      <c r="B108" s="4">
        <f>(108-20)/100</f>
        <v>0.88</v>
      </c>
      <c r="C108" s="33">
        <f>IF($C$10+$C$7=0,Dashboard!$C$27*$C$6*B108,Dashboard!$C$27*$C$6*(1-EXP(-($C$10+$C$7)*B108))/($C$10+$C$7))</f>
        <v>152442.9795116524</v>
      </c>
      <c r="D108" s="33">
        <f>IF($C$10+$C$9=0,Dashboard!$C$27*$C$8*B108,Dashboard!$C$27*$C$8*(1-EXP(-($C$10+$C$9)*B108))/($C$10+$C$9))</f>
        <v>178031.92681419541</v>
      </c>
      <c r="E108">
        <f t="shared" si="1"/>
        <v>1</v>
      </c>
    </row>
    <row r="109" spans="2:5" x14ac:dyDescent="0.25">
      <c r="B109" s="4">
        <f>(109-20)/100</f>
        <v>0.89</v>
      </c>
      <c r="C109" s="33">
        <f>IF($C$10+$C$7=0,Dashboard!$C$27*$C$6*B109,Dashboard!$C$27*$C$6*(1-EXP(-($C$10+$C$7)*B109))/($C$10+$C$7))</f>
        <v>153035.4343930957</v>
      </c>
      <c r="D109" s="33">
        <f>IF($C$10+$C$9=0,Dashboard!$C$27*$C$8*B109,Dashboard!$C$27*$C$8*(1-EXP(-($C$10+$C$9)*B109))/($C$10+$C$9))</f>
        <v>179716.42785884856</v>
      </c>
      <c r="E109">
        <f t="shared" si="1"/>
        <v>1</v>
      </c>
    </row>
    <row r="110" spans="2:5" x14ac:dyDescent="0.25">
      <c r="B110" s="4">
        <f>(110-20)/100</f>
        <v>0.9</v>
      </c>
      <c r="C110" s="33">
        <f>IF($C$10+$C$7=0,Dashboard!$C$27*$C$6*B110,Dashboard!$C$27*$C$6*(1-EXP(-($C$10+$C$7)*B110))/($C$10+$C$7))</f>
        <v>153615.5774486567</v>
      </c>
      <c r="D110" s="33">
        <f>IF($C$10+$C$9=0,Dashboard!$C$27*$C$8*B110,Dashboard!$C$27*$C$8*(1-EXP(-($C$10+$C$9)*B110))/($C$10+$C$9))</f>
        <v>181394.20435738139</v>
      </c>
      <c r="E110">
        <f t="shared" si="1"/>
        <v>1</v>
      </c>
    </row>
    <row r="111" spans="2:5" x14ac:dyDescent="0.25">
      <c r="B111" s="4">
        <f>(111-20)/100</f>
        <v>0.91</v>
      </c>
      <c r="C111" s="33">
        <f>IF($C$10+$C$7=0,Dashboard!$C$27*$C$6*B111,Dashboard!$C$27*$C$6*(1-EXP(-($C$10+$C$7)*B111))/($C$10+$C$7))</f>
        <v>154183.66453082534</v>
      </c>
      <c r="D111" s="33">
        <f>IF($C$10+$C$9=0,Dashboard!$C$27*$C$8*B111,Dashboard!$C$27*$C$8*(1-EXP(-($C$10+$C$9)*B111))/($C$10+$C$9))</f>
        <v>183065.28315425362</v>
      </c>
      <c r="E111">
        <f t="shared" si="1"/>
        <v>1</v>
      </c>
    </row>
    <row r="112" spans="2:5" x14ac:dyDescent="0.25">
      <c r="B112" s="4">
        <f>(112-20)/100</f>
        <v>0.92</v>
      </c>
      <c r="C112" s="33">
        <f>IF($C$10+$C$7=0,Dashboard!$C$27*$C$6*B112,Dashboard!$C$27*$C$6*(1-EXP(-($C$10+$C$7)*B112))/($C$10+$C$7))</f>
        <v>154739.94617521175</v>
      </c>
      <c r="D112" s="33">
        <f>IF($C$10+$C$9=0,Dashboard!$C$27*$C$8*B112,Dashboard!$C$27*$C$8*(1-EXP(-($C$10+$C$9)*B112))/($C$10+$C$9))</f>
        <v>184729.69098676177</v>
      </c>
      <c r="E112">
        <f t="shared" si="1"/>
        <v>1</v>
      </c>
    </row>
    <row r="113" spans="2:5" x14ac:dyDescent="0.25">
      <c r="B113" s="4">
        <f>(113-20)/100</f>
        <v>0.93</v>
      </c>
      <c r="C113" s="33">
        <f>IF($C$10+$C$7=0,Dashboard!$C$27*$C$6*B113,Dashboard!$C$27*$C$6*(1-EXP(-($C$10+$C$7)*B113))/($C$10+$C$7))</f>
        <v>155284.66771103683</v>
      </c>
      <c r="D113" s="33">
        <f>IF($C$10+$C$9=0,Dashboard!$C$27*$C$8*B113,Dashboard!$C$27*$C$8*(1-EXP(-($C$10+$C$9)*B113))/($C$10+$C$9))</f>
        <v>186387.45448546653</v>
      </c>
      <c r="E113">
        <f t="shared" si="1"/>
        <v>1</v>
      </c>
    </row>
    <row r="114" spans="2:5" x14ac:dyDescent="0.25">
      <c r="B114" s="4">
        <f>(114-20)/100</f>
        <v>0.94</v>
      </c>
      <c r="C114" s="33">
        <f>IF($C$10+$C$7=0,Dashboard!$C$27*$C$6*B114,Dashboard!$C$27*$C$6*(1-EXP(-($C$10+$C$7)*B114))/($C$10+$C$7))</f>
        <v>155818.06936932617</v>
      </c>
      <c r="D114" s="33">
        <f>IF($C$10+$C$9=0,Dashboard!$C$27*$C$8*B114,Dashboard!$C$27*$C$8*(1-EXP(-($C$10+$C$9)*B114))/($C$10+$C$9))</f>
        <v>188038.60017461938</v>
      </c>
      <c r="E114">
        <f t="shared" si="1"/>
        <v>1</v>
      </c>
    </row>
    <row r="115" spans="2:5" x14ac:dyDescent="0.25">
      <c r="B115" s="4">
        <f>(115-20)/100</f>
        <v>0.95</v>
      </c>
      <c r="C115" s="33">
        <f>IF($C$10+$C$7=0,Dashboard!$C$27*$C$6*B115,Dashboard!$C$27*$C$6*(1-EXP(-($C$10+$C$7)*B115))/($C$10+$C$7))</f>
        <v>156340.38638885587</v>
      </c>
      <c r="D115" s="33">
        <f>IF($C$10+$C$9=0,Dashboard!$C$27*$C$8*B115,Dashboard!$C$27*$C$8*(1-EXP(-($C$10+$C$9)*B115))/($C$10+$C$9))</f>
        <v>189683.1544725865</v>
      </c>
      <c r="E115">
        <f t="shared" si="1"/>
        <v>1</v>
      </c>
    </row>
    <row r="116" spans="2:5" x14ac:dyDescent="0.25">
      <c r="B116" s="4">
        <f>(116-20)/100</f>
        <v>0.96</v>
      </c>
      <c r="C116" s="33">
        <f>IF($C$10+$C$7=0,Dashboard!$C$27*$C$6*B116,Dashboard!$C$27*$C$6*(1-EXP(-($C$10+$C$7)*B116))/($C$10+$C$7))</f>
        <v>156851.84911989677</v>
      </c>
      <c r="D116" s="33">
        <f>IF($C$10+$C$9=0,Dashboard!$C$27*$C$8*B116,Dashboard!$C$27*$C$8*(1-EXP(-($C$10+$C$9)*B116))/($C$10+$C$9))</f>
        <v>191321.14369227173</v>
      </c>
      <c r="E116">
        <f t="shared" si="1"/>
        <v>1</v>
      </c>
    </row>
    <row r="117" spans="2:5" x14ac:dyDescent="0.25">
      <c r="B117" s="4">
        <f>(117-20)/100</f>
        <v>0.97</v>
      </c>
      <c r="C117" s="33">
        <f>IF($C$10+$C$7=0,Dashboard!$C$27*$C$6*B117,Dashboard!$C$27*$C$6*(1-EXP(-($C$10+$C$7)*B117))/($C$10+$C$7))</f>
        <v>157352.68312580249</v>
      </c>
      <c r="D117" s="33">
        <f>IF($C$10+$C$9=0,Dashboard!$C$27*$C$8*B117,Dashboard!$C$27*$C$8*(1-EXP(-($C$10+$C$9)*B117))/($C$10+$C$9))</f>
        <v>192952.59404153755</v>
      </c>
      <c r="E117">
        <f t="shared" si="1"/>
        <v>1</v>
      </c>
    </row>
    <row r="118" spans="2:5" x14ac:dyDescent="0.25">
      <c r="B118" s="4">
        <f>(118-20)/100</f>
        <v>0.98</v>
      </c>
      <c r="C118" s="33">
        <f>IF($C$10+$C$7=0,Dashboard!$C$27*$C$6*B118,Dashboard!$C$27*$C$6*(1-EXP(-($C$10+$C$7)*B118))/($C$10+$C$7))</f>
        <v>157843.10928248664</v>
      </c>
      <c r="D118" s="33">
        <f>IF($C$10+$C$9=0,Dashboard!$C$27*$C$8*B118,Dashboard!$C$27*$C$8*(1-EXP(-($C$10+$C$9)*B118))/($C$10+$C$9))</f>
        <v>194577.53162362438</v>
      </c>
      <c r="E118">
        <f t="shared" si="1"/>
        <v>1</v>
      </c>
    </row>
    <row r="119" spans="2:5" x14ac:dyDescent="0.25">
      <c r="B119" s="4">
        <f>(119-20)/100</f>
        <v>0.99</v>
      </c>
      <c r="C119" s="33">
        <f>IF($C$10+$C$7=0,Dashboard!$C$27*$C$6*B119,Dashboard!$C$27*$C$6*(1-EXP(-($C$10+$C$7)*B119))/($C$10+$C$7))</f>
        <v>158323.34387583268</v>
      </c>
      <c r="D119" s="33">
        <f>IF($C$10+$C$9=0,Dashboard!$C$27*$C$8*B119,Dashboard!$C$27*$C$8*(1-EXP(-($C$10+$C$9)*B119))/($C$10+$C$9))</f>
        <v>196195.98243756816</v>
      </c>
      <c r="E119">
        <f t="shared" si="1"/>
        <v>1</v>
      </c>
    </row>
    <row r="120" spans="2:5" x14ac:dyDescent="0.25">
      <c r="B120" s="4">
        <f>(120-20)/100</f>
        <v>1</v>
      </c>
      <c r="C120" s="33">
        <f>IF($C$10+$C$7=0,Dashboard!$C$27*$C$6*B120,Dashboard!$C$27*$C$6*(1-EXP(-($C$10+$C$7)*B120))/($C$10+$C$7))</f>
        <v>158793.59869707946</v>
      </c>
      <c r="D120" s="33">
        <f>IF($C$10+$C$9=0,Dashboard!$C$27*$C$8*B120,Dashboard!$C$27*$C$8*(1-EXP(-($C$10+$C$9)*B120))/($C$10+$C$9))</f>
        <v>197807.9723786164</v>
      </c>
      <c r="E120">
        <f t="shared" si="1"/>
        <v>1</v>
      </c>
    </row>
    <row r="121" spans="2:5" x14ac:dyDescent="0.25">
      <c r="B121" s="4">
        <f>(121-20)/100</f>
        <v>1.01</v>
      </c>
      <c r="C121" s="33">
        <f>IF($C$10+$C$7=0,Dashboard!$C$27*$C$6*B121,Dashboard!$C$27*$C$6*(1-EXP(-($C$10+$C$7)*B121))/($C$10+$C$7))</f>
        <v>159254.0811362245</v>
      </c>
      <c r="D121" s="33">
        <f>IF($C$10+$C$9=0,Dashboard!$C$27*$C$8*B121,Dashboard!$C$27*$C$8*(1-EXP(-($C$10+$C$9)*B121))/($C$10+$C$9))</f>
        <v>199413.52723864262</v>
      </c>
      <c r="E121">
        <f t="shared" si="1"/>
        <v>1</v>
      </c>
    </row>
    <row r="122" spans="2:5" x14ac:dyDescent="0.25">
      <c r="B122" s="4">
        <f>(122-20)/100</f>
        <v>1.02</v>
      </c>
      <c r="C122" s="33">
        <f>IF($C$10+$C$7=0,Dashboard!$C$27*$C$6*B122,Dashboard!$C$27*$C$6*(1-EXP(-($C$10+$C$7)*B122))/($C$10+$C$7))</f>
        <v>159704.99427348655</v>
      </c>
      <c r="D122" s="33">
        <f>IF($C$10+$C$9=0,Dashboard!$C$27*$C$8*B122,Dashboard!$C$27*$C$8*(1-EXP(-($C$10+$C$9)*B122))/($C$10+$C$9))</f>
        <v>201012.67270655883</v>
      </c>
      <c r="E122">
        <f t="shared" si="1"/>
        <v>1</v>
      </c>
    </row>
    <row r="123" spans="2:5" x14ac:dyDescent="0.25">
      <c r="B123" s="4">
        <f>(123-20)/100</f>
        <v>1.03</v>
      </c>
      <c r="C123" s="33">
        <f>IF($C$10+$C$7=0,Dashboard!$C$27*$C$6*B123,Dashboard!$C$27*$C$6*(1-EXP(-($C$10+$C$7)*B123))/($C$10+$C$7))</f>
        <v>160146.53696886703</v>
      </c>
      <c r="D123" s="33">
        <f>IF($C$10+$C$9=0,Dashboard!$C$27*$C$8*B123,Dashboard!$C$27*$C$8*(1-EXP(-($C$10+$C$9)*B123))/($C$10+$C$9))</f>
        <v>202605.43436872665</v>
      </c>
      <c r="E123">
        <f t="shared" si="1"/>
        <v>1</v>
      </c>
    </row>
    <row r="124" spans="2:5" x14ac:dyDescent="0.25">
      <c r="B124" s="4">
        <f>(124-20)/100</f>
        <v>1.04</v>
      </c>
      <c r="C124" s="33">
        <f>IF($C$10+$C$7=0,Dashboard!$C$27*$C$6*B124,Dashboard!$C$27*$C$6*(1-EXP(-($C$10+$C$7)*B124))/($C$10+$C$7))</f>
        <v>160578.90394985073</v>
      </c>
      <c r="D124" s="33">
        <f>IF($C$10+$C$9=0,Dashboard!$C$27*$C$8*B124,Dashboard!$C$27*$C$8*(1-EXP(-($C$10+$C$9)*B124))/($C$10+$C$9))</f>
        <v>204191.83770936658</v>
      </c>
      <c r="E124">
        <f t="shared" si="1"/>
        <v>1</v>
      </c>
    </row>
    <row r="125" spans="2:5" x14ac:dyDescent="0.25">
      <c r="B125" s="4">
        <f>(125-20)/100</f>
        <v>1.05</v>
      </c>
      <c r="C125" s="33">
        <f>IF($C$10+$C$7=0,Dashboard!$C$27*$C$6*B125,Dashboard!$C$27*$C$6*(1-EXP(-($C$10+$C$7)*B125))/($C$10+$C$7))</f>
        <v>161002.28589728364</v>
      </c>
      <c r="D125" s="33">
        <f>IF($C$10+$C$9=0,Dashboard!$C$27*$C$8*B125,Dashboard!$C$27*$C$8*(1-EXP(-($C$10+$C$9)*B125))/($C$10+$C$9))</f>
        <v>205771.90811096595</v>
      </c>
      <c r="E125">
        <f t="shared" si="1"/>
        <v>1</v>
      </c>
    </row>
    <row r="126" spans="2:5" x14ac:dyDescent="0.25">
      <c r="B126" s="4">
        <f>(126-20)/100</f>
        <v>1.06</v>
      </c>
      <c r="C126" s="33">
        <f>IF($C$10+$C$7=0,Dashboard!$C$27*$C$6*B126,Dashboard!$C$27*$C$6*(1-EXP(-($C$10+$C$7)*B126))/($C$10+$C$7))</f>
        <v>161416.86952946626</v>
      </c>
      <c r="D126" s="33">
        <f>IF($C$10+$C$9=0,Dashboard!$C$27*$C$8*B126,Dashboard!$C$27*$C$8*(1-EXP(-($C$10+$C$9)*B126))/($C$10+$C$9))</f>
        <v>207345.67085468481</v>
      </c>
      <c r="E126">
        <f t="shared" si="1"/>
        <v>1</v>
      </c>
    </row>
    <row r="127" spans="2:5" x14ac:dyDescent="0.25">
      <c r="B127" s="4">
        <f>(127-20)/100</f>
        <v>1.07</v>
      </c>
      <c r="C127" s="33">
        <f>IF($C$10+$C$7=0,Dashboard!$C$27*$C$6*B127,Dashboard!$C$27*$C$6*(1-EXP(-($C$10+$C$7)*B127))/($C$10+$C$7))</f>
        <v>161822.83768449957</v>
      </c>
      <c r="D127" s="33">
        <f>IF($C$10+$C$9=0,Dashboard!$C$27*$C$8*B127,Dashboard!$C$27*$C$8*(1-EXP(-($C$10+$C$9)*B127))/($C$10+$C$9))</f>
        <v>208913.15112076083</v>
      </c>
      <c r="E127">
        <f t="shared" si="1"/>
        <v>1</v>
      </c>
    </row>
    <row r="128" spans="2:5" x14ac:dyDescent="0.25">
      <c r="B128" s="4">
        <f>(128-20)/100</f>
        <v>1.08</v>
      </c>
      <c r="C128" s="33">
        <f>IF($C$10+$C$7=0,Dashboard!$C$27*$C$6*B128,Dashboard!$C$27*$C$6*(1-EXP(-($C$10+$C$7)*B128))/($C$10+$C$7))</f>
        <v>162220.36940091944</v>
      </c>
      <c r="D128" s="33">
        <f>IF($C$10+$C$9=0,Dashboard!$C$27*$C$8*B128,Dashboard!$C$27*$C$8*(1-EXP(-($C$10+$C$9)*B128))/($C$10+$C$9))</f>
        <v>210474.3739889116</v>
      </c>
      <c r="E128">
        <f t="shared" si="1"/>
        <v>1</v>
      </c>
    </row>
    <row r="129" spans="2:5" x14ac:dyDescent="0.25">
      <c r="B129" s="4">
        <f>(129-20)/100</f>
        <v>1.0900000000000001</v>
      </c>
      <c r="C129" s="33">
        <f>IF($C$10+$C$7=0,Dashboard!$C$27*$C$6*B129,Dashboard!$C$27*$C$6*(1-EXP(-($C$10+$C$7)*B129))/($C$10+$C$7))</f>
        <v>162609.63999665569</v>
      </c>
      <c r="D129" s="33">
        <f>IF($C$10+$C$9=0,Dashboard!$C$27*$C$8*B129,Dashboard!$C$27*$C$8*(1-EXP(-($C$10+$C$9)*B129))/($C$10+$C$9))</f>
        <v>212029.36443873623</v>
      </c>
      <c r="E129">
        <f t="shared" si="1"/>
        <v>1</v>
      </c>
    </row>
    <row r="130" spans="2:5" x14ac:dyDescent="0.25">
      <c r="B130" s="4">
        <f>(130-20)/100</f>
        <v>1.1000000000000001</v>
      </c>
      <c r="C130" s="33">
        <f>IF($C$10+$C$7=0,Dashboard!$C$27*$C$6*B130,Dashboard!$C$27*$C$6*(1-EXP(-($C$10+$C$7)*B130))/($C$10+$C$7))</f>
        <v>162990.82114634986</v>
      </c>
      <c r="D130" s="33">
        <f>IF($C$10+$C$9=0,Dashboard!$C$27*$C$8*B130,Dashboard!$C$27*$C$8*(1-EXP(-($C$10+$C$9)*B130))/($C$10+$C$9))</f>
        <v>213578.14735011521</v>
      </c>
      <c r="E130">
        <f t="shared" si="1"/>
        <v>1</v>
      </c>
    </row>
    <row r="131" spans="2:5" x14ac:dyDescent="0.25">
      <c r="B131" s="4">
        <f>(131-20)/100</f>
        <v>1.1100000000000001</v>
      </c>
      <c r="C131" s="33">
        <f>IF($C$10+$C$7=0,Dashboard!$C$27*$C$6*B131,Dashboard!$C$27*$C$6*(1-EXP(-($C$10+$C$7)*B131))/($C$10+$C$7))</f>
        <v>163364.08095706676</v>
      </c>
      <c r="D131" s="33">
        <f>IF($C$10+$C$9=0,Dashboard!$C$27*$C$8*B131,Dashboard!$C$27*$C$8*(1-EXP(-($C$10+$C$9)*B131))/($C$10+$C$9))</f>
        <v>215120.74750360809</v>
      </c>
      <c r="E131">
        <f t="shared" si="1"/>
        <v>1</v>
      </c>
    </row>
    <row r="132" spans="2:5" x14ac:dyDescent="0.25">
      <c r="B132" s="4">
        <f>(132-20)/100</f>
        <v>1.1200000000000001</v>
      </c>
      <c r="C132" s="33">
        <f>IF($C$10+$C$7=0,Dashboard!$C$27*$C$6*B132,Dashboard!$C$27*$C$6*(1-EXP(-($C$10+$C$7)*B132))/($C$10+$C$7))</f>
        <v>163729.58404243234</v>
      </c>
      <c r="D132" s="33">
        <f>IF($C$10+$C$9=0,Dashboard!$C$27*$C$8*B132,Dashboard!$C$27*$C$8*(1-EXP(-($C$10+$C$9)*B132))/($C$10+$C$9))</f>
        <v>216657.1895808503</v>
      </c>
      <c r="E132">
        <f t="shared" si="1"/>
        <v>1</v>
      </c>
    </row>
    <row r="133" spans="2:5" x14ac:dyDescent="0.25">
      <c r="B133" s="4">
        <f>(133-20)/100</f>
        <v>1.1299999999999999</v>
      </c>
      <c r="C133" s="33">
        <f>IF($C$10+$C$7=0,Dashboard!$C$27*$C$6*B133,Dashboard!$C$27*$C$6*(1-EXP(-($C$10+$C$7)*B133))/($C$10+$C$7))</f>
        <v>164087.49159523097</v>
      </c>
      <c r="D133" s="33">
        <f>IF($C$10+$C$9=0,Dashboard!$C$27*$C$8*B133,Dashboard!$C$27*$C$8*(1-EXP(-($C$10+$C$9)*B133))/($C$10+$C$9))</f>
        <v>218187.49816494776</v>
      </c>
      <c r="E133">
        <f t="shared" si="1"/>
        <v>1</v>
      </c>
    </row>
    <row r="134" spans="2:5" x14ac:dyDescent="0.25">
      <c r="B134" s="4">
        <f>(134-20)/100</f>
        <v>1.1399999999999999</v>
      </c>
      <c r="C134" s="33">
        <f>IF($C$10+$C$7=0,Dashboard!$C$27*$C$6*B134,Dashboard!$C$27*$C$6*(1-EXP(-($C$10+$C$7)*B134))/($C$10+$C$7))</f>
        <v>164437.96145849407</v>
      </c>
      <c r="D134" s="33">
        <f>IF($C$10+$C$9=0,Dashboard!$C$27*$C$8*B134,Dashboard!$C$27*$C$8*(1-EXP(-($C$10+$C$9)*B134))/($C$10+$C$9))</f>
        <v>219711.69774087053</v>
      </c>
      <c r="E134">
        <f t="shared" si="1"/>
        <v>1</v>
      </c>
    </row>
    <row r="135" spans="2:5" x14ac:dyDescent="0.25">
      <c r="B135" s="4">
        <f>(135-20)/100</f>
        <v>1.1499999999999999</v>
      </c>
      <c r="C135" s="33">
        <f>IF($C$10+$C$7=0,Dashboard!$C$27*$C$6*B135,Dashboard!$C$27*$C$6*(1-EXP(-($C$10+$C$7)*B135))/($C$10+$C$7))</f>
        <v>164781.14819511134</v>
      </c>
      <c r="D135" s="33">
        <f>IF($C$10+$C$9=0,Dashboard!$C$27*$C$8*B135,Dashboard!$C$27*$C$8*(1-EXP(-($C$10+$C$9)*B135))/($C$10+$C$9))</f>
        <v>221229.81269584445</v>
      </c>
      <c r="E135">
        <f t="shared" si="1"/>
        <v>1</v>
      </c>
    </row>
    <row r="136" spans="2:5" x14ac:dyDescent="0.25">
      <c r="B136" s="4">
        <f>(136-20)/100</f>
        <v>1.1599999999999999</v>
      </c>
      <c r="C136" s="33">
        <f>IF($C$10+$C$7=0,Dashboard!$C$27*$C$6*B136,Dashboard!$C$27*$C$6*(1-EXP(-($C$10+$C$7)*B136))/($C$10+$C$7))</f>
        <v>165117.20315599567</v>
      </c>
      <c r="D136" s="33">
        <f>IF($C$10+$C$9=0,Dashboard!$C$27*$C$8*B136,Dashboard!$C$27*$C$8*(1-EXP(-($C$10+$C$9)*B136))/($C$10+$C$9))</f>
        <v>222741.86731974094</v>
      </c>
      <c r="E136">
        <f t="shared" si="1"/>
        <v>1</v>
      </c>
    </row>
    <row r="137" spans="2:5" x14ac:dyDescent="0.25">
      <c r="B137" s="4">
        <f>(137-20)/100</f>
        <v>1.17</v>
      </c>
      <c r="C137" s="33">
        <f>IF($C$10+$C$7=0,Dashboard!$C$27*$C$6*B137,Dashboard!$C$27*$C$6*(1-EXP(-($C$10+$C$7)*B137))/($C$10+$C$7))</f>
        <v>165446.27454683126</v>
      </c>
      <c r="D137" s="33">
        <f>IF($C$10+$C$9=0,Dashboard!$C$27*$C$8*B137,Dashboard!$C$27*$C$8*(1-EXP(-($C$10+$C$9)*B137))/($C$10+$C$9))</f>
        <v>224247.88580546642</v>
      </c>
      <c r="E137">
        <f t="shared" si="1"/>
        <v>1</v>
      </c>
    </row>
    <row r="138" spans="2:5" x14ac:dyDescent="0.25">
      <c r="B138" s="4">
        <f>(138-20)/100</f>
        <v>1.18</v>
      </c>
      <c r="C138" s="33">
        <f>IF($C$10+$C$7=0,Dashboard!$C$27*$C$6*B138,Dashboard!$C$27*$C$6*(1-EXP(-($C$10+$C$7)*B138))/($C$10+$C$7))</f>
        <v>165768.50749343471</v>
      </c>
      <c r="D138" s="33">
        <f>IF($C$10+$C$9=0,Dashboard!$C$27*$C$8*B138,Dashboard!$C$27*$C$8*(1-EXP(-($C$10+$C$9)*B138))/($C$10+$C$9))</f>
        <v>225747.89224934869</v>
      </c>
      <c r="E138">
        <f t="shared" si="1"/>
        <v>1</v>
      </c>
    </row>
    <row r="139" spans="2:5" x14ac:dyDescent="0.25">
      <c r="B139" s="4">
        <f>(139-20)/100</f>
        <v>1.19</v>
      </c>
      <c r="C139" s="33">
        <f>IF($C$10+$C$7=0,Dashboard!$C$27*$C$6*B139,Dashboard!$C$27*$C$6*(1-EXP(-($C$10+$C$7)*B139))/($C$10+$C$7))</f>
        <v>166084.0441057579</v>
      </c>
      <c r="D139" s="33">
        <f>IF($C$10+$C$9=0,Dashboard!$C$27*$C$8*B139,Dashboard!$C$27*$C$8*(1-EXP(-($C$10+$C$9)*B139))/($C$10+$C$9))</f>
        <v>227241.91065152295</v>
      </c>
      <c r="E139">
        <f t="shared" si="1"/>
        <v>1</v>
      </c>
    </row>
    <row r="140" spans="2:5" x14ac:dyDescent="0.25">
      <c r="B140" s="4">
        <f>(140-20)/100</f>
        <v>1.2</v>
      </c>
      <c r="C140" s="33">
        <f>IF($C$10+$C$7=0,Dashboard!$C$27*$C$6*B140,Dashboard!$C$27*$C$6*(1-EXP(-($C$10+$C$7)*B140))/($C$10+$C$7))</f>
        <v>166393.0235405608</v>
      </c>
      <c r="D140" s="33">
        <f>IF($C$10+$C$9=0,Dashboard!$C$27*$C$8*B140,Dashboard!$C$27*$C$8*(1-EXP(-($C$10+$C$9)*B140))/($C$10+$C$9))</f>
        <v>228729.96491631551</v>
      </c>
      <c r="E140">
        <f t="shared" si="1"/>
        <v>1</v>
      </c>
    </row>
    <row r="141" spans="2:5" x14ac:dyDescent="0.25">
      <c r="B141" s="4">
        <f>(141-20)/100</f>
        <v>1.21</v>
      </c>
      <c r="C141" s="33">
        <f>IF($C$10+$C$7=0,Dashboard!$C$27*$C$6*B141,Dashboard!$C$27*$C$6*(1-EXP(-($C$10+$C$7)*B141))/($C$10+$C$7))</f>
        <v>166695.58206278173</v>
      </c>
      <c r="D141" s="33">
        <f>IF($C$10+$C$9=0,Dashboard!$C$27*$C$8*B141,Dashboard!$C$27*$C$8*(1-EXP(-($C$10+$C$9)*B141))/($C$10+$C$9))</f>
        <v>230212.0788526262</v>
      </c>
      <c r="E141">
        <f t="shared" si="1"/>
        <v>1</v>
      </c>
    </row>
    <row r="142" spans="2:5" x14ac:dyDescent="0.25">
      <c r="B142" s="4">
        <f>(142-20)/100</f>
        <v>1.22</v>
      </c>
      <c r="C142" s="33">
        <f>IF($C$10+$C$7=0,Dashboard!$C$27*$C$6*B142,Dashboard!$C$27*$C$6*(1-EXP(-($C$10+$C$7)*B142))/($C$10+$C$7))</f>
        <v>166991.85310563259</v>
      </c>
      <c r="D142" s="33">
        <f>IF($C$10+$C$9=0,Dashboard!$C$27*$C$8*B142,Dashboard!$C$27*$C$8*(1-EXP(-($C$10+$C$9)*B142))/($C$10+$C$9))</f>
        <v>231688.27617430972</v>
      </c>
      <c r="E142">
        <f t="shared" si="1"/>
        <v>1</v>
      </c>
    </row>
    <row r="143" spans="2:5" x14ac:dyDescent="0.25">
      <c r="B143" s="4">
        <f>(143-20)/100</f>
        <v>1.23</v>
      </c>
      <c r="C143" s="33">
        <f>IF($C$10+$C$7=0,Dashboard!$C$27*$C$6*B143,Dashboard!$C$27*$C$6*(1-EXP(-($C$10+$C$7)*B143))/($C$10+$C$7))</f>
        <v>167281.96732944492</v>
      </c>
      <c r="D143" s="33">
        <f>IF($C$10+$C$9=0,Dashboard!$C$27*$C$8*B143,Dashboard!$C$27*$C$8*(1-EXP(-($C$10+$C$9)*B143))/($C$10+$C$9))</f>
        <v>233158.58050055476</v>
      </c>
      <c r="E143">
        <f t="shared" si="1"/>
        <v>1</v>
      </c>
    </row>
    <row r="144" spans="2:5" x14ac:dyDescent="0.25">
      <c r="B144" s="4">
        <f>(144-20)/100</f>
        <v>1.24</v>
      </c>
      <c r="C144" s="33">
        <f>IF($C$10+$C$7=0,Dashboard!$C$27*$C$6*B144,Dashboard!$C$27*$C$6*(1-EXP(-($C$10+$C$7)*B144))/($C$10+$C$7))</f>
        <v>167566.05267929329</v>
      </c>
      <c r="D144" s="33">
        <f>IF($C$10+$C$9=0,Dashboard!$C$27*$C$8*B144,Dashboard!$C$27*$C$8*(1-EXP(-($C$10+$C$9)*B144))/($C$10+$C$9))</f>
        <v>234623.01535626189</v>
      </c>
      <c r="E144">
        <f t="shared" si="1"/>
        <v>1</v>
      </c>
    </row>
    <row r="145" spans="2:5" x14ac:dyDescent="0.25">
      <c r="B145" s="4">
        <f>(145-20)/100</f>
        <v>1.25</v>
      </c>
      <c r="C145" s="33">
        <f>IF($C$10+$C$7=0,Dashboard!$C$27*$C$6*B145,Dashboard!$C$27*$C$6*(1-EXP(-($C$10+$C$7)*B145))/($C$10+$C$7))</f>
        <v>167844.23444142114</v>
      </c>
      <c r="D145" s="33">
        <f>IF($C$10+$C$9=0,Dashboard!$C$27*$C$8*B145,Dashboard!$C$27*$C$8*(1-EXP(-($C$10+$C$9)*B145))/($C$10+$C$9))</f>
        <v>236081.60417241993</v>
      </c>
      <c r="E145">
        <f t="shared" si="1"/>
        <v>1</v>
      </c>
    </row>
    <row r="146" spans="2:5" x14ac:dyDescent="0.25">
      <c r="B146" s="4">
        <f>(146-20)/100</f>
        <v>1.26</v>
      </c>
      <c r="C146" s="33">
        <f>IF($C$10+$C$7=0,Dashboard!$C$27*$C$6*B146,Dashboard!$C$27*$C$6*(1-EXP(-($C$10+$C$7)*B146))/($C$10+$C$7))</f>
        <v>168116.63529849413</v>
      </c>
      <c r="D146" s="33">
        <f>IF($C$10+$C$9=0,Dashboard!$C$27*$C$8*B146,Dashboard!$C$27*$C$8*(1-EXP(-($C$10+$C$9)*B146))/($C$10+$C$9))</f>
        <v>237534.37028648116</v>
      </c>
      <c r="E146">
        <f t="shared" si="1"/>
        <v>1</v>
      </c>
    </row>
    <row r="147" spans="2:5" x14ac:dyDescent="0.25">
      <c r="B147" s="4">
        <f>(147-20)/100</f>
        <v>1.27</v>
      </c>
      <c r="C147" s="33">
        <f>IF($C$10+$C$7=0,Dashboard!$C$27*$C$6*B147,Dashboard!$C$27*$C$6*(1-EXP(-($C$10+$C$7)*B147))/($C$10+$C$7))</f>
        <v>168383.37538370496</v>
      </c>
      <c r="D147" s="33">
        <f>IF($C$10+$C$9=0,Dashboard!$C$27*$C$8*B147,Dashboard!$C$27*$C$8*(1-EXP(-($C$10+$C$9)*B147))/($C$10+$C$9))</f>
        <v>238981.33694273437</v>
      </c>
      <c r="E147">
        <f t="shared" si="1"/>
        <v>1</v>
      </c>
    </row>
    <row r="148" spans="2:5" x14ac:dyDescent="0.25">
      <c r="B148" s="4">
        <f>(148-20)/100</f>
        <v>1.28</v>
      </c>
      <c r="C148" s="33">
        <f>IF($C$10+$C$7=0,Dashboard!$C$27*$C$6*B148,Dashboard!$C$27*$C$6*(1-EXP(-($C$10+$C$7)*B148))/($C$10+$C$7))</f>
        <v>168644.57233375427</v>
      </c>
      <c r="D148" s="33">
        <f>IF($C$10+$C$9=0,Dashboard!$C$27*$C$8*B148,Dashboard!$C$27*$C$8*(1-EXP(-($C$10+$C$9)*B148))/($C$10+$C$9))</f>
        <v>240422.52729267697</v>
      </c>
      <c r="E148">
        <f t="shared" ref="E148:E211" si="2">IF(AND(B148&gt;0,D148&gt;C148),1,0)</f>
        <v>1</v>
      </c>
    </row>
    <row r="149" spans="2:5" x14ac:dyDescent="0.25">
      <c r="B149" s="4">
        <f>(149-20)/100</f>
        <v>1.29</v>
      </c>
      <c r="C149" s="33">
        <f>IF($C$10+$C$7=0,Dashboard!$C$27*$C$6*B149,Dashboard!$C$27*$C$6*(1-EXP(-($C$10+$C$7)*B149))/($C$10+$C$7))</f>
        <v>168900.34134073023</v>
      </c>
      <c r="D149" s="33">
        <f>IF($C$10+$C$9=0,Dashboard!$C$27*$C$8*B149,Dashboard!$C$27*$C$8*(1-EXP(-($C$10+$C$9)*B149))/($C$10+$C$9))</f>
        <v>241857.96439538521</v>
      </c>
      <c r="E149">
        <f t="shared" si="2"/>
        <v>1</v>
      </c>
    </row>
    <row r="150" spans="2:5" x14ac:dyDescent="0.25">
      <c r="B150" s="4">
        <f>(150-20)/100</f>
        <v>1.3</v>
      </c>
      <c r="C150" s="33">
        <f>IF($C$10+$C$7=0,Dashboard!$C$27*$C$6*B150,Dashboard!$C$27*$C$6*(1-EXP(-($C$10+$C$7)*B150))/($C$10+$C$7))</f>
        <v>169150.79520291023</v>
      </c>
      <c r="D150" s="33">
        <f>IF($C$10+$C$9=0,Dashboard!$C$27*$C$8*B150,Dashboard!$C$27*$C$8*(1-EXP(-($C$10+$C$9)*B150))/($C$10+$C$9))</f>
        <v>243287.67121788335</v>
      </c>
      <c r="E150">
        <f t="shared" si="2"/>
        <v>1</v>
      </c>
    </row>
    <row r="151" spans="2:5" x14ac:dyDescent="0.25">
      <c r="B151" s="4">
        <f>(151-20)/100</f>
        <v>1.31</v>
      </c>
      <c r="C151" s="33">
        <f>IF($C$10+$C$7=0,Dashboard!$C$27*$C$6*B151,Dashboard!$C$27*$C$6*(1-EXP(-($C$10+$C$7)*B151))/($C$10+$C$7))</f>
        <v>169396.04437450657</v>
      </c>
      <c r="D151" s="33">
        <f>IF($C$10+$C$9=0,Dashboard!$C$27*$C$8*B151,Dashboard!$C$27*$C$8*(1-EXP(-($C$10+$C$9)*B151))/($C$10+$C$9))</f>
        <v>244711.6706355112</v>
      </c>
      <c r="E151">
        <f t="shared" si="2"/>
        <v>1</v>
      </c>
    </row>
    <row r="152" spans="2:5" x14ac:dyDescent="0.25">
      <c r="B152" s="4">
        <f>(152-20)/100</f>
        <v>1.32</v>
      </c>
      <c r="C152" s="33">
        <f>IF($C$10+$C$7=0,Dashboard!$C$27*$C$6*B152,Dashboard!$C$27*$C$6*(1-EXP(-($C$10+$C$7)*B152))/($C$10+$C$7))</f>
        <v>169636.19701437862</v>
      </c>
      <c r="D152" s="33">
        <f>IF($C$10+$C$9=0,Dashboard!$C$27*$C$8*B152,Dashboard!$C$27*$C$8*(1-EXP(-($C$10+$C$9)*B152))/($C$10+$C$9))</f>
        <v>246129.98543228974</v>
      </c>
      <c r="E152">
        <f t="shared" si="2"/>
        <v>1</v>
      </c>
    </row>
    <row r="153" spans="2:5" x14ac:dyDescent="0.25">
      <c r="B153" s="4">
        <f>(153-20)/100</f>
        <v>1.33</v>
      </c>
      <c r="C153" s="33">
        <f>IF($C$10+$C$7=0,Dashboard!$C$27*$C$6*B153,Dashboard!$C$27*$C$6*(1-EXP(-($C$10+$C$7)*B153))/($C$10+$C$7))</f>
        <v>169871.35903373273</v>
      </c>
      <c r="D153" s="33">
        <f>IF($C$10+$C$9=0,Dashboard!$C$27*$C$8*B153,Dashboard!$C$27*$C$8*(1-EXP(-($C$10+$C$9)*B153))/($C$10+$C$9))</f>
        <v>247542.63830128594</v>
      </c>
      <c r="E153">
        <f t="shared" si="2"/>
        <v>1</v>
      </c>
    </row>
    <row r="154" spans="2:5" x14ac:dyDescent="0.25">
      <c r="B154" s="4">
        <f>(154-20)/100</f>
        <v>1.34</v>
      </c>
      <c r="C154" s="33">
        <f>IF($C$10+$C$7=0,Dashboard!$C$27*$C$6*B154,Dashboard!$C$27*$C$6*(1-EXP(-($C$10+$C$7)*B154))/($C$10+$C$7))</f>
        <v>170101.63414283079</v>
      </c>
      <c r="D154" s="33">
        <f>IF($C$10+$C$9=0,Dashboard!$C$27*$C$8*B154,Dashboard!$C$27*$C$8*(1-EXP(-($C$10+$C$9)*B154))/($C$10+$C$9))</f>
        <v>248949.65184497589</v>
      </c>
      <c r="E154">
        <f t="shared" si="2"/>
        <v>1</v>
      </c>
    </row>
    <row r="155" spans="2:5" x14ac:dyDescent="0.25">
      <c r="B155" s="4">
        <f>(155-20)/100</f>
        <v>1.35</v>
      </c>
      <c r="C155" s="33">
        <f>IF($C$10+$C$7=0,Dashboard!$C$27*$C$6*B155,Dashboard!$C$27*$C$6*(1-EXP(-($C$10+$C$7)*B155))/($C$10+$C$7))</f>
        <v>170327.12389672786</v>
      </c>
      <c r="D155" s="33">
        <f>IF($C$10+$C$9=0,Dashboard!$C$27*$C$8*B155,Dashboard!$C$27*$C$8*(1-EXP(-($C$10+$C$9)*B155))/($C$10+$C$9))</f>
        <v>250351.0485756062</v>
      </c>
      <c r="E155">
        <f t="shared" si="2"/>
        <v>1</v>
      </c>
    </row>
    <row r="156" spans="2:5" x14ac:dyDescent="0.25">
      <c r="B156" s="4">
        <f>(156-20)/100</f>
        <v>1.36</v>
      </c>
      <c r="C156" s="33">
        <f>IF($C$10+$C$7=0,Dashboard!$C$27*$C$6*B156,Dashboard!$C$27*$C$6*(1-EXP(-($C$10+$C$7)*B156))/($C$10+$C$7))</f>
        <v>170547.92774006</v>
      </c>
      <c r="D156" s="33">
        <f>IF($C$10+$C$9=0,Dashboard!$C$27*$C$8*B156,Dashboard!$C$27*$C$8*(1-EXP(-($C$10+$C$9)*B156))/($C$10+$C$9))</f>
        <v>251746.85091555456</v>
      </c>
      <c r="E156">
        <f t="shared" si="2"/>
        <v>1</v>
      </c>
    </row>
    <row r="157" spans="2:5" x14ac:dyDescent="0.25">
      <c r="B157" s="4">
        <f>(157-20)/100</f>
        <v>1.37</v>
      </c>
      <c r="C157" s="33">
        <f>IF($C$10+$C$7=0,Dashboard!$C$27*$C$6*B157,Dashboard!$C$27*$C$6*(1-EXP(-($C$10+$C$7)*B157))/($C$10+$C$7))</f>
        <v>170764.14305090063</v>
      </c>
      <c r="D157" s="33">
        <f>IF($C$10+$C$9=0,Dashboard!$C$27*$C$8*B157,Dashboard!$C$27*$C$8*(1-EXP(-($C$10+$C$9)*B157))/($C$10+$C$9))</f>
        <v>253137.08119768824</v>
      </c>
      <c r="E157">
        <f t="shared" si="2"/>
        <v>1</v>
      </c>
    </row>
    <row r="158" spans="2:5" x14ac:dyDescent="0.25">
      <c r="B158" s="4">
        <f>(158-20)/100</f>
        <v>1.38</v>
      </c>
      <c r="C158" s="33">
        <f>IF($C$10+$C$7=0,Dashboard!$C$27*$C$6*B158,Dashboard!$C$27*$C$6*(1-EXP(-($C$10+$C$7)*B158))/($C$10+$C$7))</f>
        <v>170975.86518370608</v>
      </c>
      <c r="D158" s="33">
        <f>IF($C$10+$C$9=0,Dashboard!$C$27*$C$8*B158,Dashboard!$C$27*$C$8*(1-EXP(-($C$10+$C$9)*B158))/($C$10+$C$9))</f>
        <v>254521.76166572122</v>
      </c>
      <c r="E158">
        <f t="shared" si="2"/>
        <v>1</v>
      </c>
    </row>
    <row r="159" spans="2:5" x14ac:dyDescent="0.25">
      <c r="B159" s="4">
        <f>(159-20)/100</f>
        <v>1.39</v>
      </c>
      <c r="C159" s="33">
        <f>IF($C$10+$C$7=0,Dashboard!$C$27*$C$6*B159,Dashboard!$C$27*$C$6*(1-EXP(-($C$10+$C$7)*B159))/($C$10+$C$7))</f>
        <v>171183.18751136825</v>
      </c>
      <c r="D159" s="33">
        <f>IF($C$10+$C$9=0,Dashboard!$C$27*$C$8*B159,Dashboard!$C$27*$C$8*(1-EXP(-($C$10+$C$9)*B159))/($C$10+$C$9))</f>
        <v>255900.91447457075</v>
      </c>
      <c r="E159">
        <f t="shared" si="2"/>
        <v>1</v>
      </c>
    </row>
    <row r="160" spans="2:5" x14ac:dyDescent="0.25">
      <c r="B160" s="4">
        <f>(160-20)/100</f>
        <v>1.4</v>
      </c>
      <c r="C160" s="33">
        <f>IF($C$10+$C$7=0,Dashboard!$C$27*$C$6*B160,Dashboard!$C$27*$C$6*(1-EXP(-($C$10+$C$7)*B160))/($C$10+$C$7))</f>
        <v>171386.20146639372</v>
      </c>
      <c r="D160" s="33">
        <f>IF($C$10+$C$9=0,Dashboard!$C$27*$C$8*B160,Dashboard!$C$27*$C$8*(1-EXP(-($C$10+$C$9)*B160))/($C$10+$C$9))</f>
        <v>257274.56169071107</v>
      </c>
      <c r="E160">
        <f t="shared" si="2"/>
        <v>1</v>
      </c>
    </row>
    <row r="161" spans="2:5" x14ac:dyDescent="0.25">
      <c r="B161" s="4">
        <f>(161-20)/100</f>
        <v>1.41</v>
      </c>
      <c r="C161" s="33">
        <f>IF($C$10+$C$7=0,Dashboard!$C$27*$C$6*B161,Dashboard!$C$27*$C$6*(1-EXP(-($C$10+$C$7)*B161))/($C$10+$C$7))</f>
        <v>171584.99658122694</v>
      </c>
      <c r="D161" s="33">
        <f>IF($C$10+$C$9=0,Dashboard!$C$27*$C$8*B161,Dashboard!$C$27*$C$8*(1-EXP(-($C$10+$C$9)*B161))/($C$10+$C$9))</f>
        <v>258642.72529252694</v>
      </c>
      <c r="E161">
        <f t="shared" si="2"/>
        <v>1</v>
      </c>
    </row>
    <row r="162" spans="2:5" x14ac:dyDescent="0.25">
      <c r="B162" s="4">
        <f>(162-20)/100</f>
        <v>1.42</v>
      </c>
      <c r="C162" s="33">
        <f>IF($C$10+$C$7=0,Dashboard!$C$27*$C$6*B162,Dashboard!$C$27*$C$6*(1-EXP(-($C$10+$C$7)*B162))/($C$10+$C$7))</f>
        <v>171779.6605277354</v>
      </c>
      <c r="D162" s="33">
        <f>IF($C$10+$C$9=0,Dashboard!$C$27*$C$8*B162,Dashboard!$C$27*$C$8*(1-EXP(-($C$10+$C$9)*B162))/($C$10+$C$9))</f>
        <v>260005.42717066521</v>
      </c>
      <c r="E162">
        <f t="shared" si="2"/>
        <v>1</v>
      </c>
    </row>
    <row r="163" spans="2:5" x14ac:dyDescent="0.25">
      <c r="B163" s="4">
        <f>(163-20)/100</f>
        <v>1.43</v>
      </c>
      <c r="C163" s="33">
        <f>IF($C$10+$C$7=0,Dashboard!$C$27*$C$6*B163,Dashboard!$C$27*$C$6*(1-EXP(-($C$10+$C$7)*B163))/($C$10+$C$7))</f>
        <v>171970.27915587439</v>
      </c>
      <c r="D163" s="33">
        <f>IF($C$10+$C$9=0,Dashboard!$C$27*$C$8*B163,Dashboard!$C$27*$C$8*(1-EXP(-($C$10+$C$9)*B163))/($C$10+$C$9))</f>
        <v>261362.68912838495</v>
      </c>
      <c r="E163">
        <f t="shared" si="2"/>
        <v>1</v>
      </c>
    </row>
    <row r="164" spans="2:5" x14ac:dyDescent="0.25">
      <c r="B164" s="4">
        <f>(164-20)/100</f>
        <v>1.44</v>
      </c>
      <c r="C164" s="33">
        <f>IF($C$10+$C$7=0,Dashboard!$C$27*$C$6*B164,Dashboard!$C$27*$C$6*(1-EXP(-($C$10+$C$7)*B164))/($C$10+$C$7))</f>
        <v>172156.93653154833</v>
      </c>
      <c r="D164" s="33">
        <f>IF($C$10+$C$9=0,Dashboard!$C$27*$C$8*B164,Dashboard!$C$27*$C$8*(1-EXP(-($C$10+$C$9)*B164))/($C$10+$C$9))</f>
        <v>262714.53288190649</v>
      </c>
      <c r="E164">
        <f t="shared" si="2"/>
        <v>1</v>
      </c>
    </row>
    <row r="165" spans="2:5" x14ac:dyDescent="0.25">
      <c r="B165" s="4">
        <f>(165-20)/100</f>
        <v>1.45</v>
      </c>
      <c r="C165" s="33">
        <f>IF($C$10+$C$7=0,Dashboard!$C$27*$C$6*B165,Dashboard!$C$27*$C$6*(1-EXP(-($C$10+$C$7)*B165))/($C$10+$C$7))</f>
        <v>172339.71497368498</v>
      </c>
      <c r="D165" s="33">
        <f>IF($C$10+$C$9=0,Dashboard!$C$27*$C$8*B165,Dashboard!$C$27*$C$8*(1-EXP(-($C$10+$C$9)*B165))/($C$10+$C$9))</f>
        <v>264060.98006075877</v>
      </c>
      <c r="E165">
        <f t="shared" si="2"/>
        <v>1</v>
      </c>
    </row>
    <row r="166" spans="2:5" x14ac:dyDescent="0.25">
      <c r="B166" s="4">
        <f>(166-20)/100</f>
        <v>1.46</v>
      </c>
      <c r="C166" s="33">
        <f>IF($C$10+$C$7=0,Dashboard!$C$27*$C$6*B166,Dashboard!$C$27*$C$6*(1-EXP(-($C$10+$C$7)*B166))/($C$10+$C$7))</f>
        <v>172518.69509053967</v>
      </c>
      <c r="D166" s="33">
        <f>IF($C$10+$C$9=0,Dashboard!$C$27*$C$8*B166,Dashboard!$C$27*$C$8*(1-EXP(-($C$10+$C$9)*B166))/($C$10+$C$9))</f>
        <v>265402.05220812524</v>
      </c>
      <c r="E166">
        <f t="shared" si="2"/>
        <v>1</v>
      </c>
    </row>
    <row r="167" spans="2:5" x14ac:dyDescent="0.25">
      <c r="B167" s="4">
        <f>(167-20)/100</f>
        <v>1.47</v>
      </c>
      <c r="C167" s="33">
        <f>IF($C$10+$C$7=0,Dashboard!$C$27*$C$6*B167,Dashboard!$C$27*$C$6*(1-EXP(-($C$10+$C$7)*B167))/($C$10+$C$7))</f>
        <v>172693.95581524464</v>
      </c>
      <c r="D167" s="33">
        <f>IF($C$10+$C$9=0,Dashboard!$C$27*$C$8*B167,Dashboard!$C$27*$C$8*(1-EXP(-($C$10+$C$9)*B167))/($C$10+$C$9))</f>
        <v>266737.77078118903</v>
      </c>
      <c r="E167">
        <f t="shared" si="2"/>
        <v>1</v>
      </c>
    </row>
    <row r="168" spans="2:5" x14ac:dyDescent="0.25">
      <c r="B168" s="4">
        <f>(168-20)/100</f>
        <v>1.48</v>
      </c>
      <c r="C168" s="33">
        <f>IF($C$10+$C$7=0,Dashboard!$C$27*$C$6*B168,Dashboard!$C$27*$C$6*(1-EXP(-($C$10+$C$7)*B168))/($C$10+$C$7))</f>
        <v>172865.57444061994</v>
      </c>
      <c r="D168" s="33">
        <f>IF($C$10+$C$9=0,Dashboard!$C$27*$C$8*B168,Dashboard!$C$27*$C$8*(1-EXP(-($C$10+$C$9)*B168))/($C$10+$C$9))</f>
        <v>268068.15715147567</v>
      </c>
      <c r="E168">
        <f t="shared" si="2"/>
        <v>1</v>
      </c>
    </row>
    <row r="169" spans="2:5" x14ac:dyDescent="0.25">
      <c r="B169" s="4">
        <f>(169-20)/100</f>
        <v>1.49</v>
      </c>
      <c r="C169" s="33">
        <f>IF($C$10+$C$7=0,Dashboard!$C$27*$C$6*B169,Dashboard!$C$27*$C$6*(1-EXP(-($C$10+$C$7)*B169))/($C$10+$C$7))</f>
        <v>173033.62665326076</v>
      </c>
      <c r="D169" s="33">
        <f>IF($C$10+$C$9=0,Dashboard!$C$27*$C$8*B169,Dashboard!$C$27*$C$8*(1-EXP(-($C$10+$C$9)*B169))/($C$10+$C$9))</f>
        <v>269393.23260519555</v>
      </c>
      <c r="E169">
        <f t="shared" si="2"/>
        <v>1</v>
      </c>
    </row>
    <row r="170" spans="2:5" x14ac:dyDescent="0.25">
      <c r="B170" s="4">
        <f>(170-20)/100</f>
        <v>1.5</v>
      </c>
      <c r="C170" s="33">
        <f>IF($C$10+$C$7=0,Dashboard!$C$27*$C$6*B170,Dashboard!$C$27*$C$6*(1-EXP(-($C$10+$C$7)*B170))/($C$10+$C$7))</f>
        <v>173198.18656691653</v>
      </c>
      <c r="D170" s="33">
        <f>IF($C$10+$C$9=0,Dashboard!$C$27*$C$8*B170,Dashboard!$C$27*$C$8*(1-EXP(-($C$10+$C$9)*B170))/($C$10+$C$9))</f>
        <v>270713.01834358415</v>
      </c>
      <c r="E170">
        <f t="shared" si="2"/>
        <v>1</v>
      </c>
    </row>
    <row r="171" spans="2:5" x14ac:dyDescent="0.25">
      <c r="B171" s="4">
        <f>(171-20)/100</f>
        <v>1.51</v>
      </c>
      <c r="C171" s="33">
        <f>IF($C$10+$C$7=0,Dashboard!$C$27*$C$6*B171,Dashboard!$C$27*$C$6*(1-EXP(-($C$10+$C$7)*B171))/($C$10+$C$7))</f>
        <v>173359.32675517618</v>
      </c>
      <c r="D171" s="33">
        <f>IF($C$10+$C$9=0,Dashboard!$C$27*$C$8*B171,Dashboard!$C$27*$C$8*(1-EXP(-($C$10+$C$9)*B171))/($C$10+$C$9))</f>
        <v>272027.53548324149</v>
      </c>
      <c r="E171">
        <f t="shared" si="2"/>
        <v>1</v>
      </c>
    </row>
    <row r="172" spans="2:5" x14ac:dyDescent="0.25">
      <c r="B172" s="4">
        <f>(172-20)/100</f>
        <v>1.52</v>
      </c>
      <c r="C172" s="33">
        <f>IF($C$10+$C$7=0,Dashboard!$C$27*$C$6*B172,Dashboard!$C$27*$C$6*(1-EXP(-($C$10+$C$7)*B172))/($C$10+$C$7))</f>
        <v>173517.11828347426</v>
      </c>
      <c r="D172" s="33">
        <f>IF($C$10+$C$9=0,Dashboard!$C$27*$C$8*B172,Dashboard!$C$27*$C$8*(1-EXP(-($C$10+$C$9)*B172))/($C$10+$C$9))</f>
        <v>273336.80505646975</v>
      </c>
      <c r="E172">
        <f t="shared" si="2"/>
        <v>1</v>
      </c>
    </row>
    <row r="173" spans="2:5" x14ac:dyDescent="0.25">
      <c r="B173" s="4">
        <f>(173-20)/100</f>
        <v>1.53</v>
      </c>
      <c r="C173" s="33">
        <f>IF($C$10+$C$7=0,Dashboard!$C$27*$C$6*B173,Dashboard!$C$27*$C$6*(1-EXP(-($C$10+$C$7)*B173))/($C$10+$C$7))</f>
        <v>173671.63074043224</v>
      </c>
      <c r="D173" s="33">
        <f>IF($C$10+$C$9=0,Dashboard!$C$27*$C$8*B173,Dashboard!$C$27*$C$8*(1-EXP(-($C$10+$C$9)*B173))/($C$10+$C$9))</f>
        <v>274640.8480116101</v>
      </c>
      <c r="E173">
        <f t="shared" si="2"/>
        <v>1</v>
      </c>
    </row>
    <row r="174" spans="2:5" x14ac:dyDescent="0.25">
      <c r="B174" s="4">
        <f>(174-20)/100</f>
        <v>1.54</v>
      </c>
      <c r="C174" s="33">
        <f>IF($C$10+$C$7=0,Dashboard!$C$27*$C$6*B174,Dashboard!$C$27*$C$6*(1-EXP(-($C$10+$C$7)*B174))/($C$10+$C$7))</f>
        <v>173822.93226854765</v>
      </c>
      <c r="D174" s="33">
        <f>IF($C$10+$C$9=0,Dashboard!$C$27*$C$8*B174,Dashboard!$C$27*$C$8*(1-EXP(-($C$10+$C$9)*B174))/($C$10+$C$9))</f>
        <v>275939.68521337764</v>
      </c>
      <c r="E174">
        <f t="shared" si="2"/>
        <v>1</v>
      </c>
    </row>
    <row r="175" spans="2:5" x14ac:dyDescent="0.25">
      <c r="B175" s="4">
        <f>(175-20)/100</f>
        <v>1.55</v>
      </c>
      <c r="C175" s="33">
        <f>IF($C$10+$C$7=0,Dashboard!$C$27*$C$6*B175,Dashboard!$C$27*$C$6*(1-EXP(-($C$10+$C$7)*B175))/($C$10+$C$7))</f>
        <v>173971.08959424662</v>
      </c>
      <c r="D175" s="33">
        <f>IF($C$10+$C$9=0,Dashboard!$C$27*$C$8*B175,Dashboard!$C$27*$C$8*(1-EXP(-($C$10+$C$9)*B175))/($C$10+$C$9))</f>
        <v>277233.33744319528</v>
      </c>
      <c r="E175">
        <f t="shared" si="2"/>
        <v>1</v>
      </c>
    </row>
    <row r="176" spans="2:5" x14ac:dyDescent="0.25">
      <c r="B176" s="4">
        <f>(176-20)/100</f>
        <v>1.56</v>
      </c>
      <c r="C176" s="33">
        <f>IF($C$10+$C$7=0,Dashboard!$C$27*$C$6*B176,Dashboard!$C$27*$C$6*(1-EXP(-($C$10+$C$7)*B176))/($C$10+$C$7))</f>
        <v>174116.16805731092</v>
      </c>
      <c r="D176" s="33">
        <f>IF($C$10+$C$9=0,Dashboard!$C$27*$C$8*B176,Dashboard!$C$27*$C$8*(1-EXP(-($C$10+$C$9)*B176))/($C$10+$C$9))</f>
        <v>278521.82539952639</v>
      </c>
      <c r="E176">
        <f t="shared" si="2"/>
        <v>1</v>
      </c>
    </row>
    <row r="177" spans="2:5" x14ac:dyDescent="0.25">
      <c r="B177" s="4">
        <f>(177-20)/100</f>
        <v>1.57</v>
      </c>
      <c r="C177" s="33">
        <f>IF($C$10+$C$7=0,Dashboard!$C$27*$C$6*B177,Dashboard!$C$27*$C$6*(1-EXP(-($C$10+$C$7)*B177))/($C$10+$C$7))</f>
        <v>174258.23163969407</v>
      </c>
      <c r="D177" s="33">
        <f>IF($C$10+$C$9=0,Dashboard!$C$27*$C$8*B177,Dashboard!$C$27*$C$8*(1-EXP(-($C$10+$C$9)*B177))/($C$10+$C$9))</f>
        <v>279805.16969820566</v>
      </c>
      <c r="E177">
        <f t="shared" si="2"/>
        <v>1</v>
      </c>
    </row>
    <row r="178" spans="2:5" x14ac:dyDescent="0.25">
      <c r="B178" s="4">
        <f>(178-20)/100</f>
        <v>1.58</v>
      </c>
      <c r="C178" s="33">
        <f>IF($C$10+$C$7=0,Dashboard!$C$27*$C$6*B178,Dashboard!$C$27*$C$6*(1-EXP(-($C$10+$C$7)*B178))/($C$10+$C$7))</f>
        <v>174397.34299373833</v>
      </c>
      <c r="D178" s="33">
        <f>IF($C$10+$C$9=0,Dashboard!$C$27*$C$8*B178,Dashboard!$C$27*$C$8*(1-EXP(-($C$10+$C$9)*B178))/($C$10+$C$9))</f>
        <v>281083.39087276923</v>
      </c>
      <c r="E178">
        <f t="shared" si="2"/>
        <v>1</v>
      </c>
    </row>
    <row r="179" spans="2:5" x14ac:dyDescent="0.25">
      <c r="B179" s="4">
        <f>(179-20)/100</f>
        <v>1.59</v>
      </c>
      <c r="C179" s="33">
        <f>IF($C$10+$C$7=0,Dashboard!$C$27*$C$6*B179,Dashboard!$C$27*$C$6*(1-EXP(-($C$10+$C$7)*B179))/($C$10+$C$7))</f>
        <v>174533.56346980546</v>
      </c>
      <c r="D179" s="33">
        <f>IF($C$10+$C$9=0,Dashboard!$C$27*$C$8*B179,Dashboard!$C$27*$C$8*(1-EXP(-($C$10+$C$9)*B179))/($C$10+$C$9))</f>
        <v>282356.50937478326</v>
      </c>
      <c r="E179">
        <f t="shared" si="2"/>
        <v>1</v>
      </c>
    </row>
    <row r="180" spans="2:5" x14ac:dyDescent="0.25">
      <c r="B180" s="4">
        <f>(180-20)/100</f>
        <v>1.6</v>
      </c>
      <c r="C180" s="33">
        <f>IF($C$10+$C$7=0,Dashboard!$C$27*$C$6*B180,Dashboard!$C$27*$C$6*(1-EXP(-($C$10+$C$7)*B180))/($C$10+$C$7))</f>
        <v>174666.95314333303</v>
      </c>
      <c r="D180" s="33">
        <f>IF($C$10+$C$9=0,Dashboard!$C$27*$C$8*B180,Dashboard!$C$27*$C$8*(1-EXP(-($C$10+$C$9)*B180))/($C$10+$C$9))</f>
        <v>283624.54557417089</v>
      </c>
      <c r="E180">
        <f t="shared" si="2"/>
        <v>1</v>
      </c>
    </row>
    <row r="181" spans="2:5" x14ac:dyDescent="0.25">
      <c r="B181" s="4">
        <f>(181-20)/100</f>
        <v>1.61</v>
      </c>
      <c r="C181" s="33">
        <f>IF($C$10+$C$7=0,Dashboard!$C$27*$C$6*B181,Dashboard!$C$27*$C$6*(1-EXP(-($C$10+$C$7)*B181))/($C$10+$C$7))</f>
        <v>174797.57084132894</v>
      </c>
      <c r="D181" s="33">
        <f>IF($C$10+$C$9=0,Dashboard!$C$27*$C$8*B181,Dashboard!$C$27*$C$8*(1-EXP(-($C$10+$C$9)*B181))/($C$10+$C$9))</f>
        <v>284887.51975953835</v>
      </c>
      <c r="E181">
        <f t="shared" si="2"/>
        <v>1</v>
      </c>
    </row>
    <row r="182" spans="2:5" x14ac:dyDescent="0.25">
      <c r="B182" s="4">
        <f>(182-20)/100</f>
        <v>1.62</v>
      </c>
      <c r="C182" s="33">
        <f>IF($C$10+$C$7=0,Dashboard!$C$27*$C$6*B182,Dashboard!$C$27*$C$6*(1-EXP(-($C$10+$C$7)*B182))/($C$10+$C$7))</f>
        <v>174925.47416831498</v>
      </c>
      <c r="D182" s="33">
        <f>IF($C$10+$C$9=0,Dashboard!$C$27*$C$8*B182,Dashboard!$C$27*$C$8*(1-EXP(-($C$10+$C$9)*B182))/($C$10+$C$9))</f>
        <v>286145.45213849953</v>
      </c>
      <c r="E182">
        <f t="shared" si="2"/>
        <v>1</v>
      </c>
    </row>
    <row r="183" spans="2:5" x14ac:dyDescent="0.25">
      <c r="B183" s="4">
        <f>(183-20)/100</f>
        <v>1.63</v>
      </c>
      <c r="C183" s="33">
        <f>IF($C$10+$C$7=0,Dashboard!$C$27*$C$6*B183,Dashboard!$C$27*$C$6*(1-EXP(-($C$10+$C$7)*B183))/($C$10+$C$7))</f>
        <v>175050.71953173119</v>
      </c>
      <c r="D183" s="33">
        <f>IF($C$10+$C$9=0,Dashboard!$C$27*$C$8*B183,Dashboard!$C$27*$C$8*(1-EXP(-($C$10+$C$9)*B183))/($C$10+$C$9))</f>
        <v>287398.3628379993</v>
      </c>
      <c r="E183">
        <f t="shared" si="2"/>
        <v>1</v>
      </c>
    </row>
    <row r="184" spans="2:5" x14ac:dyDescent="0.25">
      <c r="B184" s="4">
        <f>(184-20)/100</f>
        <v>1.64</v>
      </c>
      <c r="C184" s="33">
        <f>IF($C$10+$C$7=0,Dashboard!$C$27*$C$6*B184,Dashboard!$C$27*$C$6*(1-EXP(-($C$10+$C$7)*B184))/($C$10+$C$7))</f>
        <v>175173.36216681279</v>
      </c>
      <c r="D184" s="33">
        <f>IF($C$10+$C$9=0,Dashboard!$C$27*$C$8*B184,Dashboard!$C$27*$C$8*(1-EXP(-($C$10+$C$9)*B184))/($C$10+$C$9))</f>
        <v>288646.27190463577</v>
      </c>
      <c r="E184">
        <f t="shared" si="2"/>
        <v>1</v>
      </c>
    </row>
    <row r="185" spans="2:5" x14ac:dyDescent="0.25">
      <c r="B185" s="4">
        <f>(185-20)/100</f>
        <v>1.65</v>
      </c>
      <c r="C185" s="33">
        <f>IF($C$10+$C$7=0,Dashboard!$C$27*$C$6*B185,Dashboard!$C$27*$C$6*(1-EXP(-($C$10+$C$7)*B185))/($C$10+$C$7))</f>
        <v>175293.45616094943</v>
      </c>
      <c r="D185" s="33">
        <f>IF($C$10+$C$9=0,Dashboard!$C$27*$C$8*B185,Dashboard!$C$27*$C$8*(1-EXP(-($C$10+$C$9)*B185))/($C$10+$C$9))</f>
        <v>289889.19930498046</v>
      </c>
      <c r="E185">
        <f t="shared" si="2"/>
        <v>1</v>
      </c>
    </row>
    <row r="186" spans="2:5" x14ac:dyDescent="0.25">
      <c r="B186" s="4">
        <f>(186-20)/100</f>
        <v>1.66</v>
      </c>
      <c r="C186" s="33">
        <f>IF($C$10+$C$7=0,Dashboard!$C$27*$C$6*B186,Dashboard!$C$27*$C$6*(1-EXP(-($C$10+$C$7)*B186))/($C$10+$C$7))</f>
        <v>175411.05447753894</v>
      </c>
      <c r="D186" s="33">
        <f>IF($C$10+$C$9=0,Dashboard!$C$27*$C$8*B186,Dashboard!$C$27*$C$8*(1-EXP(-($C$10+$C$9)*B186))/($C$10+$C$9))</f>
        <v>291127.16492589825</v>
      </c>
      <c r="E186">
        <f t="shared" si="2"/>
        <v>1</v>
      </c>
    </row>
    <row r="187" spans="2:5" x14ac:dyDescent="0.25">
      <c r="B187" s="4">
        <f>(187-20)/100</f>
        <v>1.67</v>
      </c>
      <c r="C187" s="33">
        <f>IF($C$10+$C$7=0,Dashboard!$C$27*$C$6*B187,Dashboard!$C$27*$C$6*(1-EXP(-($C$10+$C$7)*B187))/($C$10+$C$7))</f>
        <v>175526.20897934484</v>
      </c>
      <c r="D187" s="33">
        <f>IF($C$10+$C$9=0,Dashboard!$C$27*$C$8*B187,Dashboard!$C$27*$C$8*(1-EXP(-($C$10+$C$9)*B187))/($C$10+$C$9))</f>
        <v>292360.18857486569</v>
      </c>
      <c r="E187">
        <f t="shared" si="2"/>
        <v>1</v>
      </c>
    </row>
    <row r="188" spans="2:5" x14ac:dyDescent="0.25">
      <c r="B188" s="4">
        <f>(188-20)/100</f>
        <v>1.68</v>
      </c>
      <c r="C188" s="33">
        <f>IF($C$10+$C$7=0,Dashboard!$C$27*$C$6*B188,Dashboard!$C$27*$C$6*(1-EXP(-($C$10+$C$7)*B188))/($C$10+$C$7))</f>
        <v>175638.97045136866</v>
      </c>
      <c r="D188" s="33">
        <f>IF($C$10+$C$9=0,Dashboard!$C$27*$C$8*B188,Dashboard!$C$27*$C$8*(1-EXP(-($C$10+$C$9)*B188))/($C$10+$C$9))</f>
        <v>293588.28998028726</v>
      </c>
      <c r="E188">
        <f t="shared" si="2"/>
        <v>1</v>
      </c>
    </row>
    <row r="189" spans="2:5" x14ac:dyDescent="0.25">
      <c r="B189" s="4">
        <f>(189-20)/100</f>
        <v>1.69</v>
      </c>
      <c r="C189" s="33">
        <f>IF($C$10+$C$7=0,Dashboard!$C$27*$C$6*B189,Dashboard!$C$27*$C$6*(1-EXP(-($C$10+$C$7)*B189))/($C$10+$C$7))</f>
        <v>175749.38862324721</v>
      </c>
      <c r="D189" s="33">
        <f>IF($C$10+$C$9=0,Dashboard!$C$27*$C$8*B189,Dashboard!$C$27*$C$8*(1-EXP(-($C$10+$C$9)*B189))/($C$10+$C$9))</f>
        <v>294811.48879181175</v>
      </c>
      <c r="E189">
        <f t="shared" si="2"/>
        <v>1</v>
      </c>
    </row>
    <row r="190" spans="2:5" x14ac:dyDescent="0.25">
      <c r="B190" s="4">
        <f>(190-20)/100</f>
        <v>1.7</v>
      </c>
      <c r="C190" s="33">
        <f>IF($C$10+$C$7=0,Dashboard!$C$27*$C$6*B190,Dashboard!$C$27*$C$6*(1-EXP(-($C$10+$C$7)*B190))/($C$10+$C$7))</f>
        <v>175857.51219118378</v>
      </c>
      <c r="D190" s="33">
        <f>IF($C$10+$C$9=0,Dashboard!$C$27*$C$8*B190,Dashboard!$C$27*$C$8*(1-EXP(-($C$10+$C$9)*B190))/($C$10+$C$9))</f>
        <v>296029.80458064628</v>
      </c>
      <c r="E190">
        <f t="shared" si="2"/>
        <v>1</v>
      </c>
    </row>
    <row r="191" spans="2:5" x14ac:dyDescent="0.25">
      <c r="B191" s="4">
        <f>(191-20)/100</f>
        <v>1.71</v>
      </c>
      <c r="C191" s="33">
        <f>IF($C$10+$C$7=0,Dashboard!$C$27*$C$6*B191,Dashboard!$C$27*$C$6*(1-EXP(-($C$10+$C$7)*B191))/($C$10+$C$7))</f>
        <v>175963.38883942415</v>
      </c>
      <c r="D191" s="33">
        <f>IF($C$10+$C$9=0,Dashboard!$C$27*$C$8*B191,Dashboard!$C$27*$C$8*(1-EXP(-($C$10+$C$9)*B191))/($C$10+$C$9))</f>
        <v>297243.25683986925</v>
      </c>
      <c r="E191">
        <f t="shared" si="2"/>
        <v>1</v>
      </c>
    </row>
    <row r="192" spans="2:5" x14ac:dyDescent="0.25">
      <c r="B192" s="4">
        <f>(192-20)/100</f>
        <v>1.72</v>
      </c>
      <c r="C192" s="33">
        <f>IF($C$10+$C$7=0,Dashboard!$C$27*$C$6*B192,Dashboard!$C$27*$C$6*(1-EXP(-($C$10+$C$7)*B192))/($C$10+$C$7))</f>
        <v>176067.06526128622</v>
      </c>
      <c r="D192" s="33">
        <f>IF($C$10+$C$9=0,Dashboard!$C$27*$C$8*B192,Dashboard!$C$27*$C$8*(1-EXP(-($C$10+$C$9)*B192))/($C$10+$C$9))</f>
        <v>298451.86498474301</v>
      </c>
      <c r="E192">
        <f t="shared" si="2"/>
        <v>1</v>
      </c>
    </row>
    <row r="193" spans="2:5" x14ac:dyDescent="0.25">
      <c r="B193" s="4">
        <f>(193-20)/100</f>
        <v>1.73</v>
      </c>
      <c r="C193" s="33">
        <f>IF($C$10+$C$7=0,Dashboard!$C$27*$C$6*B193,Dashboard!$C$27*$C$6*(1-EXP(-($C$10+$C$7)*B193))/($C$10+$C$7))</f>
        <v>176168.58717975221</v>
      </c>
      <c r="D193" s="33">
        <f>IF($C$10+$C$9=0,Dashboard!$C$27*$C$8*B193,Dashboard!$C$27*$C$8*(1-EXP(-($C$10+$C$9)*B193))/($C$10+$C$9))</f>
        <v>299655.6483530234</v>
      </c>
      <c r="E193">
        <f t="shared" si="2"/>
        <v>1</v>
      </c>
    </row>
    <row r="194" spans="2:5" x14ac:dyDescent="0.25">
      <c r="B194" s="4">
        <f>(194-20)/100</f>
        <v>1.74</v>
      </c>
      <c r="C194" s="33">
        <f>IF($C$10+$C$7=0,Dashboard!$C$27*$C$6*B194,Dashboard!$C$27*$C$6*(1-EXP(-($C$10+$C$7)*B194))/($C$10+$C$7))</f>
        <v>176267.99936763363</v>
      </c>
      <c r="D194" s="33">
        <f>IF($C$10+$C$9=0,Dashboard!$C$27*$C$8*B194,Dashboard!$C$27*$C$8*(1-EXP(-($C$10+$C$9)*B194))/($C$10+$C$9))</f>
        <v>300854.62620527006</v>
      </c>
      <c r="E194">
        <f t="shared" si="2"/>
        <v>1</v>
      </c>
    </row>
    <row r="195" spans="2:5" x14ac:dyDescent="0.25">
      <c r="B195" s="4">
        <f>(195-20)/100</f>
        <v>1.75</v>
      </c>
      <c r="C195" s="33">
        <f>IF($C$10+$C$7=0,Dashboard!$C$27*$C$6*B195,Dashboard!$C$27*$C$6*(1-EXP(-($C$10+$C$7)*B195))/($C$10+$C$7))</f>
        <v>176365.34566731643</v>
      </c>
      <c r="D195" s="33">
        <f>IF($C$10+$C$9=0,Dashboard!$C$27*$C$8*B195,Dashboard!$C$27*$C$8*(1-EXP(-($C$10+$C$9)*B195))/($C$10+$C$9))</f>
        <v>302048.81772515434</v>
      </c>
      <c r="E195">
        <f t="shared" si="2"/>
        <v>1</v>
      </c>
    </row>
    <row r="196" spans="2:5" x14ac:dyDescent="0.25">
      <c r="B196" s="4">
        <f>(196-20)/100</f>
        <v>1.76</v>
      </c>
      <c r="C196" s="33">
        <f>IF($C$10+$C$7=0,Dashboard!$C$27*$C$6*B196,Dashboard!$C$27*$C$6*(1-EXP(-($C$10+$C$7)*B196))/($C$10+$C$7))</f>
        <v>176460.66901009649</v>
      </c>
      <c r="D196" s="33">
        <f>IF($C$10+$C$9=0,Dashboard!$C$27*$C$8*B196,Dashboard!$C$27*$C$8*(1-EXP(-($C$10+$C$9)*B196))/($C$10+$C$9))</f>
        <v>303238.24201976584</v>
      </c>
      <c r="E196">
        <f t="shared" si="2"/>
        <v>1</v>
      </c>
    </row>
    <row r="197" spans="2:5" x14ac:dyDescent="0.25">
      <c r="B197" s="4">
        <f>(197-20)/100</f>
        <v>1.77</v>
      </c>
      <c r="C197" s="33">
        <f>IF($C$10+$C$7=0,Dashboard!$C$27*$C$6*B197,Dashboard!$C$27*$C$6*(1-EXP(-($C$10+$C$7)*B197))/($C$10+$C$7))</f>
        <v>176554.01143511289</v>
      </c>
      <c r="D197" s="33">
        <f>IF($C$10+$C$9=0,Dashboard!$C$27*$C$8*B197,Dashboard!$C$27*$C$8*(1-EXP(-($C$10+$C$9)*B197))/($C$10+$C$9))</f>
        <v>304422.91811991873</v>
      </c>
      <c r="E197">
        <f t="shared" si="2"/>
        <v>1</v>
      </c>
    </row>
    <row r="198" spans="2:5" x14ac:dyDescent="0.25">
      <c r="B198" s="4">
        <f>(198-20)/100</f>
        <v>1.78</v>
      </c>
      <c r="C198" s="33">
        <f>IF($C$10+$C$7=0,Dashboard!$C$27*$C$6*B198,Dashboard!$C$27*$C$6*(1-EXP(-($C$10+$C$7)*B198))/($C$10+$C$7))</f>
        <v>176645.41410788786</v>
      </c>
      <c r="D198" s="33">
        <f>IF($C$10+$C$9=0,Dashboard!$C$27*$C$8*B198,Dashboard!$C$27*$C$8*(1-EXP(-($C$10+$C$9)*B198))/($C$10+$C$9))</f>
        <v>305602.86498045595</v>
      </c>
      <c r="E198">
        <f t="shared" si="2"/>
        <v>1</v>
      </c>
    </row>
    <row r="199" spans="2:5" x14ac:dyDescent="0.25">
      <c r="B199" s="4">
        <f>(199-20)/100</f>
        <v>1.79</v>
      </c>
      <c r="C199" s="33">
        <f>IF($C$10+$C$7=0,Dashboard!$C$27*$C$6*B199,Dashboard!$C$27*$C$6*(1-EXP(-($C$10+$C$7)*B199))/($C$10+$C$7))</f>
        <v>176734.91733848141</v>
      </c>
      <c r="D199" s="33">
        <f>IF($C$10+$C$9=0,Dashboard!$C$27*$C$8*B199,Dashboard!$C$27*$C$8*(1-EXP(-($C$10+$C$9)*B199))/($C$10+$C$9))</f>
        <v>306778.10148055229</v>
      </c>
      <c r="E199">
        <f t="shared" si="2"/>
        <v>1</v>
      </c>
    </row>
    <row r="200" spans="2:5" x14ac:dyDescent="0.25">
      <c r="B200" s="4">
        <f>(200-20)/100</f>
        <v>1.8</v>
      </c>
      <c r="C200" s="33">
        <f>IF($C$10+$C$7=0,Dashboard!$C$27*$C$6*B200,Dashboard!$C$27*$C$6*(1-EXP(-($C$10+$C$7)*B200))/($C$10+$C$7))</f>
        <v>176822.56059926891</v>
      </c>
      <c r="D200" s="33">
        <f>IF($C$10+$C$9=0,Dashboard!$C$27*$C$8*B200,Dashboard!$C$27*$C$8*(1-EXP(-($C$10+$C$9)*B200))/($C$10+$C$9))</f>
        <v>307948.64642401703</v>
      </c>
      <c r="E200">
        <f t="shared" si="2"/>
        <v>1</v>
      </c>
    </row>
    <row r="201" spans="2:5" x14ac:dyDescent="0.25">
      <c r="B201" s="4">
        <f>(201-20)/100</f>
        <v>1.81</v>
      </c>
      <c r="C201" s="33">
        <f>IF($C$10+$C$7=0,Dashboard!$C$27*$C$6*B201,Dashboard!$C$27*$C$6*(1-EXP(-($C$10+$C$7)*B201))/($C$10+$C$7))</f>
        <v>176908.38254234867</v>
      </c>
      <c r="D201" s="33">
        <f>IF($C$10+$C$9=0,Dashboard!$C$27*$C$8*B201,Dashboard!$C$27*$C$8*(1-EXP(-($C$10+$C$9)*B201))/($C$10+$C$9))</f>
        <v>309114.51853959408</v>
      </c>
      <c r="E201">
        <f t="shared" si="2"/>
        <v>1</v>
      </c>
    </row>
    <row r="202" spans="2:5" x14ac:dyDescent="0.25">
      <c r="B202" s="4">
        <f>(202-20)/100</f>
        <v>1.82</v>
      </c>
      <c r="C202" s="33">
        <f>IF($C$10+$C$7=0,Dashboard!$C$27*$C$6*B202,Dashboard!$C$27*$C$6*(1-EXP(-($C$10+$C$7)*B202))/($C$10+$C$7))</f>
        <v>176992.4210165886</v>
      </c>
      <c r="D202" s="33">
        <f>IF($C$10+$C$9=0,Dashboard!$C$27*$C$8*B202,Dashboard!$C$27*$C$8*(1-EXP(-($C$10+$C$9)*B202))/($C$10+$C$9))</f>
        <v>310275.73648126214</v>
      </c>
      <c r="E202">
        <f t="shared" si="2"/>
        <v>1</v>
      </c>
    </row>
    <row r="203" spans="2:5" x14ac:dyDescent="0.25">
      <c r="B203" s="4">
        <f>(203-20)/100</f>
        <v>1.83</v>
      </c>
      <c r="C203" s="33">
        <f>IF($C$10+$C$7=0,Dashboard!$C$27*$C$6*B203,Dashboard!$C$27*$C$6*(1-EXP(-($C$10+$C$7)*B203))/($C$10+$C$7))</f>
        <v>177074.7130843178</v>
      </c>
      <c r="D203" s="33">
        <f>IF($C$10+$C$9=0,Dashboard!$C$27*$C$8*B203,Dashboard!$C$27*$C$8*(1-EXP(-($C$10+$C$9)*B203))/($C$10+$C$9))</f>
        <v>311432.31882853317</v>
      </c>
      <c r="E203">
        <f t="shared" si="2"/>
        <v>1</v>
      </c>
    </row>
    <row r="204" spans="2:5" x14ac:dyDescent="0.25">
      <c r="B204" s="4">
        <f>(204-20)/100</f>
        <v>1.84</v>
      </c>
      <c r="C204" s="33">
        <f>IF($C$10+$C$7=0,Dashboard!$C$27*$C$6*B204,Dashboard!$C$27*$C$6*(1-EXP(-($C$10+$C$7)*B204))/($C$10+$C$7))</f>
        <v>177155.29503767189</v>
      </c>
      <c r="D204" s="33">
        <f>IF($C$10+$C$9=0,Dashboard!$C$27*$C$8*B204,Dashboard!$C$27*$C$8*(1-EXP(-($C$10+$C$9)*B204))/($C$10+$C$9))</f>
        <v>312584.28408674937</v>
      </c>
      <c r="E204">
        <f t="shared" si="2"/>
        <v>1</v>
      </c>
    </row>
    <row r="205" spans="2:5" x14ac:dyDescent="0.25">
      <c r="B205" s="4">
        <f>(205-20)/100</f>
        <v>1.85</v>
      </c>
      <c r="C205" s="33">
        <f>IF($C$10+$C$7=0,Dashboard!$C$27*$C$6*B205,Dashboard!$C$27*$C$6*(1-EXP(-($C$10+$C$7)*B205))/($C$10+$C$7))</f>
        <v>177234.20241459829</v>
      </c>
      <c r="D205" s="33">
        <f>IF($C$10+$C$9=0,Dashboard!$C$27*$C$8*B205,Dashboard!$C$27*$C$8*(1-EXP(-($C$10+$C$9)*B205))/($C$10+$C$9))</f>
        <v>313731.65068737941</v>
      </c>
      <c r="E205">
        <f t="shared" si="2"/>
        <v>1</v>
      </c>
    </row>
    <row r="206" spans="2:5" x14ac:dyDescent="0.25">
      <c r="B206" s="4">
        <f>(206-20)/100</f>
        <v>1.86</v>
      </c>
      <c r="C206" s="33">
        <f>IF($C$10+$C$7=0,Dashboard!$C$27*$C$6*B206,Dashboard!$C$27*$C$6*(1-EXP(-($C$10+$C$7)*B206))/($C$10+$C$7))</f>
        <v>177311.47001452901</v>
      </c>
      <c r="D206" s="33">
        <f>IF($C$10+$C$9=0,Dashboard!$C$27*$C$8*B206,Dashboard!$C$27*$C$8*(1-EXP(-($C$10+$C$9)*B206))/($C$10+$C$9))</f>
        <v>314874.43698831327</v>
      </c>
      <c r="E206">
        <f t="shared" si="2"/>
        <v>1</v>
      </c>
    </row>
    <row r="207" spans="2:5" x14ac:dyDescent="0.25">
      <c r="B207" s="4">
        <f>(207-20)/100</f>
        <v>1.87</v>
      </c>
      <c r="C207" s="33">
        <f>IF($C$10+$C$7=0,Dashboard!$C$27*$C$6*B207,Dashboard!$C$27*$C$6*(1-EXP(-($C$10+$C$7)*B207))/($C$10+$C$7))</f>
        <v>177387.13191372796</v>
      </c>
      <c r="D207" s="33">
        <f>IF($C$10+$C$9=0,Dashboard!$C$27*$C$8*B207,Dashboard!$C$27*$C$8*(1-EXP(-($C$10+$C$9)*B207))/($C$10+$C$9))</f>
        <v>316012.66127415642</v>
      </c>
      <c r="E207">
        <f t="shared" si="2"/>
        <v>1</v>
      </c>
    </row>
    <row r="208" spans="2:5" x14ac:dyDescent="0.25">
      <c r="B208" s="4">
        <f>(208-20)/100</f>
        <v>1.88</v>
      </c>
      <c r="C208" s="33">
        <f>IF($C$10+$C$7=0,Dashboard!$C$27*$C$6*B208,Dashboard!$C$27*$C$6*(1-EXP(-($C$10+$C$7)*B208))/($C$10+$C$7))</f>
        <v>177461.22148031893</v>
      </c>
      <c r="D208" s="33">
        <f>IF($C$10+$C$9=0,Dashboard!$C$27*$C$8*B208,Dashboard!$C$27*$C$8*(1-EXP(-($C$10+$C$9)*B208))/($C$10+$C$9))</f>
        <v>317146.34175652149</v>
      </c>
      <c r="E208">
        <f t="shared" si="2"/>
        <v>1</v>
      </c>
    </row>
    <row r="209" spans="2:5" x14ac:dyDescent="0.25">
      <c r="B209" s="4">
        <f>(209-20)/100</f>
        <v>1.89</v>
      </c>
      <c r="C209" s="33">
        <f>IF($C$10+$C$7=0,Dashboard!$C$27*$C$6*B209,Dashboard!$C$27*$C$6*(1-EXP(-($C$10+$C$7)*B209))/($C$10+$C$7))</f>
        <v>177533.77138900151</v>
      </c>
      <c r="D209" s="33">
        <f>IF($C$10+$C$9=0,Dashboard!$C$27*$C$8*B209,Dashboard!$C$27*$C$8*(1-EXP(-($C$10+$C$9)*B209))/($C$10+$C$9))</f>
        <v>318275.49657432042</v>
      </c>
      <c r="E209">
        <f t="shared" si="2"/>
        <v>1</v>
      </c>
    </row>
    <row r="210" spans="2:5" x14ac:dyDescent="0.25">
      <c r="B210" s="4">
        <f>(210-20)/100</f>
        <v>1.9</v>
      </c>
      <c r="C210" s="33">
        <f>IF($C$10+$C$7=0,Dashboard!$C$27*$C$6*B210,Dashboard!$C$27*$C$6*(1-EXP(-($C$10+$C$7)*B210))/($C$10+$C$7))</f>
        <v>177604.81363546127</v>
      </c>
      <c r="D210" s="33">
        <f>IF($C$10+$C$9=0,Dashboard!$C$27*$C$8*B210,Dashboard!$C$27*$C$8*(1-EXP(-($C$10+$C$9)*B210))/($C$10+$C$9))</f>
        <v>319400.14379405446</v>
      </c>
      <c r="E210">
        <f t="shared" si="2"/>
        <v>1</v>
      </c>
    </row>
    <row r="211" spans="2:5" x14ac:dyDescent="0.25">
      <c r="B211" s="4">
        <f>(211-20)/100</f>
        <v>1.91</v>
      </c>
      <c r="C211" s="33">
        <f>IF($C$10+$C$7=0,Dashboard!$C$27*$C$6*B211,Dashboard!$C$27*$C$6*(1-EXP(-($C$10+$C$7)*B211))/($C$10+$C$7))</f>
        <v>177674.37955048028</v>
      </c>
      <c r="D211" s="33">
        <f>IF($C$10+$C$9=0,Dashboard!$C$27*$C$8*B211,Dashboard!$C$27*$C$8*(1-EXP(-($C$10+$C$9)*B211))/($C$10+$C$9))</f>
        <v>320520.30141010298</v>
      </c>
      <c r="E211">
        <f t="shared" si="2"/>
        <v>1</v>
      </c>
    </row>
    <row r="212" spans="2:5" x14ac:dyDescent="0.25">
      <c r="B212" s="4">
        <f>(212-20)/100</f>
        <v>1.92</v>
      </c>
      <c r="C212" s="33">
        <f>IF($C$10+$C$7=0,Dashboard!$C$27*$C$6*B212,Dashboard!$C$27*$C$6*(1-EXP(-($C$10+$C$7)*B212))/($C$10+$C$7))</f>
        <v>177742.49981375455</v>
      </c>
      <c r="D212" s="33">
        <f>IF($C$10+$C$9=0,Dashboard!$C$27*$C$8*B212,Dashboard!$C$27*$C$8*(1-EXP(-($C$10+$C$9)*B212))/($C$10+$C$9))</f>
        <v>321635.98734501196</v>
      </c>
      <c r="E212">
        <f t="shared" ref="E212:E275" si="3">IF(AND(B212&gt;0,D212&gt;C212),1,0)</f>
        <v>1</v>
      </c>
    </row>
    <row r="213" spans="2:5" x14ac:dyDescent="0.25">
      <c r="B213" s="4">
        <f>(213-20)/100</f>
        <v>1.93</v>
      </c>
      <c r="C213" s="33">
        <f>IF($C$10+$C$7=0,Dashboard!$C$27*$C$6*B213,Dashboard!$C$27*$C$6*(1-EXP(-($C$10+$C$7)*B213))/($C$10+$C$7))</f>
        <v>177809.20446742419</v>
      </c>
      <c r="D213" s="33">
        <f>IF($C$10+$C$9=0,Dashboard!$C$27*$C$8*B213,Dashboard!$C$27*$C$8*(1-EXP(-($C$10+$C$9)*B213))/($C$10+$C$9))</f>
        <v>322747.21944978001</v>
      </c>
      <c r="E213">
        <f t="shared" si="3"/>
        <v>1</v>
      </c>
    </row>
    <row r="214" spans="2:5" x14ac:dyDescent="0.25">
      <c r="B214" s="4">
        <f>(214-20)/100</f>
        <v>1.94</v>
      </c>
      <c r="C214" s="33">
        <f>IF($C$10+$C$7=0,Dashboard!$C$27*$C$6*B214,Dashboard!$C$27*$C$6*(1-EXP(-($C$10+$C$7)*B214))/($C$10+$C$7))</f>
        <v>177874.52292932253</v>
      </c>
      <c r="D214" s="33">
        <f>IF($C$10+$C$9=0,Dashboard!$C$27*$C$8*B214,Dashboard!$C$27*$C$8*(1-EXP(-($C$10+$C$9)*B214))/($C$10+$C$9))</f>
        <v>323854.01550414448</v>
      </c>
      <c r="E214">
        <f t="shared" si="3"/>
        <v>1</v>
      </c>
    </row>
    <row r="215" spans="2:5" x14ac:dyDescent="0.25">
      <c r="B215" s="4">
        <f>(215-20)/100</f>
        <v>1.95</v>
      </c>
      <c r="C215" s="33">
        <f>IF($C$10+$C$7=0,Dashboard!$C$27*$C$6*B215,Dashboard!$C$27*$C$6*(1-EXP(-($C$10+$C$7)*B215))/($C$10+$C$7))</f>
        <v>177938.48400594984</v>
      </c>
      <c r="D215" s="33">
        <f>IF($C$10+$C$9=0,Dashboard!$C$27*$C$8*B215,Dashboard!$C$27*$C$8*(1-EXP(-($C$10+$C$9)*B215))/($C$10+$C$9))</f>
        <v>324956.39321686589</v>
      </c>
      <c r="E215">
        <f t="shared" si="3"/>
        <v>1</v>
      </c>
    </row>
    <row r="216" spans="2:5" x14ac:dyDescent="0.25">
      <c r="B216" s="4">
        <f>(216-20)/100</f>
        <v>1.96</v>
      </c>
      <c r="C216" s="33">
        <f>IF($C$10+$C$7=0,Dashboard!$C$27*$C$6*B216,Dashboard!$C$27*$C$6*(1-EXP(-($C$10+$C$7)*B216))/($C$10+$C$7))</f>
        <v>178001.1159051776</v>
      </c>
      <c r="D216" s="33">
        <f>IF($C$10+$C$9=0,Dashboard!$C$27*$C$8*B216,Dashboard!$C$27*$C$8*(1-EXP(-($C$10+$C$9)*B216))/($C$10+$C$9))</f>
        <v>326054.3702260112</v>
      </c>
      <c r="E216">
        <f t="shared" si="3"/>
        <v>1</v>
      </c>
    </row>
    <row r="217" spans="2:5" x14ac:dyDescent="0.25">
      <c r="B217" s="4">
        <f>(217-20)/100</f>
        <v>1.97</v>
      </c>
      <c r="C217" s="33">
        <f>IF($C$10+$C$7=0,Dashboard!$C$27*$C$6*B217,Dashboard!$C$27*$C$6*(1-EXP(-($C$10+$C$7)*B217))/($C$10+$C$7))</f>
        <v>178062.4462486885</v>
      </c>
      <c r="D217" s="33">
        <f>IF($C$10+$C$9=0,Dashboard!$C$27*$C$8*B217,Dashboard!$C$27*$C$8*(1-EXP(-($C$10+$C$9)*B217))/($C$10+$C$9))</f>
        <v>327147.96409923589</v>
      </c>
      <c r="E217">
        <f t="shared" si="3"/>
        <v>1</v>
      </c>
    </row>
    <row r="218" spans="2:5" x14ac:dyDescent="0.25">
      <c r="B218" s="4">
        <f>(218-20)/100</f>
        <v>1.98</v>
      </c>
      <c r="C218" s="33">
        <f>IF($C$10+$C$7=0,Dashboard!$C$27*$C$6*B218,Dashboard!$C$27*$C$6*(1-EXP(-($C$10+$C$7)*B218))/($C$10+$C$7))</f>
        <v>178122.50208415787</v>
      </c>
      <c r="D218" s="33">
        <f>IF($C$10+$C$9=0,Dashboard!$C$27*$C$8*B218,Dashboard!$C$27*$C$8*(1-EXP(-($C$10+$C$9)*B218))/($C$10+$C$9))</f>
        <v>328237.19233406539</v>
      </c>
      <c r="E218">
        <f t="shared" si="3"/>
        <v>1</v>
      </c>
    </row>
    <row r="219" spans="2:5" x14ac:dyDescent="0.25">
      <c r="B219" s="4">
        <f>(219-20)/100</f>
        <v>1.99</v>
      </c>
      <c r="C219" s="33">
        <f>IF($C$10+$C$7=0,Dashboard!$C$27*$C$6*B219,Dashboard!$C$27*$C$6*(1-EXP(-($C$10+$C$7)*B219))/($C$10+$C$7))</f>
        <v>178181.30989718257</v>
      </c>
      <c r="D219" s="33">
        <f>IF($C$10+$C$9=0,Dashboard!$C$27*$C$8*B219,Dashboard!$C$27*$C$8*(1-EXP(-($C$10+$C$9)*B219))/($C$10+$C$9))</f>
        <v>329322.0723581746</v>
      </c>
      <c r="E219">
        <f t="shared" si="3"/>
        <v>1</v>
      </c>
    </row>
    <row r="220" spans="2:5" x14ac:dyDescent="0.25">
      <c r="B220" s="4">
        <f>(220-20)/100</f>
        <v>2</v>
      </c>
      <c r="C220" s="33">
        <f>IF($C$10+$C$7=0,Dashboard!$C$27*$C$6*B220,Dashboard!$C$27*$C$6*(1-EXP(-($C$10+$C$7)*B220))/($C$10+$C$7))</f>
        <v>178238.89562296116</v>
      </c>
      <c r="D220" s="33">
        <f>IF($C$10+$C$9=0,Dashboard!$C$27*$C$8*B220,Dashboard!$C$27*$C$8*(1-EXP(-($C$10+$C$9)*B220))/($C$10+$C$9))</f>
        <v>330402.62152966706</v>
      </c>
      <c r="E220">
        <f t="shared" si="3"/>
        <v>1</v>
      </c>
    </row>
    <row r="221" spans="2:5" x14ac:dyDescent="0.25">
      <c r="B221" s="4">
        <f>(221-20)/100</f>
        <v>2.0099999999999998</v>
      </c>
      <c r="C221" s="33">
        <f>IF($C$10+$C$7=0,Dashboard!$C$27*$C$6*B221,Dashboard!$C$27*$C$6*(1-EXP(-($C$10+$C$7)*B221))/($C$10+$C$7))</f>
        <v>178295.28465773209</v>
      </c>
      <c r="D221" s="33">
        <f>IF($C$10+$C$9=0,Dashboard!$C$27*$C$8*B221,Dashboard!$C$27*$C$8*(1-EXP(-($C$10+$C$9)*B221))/($C$10+$C$9))</f>
        <v>331478.85713735252</v>
      </c>
      <c r="E221">
        <f t="shared" si="3"/>
        <v>1</v>
      </c>
    </row>
    <row r="222" spans="2:5" x14ac:dyDescent="0.25">
      <c r="B222" s="4">
        <f>(222-20)/100</f>
        <v>2.02</v>
      </c>
      <c r="C222" s="33">
        <f>IF($C$10+$C$7=0,Dashboard!$C$27*$C$6*B222,Dashboard!$C$27*$C$6*(1-EXP(-($C$10+$C$7)*B222))/($C$10+$C$7))</f>
        <v>178350.50186997355</v>
      </c>
      <c r="D222" s="33">
        <f>IF($C$10+$C$9=0,Dashboard!$C$27*$C$8*B222,Dashboard!$C$27*$C$8*(1-EXP(-($C$10+$C$9)*B222))/($C$10+$C$9))</f>
        <v>332550.79640102386</v>
      </c>
      <c r="E222">
        <f t="shared" si="3"/>
        <v>1</v>
      </c>
    </row>
    <row r="223" spans="2:5" x14ac:dyDescent="0.25">
      <c r="B223" s="4">
        <f>(223-20)/100</f>
        <v>2.0299999999999998</v>
      </c>
      <c r="C223" s="33">
        <f>IF($C$10+$C$7=0,Dashboard!$C$27*$C$6*B223,Dashboard!$C$27*$C$6*(1-EXP(-($C$10+$C$7)*B223))/($C$10+$C$7))</f>
        <v>178404.57161137104</v>
      </c>
      <c r="D223" s="33">
        <f>IF($C$10+$C$9=0,Dashboard!$C$27*$C$8*B223,Dashboard!$C$27*$C$8*(1-EXP(-($C$10+$C$9)*B223))/($C$10+$C$9))</f>
        <v>333618.45647173194</v>
      </c>
      <c r="E223">
        <f t="shared" si="3"/>
        <v>1</v>
      </c>
    </row>
    <row r="224" spans="2:5" x14ac:dyDescent="0.25">
      <c r="B224" s="4">
        <f>(224-20)/100</f>
        <v>2.04</v>
      </c>
      <c r="C224" s="33">
        <f>IF($C$10+$C$7=0,Dashboard!$C$27*$C$6*B224,Dashboard!$C$27*$C$6*(1-EXP(-($C$10+$C$7)*B224))/($C$10+$C$7))</f>
        <v>178457.51772755684</v>
      </c>
      <c r="D224" s="33">
        <f>IF($C$10+$C$9=0,Dashboard!$C$27*$C$8*B224,Dashboard!$C$27*$C$8*(1-EXP(-($C$10+$C$9)*B224))/($C$10+$C$9))</f>
        <v>334681.85443206079</v>
      </c>
      <c r="E224">
        <f t="shared" si="3"/>
        <v>1</v>
      </c>
    </row>
    <row r="225" spans="2:5" x14ac:dyDescent="0.25">
      <c r="B225" s="4">
        <f>(225-20)/100</f>
        <v>2.0499999999999998</v>
      </c>
      <c r="C225" s="33">
        <f>IF($C$10+$C$7=0,Dashboard!$C$27*$C$6*B225,Dashboard!$C$27*$C$6*(1-EXP(-($C$10+$C$7)*B225))/($C$10+$C$7))</f>
        <v>178509.36356862623</v>
      </c>
      <c r="D225" s="33">
        <f>IF($C$10+$C$9=0,Dashboard!$C$27*$C$8*B225,Dashboard!$C$27*$C$8*(1-EXP(-($C$10+$C$9)*B225))/($C$10+$C$9))</f>
        <v>335741.00729640038</v>
      </c>
      <c r="E225">
        <f t="shared" si="3"/>
        <v>1</v>
      </c>
    </row>
    <row r="226" spans="2:5" x14ac:dyDescent="0.25">
      <c r="B226" s="4">
        <f>(226-20)/100</f>
        <v>2.06</v>
      </c>
      <c r="C226" s="33">
        <f>IF($C$10+$C$7=0,Dashboard!$C$27*$C$6*B226,Dashboard!$C$27*$C$6*(1-EXP(-($C$10+$C$7)*B226))/($C$10+$C$7))</f>
        <v>178560.13199943549</v>
      </c>
      <c r="D226" s="33">
        <f>IF($C$10+$C$9=0,Dashboard!$C$27*$C$8*B226,Dashboard!$C$27*$C$8*(1-EXP(-($C$10+$C$9)*B226))/($C$10+$C$9))</f>
        <v>336795.93201121932</v>
      </c>
      <c r="E226">
        <f t="shared" si="3"/>
        <v>1</v>
      </c>
    </row>
    <row r="227" spans="2:5" x14ac:dyDescent="0.25">
      <c r="B227" s="4">
        <f>(227-20)/100</f>
        <v>2.0699999999999998</v>
      </c>
      <c r="C227" s="33">
        <f>IF($C$10+$C$7=0,Dashboard!$C$27*$C$6*B227,Dashboard!$C$27*$C$6*(1-EXP(-($C$10+$C$7)*B227))/($C$10+$C$7))</f>
        <v>178609.84540968531</v>
      </c>
      <c r="D227" s="33">
        <f>IF($C$10+$C$9=0,Dashboard!$C$27*$C$8*B227,Dashboard!$C$27*$C$8*(1-EXP(-($C$10+$C$9)*B227))/($C$10+$C$9))</f>
        <v>337846.64545533527</v>
      </c>
      <c r="E227">
        <f t="shared" si="3"/>
        <v>1</v>
      </c>
    </row>
    <row r="228" spans="2:5" x14ac:dyDescent="0.25">
      <c r="B228" s="4">
        <f>(228-20)/100</f>
        <v>2.08</v>
      </c>
      <c r="C228" s="33">
        <f>IF($C$10+$C$7=0,Dashboard!$C$27*$C$6*B228,Dashboard!$C$27*$C$6*(1-EXP(-($C$10+$C$7)*B228))/($C$10+$C$7))</f>
        <v>178658.52572379538</v>
      </c>
      <c r="D228" s="33">
        <f>IF($C$10+$C$9=0,Dashboard!$C$27*$C$8*B228,Dashboard!$C$27*$C$8*(1-EXP(-($C$10+$C$9)*B228))/($C$10+$C$9))</f>
        <v>338893.164440186</v>
      </c>
      <c r="E228">
        <f t="shared" si="3"/>
        <v>1</v>
      </c>
    </row>
    <row r="229" spans="2:5" x14ac:dyDescent="0.25">
      <c r="B229" s="4">
        <f>(229-20)/100</f>
        <v>2.09</v>
      </c>
      <c r="C229" s="33">
        <f>IF($C$10+$C$7=0,Dashboard!$C$27*$C$6*B229,Dashboard!$C$27*$C$6*(1-EXP(-($C$10+$C$7)*B229))/($C$10+$C$7))</f>
        <v>178706.19441057314</v>
      </c>
      <c r="D229" s="33">
        <f>IF($C$10+$C$9=0,Dashboard!$C$27*$C$8*B229,Dashboard!$C$27*$C$8*(1-EXP(-($C$10+$C$9)*B229))/($C$10+$C$9))</f>
        <v>339935.50571009738</v>
      </c>
      <c r="E229">
        <f t="shared" si="3"/>
        <v>1</v>
      </c>
    </row>
    <row r="230" spans="2:5" x14ac:dyDescent="0.25">
      <c r="B230" s="4">
        <f>(230-20)/100</f>
        <v>2.1</v>
      </c>
      <c r="C230" s="33">
        <f>IF($C$10+$C$7=0,Dashboard!$C$27*$C$6*B230,Dashboard!$C$27*$C$6*(1-EXP(-($C$10+$C$7)*B230))/($C$10+$C$7))</f>
        <v>178752.87249268204</v>
      </c>
      <c r="D230" s="33">
        <f>IF($C$10+$C$9=0,Dashboard!$C$27*$C$8*B230,Dashboard!$C$27*$C$8*(1-EXP(-($C$10+$C$9)*B230))/($C$10+$C$9))</f>
        <v>340973.68594255217</v>
      </c>
      <c r="E230">
        <f t="shared" si="3"/>
        <v>1</v>
      </c>
    </row>
    <row r="231" spans="2:5" x14ac:dyDescent="0.25">
      <c r="B231" s="4">
        <f>(231-20)/100</f>
        <v>2.11</v>
      </c>
      <c r="C231" s="33">
        <f>IF($C$10+$C$7=0,Dashboard!$C$27*$C$6*B231,Dashboard!$C$27*$C$6*(1-EXP(-($C$10+$C$7)*B231))/($C$10+$C$7))</f>
        <v>178798.58055591283</v>
      </c>
      <c r="D231" s="33">
        <f>IF($C$10+$C$9=0,Dashboard!$C$27*$C$8*B231,Dashboard!$C$27*$C$8*(1-EXP(-($C$10+$C$9)*B231))/($C$10+$C$9))</f>
        <v>342007.72174845613</v>
      </c>
      <c r="E231">
        <f t="shared" si="3"/>
        <v>1</v>
      </c>
    </row>
    <row r="232" spans="2:5" x14ac:dyDescent="0.25">
      <c r="B232" s="4">
        <f>(232-20)/100</f>
        <v>2.12</v>
      </c>
      <c r="C232" s="33">
        <f>IF($C$10+$C$7=0,Dashboard!$C$27*$C$6*B232,Dashboard!$C$27*$C$6*(1-EXP(-($C$10+$C$7)*B232))/($C$10+$C$7))</f>
        <v>178843.33875826214</v>
      </c>
      <c r="D232" s="33">
        <f>IF($C$10+$C$9=0,Dashboard!$C$27*$C$8*B232,Dashboard!$C$27*$C$8*(1-EXP(-($C$10+$C$9)*B232))/($C$10+$C$9))</f>
        <v>343037.6296724042</v>
      </c>
      <c r="E232">
        <f t="shared" si="3"/>
        <v>1</v>
      </c>
    </row>
    <row r="233" spans="2:5" x14ac:dyDescent="0.25">
      <c r="B233" s="4">
        <f>(233-20)/100</f>
        <v>2.13</v>
      </c>
      <c r="C233" s="33">
        <f>IF($C$10+$C$7=0,Dashboard!$C$27*$C$6*B233,Dashboard!$C$27*$C$6*(1-EXP(-($C$10+$C$7)*B233))/($C$10+$C$7))</f>
        <v>178887.16683882262</v>
      </c>
      <c r="D233" s="33">
        <f>IF($C$10+$C$9=0,Dashboard!$C$27*$C$8*B233,Dashboard!$C$27*$C$8*(1-EXP(-($C$10+$C$9)*B233))/($C$10+$C$9))</f>
        <v>344063.42619294516</v>
      </c>
      <c r="E233">
        <f t="shared" si="3"/>
        <v>1</v>
      </c>
    </row>
    <row r="234" spans="2:5" x14ac:dyDescent="0.25">
      <c r="B234" s="4">
        <f>(234-20)/100</f>
        <v>2.14</v>
      </c>
      <c r="C234" s="33">
        <f>IF($C$10+$C$7=0,Dashboard!$C$27*$C$6*B234,Dashboard!$C$27*$C$6*(1-EXP(-($C$10+$C$7)*B234))/($C$10+$C$7))</f>
        <v>178930.08412648816</v>
      </c>
      <c r="D234" s="33">
        <f>IF($C$10+$C$9=0,Dashboard!$C$27*$C$8*B234,Dashboard!$C$27*$C$8*(1-EXP(-($C$10+$C$9)*B234))/($C$10+$C$9))</f>
        <v>345085.12772284518</v>
      </c>
      <c r="E234">
        <f t="shared" si="3"/>
        <v>1</v>
      </c>
    </row>
    <row r="235" spans="2:5" x14ac:dyDescent="0.25">
      <c r="B235" s="4">
        <f>(235-20)/100</f>
        <v>2.15</v>
      </c>
      <c r="C235" s="33">
        <f>IF($C$10+$C$7=0,Dashboard!$C$27*$C$6*B235,Dashboard!$C$27*$C$6*(1-EXP(-($C$10+$C$7)*B235))/($C$10+$C$7))</f>
        <v>178972.1095484781</v>
      </c>
      <c r="D235" s="33">
        <f>IF($C$10+$C$9=0,Dashboard!$C$27*$C$8*B235,Dashboard!$C$27*$C$8*(1-EXP(-($C$10+$C$9)*B235))/($C$10+$C$9))</f>
        <v>346102.75060935068</v>
      </c>
      <c r="E235">
        <f t="shared" si="3"/>
        <v>1</v>
      </c>
    </row>
    <row r="236" spans="2:5" x14ac:dyDescent="0.25">
      <c r="B236" s="4">
        <f>(236-20)/100</f>
        <v>2.16</v>
      </c>
      <c r="C236" s="33">
        <f>IF($C$10+$C$7=0,Dashboard!$C$27*$C$6*B236,Dashboard!$C$27*$C$6*(1-EXP(-($C$10+$C$7)*B236))/($C$10+$C$7))</f>
        <v>179013.26163868469</v>
      </c>
      <c r="D236" s="33">
        <f>IF($C$10+$C$9=0,Dashboard!$C$27*$C$8*B236,Dashboard!$C$27*$C$8*(1-EXP(-($C$10+$C$9)*B236))/($C$10+$C$9))</f>
        <v>347116.31113444938</v>
      </c>
      <c r="E236">
        <f t="shared" si="3"/>
        <v>1</v>
      </c>
    </row>
    <row r="237" spans="2:5" x14ac:dyDescent="0.25">
      <c r="B237" s="4">
        <f>(237-20)/100</f>
        <v>2.17</v>
      </c>
      <c r="C237" s="33">
        <f>IF($C$10+$C$7=0,Dashboard!$C$27*$C$6*B237,Dashboard!$C$27*$C$6*(1-EXP(-($C$10+$C$7)*B237))/($C$10+$C$7))</f>
        <v>179053.55854584667</v>
      </c>
      <c r="D237" s="33">
        <f>IF($C$10+$C$9=0,Dashboard!$C$27*$C$8*B237,Dashboard!$C$27*$C$8*(1-EXP(-($C$10+$C$9)*B237))/($C$10+$C$9))</f>
        <v>348125.82551513141</v>
      </c>
      <c r="E237">
        <f t="shared" si="3"/>
        <v>1</v>
      </c>
    </row>
    <row r="238" spans="2:5" x14ac:dyDescent="0.25">
      <c r="B238" s="4">
        <f>(238-20)/100</f>
        <v>2.1800000000000002</v>
      </c>
      <c r="C238" s="33">
        <f>IF($C$10+$C$7=0,Dashboard!$C$27*$C$6*B238,Dashboard!$C$27*$C$6*(1-EXP(-($C$10+$C$7)*B238))/($C$10+$C$7))</f>
        <v>179093.01804155312</v>
      </c>
      <c r="D238" s="33">
        <f>IF($C$10+$C$9=0,Dashboard!$C$27*$C$8*B238,Dashboard!$C$27*$C$8*(1-EXP(-($C$10+$C$9)*B238))/($C$10+$C$9))</f>
        <v>349131.30990364839</v>
      </c>
      <c r="E238">
        <f t="shared" si="3"/>
        <v>1</v>
      </c>
    </row>
    <row r="239" spans="2:5" x14ac:dyDescent="0.25">
      <c r="B239" s="4">
        <f>(239-20)/100</f>
        <v>2.19</v>
      </c>
      <c r="C239" s="33">
        <f>IF($C$10+$C$7=0,Dashboard!$C$27*$C$6*B239,Dashboard!$C$27*$C$6*(1-EXP(-($C$10+$C$7)*B239))/($C$10+$C$7))</f>
        <v>179131.65752808127</v>
      </c>
      <c r="D239" s="33">
        <f>IF($C$10+$C$9=0,Dashboard!$C$27*$C$8*B239,Dashboard!$C$27*$C$8*(1-EXP(-($C$10+$C$9)*B239))/($C$10+$C$9))</f>
        <v>350132.7803877719</v>
      </c>
      <c r="E239">
        <f t="shared" si="3"/>
        <v>1</v>
      </c>
    </row>
    <row r="240" spans="2:5" x14ac:dyDescent="0.25">
      <c r="B240" s="4">
        <f>(240-20)/100</f>
        <v>2.2000000000000002</v>
      </c>
      <c r="C240" s="33">
        <f>IF($C$10+$C$7=0,Dashboard!$C$27*$C$6*B240,Dashboard!$C$27*$C$6*(1-EXP(-($C$10+$C$7)*B240))/($C$10+$C$7))</f>
        <v>179169.49404607085</v>
      </c>
      <c r="D240" s="33">
        <f>IF($C$10+$C$9=0,Dashboard!$C$27*$C$8*B240,Dashboard!$C$27*$C$8*(1-EXP(-($C$10+$C$9)*B240))/($C$10+$C$9))</f>
        <v>351130.25299105124</v>
      </c>
      <c r="E240">
        <f t="shared" si="3"/>
        <v>1</v>
      </c>
    </row>
    <row r="241" spans="2:5" x14ac:dyDescent="0.25">
      <c r="B241" s="4">
        <f>(241-20)/100</f>
        <v>2.21</v>
      </c>
      <c r="C241" s="33">
        <f>IF($C$10+$C$7=0,Dashboard!$C$27*$C$6*B241,Dashboard!$C$27*$C$6*(1-EXP(-($C$10+$C$7)*B241))/($C$10+$C$7))</f>
        <v>179206.54428203954</v>
      </c>
      <c r="D241" s="33">
        <f>IF($C$10+$C$9=0,Dashboard!$C$27*$C$8*B241,Dashboard!$C$27*$C$8*(1-EXP(-($C$10+$C$9)*B241))/($C$10+$C$9))</f>
        <v>352123.743673069</v>
      </c>
      <c r="E241">
        <f t="shared" si="3"/>
        <v>1</v>
      </c>
    </row>
    <row r="242" spans="2:5" x14ac:dyDescent="0.25">
      <c r="B242" s="4">
        <f>(242-20)/100</f>
        <v>2.2200000000000002</v>
      </c>
      <c r="C242" s="33">
        <f>IF($C$10+$C$7=0,Dashboard!$C$27*$C$6*B242,Dashboard!$C$27*$C$6*(1-EXP(-($C$10+$C$7)*B242))/($C$10+$C$7))</f>
        <v>179242.82457574183</v>
      </c>
      <c r="D242" s="33">
        <f>IF($C$10+$C$9=0,Dashboard!$C$27*$C$8*B242,Dashboard!$C$27*$C$8*(1-EXP(-($C$10+$C$9)*B242))/($C$10+$C$9))</f>
        <v>353113.26832969766</v>
      </c>
      <c r="E242">
        <f t="shared" si="3"/>
        <v>1</v>
      </c>
    </row>
    <row r="243" spans="2:5" x14ac:dyDescent="0.25">
      <c r="B243" s="4">
        <f>(243-20)/100</f>
        <v>2.23</v>
      </c>
      <c r="C243" s="33">
        <f>IF($C$10+$C$7=0,Dashboard!$C$27*$C$6*B243,Dashboard!$C$27*$C$6*(1-EXP(-($C$10+$C$7)*B243))/($C$10+$C$7))</f>
        <v>179278.35092737529</v>
      </c>
      <c r="D243" s="33">
        <f>IF($C$10+$C$9=0,Dashboard!$C$27*$C$8*B243,Dashboard!$C$27*$C$8*(1-EXP(-($C$10+$C$9)*B243))/($C$10+$C$9))</f>
        <v>354098.84279335255</v>
      </c>
      <c r="E243">
        <f t="shared" si="3"/>
        <v>1</v>
      </c>
    </row>
    <row r="244" spans="2:5" x14ac:dyDescent="0.25">
      <c r="B244" s="4">
        <f>(244-20)/100</f>
        <v>2.2400000000000002</v>
      </c>
      <c r="C244" s="33">
        <f>IF($C$10+$C$7=0,Dashboard!$C$27*$C$6*B244,Dashboard!$C$27*$C$6*(1-EXP(-($C$10+$C$7)*B244))/($C$10+$C$7))</f>
        <v>179313.13900463673</v>
      </c>
      <c r="D244" s="33">
        <f>IF($C$10+$C$9=0,Dashboard!$C$27*$C$8*B244,Dashboard!$C$27*$C$8*(1-EXP(-($C$10+$C$9)*B244))/($C$10+$C$9))</f>
        <v>355080.48283324635</v>
      </c>
      <c r="E244">
        <f t="shared" si="3"/>
        <v>1</v>
      </c>
    </row>
    <row r="245" spans="2:5" x14ac:dyDescent="0.25">
      <c r="B245" s="4">
        <f>(245-20)/100</f>
        <v>2.25</v>
      </c>
      <c r="C245" s="33">
        <f>IF($C$10+$C$7=0,Dashboard!$C$27*$C$6*B245,Dashboard!$C$27*$C$6*(1-EXP(-($C$10+$C$7)*B245))/($C$10+$C$7))</f>
        <v>179347.20414963205</v>
      </c>
      <c r="D245" s="33">
        <f>IF($C$10+$C$9=0,Dashboard!$C$27*$C$8*B245,Dashboard!$C$27*$C$8*(1-EXP(-($C$10+$C$9)*B245))/($C$10+$C$9))</f>
        <v>356058.20415564056</v>
      </c>
      <c r="E245">
        <f t="shared" si="3"/>
        <v>1</v>
      </c>
    </row>
    <row r="246" spans="2:5" x14ac:dyDescent="0.25">
      <c r="B246" s="4">
        <f>(246-20)/100</f>
        <v>2.2599999999999998</v>
      </c>
      <c r="C246" s="33">
        <f>IF($C$10+$C$7=0,Dashboard!$C$27*$C$6*B246,Dashboard!$C$27*$C$6*(1-EXP(-($C$10+$C$7)*B246))/($C$10+$C$7))</f>
        <v>179380.56138564224</v>
      </c>
      <c r="D246" s="33">
        <f>IF($C$10+$C$9=0,Dashboard!$C$27*$C$8*B246,Dashboard!$C$27*$C$8*(1-EXP(-($C$10+$C$9)*B246))/($C$10+$C$9))</f>
        <v>357032.02240409696</v>
      </c>
      <c r="E246">
        <f t="shared" si="3"/>
        <v>1</v>
      </c>
    </row>
    <row r="247" spans="2:5" x14ac:dyDescent="0.25">
      <c r="B247" s="4">
        <f>(247-20)/100</f>
        <v>2.27</v>
      </c>
      <c r="C247" s="33">
        <f>IF($C$10+$C$7=0,Dashboard!$C$27*$C$6*B247,Dashboard!$C$27*$C$6*(1-EXP(-($C$10+$C$7)*B247))/($C$10+$C$7))</f>
        <v>179413.22542374904</v>
      </c>
      <c r="D247" s="33">
        <f>IF($C$10+$C$9=0,Dashboard!$C$27*$C$8*B247,Dashboard!$C$27*$C$8*(1-EXP(-($C$10+$C$9)*B247))/($C$10+$C$9))</f>
        <v>358001.95315972873</v>
      </c>
      <c r="E247">
        <f t="shared" si="3"/>
        <v>1</v>
      </c>
    </row>
    <row r="248" spans="2:5" x14ac:dyDescent="0.25">
      <c r="B248" s="4">
        <f>(248-20)/100</f>
        <v>2.2799999999999998</v>
      </c>
      <c r="C248" s="33">
        <f>IF($C$10+$C$7=0,Dashboard!$C$27*$C$6*B248,Dashboard!$C$27*$C$6*(1-EXP(-($C$10+$C$7)*B248))/($C$10+$C$7))</f>
        <v>179445.21066932267</v>
      </c>
      <c r="D248" s="33">
        <f>IF($C$10+$C$9=0,Dashboard!$C$27*$C$8*B248,Dashboard!$C$27*$C$8*(1-EXP(-($C$10+$C$9)*B248))/($C$10+$C$9))</f>
        <v>358968.01194144832</v>
      </c>
      <c r="E248">
        <f t="shared" si="3"/>
        <v>1</v>
      </c>
    </row>
    <row r="249" spans="2:5" x14ac:dyDescent="0.25">
      <c r="B249" s="4">
        <f>(249-20)/100</f>
        <v>2.29</v>
      </c>
      <c r="C249" s="33">
        <f>IF($C$10+$C$7=0,Dashboard!$C$27*$C$6*B249,Dashboard!$C$27*$C$6*(1-EXP(-($C$10+$C$7)*B249))/($C$10+$C$7))</f>
        <v>179476.53122837475</v>
      </c>
      <c r="D249" s="33">
        <f>IF($C$10+$C$9=0,Dashboard!$C$27*$C$8*B249,Dashboard!$C$27*$C$8*(1-EXP(-($C$10+$C$9)*B249))/($C$10+$C$9))</f>
        <v>359930.21420621703</v>
      </c>
      <c r="E249">
        <f t="shared" si="3"/>
        <v>1</v>
      </c>
    </row>
    <row r="250" spans="2:5" x14ac:dyDescent="0.25">
      <c r="B250" s="4">
        <f>(250-20)/100</f>
        <v>2.2999999999999998</v>
      </c>
      <c r="C250" s="33">
        <f>IF($C$10+$C$7=0,Dashboard!$C$27*$C$6*B250,Dashboard!$C$27*$C$6*(1-EXP(-($C$10+$C$7)*B250))/($C$10+$C$7))</f>
        <v>179507.2009137795</v>
      </c>
      <c r="D250" s="33">
        <f>IF($C$10+$C$9=0,Dashboard!$C$27*$C$8*B250,Dashboard!$C$27*$C$8*(1-EXP(-($C$10+$C$9)*B250))/($C$10+$C$9))</f>
        <v>360888.5753492915</v>
      </c>
      <c r="E250">
        <f t="shared" si="3"/>
        <v>1</v>
      </c>
    </row>
    <row r="251" spans="2:5" x14ac:dyDescent="0.25">
      <c r="B251" s="4">
        <f>(251-20)/100</f>
        <v>2.31</v>
      </c>
      <c r="C251" s="33">
        <f>IF($C$10+$C$7=0,Dashboard!$C$27*$C$6*B251,Dashboard!$C$27*$C$6*(1-EXP(-($C$10+$C$7)*B251))/($C$10+$C$7))</f>
        <v>179537.23325136516</v>
      </c>
      <c r="D251" s="33">
        <f>IF($C$10+$C$9=0,Dashboard!$C$27*$C$8*B251,Dashboard!$C$27*$C$8*(1-EXP(-($C$10+$C$9)*B251))/($C$10+$C$9))</f>
        <v>361843.11070447048</v>
      </c>
      <c r="E251">
        <f t="shared" si="3"/>
        <v>1</v>
      </c>
    </row>
    <row r="252" spans="2:5" x14ac:dyDescent="0.25">
      <c r="B252" s="4">
        <f>(252-20)/100</f>
        <v>2.3199999999999998</v>
      </c>
      <c r="C252" s="33">
        <f>IF($C$10+$C$7=0,Dashboard!$C$27*$C$6*B252,Dashboard!$C$27*$C$6*(1-EXP(-($C$10+$C$7)*B252))/($C$10+$C$7))</f>
        <v>179566.6414858794</v>
      </c>
      <c r="D252" s="33">
        <f>IF($C$10+$C$9=0,Dashboard!$C$27*$C$8*B252,Dashboard!$C$27*$C$8*(1-EXP(-($C$10+$C$9)*B252))/($C$10+$C$9))</f>
        <v>362793.83554434008</v>
      </c>
      <c r="E252">
        <f t="shared" si="3"/>
        <v>1</v>
      </c>
    </row>
    <row r="253" spans="2:5" x14ac:dyDescent="0.25">
      <c r="B253" s="4">
        <f>(253-20)/100</f>
        <v>2.33</v>
      </c>
      <c r="C253" s="33">
        <f>IF($C$10+$C$7=0,Dashboard!$C$27*$C$6*B253,Dashboard!$C$27*$C$6*(1-EXP(-($C$10+$C$7)*B253))/($C$10+$C$7))</f>
        <v>179595.43858683028</v>
      </c>
      <c r="D253" s="33">
        <f>IF($C$10+$C$9=0,Dashboard!$C$27*$C$8*B253,Dashboard!$C$27*$C$8*(1-EXP(-($C$10+$C$9)*B253))/($C$10+$C$9))</f>
        <v>363740.76508051803</v>
      </c>
      <c r="E253">
        <f t="shared" si="3"/>
        <v>1</v>
      </c>
    </row>
    <row r="254" spans="2:5" x14ac:dyDescent="0.25">
      <c r="B254" s="4">
        <f>(254-20)/100</f>
        <v>2.34</v>
      </c>
      <c r="C254" s="33">
        <f>IF($C$10+$C$7=0,Dashboard!$C$27*$C$6*B254,Dashboard!$C$27*$C$6*(1-EXP(-($C$10+$C$7)*B254))/($C$10+$C$7))</f>
        <v>179623.637254206</v>
      </c>
      <c r="D254" s="33">
        <f>IF($C$10+$C$9=0,Dashboard!$C$27*$C$8*B254,Dashboard!$C$27*$C$8*(1-EXP(-($C$10+$C$9)*B254))/($C$10+$C$9))</f>
        <v>364683.91446389694</v>
      </c>
      <c r="E254">
        <f t="shared" si="3"/>
        <v>1</v>
      </c>
    </row>
    <row r="255" spans="2:5" x14ac:dyDescent="0.25">
      <c r="B255" s="4">
        <f>(255-20)/100</f>
        <v>2.35</v>
      </c>
      <c r="C255" s="33">
        <f>IF($C$10+$C$7=0,Dashboard!$C$27*$C$6*B255,Dashboard!$C$27*$C$6*(1-EXP(-($C$10+$C$7)*B255))/($C$10+$C$7))</f>
        <v>179651.24992407585</v>
      </c>
      <c r="D255" s="33">
        <f>IF($C$10+$C$9=0,Dashboard!$C$27*$C$8*B255,Dashboard!$C$27*$C$8*(1-EXP(-($C$10+$C$9)*B255))/($C$10+$C$9))</f>
        <v>365623.29878488736</v>
      </c>
      <c r="E255">
        <f t="shared" si="3"/>
        <v>1</v>
      </c>
    </row>
    <row r="256" spans="2:5" x14ac:dyDescent="0.25">
      <c r="B256" s="4">
        <f>(256-20)/100</f>
        <v>2.36</v>
      </c>
      <c r="C256" s="33">
        <f>IF($C$10+$C$7=0,Dashboard!$C$27*$C$6*B256,Dashboard!$C$27*$C$6*(1-EXP(-($C$10+$C$7)*B256))/($C$10+$C$7))</f>
        <v>179678.28877407487</v>
      </c>
      <c r="D256" s="33">
        <f>IF($C$10+$C$9=0,Dashboard!$C$27*$C$8*B256,Dashboard!$C$27*$C$8*(1-EXP(-($C$10+$C$9)*B256))/($C$10+$C$9))</f>
        <v>366558.93307365815</v>
      </c>
      <c r="E256">
        <f t="shared" si="3"/>
        <v>1</v>
      </c>
    </row>
    <row r="257" spans="2:5" x14ac:dyDescent="0.25">
      <c r="B257" s="4">
        <f>(257-20)/100</f>
        <v>2.37</v>
      </c>
      <c r="C257" s="33">
        <f>IF($C$10+$C$7=0,Dashboard!$C$27*$C$6*B257,Dashboard!$C$27*$C$6*(1-EXP(-($C$10+$C$7)*B257))/($C$10+$C$7))</f>
        <v>179704.76572877401</v>
      </c>
      <c r="D257" s="33">
        <f>IF($C$10+$C$9=0,Dashboard!$C$27*$C$8*B257,Dashboard!$C$27*$C$8*(1-EXP(-($C$10+$C$9)*B257))/($C$10+$C$9))</f>
        <v>367490.83230037813</v>
      </c>
      <c r="E257">
        <f t="shared" si="3"/>
        <v>1</v>
      </c>
    </row>
    <row r="258" spans="2:5" x14ac:dyDescent="0.25">
      <c r="B258" s="4">
        <f>(258-20)/100</f>
        <v>2.38</v>
      </c>
      <c r="C258" s="33">
        <f>IF($C$10+$C$7=0,Dashboard!$C$27*$C$6*B258,Dashboard!$C$27*$C$6*(1-EXP(-($C$10+$C$7)*B258))/($C$10+$C$7))</f>
        <v>179730.69246493946</v>
      </c>
      <c r="D258" s="33">
        <f>IF($C$10+$C$9=0,Dashboard!$C$27*$C$8*B258,Dashboard!$C$27*$C$8*(1-EXP(-($C$10+$C$9)*B258))/($C$10+$C$9))</f>
        <v>368419.01137545472</v>
      </c>
      <c r="E258">
        <f t="shared" si="3"/>
        <v>1</v>
      </c>
    </row>
    <row r="259" spans="2:5" x14ac:dyDescent="0.25">
      <c r="B259" s="4">
        <f>(259-20)/100</f>
        <v>2.39</v>
      </c>
      <c r="C259" s="33">
        <f>IF($C$10+$C$7=0,Dashboard!$C$27*$C$6*B259,Dashboard!$C$27*$C$6*(1-EXP(-($C$10+$C$7)*B259))/($C$10+$C$7))</f>
        <v>179756.08041668209</v>
      </c>
      <c r="D259" s="33">
        <f>IF($C$10+$C$9=0,Dashboard!$C$27*$C$8*B259,Dashboard!$C$27*$C$8*(1-EXP(-($C$10+$C$9)*B259))/($C$10+$C$9))</f>
        <v>369343.4851497729</v>
      </c>
      <c r="E259">
        <f t="shared" si="3"/>
        <v>1</v>
      </c>
    </row>
    <row r="260" spans="2:5" x14ac:dyDescent="0.25">
      <c r="B260" s="4">
        <f>(260-20)/100</f>
        <v>2.4</v>
      </c>
      <c r="C260" s="33">
        <f>IF($C$10+$C$7=0,Dashboard!$C$27*$C$6*B260,Dashboard!$C$27*$C$6*(1-EXP(-($C$10+$C$7)*B260))/($C$10+$C$7))</f>
        <v>179780.94078050001</v>
      </c>
      <c r="D260" s="33">
        <f>IF($C$10+$C$9=0,Dashboard!$C$27*$C$8*B260,Dashboard!$C$27*$C$8*(1-EXP(-($C$10+$C$9)*B260))/($C$10+$C$9))</f>
        <v>370264.26841493271</v>
      </c>
      <c r="E260">
        <f t="shared" si="3"/>
        <v>1</v>
      </c>
    </row>
    <row r="261" spans="2:5" x14ac:dyDescent="0.25">
      <c r="B261" s="4">
        <f>(261-20)/100</f>
        <v>2.41</v>
      </c>
      <c r="C261" s="33">
        <f>IF($C$10+$C$7=0,Dashboard!$C$27*$C$6*B261,Dashboard!$C$27*$C$6*(1-EXP(-($C$10+$C$7)*B261))/($C$10+$C$7))</f>
        <v>179805.28452021664</v>
      </c>
      <c r="D261" s="33">
        <f>IF($C$10+$C$9=0,Dashboard!$C$27*$C$8*B261,Dashboard!$C$27*$C$8*(1-EXP(-($C$10+$C$9)*B261))/($C$10+$C$9))</f>
        <v>371181.37590348633</v>
      </c>
      <c r="E261">
        <f t="shared" si="3"/>
        <v>1</v>
      </c>
    </row>
    <row r="262" spans="2:5" x14ac:dyDescent="0.25">
      <c r="B262" s="4">
        <f>(262-20)/100</f>
        <v>2.42</v>
      </c>
      <c r="C262" s="33">
        <f>IF($C$10+$C$7=0,Dashboard!$C$27*$C$6*B262,Dashboard!$C$27*$C$6*(1-EXP(-($C$10+$C$7)*B262))/($C$10+$C$7))</f>
        <v>179829.1223718157</v>
      </c>
      <c r="D262" s="33">
        <f>IF($C$10+$C$9=0,Dashboard!$C$27*$C$8*B262,Dashboard!$C$27*$C$8*(1-EXP(-($C$10+$C$9)*B262))/($C$10+$C$9))</f>
        <v>372094.82228917273</v>
      </c>
      <c r="E262">
        <f t="shared" si="3"/>
        <v>1</v>
      </c>
    </row>
    <row r="263" spans="2:5" x14ac:dyDescent="0.25">
      <c r="B263" s="4">
        <f>(263-20)/100</f>
        <v>2.4300000000000002</v>
      </c>
      <c r="C263" s="33">
        <f>IF($C$10+$C$7=0,Dashboard!$C$27*$C$6*B263,Dashboard!$C$27*$C$6*(1-EXP(-($C$10+$C$7)*B263))/($C$10+$C$7))</f>
        <v>179852.46484817605</v>
      </c>
      <c r="D263" s="33">
        <f>IF($C$10+$C$9=0,Dashboard!$C$27*$C$8*B263,Dashboard!$C$27*$C$8*(1-EXP(-($C$10+$C$9)*B263))/($C$10+$C$9))</f>
        <v>373004.6221871539</v>
      </c>
      <c r="E263">
        <f t="shared" si="3"/>
        <v>1</v>
      </c>
    </row>
    <row r="264" spans="2:5" x14ac:dyDescent="0.25">
      <c r="B264" s="4">
        <f>(264-20)/100</f>
        <v>2.44</v>
      </c>
      <c r="C264" s="33">
        <f>IF($C$10+$C$7=0,Dashboard!$C$27*$C$6*B264,Dashboard!$C$27*$C$6*(1-EXP(-($C$10+$C$7)*B264))/($C$10+$C$7))</f>
        <v>179875.32224370819</v>
      </c>
      <c r="D264" s="33">
        <f>IF($C$10+$C$9=0,Dashboard!$C$27*$C$8*B264,Dashboard!$C$27*$C$8*(1-EXP(-($C$10+$C$9)*B264))/($C$10+$C$9))</f>
        <v>373910.79015424749</v>
      </c>
      <c r="E264">
        <f t="shared" si="3"/>
        <v>1</v>
      </c>
    </row>
    <row r="265" spans="2:5" x14ac:dyDescent="0.25">
      <c r="B265" s="4">
        <f>(265-20)/100</f>
        <v>2.4500000000000002</v>
      </c>
      <c r="C265" s="33">
        <f>IF($C$10+$C$7=0,Dashboard!$C$27*$C$6*B265,Dashboard!$C$27*$C$6*(1-EXP(-($C$10+$C$7)*B265))/($C$10+$C$7))</f>
        <v>179897.70463889386</v>
      </c>
      <c r="D265" s="33">
        <f>IF($C$10+$C$9=0,Dashboard!$C$27*$C$8*B265,Dashboard!$C$27*$C$8*(1-EXP(-($C$10+$C$9)*B265))/($C$10+$C$9))</f>
        <v>374813.34068916028</v>
      </c>
      <c r="E265">
        <f t="shared" si="3"/>
        <v>1</v>
      </c>
    </row>
    <row r="266" spans="2:5" x14ac:dyDescent="0.25">
      <c r="B266" s="4">
        <f>(266-20)/100</f>
        <v>2.46</v>
      </c>
      <c r="C266" s="33">
        <f>IF($C$10+$C$7=0,Dashboard!$C$27*$C$6*B266,Dashboard!$C$27*$C$6*(1-EXP(-($C$10+$C$7)*B266))/($C$10+$C$7))</f>
        <v>179919.62190473219</v>
      </c>
      <c r="D266" s="33">
        <f>IF($C$10+$C$9=0,Dashboard!$C$27*$C$8*B266,Dashboard!$C$27*$C$8*(1-EXP(-($C$10+$C$9)*B266))/($C$10+$C$9))</f>
        <v>375712.28823272005</v>
      </c>
      <c r="E266">
        <f t="shared" si="3"/>
        <v>1</v>
      </c>
    </row>
    <row r="267" spans="2:5" x14ac:dyDescent="0.25">
      <c r="B267" s="4">
        <f>(267-20)/100</f>
        <v>2.4700000000000002</v>
      </c>
      <c r="C267" s="33">
        <f>IF($C$10+$C$7=0,Dashboard!$C$27*$C$6*B267,Dashboard!$C$27*$C$6*(1-EXP(-($C$10+$C$7)*B267))/($C$10+$C$7))</f>
        <v>179941.08370709259</v>
      </c>
      <c r="D267" s="33">
        <f>IF($C$10+$C$9=0,Dashboard!$C$27*$C$8*B267,Dashboard!$C$27*$C$8*(1-EXP(-($C$10+$C$9)*B267))/($C$10+$C$9))</f>
        <v>376607.64716810681</v>
      </c>
      <c r="E267">
        <f t="shared" si="3"/>
        <v>1</v>
      </c>
    </row>
    <row r="268" spans="2:5" x14ac:dyDescent="0.25">
      <c r="B268" s="4">
        <f>(268-20)/100</f>
        <v>2.48</v>
      </c>
      <c r="C268" s="33">
        <f>IF($C$10+$C$7=0,Dashboard!$C$27*$C$6*B268,Dashboard!$C$27*$C$6*(1-EXP(-($C$10+$C$7)*B268))/($C$10+$C$7))</f>
        <v>179962.09951097774</v>
      </c>
      <c r="D268" s="33">
        <f>IF($C$10+$C$9=0,Dashboard!$C$27*$C$8*B268,Dashboard!$C$27*$C$8*(1-EXP(-($C$10+$C$9)*B268))/($C$10+$C$9))</f>
        <v>377499.4318210826</v>
      </c>
      <c r="E268">
        <f t="shared" si="3"/>
        <v>1</v>
      </c>
    </row>
    <row r="269" spans="2:5" x14ac:dyDescent="0.25">
      <c r="B269" s="4">
        <f>(269-20)/100</f>
        <v>2.4900000000000002</v>
      </c>
      <c r="C269" s="33">
        <f>IF($C$10+$C$7=0,Dashboard!$C$27*$C$6*B269,Dashboard!$C$27*$C$6*(1-EXP(-($C$10+$C$7)*B269))/($C$10+$C$7))</f>
        <v>179982.67858469774</v>
      </c>
      <c r="D269" s="33">
        <f>IF($C$10+$C$9=0,Dashboard!$C$27*$C$8*B269,Dashboard!$C$27*$C$8*(1-EXP(-($C$10+$C$9)*B269))/($C$10+$C$9))</f>
        <v>378387.65646022081</v>
      </c>
      <c r="E269">
        <f t="shared" si="3"/>
        <v>1</v>
      </c>
    </row>
    <row r="270" spans="2:5" x14ac:dyDescent="0.25">
      <c r="B270" s="4">
        <f>(270-20)/100</f>
        <v>2.5</v>
      </c>
      <c r="C270" s="33">
        <f>IF($C$10+$C$7=0,Dashboard!$C$27*$C$6*B270,Dashboard!$C$27*$C$6*(1-EXP(-($C$10+$C$7)*B270))/($C$10+$C$7))</f>
        <v>180002.83000395764</v>
      </c>
      <c r="D270" s="33">
        <f>IF($C$10+$C$9=0,Dashboard!$C$27*$C$8*B270,Dashboard!$C$27*$C$8*(1-EXP(-($C$10+$C$9)*B270))/($C$10+$C$9))</f>
        <v>379272.33529713459</v>
      </c>
      <c r="E270">
        <f t="shared" si="3"/>
        <v>1</v>
      </c>
    </row>
    <row r="271" spans="2:5" x14ac:dyDescent="0.25">
      <c r="B271" s="4">
        <f>(271-20)/100</f>
        <v>2.5099999999999998</v>
      </c>
      <c r="C271" s="33">
        <f>IF($C$10+$C$7=0,Dashboard!$C$27*$C$6*B271,Dashboard!$C$27*$C$6*(1-EXP(-($C$10+$C$7)*B271))/($C$10+$C$7))</f>
        <v>180022.56265585995</v>
      </c>
      <c r="D271" s="33">
        <f>IF($C$10+$C$9=0,Dashboard!$C$27*$C$8*B271,Dashboard!$C$27*$C$8*(1-EXP(-($C$10+$C$9)*B271))/($C$10+$C$9))</f>
        <v>380153.48248670431</v>
      </c>
      <c r="E271">
        <f t="shared" si="3"/>
        <v>1</v>
      </c>
    </row>
    <row r="272" spans="2:5" x14ac:dyDescent="0.25">
      <c r="B272" s="4">
        <f>(272-20)/100</f>
        <v>2.52</v>
      </c>
      <c r="C272" s="33">
        <f>IF($C$10+$C$7=0,Dashboard!$C$27*$C$6*B272,Dashboard!$C$27*$C$6*(1-EXP(-($C$10+$C$7)*B272))/($C$10+$C$7))</f>
        <v>180041.88524282389</v>
      </c>
      <c r="D272" s="33">
        <f>IF($C$10+$C$9=0,Dashboard!$C$27*$C$8*B272,Dashboard!$C$27*$C$8*(1-EXP(-($C$10+$C$9)*B272))/($C$10+$C$9))</f>
        <v>381031.11212730379</v>
      </c>
      <c r="E272">
        <f t="shared" si="3"/>
        <v>1</v>
      </c>
    </row>
    <row r="273" spans="2:5" x14ac:dyDescent="0.25">
      <c r="B273" s="4">
        <f>(273-20)/100</f>
        <v>2.5299999999999998</v>
      </c>
      <c r="C273" s="33">
        <f>IF($C$10+$C$7=0,Dashboard!$C$27*$C$6*B273,Dashboard!$C$27*$C$6*(1-EXP(-($C$10+$C$7)*B273))/($C$10+$C$7))</f>
        <v>180060.80628642358</v>
      </c>
      <c r="D273" s="33">
        <f>IF($C$10+$C$9=0,Dashboard!$C$27*$C$8*B273,Dashboard!$C$27*$C$8*(1-EXP(-($C$10+$C$9)*B273))/($C$10+$C$9))</f>
        <v>381905.23826102586</v>
      </c>
      <c r="E273">
        <f t="shared" si="3"/>
        <v>1</v>
      </c>
    </row>
    <row r="274" spans="2:5" x14ac:dyDescent="0.25">
      <c r="B274" s="4">
        <f>(274-20)/100</f>
        <v>2.54</v>
      </c>
      <c r="C274" s="33">
        <f>IF($C$10+$C$7=0,Dashboard!$C$27*$C$6*B274,Dashboard!$C$27*$C$6*(1-EXP(-($C$10+$C$7)*B274))/($C$10+$C$7))</f>
        <v>180079.33413114579</v>
      </c>
      <c r="D274" s="33">
        <f>IF($C$10+$C$9=0,Dashboard!$C$27*$C$8*B274,Dashboard!$C$27*$C$8*(1-EXP(-($C$10+$C$9)*B274))/($C$10+$C$9))</f>
        <v>382775.87487390748</v>
      </c>
      <c r="E274">
        <f t="shared" si="3"/>
        <v>1</v>
      </c>
    </row>
    <row r="275" spans="2:5" x14ac:dyDescent="0.25">
      <c r="B275" s="4">
        <f>(275-20)/100</f>
        <v>2.5499999999999998</v>
      </c>
      <c r="C275" s="33">
        <f>IF($C$10+$C$7=0,Dashboard!$C$27*$C$6*B275,Dashboard!$C$27*$C$6*(1-EXP(-($C$10+$C$7)*B275))/($C$10+$C$7))</f>
        <v>180097.4769480704</v>
      </c>
      <c r="D275" s="33">
        <f>IF($C$10+$C$9=0,Dashboard!$C$27*$C$8*B275,Dashboard!$C$27*$C$8*(1-EXP(-($C$10+$C$9)*B275))/($C$10+$C$9))</f>
        <v>383643.03589615301</v>
      </c>
      <c r="E275">
        <f t="shared" si="3"/>
        <v>1</v>
      </c>
    </row>
    <row r="276" spans="2:5" x14ac:dyDescent="0.25">
      <c r="B276" s="4">
        <f>(276-20)/100</f>
        <v>2.56</v>
      </c>
      <c r="C276" s="33">
        <f>IF($C$10+$C$7=0,Dashboard!$C$27*$C$6*B276,Dashboard!$C$27*$C$6*(1-EXP(-($C$10+$C$7)*B276))/($C$10+$C$7))</f>
        <v>180115.24273847369</v>
      </c>
      <c r="D276" s="33">
        <f>IF($C$10+$C$9=0,Dashboard!$C$27*$C$8*B276,Dashboard!$C$27*$C$8*(1-EXP(-($C$10+$C$9)*B276))/($C$10+$C$9))</f>
        <v>384506.73520235723</v>
      </c>
      <c r="E276">
        <f t="shared" ref="E276:E339" si="4">IF(AND(B276&gt;0,D276&gt;C276),1,0)</f>
        <v>1</v>
      </c>
    </row>
    <row r="277" spans="2:5" x14ac:dyDescent="0.25">
      <c r="B277" s="4">
        <f>(277-20)/100</f>
        <v>2.57</v>
      </c>
      <c r="C277" s="33">
        <f>IF($C$10+$C$7=0,Dashboard!$C$27*$C$6*B277,Dashboard!$C$27*$C$6*(1-EXP(-($C$10+$C$7)*B277))/($C$10+$C$7))</f>
        <v>180132.63933735716</v>
      </c>
      <c r="D277" s="33">
        <f>IF($C$10+$C$9=0,Dashboard!$C$27*$C$8*B277,Dashboard!$C$27*$C$8*(1-EXP(-($C$10+$C$9)*B277))/($C$10+$C$9))</f>
        <v>385366.98661172745</v>
      </c>
      <c r="E277">
        <f t="shared" si="4"/>
        <v>1</v>
      </c>
    </row>
    <row r="278" spans="2:5" x14ac:dyDescent="0.25">
      <c r="B278" s="4">
        <f>(278-20)/100</f>
        <v>2.58</v>
      </c>
      <c r="C278" s="33">
        <f>IF($C$10+$C$7=0,Dashboard!$C$27*$C$6*B278,Dashboard!$C$27*$C$6*(1-EXP(-($C$10+$C$7)*B278))/($C$10+$C$7))</f>
        <v>180149.67441690282</v>
      </c>
      <c r="D278" s="33">
        <f>IF($C$10+$C$9=0,Dashboard!$C$27*$C$8*B278,Dashboard!$C$27*$C$8*(1-EXP(-($C$10+$C$9)*B278))/($C$10+$C$9))</f>
        <v>386223.80388830468</v>
      </c>
      <c r="E278">
        <f t="shared" si="4"/>
        <v>1</v>
      </c>
    </row>
    <row r="279" spans="2:5" x14ac:dyDescent="0.25">
      <c r="B279" s="4">
        <f>(279-20)/100</f>
        <v>2.59</v>
      </c>
      <c r="C279" s="33">
        <f>IF($C$10+$C$7=0,Dashboard!$C$27*$C$6*B279,Dashboard!$C$27*$C$6*(1-EXP(-($C$10+$C$7)*B279))/($C$10+$C$7))</f>
        <v>180166.35548985694</v>
      </c>
      <c r="D279" s="33">
        <f>IF($C$10+$C$9=0,Dashboard!$C$27*$C$8*B279,Dashboard!$C$27*$C$8*(1-EXP(-($C$10+$C$9)*B279))/($C$10+$C$9))</f>
        <v>387077.20074118354</v>
      </c>
      <c r="E279">
        <f t="shared" si="4"/>
        <v>1</v>
      </c>
    </row>
    <row r="280" spans="2:5" x14ac:dyDescent="0.25">
      <c r="B280" s="4">
        <f>(280-20)/100</f>
        <v>2.6</v>
      </c>
      <c r="C280" s="33">
        <f>IF($C$10+$C$7=0,Dashboard!$C$27*$C$6*B280,Dashboard!$C$27*$C$6*(1-EXP(-($C$10+$C$7)*B280))/($C$10+$C$7))</f>
        <v>180182.68991284296</v>
      </c>
      <c r="D280" s="33">
        <f>IF($C$10+$C$9=0,Dashboard!$C$27*$C$8*B280,Dashboard!$C$27*$C$8*(1-EXP(-($C$10+$C$9)*B280))/($C$10+$C$9))</f>
        <v>387927.19082473184</v>
      </c>
      <c r="E280">
        <f t="shared" si="4"/>
        <v>1</v>
      </c>
    </row>
    <row r="281" spans="2:5" x14ac:dyDescent="0.25">
      <c r="B281" s="4">
        <f>(281-20)/100</f>
        <v>2.61</v>
      </c>
      <c r="C281" s="33">
        <f>IF($C$10+$C$7=0,Dashboard!$C$27*$C$6*B281,Dashboard!$C$27*$C$6*(1-EXP(-($C$10+$C$7)*B281))/($C$10+$C$7))</f>
        <v>180198.6848896062</v>
      </c>
      <c r="D281" s="33">
        <f>IF($C$10+$C$9=0,Dashboard!$C$27*$C$8*B281,Dashboard!$C$27*$C$8*(1-EXP(-($C$10+$C$9)*B281))/($C$10+$C$9))</f>
        <v>388773.78773880925</v>
      </c>
      <c r="E281">
        <f t="shared" si="4"/>
        <v>1</v>
      </c>
    </row>
    <row r="282" spans="2:5" x14ac:dyDescent="0.25">
      <c r="B282" s="4">
        <f>(282-20)/100</f>
        <v>2.62</v>
      </c>
      <c r="C282" s="33">
        <f>IF($C$10+$C$7=0,Dashboard!$C$27*$C$6*B282,Dashboard!$C$27*$C$6*(1-EXP(-($C$10+$C$7)*B282))/($C$10+$C$7))</f>
        <v>180214.34747419055</v>
      </c>
      <c r="D282" s="33">
        <f>IF($C$10+$C$9=0,Dashboard!$C$27*$C$8*B282,Dashboard!$C$27*$C$8*(1-EXP(-($C$10+$C$9)*B282))/($C$10+$C$9))</f>
        <v>389617.00502898428</v>
      </c>
      <c r="E282">
        <f t="shared" si="4"/>
        <v>1</v>
      </c>
    </row>
    <row r="283" spans="2:5" x14ac:dyDescent="0.25">
      <c r="B283" s="4">
        <f>(283-20)/100</f>
        <v>2.63</v>
      </c>
      <c r="C283" s="33">
        <f>IF($C$10+$C$7=0,Dashboard!$C$27*$C$6*B283,Dashboard!$C$27*$C$6*(1-EXP(-($C$10+$C$7)*B283))/($C$10+$C$7))</f>
        <v>180229.68457404975</v>
      </c>
      <c r="D283" s="33">
        <f>IF($C$10+$C$9=0,Dashboard!$C$27*$C$8*B283,Dashboard!$C$27*$C$8*(1-EXP(-($C$10+$C$9)*B283))/($C$10+$C$9))</f>
        <v>390456.85618675145</v>
      </c>
      <c r="E283">
        <f t="shared" si="4"/>
        <v>1</v>
      </c>
    </row>
    <row r="284" spans="2:5" x14ac:dyDescent="0.25">
      <c r="B284" s="4">
        <f>(284-20)/100</f>
        <v>2.64</v>
      </c>
      <c r="C284" s="33">
        <f>IF($C$10+$C$7=0,Dashboard!$C$27*$C$6*B284,Dashboard!$C$27*$C$6*(1-EXP(-($C$10+$C$7)*B284))/($C$10+$C$7))</f>
        <v>180244.70295309337</v>
      </c>
      <c r="D284" s="33">
        <f>IF($C$10+$C$9=0,Dashboard!$C$27*$C$8*B284,Dashboard!$C$27*$C$8*(1-EXP(-($C$10+$C$9)*B284))/($C$10+$C$9))</f>
        <v>391293.35464974755</v>
      </c>
      <c r="E284">
        <f t="shared" si="4"/>
        <v>1</v>
      </c>
    </row>
    <row r="285" spans="2:5" x14ac:dyDescent="0.25">
      <c r="B285" s="4">
        <f>(285-20)/100</f>
        <v>2.65</v>
      </c>
      <c r="C285" s="33">
        <f>IF($C$10+$C$7=0,Dashboard!$C$27*$C$6*B285,Dashboard!$C$27*$C$6*(1-EXP(-($C$10+$C$7)*B285))/($C$10+$C$7))</f>
        <v>180259.40923466999</v>
      </c>
      <c r="D285" s="33">
        <f>IF($C$10+$C$9=0,Dashboard!$C$27*$C$8*B285,Dashboard!$C$27*$C$8*(1-EXP(-($C$10+$C$9)*B285))/($C$10+$C$9))</f>
        <v>392126.51380196551</v>
      </c>
      <c r="E285">
        <f t="shared" si="4"/>
        <v>1</v>
      </c>
    </row>
    <row r="286" spans="2:5" x14ac:dyDescent="0.25">
      <c r="B286" s="4">
        <f>(286-20)/100</f>
        <v>2.66</v>
      </c>
      <c r="C286" s="33">
        <f>IF($C$10+$C$7=0,Dashboard!$C$27*$C$6*B286,Dashboard!$C$27*$C$6*(1-EXP(-($C$10+$C$7)*B286))/($C$10+$C$7))</f>
        <v>180273.80990448812</v>
      </c>
      <c r="D286" s="33">
        <f>IF($C$10+$C$9=0,Dashboard!$C$27*$C$8*B286,Dashboard!$C$27*$C$8*(1-EXP(-($C$10+$C$9)*B286))/($C$10+$C$9))</f>
        <v>392956.34697396978</v>
      </c>
      <c r="E286">
        <f t="shared" si="4"/>
        <v>1</v>
      </c>
    </row>
    <row r="287" spans="2:5" x14ac:dyDescent="0.25">
      <c r="B287" s="4">
        <f>(287-20)/100</f>
        <v>2.67</v>
      </c>
      <c r="C287" s="33">
        <f>IF($C$10+$C$7=0,Dashboard!$C$27*$C$6*B287,Dashboard!$C$27*$C$6*(1-EXP(-($C$10+$C$7)*B287))/($C$10+$C$7))</f>
        <v>180287.91131347651</v>
      </c>
      <c r="D287" s="33">
        <f>IF($C$10+$C$9=0,Dashboard!$C$27*$C$8*B287,Dashboard!$C$27*$C$8*(1-EXP(-($C$10+$C$9)*B287))/($C$10+$C$9))</f>
        <v>393782.86744310858</v>
      </c>
      <c r="E287">
        <f t="shared" si="4"/>
        <v>1</v>
      </c>
    </row>
    <row r="288" spans="2:5" x14ac:dyDescent="0.25">
      <c r="B288" s="4">
        <f>(288-20)/100</f>
        <v>2.68</v>
      </c>
      <c r="C288" s="33">
        <f>IF($C$10+$C$7=0,Dashboard!$C$27*$C$6*B288,Dashboard!$C$27*$C$6*(1-EXP(-($C$10+$C$7)*B288))/($C$10+$C$7))</f>
        <v>180301.71968058511</v>
      </c>
      <c r="D288" s="33">
        <f>IF($C$10+$C$9=0,Dashboard!$C$27*$C$8*B288,Dashboard!$C$27*$C$8*(1-EXP(-($C$10+$C$9)*B288))/($C$10+$C$9))</f>
        <v>394606.08843372716</v>
      </c>
      <c r="E288">
        <f t="shared" si="4"/>
        <v>1</v>
      </c>
    </row>
    <row r="289" spans="2:5" x14ac:dyDescent="0.25">
      <c r="B289" s="4">
        <f>(289-20)/100</f>
        <v>2.69</v>
      </c>
      <c r="C289" s="33">
        <f>IF($C$10+$C$7=0,Dashboard!$C$27*$C$6*B289,Dashboard!$C$27*$C$6*(1-EXP(-($C$10+$C$7)*B289))/($C$10+$C$7))</f>
        <v>180315.24109552757</v>
      </c>
      <c r="D289" s="33">
        <f>IF($C$10+$C$9=0,Dashboard!$C$27*$C$8*B289,Dashboard!$C$27*$C$8*(1-EXP(-($C$10+$C$9)*B289))/($C$10+$C$9))</f>
        <v>395426.02311737905</v>
      </c>
      <c r="E289">
        <f t="shared" si="4"/>
        <v>1</v>
      </c>
    </row>
    <row r="290" spans="2:5" x14ac:dyDescent="0.25">
      <c r="B290" s="4">
        <f>(290-20)/100</f>
        <v>2.7</v>
      </c>
      <c r="C290" s="33">
        <f>IF($C$10+$C$7=0,Dashboard!$C$27*$C$6*B290,Dashboard!$C$27*$C$6*(1-EXP(-($C$10+$C$7)*B290))/($C$10+$C$7))</f>
        <v>180328.48152146704</v>
      </c>
      <c r="D290" s="33">
        <f>IF($C$10+$C$9=0,Dashboard!$C$27*$C$8*B290,Dashboard!$C$27*$C$8*(1-EXP(-($C$10+$C$9)*B290))/($C$10+$C$9))</f>
        <v>396242.68461303652</v>
      </c>
      <c r="E290">
        <f t="shared" si="4"/>
        <v>1</v>
      </c>
    </row>
    <row r="291" spans="2:5" x14ac:dyDescent="0.25">
      <c r="B291" s="4">
        <f>(291-20)/100</f>
        <v>2.71</v>
      </c>
      <c r="C291" s="33">
        <f>IF($C$10+$C$7=0,Dashboard!$C$27*$C$6*B291,Dashboard!$C$27*$C$6*(1-EXP(-($C$10+$C$7)*B291))/($C$10+$C$7))</f>
        <v>180341.44679764594</v>
      </c>
      <c r="D291" s="33">
        <f>IF($C$10+$C$9=0,Dashboard!$C$27*$C$8*B291,Dashboard!$C$27*$C$8*(1-EXP(-($C$10+$C$9)*B291))/($C$10+$C$9))</f>
        <v>397056.08598730096</v>
      </c>
      <c r="E291">
        <f t="shared" si="4"/>
        <v>1</v>
      </c>
    </row>
    <row r="292" spans="2:5" x14ac:dyDescent="0.25">
      <c r="B292" s="4">
        <f>(292-20)/100</f>
        <v>2.72</v>
      </c>
      <c r="C292" s="33">
        <f>IF($C$10+$C$7=0,Dashboard!$C$27*$C$6*B292,Dashboard!$C$27*$C$6*(1-EXP(-($C$10+$C$7)*B292))/($C$10+$C$7))</f>
        <v>180354.14264196125</v>
      </c>
      <c r="D292" s="33">
        <f>IF($C$10+$C$9=0,Dashboard!$C$27*$C$8*B292,Dashboard!$C$27*$C$8*(1-EXP(-($C$10+$C$9)*B292))/($C$10+$C$9))</f>
        <v>397866.24025461165</v>
      </c>
      <c r="E292">
        <f t="shared" si="4"/>
        <v>1</v>
      </c>
    </row>
    <row r="293" spans="2:5" x14ac:dyDescent="0.25">
      <c r="B293" s="4">
        <f>(293-20)/100</f>
        <v>2.73</v>
      </c>
      <c r="C293" s="33">
        <f>IF($C$10+$C$7=0,Dashboard!$C$27*$C$6*B293,Dashboard!$C$27*$C$6*(1-EXP(-($C$10+$C$7)*B293))/($C$10+$C$7))</f>
        <v>180366.57465348599</v>
      </c>
      <c r="D293" s="33">
        <f>IF($C$10+$C$9=0,Dashboard!$C$27*$C$8*B293,Dashboard!$C$27*$C$8*(1-EXP(-($C$10+$C$9)*B293))/($C$10+$C$9))</f>
        <v>398673.16037745436</v>
      </c>
      <c r="E293">
        <f t="shared" si="4"/>
        <v>1</v>
      </c>
    </row>
    <row r="294" spans="2:5" x14ac:dyDescent="0.25">
      <c r="B294" s="4">
        <f>(294-20)/100</f>
        <v>2.74</v>
      </c>
      <c r="C294" s="33">
        <f>IF($C$10+$C$7=0,Dashboard!$C$27*$C$6*B294,Dashboard!$C$27*$C$6*(1-EXP(-($C$10+$C$7)*B294))/($C$10+$C$7))</f>
        <v>180378.74831493874</v>
      </c>
      <c r="D294" s="33">
        <f>IF($C$10+$C$9=0,Dashboard!$C$27*$C$8*B294,Dashboard!$C$27*$C$8*(1-EXP(-($C$10+$C$9)*B294))/($C$10+$C$9))</f>
        <v>399476.85926656809</v>
      </c>
      <c r="E294">
        <f t="shared" si="4"/>
        <v>1</v>
      </c>
    </row>
    <row r="295" spans="2:5" x14ac:dyDescent="0.25">
      <c r="B295" s="4">
        <f>(295-20)/100</f>
        <v>2.75</v>
      </c>
      <c r="C295" s="33">
        <f>IF($C$10+$C$7=0,Dashboard!$C$27*$C$6*B295,Dashboard!$C$27*$C$6*(1-EXP(-($C$10+$C$7)*B295))/($C$10+$C$7))</f>
        <v>180390.66899510156</v>
      </c>
      <c r="D295" s="33">
        <f>IF($C$10+$C$9=0,Dashboard!$C$27*$C$8*B295,Dashboard!$C$27*$C$8*(1-EXP(-($C$10+$C$9)*B295))/($C$10+$C$9))</f>
        <v>400277.34978115227</v>
      </c>
      <c r="E295">
        <f t="shared" si="4"/>
        <v>1</v>
      </c>
    </row>
    <row r="296" spans="2:5" x14ac:dyDescent="0.25">
      <c r="B296" s="4">
        <f>(296-20)/100</f>
        <v>2.76</v>
      </c>
      <c r="C296" s="33">
        <f>IF($C$10+$C$7=0,Dashboard!$C$27*$C$6*B296,Dashboard!$C$27*$C$6*(1-EXP(-($C$10+$C$7)*B296))/($C$10+$C$7))</f>
        <v>180402.34195118753</v>
      </c>
      <c r="D296" s="33">
        <f>IF($C$10+$C$9=0,Dashboard!$C$27*$C$8*B296,Dashboard!$C$27*$C$8*(1-EXP(-($C$10+$C$9)*B296))/($C$10+$C$9))</f>
        <v>401074.64472907217</v>
      </c>
      <c r="E296">
        <f t="shared" si="4"/>
        <v>1</v>
      </c>
    </row>
    <row r="297" spans="2:5" x14ac:dyDescent="0.25">
      <c r="B297" s="4">
        <f>(297-20)/100</f>
        <v>2.77</v>
      </c>
      <c r="C297" s="33">
        <f>IF($C$10+$C$7=0,Dashboard!$C$27*$C$6*B297,Dashboard!$C$27*$C$6*(1-EXP(-($C$10+$C$7)*B297))/($C$10+$C$7))</f>
        <v>180413.7723311595</v>
      </c>
      <c r="D297" s="33">
        <f>IF($C$10+$C$9=0,Dashboard!$C$27*$C$8*B297,Dashboard!$C$27*$C$8*(1-EXP(-($C$10+$C$9)*B297))/($C$10+$C$9))</f>
        <v>401868.75686706399</v>
      </c>
      <c r="E297">
        <f t="shared" si="4"/>
        <v>1</v>
      </c>
    </row>
    <row r="298" spans="2:5" x14ac:dyDescent="0.25">
      <c r="B298" s="4">
        <f>(298-20)/100</f>
        <v>2.78</v>
      </c>
      <c r="C298" s="33">
        <f>IF($C$10+$C$7=0,Dashboard!$C$27*$C$6*B298,Dashboard!$C$27*$C$6*(1-EXP(-($C$10+$C$7)*B298))/($C$10+$C$7))</f>
        <v>180424.96517600032</v>
      </c>
      <c r="D298" s="33">
        <f>IF($C$10+$C$9=0,Dashboard!$C$27*$C$8*B298,Dashboard!$C$27*$C$8*(1-EXP(-($C$10+$C$9)*B298))/($C$10+$C$9))</f>
        <v>402659.69890093885</v>
      </c>
      <c r="E298">
        <f t="shared" si="4"/>
        <v>1</v>
      </c>
    </row>
    <row r="299" spans="2:5" x14ac:dyDescent="0.25">
      <c r="B299" s="4">
        <f>(299-20)/100</f>
        <v>2.79</v>
      </c>
      <c r="C299" s="33">
        <f>IF($C$10+$C$7=0,Dashboard!$C$27*$C$6*B299,Dashboard!$C$27*$C$6*(1-EXP(-($C$10+$C$7)*B299))/($C$10+$C$7))</f>
        <v>180435.92542193591</v>
      </c>
      <c r="D299" s="33">
        <f>IF($C$10+$C$9=0,Dashboard!$C$27*$C$8*B299,Dashboard!$C$27*$C$8*(1-EXP(-($C$10+$C$9)*B299))/($C$10+$C$9))</f>
        <v>403447.48348578624</v>
      </c>
      <c r="E299">
        <f t="shared" si="4"/>
        <v>1</v>
      </c>
    </row>
    <row r="300" spans="2:5" x14ac:dyDescent="0.25">
      <c r="B300" s="4">
        <f>(300-20)/100</f>
        <v>2.8</v>
      </c>
      <c r="C300" s="33">
        <f>IF($C$10+$C$7=0,Dashboard!$C$27*$C$6*B300,Dashboard!$C$27*$C$6*(1-EXP(-($C$10+$C$7)*B300))/($C$10+$C$7))</f>
        <v>180446.65790261238</v>
      </c>
      <c r="D300" s="33">
        <f>IF($C$10+$C$9=0,Dashboard!$C$27*$C$8*B300,Dashboard!$C$27*$C$8*(1-EXP(-($C$10+$C$9)*B300))/($C$10+$C$9))</f>
        <v>404232.12322617625</v>
      </c>
      <c r="E300">
        <f t="shared" si="4"/>
        <v>1</v>
      </c>
    </row>
    <row r="301" spans="2:5" x14ac:dyDescent="0.25">
      <c r="B301" s="4">
        <f>(301-20)/100</f>
        <v>2.81</v>
      </c>
      <c r="C301" s="33">
        <f>IF($C$10+$C$7=0,Dashboard!$C$27*$C$6*B301,Dashboard!$C$27*$C$6*(1-EXP(-($C$10+$C$7)*B301))/($C$10+$C$7))</f>
        <v>180457.16735122766</v>
      </c>
      <c r="D301" s="33">
        <f>IF($C$10+$C$9=0,Dashboard!$C$27*$C$8*B301,Dashboard!$C$27*$C$8*(1-EXP(-($C$10+$C$9)*B301))/($C$10+$C$9))</f>
        <v>405013.63067636162</v>
      </c>
      <c r="E301">
        <f t="shared" si="4"/>
        <v>1</v>
      </c>
    </row>
    <row r="302" spans="2:5" x14ac:dyDescent="0.25">
      <c r="B302" s="4">
        <f>(302-20)/100</f>
        <v>2.82</v>
      </c>
      <c r="C302" s="33">
        <f>IF($C$10+$C$7=0,Dashboard!$C$27*$C$6*B302,Dashboard!$C$27*$C$6*(1-EXP(-($C$10+$C$7)*B302))/($C$10+$C$7))</f>
        <v>180467.45840261891</v>
      </c>
      <c r="D302" s="33">
        <f>IF($C$10+$C$9=0,Dashboard!$C$27*$C$8*B302,Dashboard!$C$27*$C$8*(1-EXP(-($C$10+$C$9)*B302))/($C$10+$C$9))</f>
        <v>405792.01834047795</v>
      </c>
      <c r="E302">
        <f t="shared" si="4"/>
        <v>1</v>
      </c>
    </row>
    <row r="303" spans="2:5" x14ac:dyDescent="0.25">
      <c r="B303" s="4">
        <f>(303-20)/100</f>
        <v>2.83</v>
      </c>
      <c r="C303" s="33">
        <f>IF($C$10+$C$7=0,Dashboard!$C$27*$C$6*B303,Dashboard!$C$27*$C$6*(1-EXP(-($C$10+$C$7)*B303))/($C$10+$C$7))</f>
        <v>180477.5355953066</v>
      </c>
      <c r="D303" s="33">
        <f>IF($C$10+$C$9=0,Dashboard!$C$27*$C$8*B303,Dashboard!$C$27*$C$8*(1-EXP(-($C$10+$C$9)*B303))/($C$10+$C$9))</f>
        <v>406567.29867274471</v>
      </c>
      <c r="E303">
        <f t="shared" si="4"/>
        <v>1</v>
      </c>
    </row>
    <row r="304" spans="2:5" x14ac:dyDescent="0.25">
      <c r="B304" s="4">
        <f>(304-20)/100</f>
        <v>2.84</v>
      </c>
      <c r="C304" s="33">
        <f>IF($C$10+$C$7=0,Dashboard!$C$27*$C$6*B304,Dashboard!$C$27*$C$6*(1-EXP(-($C$10+$C$7)*B304))/($C$10+$C$7))</f>
        <v>180487.403373496</v>
      </c>
      <c r="D304" s="33">
        <f>IF($C$10+$C$9=0,Dashboard!$C$27*$C$8*B304,Dashboard!$C$27*$C$8*(1-EXP(-($C$10+$C$9)*B304))/($C$10+$C$9))</f>
        <v>407339.48407766357</v>
      </c>
      <c r="E304">
        <f t="shared" si="4"/>
        <v>1</v>
      </c>
    </row>
    <row r="305" spans="2:5" x14ac:dyDescent="0.25">
      <c r="B305" s="4">
        <f>(305-20)/100</f>
        <v>2.85</v>
      </c>
      <c r="C305" s="33">
        <f>IF($C$10+$C$7=0,Dashboard!$C$27*$C$6*B305,Dashboard!$C$27*$C$6*(1-EXP(-($C$10+$C$7)*B305))/($C$10+$C$7))</f>
        <v>180497.06608903719</v>
      </c>
      <c r="D305" s="33">
        <f>IF($C$10+$C$9=0,Dashboard!$C$27*$C$8*B305,Dashboard!$C$27*$C$8*(1-EXP(-($C$10+$C$9)*B305))/($C$10+$C$9))</f>
        <v>408108.58691021771</v>
      </c>
      <c r="E305">
        <f t="shared" si="4"/>
        <v>1</v>
      </c>
    </row>
    <row r="306" spans="2:5" x14ac:dyDescent="0.25">
      <c r="B306" s="4">
        <f>(306-20)/100</f>
        <v>2.86</v>
      </c>
      <c r="C306" s="33">
        <f>IF($C$10+$C$7=0,Dashboard!$C$27*$C$6*B306,Dashboard!$C$27*$C$6*(1-EXP(-($C$10+$C$7)*B306))/($C$10+$C$7))</f>
        <v>180506.5280033444</v>
      </c>
      <c r="D306" s="33">
        <f>IF($C$10+$C$9=0,Dashboard!$C$27*$C$8*B306,Dashboard!$C$27*$C$8*(1-EXP(-($C$10+$C$9)*B306))/($C$10+$C$9))</f>
        <v>408874.61947606859</v>
      </c>
      <c r="E306">
        <f t="shared" si="4"/>
        <v>1</v>
      </c>
    </row>
    <row r="307" spans="2:5" x14ac:dyDescent="0.25">
      <c r="B307" s="4">
        <f>(307-20)/100</f>
        <v>2.87</v>
      </c>
      <c r="C307" s="33">
        <f>IF($C$10+$C$7=0,Dashboard!$C$27*$C$6*B307,Dashboard!$C$27*$C$6*(1-EXP(-($C$10+$C$7)*B307))/($C$10+$C$7))</f>
        <v>180515.79328927514</v>
      </c>
      <c r="D307" s="33">
        <f>IF($C$10+$C$9=0,Dashboard!$C$27*$C$8*B307,Dashboard!$C$27*$C$8*(1-EXP(-($C$10+$C$9)*B307))/($C$10+$C$9))</f>
        <v>409637.59403175383</v>
      </c>
      <c r="E307">
        <f t="shared" si="4"/>
        <v>1</v>
      </c>
    </row>
    <row r="308" spans="2:5" x14ac:dyDescent="0.25">
      <c r="B308" s="4">
        <f>(308-20)/100</f>
        <v>2.88</v>
      </c>
      <c r="C308" s="33">
        <f>IF($C$10+$C$7=0,Dashboard!$C$27*$C$6*B308,Dashboard!$C$27*$C$6*(1-EXP(-($C$10+$C$7)*B308))/($C$10+$C$7))</f>
        <v>180524.86603297069</v>
      </c>
      <c r="D308" s="33">
        <f>IF($C$10+$C$9=0,Dashboard!$C$27*$C$8*B308,Dashboard!$C$27*$C$8*(1-EXP(-($C$10+$C$9)*B308))/($C$10+$C$9))</f>
        <v>410397.52278488246</v>
      </c>
      <c r="E308">
        <f t="shared" si="4"/>
        <v>1</v>
      </c>
    </row>
    <row r="309" spans="2:5" x14ac:dyDescent="0.25">
      <c r="B309" s="4">
        <f>(309-20)/100</f>
        <v>2.89</v>
      </c>
      <c r="C309" s="33">
        <f>IF($C$10+$C$7=0,Dashboard!$C$27*$C$6*B309,Dashboard!$C$27*$C$6*(1-EXP(-($C$10+$C$7)*B309))/($C$10+$C$7))</f>
        <v>180533.75023565799</v>
      </c>
      <c r="D309" s="33">
        <f>IF($C$10+$C$9=0,Dashboard!$C$27*$C$8*B309,Dashboard!$C$27*$C$8*(1-EXP(-($C$10+$C$9)*B309))/($C$10+$C$9))</f>
        <v>411154.41789433081</v>
      </c>
      <c r="E309">
        <f t="shared" si="4"/>
        <v>1</v>
      </c>
    </row>
    <row r="310" spans="2:5" x14ac:dyDescent="0.25">
      <c r="B310" s="4">
        <f>(310-20)/100</f>
        <v>2.9</v>
      </c>
      <c r="C310" s="33">
        <f>IF($C$10+$C$7=0,Dashboard!$C$27*$C$6*B310,Dashboard!$C$27*$C$6*(1-EXP(-($C$10+$C$7)*B310))/($C$10+$C$7))</f>
        <v>180542.44981541455</v>
      </c>
      <c r="D310" s="33">
        <f>IF($C$10+$C$9=0,Dashboard!$C$27*$C$8*B310,Dashboard!$C$27*$C$8*(1-EXP(-($C$10+$C$9)*B310))/($C$10+$C$9))</f>
        <v>411908.29147043679</v>
      </c>
      <c r="E310">
        <f t="shared" si="4"/>
        <v>1</v>
      </c>
    </row>
    <row r="311" spans="2:5" x14ac:dyDescent="0.25">
      <c r="B311" s="4">
        <f>(311-20)/100</f>
        <v>2.91</v>
      </c>
      <c r="C311" s="33">
        <f>IF($C$10+$C$7=0,Dashboard!$C$27*$C$6*B311,Dashboard!$C$27*$C$6*(1-EXP(-($C$10+$C$7)*B311))/($C$10+$C$7))</f>
        <v>180550.96860889593</v>
      </c>
      <c r="D311" s="33">
        <f>IF($C$10+$C$9=0,Dashboard!$C$27*$C$8*B311,Dashboard!$C$27*$C$8*(1-EXP(-($C$10+$C$9)*B311))/($C$10+$C$9))</f>
        <v>412659.1555751937</v>
      </c>
      <c r="E311">
        <f t="shared" si="4"/>
        <v>1</v>
      </c>
    </row>
    <row r="312" spans="2:5" x14ac:dyDescent="0.25">
      <c r="B312" s="4">
        <f>(312-20)/100</f>
        <v>2.92</v>
      </c>
      <c r="C312" s="33">
        <f>IF($C$10+$C$7=0,Dashboard!$C$27*$C$6*B312,Dashboard!$C$27*$C$6*(1-EXP(-($C$10+$C$7)*B312))/($C$10+$C$7))</f>
        <v>180559.31037302816</v>
      </c>
      <c r="D312" s="33">
        <f>IF($C$10+$C$9=0,Dashboard!$C$27*$C$8*B312,Dashboard!$C$27*$C$8*(1-EXP(-($C$10+$C$9)*B312))/($C$10+$C$9))</f>
        <v>413407.02222244319</v>
      </c>
      <c r="E312">
        <f t="shared" si="4"/>
        <v>1</v>
      </c>
    </row>
    <row r="313" spans="2:5" x14ac:dyDescent="0.25">
      <c r="B313" s="4">
        <f>(313-20)/100</f>
        <v>2.93</v>
      </c>
      <c r="C313" s="33">
        <f>IF($C$10+$C$7=0,Dashboard!$C$27*$C$6*B313,Dashboard!$C$27*$C$6*(1-EXP(-($C$10+$C$7)*B313))/($C$10+$C$7))</f>
        <v>180567.47878666437</v>
      </c>
      <c r="D313" s="33">
        <f>IF($C$10+$C$9=0,Dashboard!$C$27*$C$8*B313,Dashboard!$C$27*$C$8*(1-EXP(-($C$10+$C$9)*B313))/($C$10+$C$9))</f>
        <v>414151.90337806754</v>
      </c>
      <c r="E313">
        <f t="shared" si="4"/>
        <v>1</v>
      </c>
    </row>
    <row r="314" spans="2:5" x14ac:dyDescent="0.25">
      <c r="B314" s="4">
        <f>(314-20)/100</f>
        <v>2.94</v>
      </c>
      <c r="C314" s="33">
        <f>IF($C$10+$C$7=0,Dashboard!$C$27*$C$6*B314,Dashboard!$C$27*$C$6*(1-EXP(-($C$10+$C$7)*B314))/($C$10+$C$7))</f>
        <v>180575.47745220741</v>
      </c>
      <c r="D314" s="33">
        <f>IF($C$10+$C$9=0,Dashboard!$C$27*$C$8*B314,Dashboard!$C$27*$C$8*(1-EXP(-($C$10+$C$9)*B314))/($C$10+$C$9))</f>
        <v>414893.81096018112</v>
      </c>
      <c r="E314">
        <f t="shared" si="4"/>
        <v>1</v>
      </c>
    </row>
    <row r="315" spans="2:5" x14ac:dyDescent="0.25">
      <c r="B315" s="4">
        <f>(315-20)/100</f>
        <v>2.95</v>
      </c>
      <c r="C315" s="33">
        <f>IF($C$10+$C$7=0,Dashboard!$C$27*$C$6*B315,Dashboard!$C$27*$C$6*(1-EXP(-($C$10+$C$7)*B315))/($C$10+$C$7))</f>
        <v>180583.30989719843</v>
      </c>
      <c r="D315" s="33">
        <f>IF($C$10+$C$9=0,Dashboard!$C$27*$C$8*B315,Dashboard!$C$27*$C$8*(1-EXP(-($C$10+$C$9)*B315))/($C$10+$C$9))</f>
        <v>415632.75683932129</v>
      </c>
      <c r="E315">
        <f t="shared" si="4"/>
        <v>1</v>
      </c>
    </row>
    <row r="316" spans="2:5" x14ac:dyDescent="0.25">
      <c r="B316" s="4">
        <f>(316-20)/100</f>
        <v>2.96</v>
      </c>
      <c r="C316" s="33">
        <f>IF($C$10+$C$7=0,Dashboard!$C$27*$C$6*B316,Dashboard!$C$27*$C$6*(1-EXP(-($C$10+$C$7)*B316))/($C$10+$C$7))</f>
        <v>180590.97957587254</v>
      </c>
      <c r="D316" s="33">
        <f>IF($C$10+$C$9=0,Dashboard!$C$27*$C$8*B316,Dashboard!$C$27*$C$8*(1-EXP(-($C$10+$C$9)*B316))/($C$10+$C$9))</f>
        <v>416368.75283863756</v>
      </c>
      <c r="E316">
        <f t="shared" si="4"/>
        <v>1</v>
      </c>
    </row>
    <row r="317" spans="2:5" x14ac:dyDescent="0.25">
      <c r="B317" s="4">
        <f>(317-20)/100</f>
        <v>2.97</v>
      </c>
      <c r="C317" s="33">
        <f>IF($C$10+$C$7=0,Dashboard!$C$27*$C$6*B317,Dashboard!$C$27*$C$6*(1-EXP(-($C$10+$C$7)*B317))/($C$10+$C$7))</f>
        <v>180598.48987068242</v>
      </c>
      <c r="D317" s="33">
        <f>IF($C$10+$C$9=0,Dashboard!$C$27*$C$8*B317,Dashboard!$C$27*$C$8*(1-EXP(-($C$10+$C$9)*B317))/($C$10+$C$9))</f>
        <v>417101.81073408184</v>
      </c>
      <c r="E317">
        <f t="shared" si="4"/>
        <v>1</v>
      </c>
    </row>
    <row r="318" spans="2:5" x14ac:dyDescent="0.25">
      <c r="B318" s="4">
        <f>(318-20)/100</f>
        <v>2.98</v>
      </c>
      <c r="C318" s="33">
        <f>IF($C$10+$C$7=0,Dashboard!$C$27*$C$6*B318,Dashboard!$C$27*$C$6*(1-EXP(-($C$10+$C$7)*B318))/($C$10+$C$7))</f>
        <v>180605.84409378975</v>
      </c>
      <c r="D318" s="33">
        <f>IF($C$10+$C$9=0,Dashboard!$C$27*$C$8*B318,Dashboard!$C$27*$C$8*(1-EXP(-($C$10+$C$9)*B318))/($C$10+$C$9))</f>
        <v>417831.94225459604</v>
      </c>
      <c r="E318">
        <f t="shared" si="4"/>
        <v>1</v>
      </c>
    </row>
    <row r="319" spans="2:5" x14ac:dyDescent="0.25">
      <c r="B319" s="4">
        <f>(319-20)/100</f>
        <v>2.99</v>
      </c>
      <c r="C319" s="33">
        <f>IF($C$10+$C$7=0,Dashboard!$C$27*$C$6*B319,Dashboard!$C$27*$C$6*(1-EXP(-($C$10+$C$7)*B319))/($C$10+$C$7))</f>
        <v>180613.04548852614</v>
      </c>
      <c r="D319" s="33">
        <f>IF($C$10+$C$9=0,Dashboard!$C$27*$C$8*B319,Dashboard!$C$27*$C$8*(1-EXP(-($C$10+$C$9)*B319))/($C$10+$C$9))</f>
        <v>418559.15908230009</v>
      </c>
      <c r="E319">
        <f t="shared" si="4"/>
        <v>1</v>
      </c>
    </row>
    <row r="320" spans="2:5" x14ac:dyDescent="0.25">
      <c r="B320" s="4">
        <f>(320-20)/100</f>
        <v>3</v>
      </c>
      <c r="C320" s="33">
        <f>IF($C$10+$C$7=0,Dashboard!$C$27*$C$6*B320,Dashboard!$C$27*$C$6*(1-EXP(-($C$10+$C$7)*B320))/($C$10+$C$7))</f>
        <v>180620.09723082333</v>
      </c>
      <c r="D320" s="33">
        <f>IF($C$10+$C$9=0,Dashboard!$C$27*$C$8*B320,Dashboard!$C$27*$C$8*(1-EXP(-($C$10+$C$9)*B320))/($C$10+$C$9))</f>
        <v>419283.47285267879</v>
      </c>
      <c r="E320">
        <f t="shared" si="4"/>
        <v>1</v>
      </c>
    </row>
    <row r="321" spans="2:5" x14ac:dyDescent="0.25">
      <c r="B321" s="4">
        <f>(321-20)/100</f>
        <v>3.01</v>
      </c>
      <c r="C321" s="33">
        <f>IF($C$10+$C$7=0,Dashboard!$C$27*$C$6*B321,Dashboard!$C$27*$C$6*(1-EXP(-($C$10+$C$7)*B321))/($C$10+$C$7))</f>
        <v>180627.00243061403</v>
      </c>
      <c r="D321" s="33">
        <f>IF($C$10+$C$9=0,Dashboard!$C$27*$C$8*B321,Dashboard!$C$27*$C$8*(1-EXP(-($C$10+$C$9)*B321))/($C$10+$C$9))</f>
        <v>420004.89515476773</v>
      </c>
      <c r="E321">
        <f t="shared" si="4"/>
        <v>1</v>
      </c>
    </row>
    <row r="322" spans="2:5" x14ac:dyDescent="0.25">
      <c r="B322" s="4">
        <f>(322-20)/100</f>
        <v>3.02</v>
      </c>
      <c r="C322" s="33">
        <f>IF($C$10+$C$7=0,Dashboard!$C$27*$C$6*B322,Dashboard!$C$27*$C$6*(1-EXP(-($C$10+$C$7)*B322))/($C$10+$C$7))</f>
        <v>180633.76413320319</v>
      </c>
      <c r="D322" s="33">
        <f>IF($C$10+$C$9=0,Dashboard!$C$27*$C$8*B322,Dashboard!$C$27*$C$8*(1-EXP(-($C$10+$C$9)*B322))/($C$10+$C$9))</f>
        <v>420723.4375313393</v>
      </c>
      <c r="E322">
        <f t="shared" si="4"/>
        <v>1</v>
      </c>
    </row>
    <row r="323" spans="2:5" x14ac:dyDescent="0.25">
      <c r="B323" s="4">
        <f>(323-20)/100</f>
        <v>3.03</v>
      </c>
      <c r="C323" s="33">
        <f>IF($C$10+$C$7=0,Dashboard!$C$27*$C$6*B323,Dashboard!$C$27*$C$6*(1-EXP(-($C$10+$C$7)*B323))/($C$10+$C$7))</f>
        <v>180640.38532061127</v>
      </c>
      <c r="D323" s="33">
        <f>IF($C$10+$C$9=0,Dashboard!$C$27*$C$8*B323,Dashboard!$C$27*$C$8*(1-EXP(-($C$10+$C$9)*B323))/($C$10+$C$9))</f>
        <v>421439.11147908668</v>
      </c>
      <c r="E323">
        <f t="shared" si="4"/>
        <v>1</v>
      </c>
    </row>
    <row r="324" spans="2:5" x14ac:dyDescent="0.25">
      <c r="B324" s="4">
        <f>(324-20)/100</f>
        <v>3.04</v>
      </c>
      <c r="C324" s="33">
        <f>IF($C$10+$C$7=0,Dashboard!$C$27*$C$6*B324,Dashboard!$C$27*$C$6*(1-EXP(-($C$10+$C$7)*B324))/($C$10+$C$7))</f>
        <v>180646.86891288924</v>
      </c>
      <c r="D324" s="33">
        <f>IF($C$10+$C$9=0,Dashboard!$C$27*$C$8*B324,Dashboard!$C$27*$C$8*(1-EXP(-($C$10+$C$9)*B324))/($C$10+$C$9))</f>
        <v>422151.92844880861</v>
      </c>
      <c r="E324">
        <f t="shared" si="4"/>
        <v>1</v>
      </c>
    </row>
    <row r="325" spans="2:5" x14ac:dyDescent="0.25">
      <c r="B325" s="4">
        <f>(325-20)/100</f>
        <v>3.05</v>
      </c>
      <c r="C325" s="33">
        <f>IF($C$10+$C$7=0,Dashboard!$C$27*$C$6*B325,Dashboard!$C$27*$C$6*(1-EXP(-($C$10+$C$7)*B325))/($C$10+$C$7))</f>
        <v>180653.21776940639</v>
      </c>
      <c r="D325" s="33">
        <f>IF($C$10+$C$9=0,Dashboard!$C$27*$C$8*B325,Dashboard!$C$27*$C$8*(1-EXP(-($C$10+$C$9)*B325))/($C$10+$C$9))</f>
        <v>422861.89984559146</v>
      </c>
      <c r="E325">
        <f t="shared" si="4"/>
        <v>1</v>
      </c>
    </row>
    <row r="326" spans="2:5" x14ac:dyDescent="0.25">
      <c r="B326" s="4">
        <f>(326-20)/100</f>
        <v>3.06</v>
      </c>
      <c r="C326" s="33">
        <f>IF($C$10+$C$7=0,Dashboard!$C$27*$C$6*B326,Dashboard!$C$27*$C$6*(1-EXP(-($C$10+$C$7)*B326))/($C$10+$C$7))</f>
        <v>180659.43469011129</v>
      </c>
      <c r="D326" s="33">
        <f>IF($C$10+$C$9=0,Dashboard!$C$27*$C$8*B326,Dashboard!$C$27*$C$8*(1-EXP(-($C$10+$C$9)*B326))/($C$10+$C$9))</f>
        <v>423569.03702899296</v>
      </c>
      <c r="E326">
        <f t="shared" si="4"/>
        <v>1</v>
      </c>
    </row>
    <row r="327" spans="2:5" x14ac:dyDescent="0.25">
      <c r="B327" s="4">
        <f>(327-20)/100</f>
        <v>3.07</v>
      </c>
      <c r="C327" s="33">
        <f>IF($C$10+$C$7=0,Dashboard!$C$27*$C$6*B327,Dashboard!$C$27*$C$6*(1-EXP(-($C$10+$C$7)*B327))/($C$10+$C$7))</f>
        <v>180665.52241676676</v>
      </c>
      <c r="D327" s="33">
        <f>IF($C$10+$C$9=0,Dashboard!$C$27*$C$8*B327,Dashboard!$C$27*$C$8*(1-EXP(-($C$10+$C$9)*B327))/($C$10+$C$9))</f>
        <v>424273.35131322301</v>
      </c>
      <c r="E327">
        <f t="shared" si="4"/>
        <v>1</v>
      </c>
    </row>
    <row r="328" spans="2:5" x14ac:dyDescent="0.25">
      <c r="B328" s="4">
        <f>(328-20)/100</f>
        <v>3.08</v>
      </c>
      <c r="C328" s="33">
        <f>IF($C$10+$C$7=0,Dashboard!$C$27*$C$6*B328,Dashboard!$C$27*$C$6*(1-EXP(-($C$10+$C$7)*B328))/($C$10+$C$7))</f>
        <v>180671.48363415891</v>
      </c>
      <c r="D328" s="33">
        <f>IF($C$10+$C$9=0,Dashboard!$C$27*$C$8*B328,Dashboard!$C$27*$C$8*(1-EXP(-($C$10+$C$9)*B328))/($C$10+$C$9))</f>
        <v>424974.85396732547</v>
      </c>
      <c r="E328">
        <f t="shared" si="4"/>
        <v>1</v>
      </c>
    </row>
    <row r="329" spans="2:5" x14ac:dyDescent="0.25">
      <c r="B329" s="4">
        <f>(329-20)/100</f>
        <v>3.09</v>
      </c>
      <c r="C329" s="33">
        <f>IF($C$10+$C$7=0,Dashboard!$C$27*$C$6*B329,Dashboard!$C$27*$C$6*(1-EXP(-($C$10+$C$7)*B329))/($C$10+$C$7))</f>
        <v>180677.32097128127</v>
      </c>
      <c r="D329" s="33">
        <f>IF($C$10+$C$9=0,Dashboard!$C$27*$C$8*B329,Dashboard!$C$27*$C$8*(1-EXP(-($C$10+$C$9)*B329))/($C$10+$C$9))</f>
        <v>425673.55621535721</v>
      </c>
      <c r="E329">
        <f t="shared" si="4"/>
        <v>1</v>
      </c>
    </row>
    <row r="330" spans="2:5" x14ac:dyDescent="0.25">
      <c r="B330" s="4">
        <f>(330-20)/100</f>
        <v>3.1</v>
      </c>
      <c r="C330" s="33">
        <f>IF($C$10+$C$7=0,Dashboard!$C$27*$C$6*B330,Dashboard!$C$27*$C$6*(1-EXP(-($C$10+$C$7)*B330))/($C$10+$C$7))</f>
        <v>180683.03700249401</v>
      </c>
      <c r="D330" s="33">
        <f>IF($C$10+$C$9=0,Dashboard!$C$27*$C$8*B330,Dashboard!$C$27*$C$8*(1-EXP(-($C$10+$C$9)*B330))/($C$10+$C$9))</f>
        <v>426369.4692365696</v>
      </c>
      <c r="E330">
        <f t="shared" si="4"/>
        <v>1</v>
      </c>
    </row>
    <row r="331" spans="2:5" x14ac:dyDescent="0.25">
      <c r="B331" s="4">
        <f>(331-20)/100</f>
        <v>3.11</v>
      </c>
      <c r="C331" s="33">
        <f>IF($C$10+$C$7=0,Dashboard!$C$27*$C$6*B331,Dashboard!$C$27*$C$6*(1-EXP(-($C$10+$C$7)*B331))/($C$10+$C$7))</f>
        <v>180688.6342486596</v>
      </c>
      <c r="D331" s="33">
        <f>IF($C$10+$C$9=0,Dashboard!$C$27*$C$8*B331,Dashboard!$C$27*$C$8*(1-EXP(-($C$10+$C$9)*B331))/($C$10+$C$9))</f>
        <v>427062.60416558565</v>
      </c>
      <c r="E331">
        <f t="shared" si="4"/>
        <v>1</v>
      </c>
    </row>
    <row r="332" spans="2:5" x14ac:dyDescent="0.25">
      <c r="B332" s="4">
        <f>(332-20)/100</f>
        <v>3.12</v>
      </c>
      <c r="C332" s="33">
        <f>IF($C$10+$C$7=0,Dashboard!$C$27*$C$6*B332,Dashboard!$C$27*$C$6*(1-EXP(-($C$10+$C$7)*B332))/($C$10+$C$7))</f>
        <v>180694.11517825435</v>
      </c>
      <c r="D332" s="33">
        <f>IF($C$10+$C$9=0,Dashboard!$C$27*$C$8*B332,Dashboard!$C$27*$C$8*(1-EXP(-($C$10+$C$9)*B332))/($C$10+$C$9))</f>
        <v>427752.972092579</v>
      </c>
      <c r="E332">
        <f t="shared" si="4"/>
        <v>1</v>
      </c>
    </row>
    <row r="333" spans="2:5" x14ac:dyDescent="0.25">
      <c r="B333" s="4">
        <f>(333-20)/100</f>
        <v>3.13</v>
      </c>
      <c r="C333" s="33">
        <f>IF($C$10+$C$7=0,Dashboard!$C$27*$C$6*B333,Dashboard!$C$27*$C$6*(1-EXP(-($C$10+$C$7)*B333))/($C$10+$C$7))</f>
        <v>180699.48220845693</v>
      </c>
      <c r="D333" s="33">
        <f>IF($C$10+$C$9=0,Dashboard!$C$27*$C$8*B333,Dashboard!$C$27*$C$8*(1-EXP(-($C$10+$C$9)*B333))/($C$10+$C$9))</f>
        <v>428440.58406345116</v>
      </c>
      <c r="E333">
        <f t="shared" si="4"/>
        <v>1</v>
      </c>
    </row>
    <row r="334" spans="2:5" x14ac:dyDescent="0.25">
      <c r="B334" s="4">
        <f>(334-20)/100</f>
        <v>3.14</v>
      </c>
      <c r="C334" s="33">
        <f>IF($C$10+$C$7=0,Dashboard!$C$27*$C$6*B334,Dashboard!$C$27*$C$6*(1-EXP(-($C$10+$C$7)*B334))/($C$10+$C$7))</f>
        <v>180704.73770621477</v>
      </c>
      <c r="D334" s="33">
        <f>IF($C$10+$C$9=0,Dashboard!$C$27*$C$8*B334,Dashboard!$C$27*$C$8*(1-EXP(-($C$10+$C$9)*B334))/($C$10+$C$9))</f>
        <v>429125.45108000853</v>
      </c>
      <c r="E334">
        <f t="shared" si="4"/>
        <v>1</v>
      </c>
    </row>
    <row r="335" spans="2:5" x14ac:dyDescent="0.25">
      <c r="B335" s="4">
        <f>(335-20)/100</f>
        <v>3.15</v>
      </c>
      <c r="C335" s="33">
        <f>IF($C$10+$C$7=0,Dashboard!$C$27*$C$6*B335,Dashboard!$C$27*$C$6*(1-EXP(-($C$10+$C$7)*B335))/($C$10+$C$7))</f>
        <v>180709.88398928748</v>
      </c>
      <c r="D335" s="33">
        <f>IF($C$10+$C$9=0,Dashboard!$C$27*$C$8*B335,Dashboard!$C$27*$C$8*(1-EXP(-($C$10+$C$9)*B335))/($C$10+$C$9))</f>
        <v>429807.58410013776</v>
      </c>
      <c r="E335">
        <f t="shared" si="4"/>
        <v>1</v>
      </c>
    </row>
    <row r="336" spans="2:5" x14ac:dyDescent="0.25">
      <c r="B336" s="4">
        <f>(336-20)/100</f>
        <v>3.16</v>
      </c>
      <c r="C336" s="33">
        <f>IF($C$10+$C$7=0,Dashboard!$C$27*$C$6*B336,Dashboard!$C$27*$C$6*(1-EXP(-($C$10+$C$7)*B336))/($C$10+$C$7))</f>
        <v>180714.92332726932</v>
      </c>
      <c r="D336" s="33">
        <f>IF($C$10+$C$9=0,Dashboard!$C$27*$C$8*B336,Dashboard!$C$27*$C$8*(1-EXP(-($C$10+$C$9)*B336))/($C$10+$C$9))</f>
        <v>430486.99403798184</v>
      </c>
      <c r="E336">
        <f t="shared" si="4"/>
        <v>1</v>
      </c>
    </row>
    <row r="337" spans="2:5" x14ac:dyDescent="0.25">
      <c r="B337" s="4">
        <f>(337-20)/100</f>
        <v>3.17</v>
      </c>
      <c r="C337" s="33">
        <f>IF($C$10+$C$7=0,Dashboard!$C$27*$C$6*B337,Dashboard!$C$27*$C$6*(1-EXP(-($C$10+$C$7)*B337))/($C$10+$C$7))</f>
        <v>180719.85794259002</v>
      </c>
      <c r="D337" s="33">
        <f>IF($C$10+$C$9=0,Dashboard!$C$27*$C$8*B337,Dashboard!$C$27*$C$8*(1-EXP(-($C$10+$C$9)*B337))/($C$10+$C$9))</f>
        <v>431163.69176411425</v>
      </c>
      <c r="E337">
        <f t="shared" si="4"/>
        <v>1</v>
      </c>
    </row>
    <row r="338" spans="2:5" x14ac:dyDescent="0.25">
      <c r="B338" s="4">
        <f>(338-20)/100</f>
        <v>3.18</v>
      </c>
      <c r="C338" s="33">
        <f>IF($C$10+$C$7=0,Dashboard!$C$27*$C$6*B338,Dashboard!$C$27*$C$6*(1-EXP(-($C$10+$C$7)*B338))/($C$10+$C$7))</f>
        <v>180724.69001149488</v>
      </c>
      <c r="D338" s="33">
        <f>IF($C$10+$C$9=0,Dashboard!$C$27*$C$8*B338,Dashboard!$C$27*$C$8*(1-EXP(-($C$10+$C$9)*B338))/($C$10+$C$9))</f>
        <v>431837.68810571305</v>
      </c>
      <c r="E338">
        <f t="shared" si="4"/>
        <v>1</v>
      </c>
    </row>
    <row r="339" spans="2:5" x14ac:dyDescent="0.25">
      <c r="B339" s="4">
        <f>(339-20)/100</f>
        <v>3.19</v>
      </c>
      <c r="C339" s="33">
        <f>IF($C$10+$C$7=0,Dashboard!$C$27*$C$6*B339,Dashboard!$C$27*$C$6*(1-EXP(-($C$10+$C$7)*B339))/($C$10+$C$7))</f>
        <v>180729.42166500466</v>
      </c>
      <c r="D339" s="33">
        <f>IF($C$10+$C$9=0,Dashboard!$C$27*$C$8*B339,Dashboard!$C$27*$C$8*(1-EXP(-($C$10+$C$9)*B339))/($C$10+$C$9))</f>
        <v>432508.99384673405</v>
      </c>
      <c r="E339">
        <f t="shared" si="4"/>
        <v>1</v>
      </c>
    </row>
    <row r="340" spans="2:5" x14ac:dyDescent="0.25">
      <c r="B340" s="4">
        <f>(340-20)/100</f>
        <v>3.2</v>
      </c>
      <c r="C340" s="33">
        <f>IF($C$10+$C$7=0,Dashboard!$C$27*$C$6*B340,Dashboard!$C$27*$C$6*(1-EXP(-($C$10+$C$7)*B340))/($C$10+$C$7))</f>
        <v>180734.05498985521</v>
      </c>
      <c r="D340" s="33">
        <f>IF($C$10+$C$9=0,Dashboard!$C$27*$C$8*B340,Dashboard!$C$27*$C$8*(1-EXP(-($C$10+$C$9)*B340))/($C$10+$C$9))</f>
        <v>433177.61972808349</v>
      </c>
      <c r="E340">
        <f t="shared" ref="E340:E403" si="5">IF(AND(B340&gt;0,D340&gt;C340),1,0)</f>
        <v>1</v>
      </c>
    </row>
    <row r="341" spans="2:5" x14ac:dyDescent="0.25">
      <c r="B341" s="4">
        <f>(341-20)/100</f>
        <v>3.21</v>
      </c>
      <c r="C341" s="33">
        <f>IF($C$10+$C$7=0,Dashboard!$C$27*$C$6*B341,Dashboard!$C$27*$C$6*(1-EXP(-($C$10+$C$7)*B341))/($C$10+$C$7))</f>
        <v>180738.59202941784</v>
      </c>
      <c r="D341" s="33">
        <f>IF($C$10+$C$9=0,Dashboard!$C$27*$C$8*B341,Dashboard!$C$27*$C$8*(1-EXP(-($C$10+$C$9)*B341))/($C$10+$C$9))</f>
        <v>433843.57644778967</v>
      </c>
      <c r="E341">
        <f t="shared" si="5"/>
        <v>1</v>
      </c>
    </row>
    <row r="342" spans="2:5" x14ac:dyDescent="0.25">
      <c r="B342" s="4">
        <f>(342-20)/100</f>
        <v>3.22</v>
      </c>
      <c r="C342" s="33">
        <f>IF($C$10+$C$7=0,Dashboard!$C$27*$C$6*B342,Dashboard!$C$27*$C$6*(1-EXP(-($C$10+$C$7)*B342))/($C$10+$C$7))</f>
        <v>180743.03478460063</v>
      </c>
      <c r="D342" s="33">
        <f>IF($C$10+$C$9=0,Dashboard!$C$27*$C$8*B342,Dashboard!$C$27*$C$8*(1-EXP(-($C$10+$C$9)*B342))/($C$10+$C$9))</f>
        <v>434506.87466117443</v>
      </c>
      <c r="E342">
        <f t="shared" si="5"/>
        <v>1</v>
      </c>
    </row>
    <row r="343" spans="2:5" x14ac:dyDescent="0.25">
      <c r="B343" s="4">
        <f>(343-20)/100</f>
        <v>3.23</v>
      </c>
      <c r="C343" s="33">
        <f>IF($C$10+$C$7=0,Dashboard!$C$27*$C$6*B343,Dashboard!$C$27*$C$6*(1-EXP(-($C$10+$C$7)*B343))/($C$10+$C$7))</f>
        <v>180747.38521473052</v>
      </c>
      <c r="D343" s="33">
        <f>IF($C$10+$C$9=0,Dashboard!$C$27*$C$8*B343,Dashboard!$C$27*$C$8*(1-EXP(-($C$10+$C$9)*B343))/($C$10+$C$9))</f>
        <v>435167.52498102316</v>
      </c>
      <c r="E343">
        <f t="shared" si="5"/>
        <v>1</v>
      </c>
    </row>
    <row r="344" spans="2:5" x14ac:dyDescent="0.25">
      <c r="B344" s="4">
        <f>(344-20)/100</f>
        <v>3.24</v>
      </c>
      <c r="C344" s="33">
        <f>IF($C$10+$C$7=0,Dashboard!$C$27*$C$6*B344,Dashboard!$C$27*$C$6*(1-EXP(-($C$10+$C$7)*B344))/($C$10+$C$7))</f>
        <v>180751.6452384177</v>
      </c>
      <c r="D344" s="33">
        <f>IF($C$10+$C$9=0,Dashboard!$C$27*$C$8*B344,Dashboard!$C$27*$C$8*(1-EXP(-($C$10+$C$9)*B344))/($C$10+$C$9))</f>
        <v>435825.53797775519</v>
      </c>
      <c r="E344">
        <f t="shared" si="5"/>
        <v>1</v>
      </c>
    </row>
    <row r="345" spans="2:5" x14ac:dyDescent="0.25">
      <c r="B345" s="4">
        <f>(345-20)/100</f>
        <v>3.25</v>
      </c>
      <c r="C345" s="33">
        <f>IF($C$10+$C$7=0,Dashboard!$C$27*$C$6*B345,Dashboard!$C$27*$C$6*(1-EXP(-($C$10+$C$7)*B345))/($C$10+$C$7))</f>
        <v>180755.8167344018</v>
      </c>
      <c r="D345" s="33">
        <f>IF($C$10+$C$9=0,Dashboard!$C$27*$C$8*B345,Dashboard!$C$27*$C$8*(1-EXP(-($C$10+$C$9)*B345))/($C$10+$C$9))</f>
        <v>436480.92417959246</v>
      </c>
      <c r="E345">
        <f t="shared" si="5"/>
        <v>1</v>
      </c>
    </row>
    <row r="346" spans="2:5" x14ac:dyDescent="0.25">
      <c r="B346" s="4">
        <f>(346-20)/100</f>
        <v>3.26</v>
      </c>
      <c r="C346" s="33">
        <f>IF($C$10+$C$7=0,Dashboard!$C$27*$C$6*B346,Dashboard!$C$27*$C$6*(1-EXP(-($C$10+$C$7)*B346))/($C$10+$C$7))</f>
        <v>180759.90154237999</v>
      </c>
      <c r="D346" s="33">
        <f>IF($C$10+$C$9=0,Dashboard!$C$27*$C$8*B346,Dashboard!$C$27*$C$8*(1-EXP(-($C$10+$C$9)*B346))/($C$10+$C$9))</f>
        <v>437133.6940727281</v>
      </c>
      <c r="E346">
        <f t="shared" si="5"/>
        <v>1</v>
      </c>
    </row>
    <row r="347" spans="2:5" x14ac:dyDescent="0.25">
      <c r="B347" s="4">
        <f>(347-20)/100</f>
        <v>3.27</v>
      </c>
      <c r="C347" s="33">
        <f>IF($C$10+$C$7=0,Dashboard!$C$27*$C$6*B347,Dashboard!$C$27*$C$6*(1-EXP(-($C$10+$C$7)*B347))/($C$10+$C$7))</f>
        <v>180763.90146381885</v>
      </c>
      <c r="D347" s="33">
        <f>IF($C$10+$C$9=0,Dashboard!$C$27*$C$8*B347,Dashboard!$C$27*$C$8*(1-EXP(-($C$10+$C$9)*B347))/($C$10+$C$9))</f>
        <v>437783.85810149455</v>
      </c>
      <c r="E347">
        <f t="shared" si="5"/>
        <v>1</v>
      </c>
    </row>
    <row r="348" spans="2:5" x14ac:dyDescent="0.25">
      <c r="B348" s="4">
        <f>(348-20)/100</f>
        <v>3.28</v>
      </c>
      <c r="C348" s="33">
        <f>IF($C$10+$C$7=0,Dashboard!$C$27*$C$6*B348,Dashboard!$C$27*$C$6*(1-EXP(-($C$10+$C$7)*B348))/($C$10+$C$7))</f>
        <v>180767.81826274859</v>
      </c>
      <c r="D348" s="33">
        <f>IF($C$10+$C$9=0,Dashboard!$C$27*$C$8*B348,Dashboard!$C$27*$C$8*(1-EXP(-($C$10+$C$9)*B348))/($C$10+$C$9))</f>
        <v>438431.42666852992</v>
      </c>
      <c r="E348">
        <f t="shared" si="5"/>
        <v>1</v>
      </c>
    </row>
    <row r="349" spans="2:5" x14ac:dyDescent="0.25">
      <c r="B349" s="4">
        <f>(349-20)/100</f>
        <v>3.29</v>
      </c>
      <c r="C349" s="33">
        <f>IF($C$10+$C$7=0,Dashboard!$C$27*$C$6*B349,Dashboard!$C$27*$C$6*(1-EXP(-($C$10+$C$7)*B349))/($C$10+$C$7))</f>
        <v>180771.65366654101</v>
      </c>
      <c r="D349" s="33">
        <f>IF($C$10+$C$9=0,Dashboard!$C$27*$C$8*B349,Dashboard!$C$27*$C$8*(1-EXP(-($C$10+$C$9)*B349))/($C$10+$C$9))</f>
        <v>439076.4101349453</v>
      </c>
      <c r="E349">
        <f t="shared" si="5"/>
        <v>1</v>
      </c>
    </row>
    <row r="350" spans="2:5" x14ac:dyDescent="0.25">
      <c r="B350" s="4">
        <f>(350-20)/100</f>
        <v>3.3</v>
      </c>
      <c r="C350" s="33">
        <f>IF($C$10+$C$7=0,Dashboard!$C$27*$C$6*B350,Dashboard!$C$27*$C$6*(1-EXP(-($C$10+$C$7)*B350))/($C$10+$C$7))</f>
        <v>180775.40936667132</v>
      </c>
      <c r="D350" s="33">
        <f>IF($C$10+$C$9=0,Dashboard!$C$27*$C$8*B350,Dashboard!$C$27*$C$8*(1-EXP(-($C$10+$C$9)*B350))/($C$10+$C$9))</f>
        <v>439718.8188204898</v>
      </c>
      <c r="E350">
        <f t="shared" si="5"/>
        <v>1</v>
      </c>
    </row>
    <row r="351" spans="2:5" x14ac:dyDescent="0.25">
      <c r="B351" s="4">
        <f>(351-20)/100</f>
        <v>3.31</v>
      </c>
      <c r="C351" s="33">
        <f>IF($C$10+$C$7=0,Dashboard!$C$27*$C$6*B351,Dashboard!$C$27*$C$6*(1-EXP(-($C$10+$C$7)*B351))/($C$10+$C$7))</f>
        <v>180779.08701946412</v>
      </c>
      <c r="D351" s="33">
        <f>IF($C$10+$C$9=0,Dashboard!$C$27*$C$8*B351,Dashboard!$C$27*$C$8*(1-EXP(-($C$10+$C$9)*B351))/($C$10+$C$9))</f>
        <v>440358.66300371604</v>
      </c>
      <c r="E351">
        <f t="shared" si="5"/>
        <v>1</v>
      </c>
    </row>
    <row r="352" spans="2:5" x14ac:dyDescent="0.25">
      <c r="B352" s="4">
        <f>(352-20)/100</f>
        <v>3.32</v>
      </c>
      <c r="C352" s="33">
        <f>IF($C$10+$C$7=0,Dashboard!$C$27*$C$6*B352,Dashboard!$C$27*$C$6*(1-EXP(-($C$10+$C$7)*B352))/($C$10+$C$7))</f>
        <v>180782.68824682399</v>
      </c>
      <c r="D352" s="33">
        <f>IF($C$10+$C$9=0,Dashboard!$C$27*$C$8*B352,Dashboard!$C$27*$C$8*(1-EXP(-($C$10+$C$9)*B352))/($C$10+$C$9))</f>
        <v>440995.95292214467</v>
      </c>
      <c r="E352">
        <f t="shared" si="5"/>
        <v>1</v>
      </c>
    </row>
    <row r="353" spans="2:5" x14ac:dyDescent="0.25">
      <c r="B353" s="4">
        <f>(353-20)/100</f>
        <v>3.33</v>
      </c>
      <c r="C353" s="33">
        <f>IF($C$10+$C$7=0,Dashboard!$C$27*$C$6*B353,Dashboard!$C$27*$C$6*(1-EXP(-($C$10+$C$7)*B353))/($C$10+$C$7))</f>
        <v>180786.21463695046</v>
      </c>
      <c r="D353" s="33">
        <f>IF($C$10+$C$9=0,Dashboard!$C$27*$C$8*B353,Dashboard!$C$27*$C$8*(1-EXP(-($C$10+$C$9)*B353))/($C$10+$C$9))</f>
        <v>441630.69877242792</v>
      </c>
      <c r="E353">
        <f t="shared" si="5"/>
        <v>1</v>
      </c>
    </row>
    <row r="354" spans="2:5" x14ac:dyDescent="0.25">
      <c r="B354" s="4">
        <f>(354-20)/100</f>
        <v>3.34</v>
      </c>
      <c r="C354" s="33">
        <f>IF($C$10+$C$7=0,Dashboard!$C$27*$C$6*B354,Dashboard!$C$27*$C$6*(1-EXP(-($C$10+$C$7)*B354))/($C$10+$C$7))</f>
        <v>180789.66774503881</v>
      </c>
      <c r="D354" s="33">
        <f>IF($C$10+$C$9=0,Dashboard!$C$27*$C$8*B354,Dashboard!$C$27*$C$8*(1-EXP(-($C$10+$C$9)*B354))/($C$10+$C$9))</f>
        <v>442262.91071051301</v>
      </c>
      <c r="E354">
        <f t="shared" si="5"/>
        <v>1</v>
      </c>
    </row>
    <row r="355" spans="2:5" x14ac:dyDescent="0.25">
      <c r="B355" s="4">
        <f>(355-20)/100</f>
        <v>3.35</v>
      </c>
      <c r="C355" s="33">
        <f>IF($C$10+$C$7=0,Dashboard!$C$27*$C$6*B355,Dashboard!$C$27*$C$6*(1-EXP(-($C$10+$C$7)*B355))/($C$10+$C$7))</f>
        <v>180793.04909396559</v>
      </c>
      <c r="D355" s="33">
        <f>IF($C$10+$C$9=0,Dashboard!$C$27*$C$8*B355,Dashboard!$C$27*$C$8*(1-EXP(-($C$10+$C$9)*B355))/($C$10+$C$9))</f>
        <v>442892.59885180439</v>
      </c>
      <c r="E355">
        <f t="shared" si="5"/>
        <v>1</v>
      </c>
    </row>
    <row r="356" spans="2:5" x14ac:dyDescent="0.25">
      <c r="B356" s="4">
        <f>(356-20)/100</f>
        <v>3.36</v>
      </c>
      <c r="C356" s="33">
        <f>IF($C$10+$C$7=0,Dashboard!$C$27*$C$6*B356,Dashboard!$C$27*$C$6*(1-EXP(-($C$10+$C$7)*B356))/($C$10+$C$7))</f>
        <v>180796.36017496051</v>
      </c>
      <c r="D356" s="33">
        <f>IF($C$10+$C$9=0,Dashboard!$C$27*$C$8*B356,Dashboard!$C$27*$C$8*(1-EXP(-($C$10+$C$9)*B356))/($C$10+$C$9))</f>
        <v>443519.7732713258</v>
      </c>
      <c r="E356">
        <f t="shared" si="5"/>
        <v>1</v>
      </c>
    </row>
    <row r="357" spans="2:5" x14ac:dyDescent="0.25">
      <c r="B357" s="4">
        <f>(357-20)/100</f>
        <v>3.37</v>
      </c>
      <c r="C357" s="33">
        <f>IF($C$10+$C$7=0,Dashboard!$C$27*$C$6*B357,Dashboard!$C$27*$C$6*(1-EXP(-($C$10+$C$7)*B357))/($C$10+$C$7))</f>
        <v>180799.60244826402</v>
      </c>
      <c r="D357" s="33">
        <f>IF($C$10+$C$9=0,Dashboard!$C$27*$C$8*B357,Dashboard!$C$27*$C$8*(1-EXP(-($C$10+$C$9)*B357))/($C$10+$C$9))</f>
        <v>444144.44400388136</v>
      </c>
      <c r="E357">
        <f t="shared" si="5"/>
        <v>1</v>
      </c>
    </row>
    <row r="358" spans="2:5" x14ac:dyDescent="0.25">
      <c r="B358" s="4">
        <f>(358-20)/100</f>
        <v>3.38</v>
      </c>
      <c r="C358" s="33">
        <f>IF($C$10+$C$7=0,Dashboard!$C$27*$C$6*B358,Dashboard!$C$27*$C$6*(1-EXP(-($C$10+$C$7)*B358))/($C$10+$C$7))</f>
        <v>180802.77734377107</v>
      </c>
      <c r="D358" s="33">
        <f>IF($C$10+$C$9=0,Dashboard!$C$27*$C$8*B358,Dashboard!$C$27*$C$8*(1-EXP(-($C$10+$C$9)*B358))/($C$10+$C$9))</f>
        <v>444766.62104421598</v>
      </c>
      <c r="E358">
        <f t="shared" si="5"/>
        <v>1</v>
      </c>
    </row>
    <row r="359" spans="2:5" x14ac:dyDescent="0.25">
      <c r="B359" s="4">
        <f>(359-20)/100</f>
        <v>3.39</v>
      </c>
      <c r="C359" s="33">
        <f>IF($C$10+$C$7=0,Dashboard!$C$27*$C$6*B359,Dashboard!$C$27*$C$6*(1-EXP(-($C$10+$C$7)*B359))/($C$10+$C$7))</f>
        <v>180805.88626166215</v>
      </c>
      <c r="D359" s="33">
        <f>IF($C$10+$C$9=0,Dashboard!$C$27*$C$8*B359,Dashboard!$C$27*$C$8*(1-EXP(-($C$10+$C$9)*B359))/($C$10+$C$9))</f>
        <v>445386.31434717565</v>
      </c>
      <c r="E359">
        <f t="shared" si="5"/>
        <v>1</v>
      </c>
    </row>
    <row r="360" spans="2:5" x14ac:dyDescent="0.25">
      <c r="B360" s="4">
        <f>(360-20)/100</f>
        <v>3.4</v>
      </c>
      <c r="C360" s="33">
        <f>IF($C$10+$C$7=0,Dashboard!$C$27*$C$6*B360,Dashboard!$C$27*$C$6*(1-EXP(-($C$10+$C$7)*B360))/($C$10+$C$7))</f>
        <v>180808.93057302036</v>
      </c>
      <c r="D360" s="33">
        <f>IF($C$10+$C$9=0,Dashboard!$C$27*$C$8*B360,Dashboard!$C$27*$C$8*(1-EXP(-($C$10+$C$9)*B360))/($C$10+$C$9))</f>
        <v>446003.53382786649</v>
      </c>
      <c r="E360">
        <f t="shared" si="5"/>
        <v>1</v>
      </c>
    </row>
    <row r="361" spans="2:5" x14ac:dyDescent="0.25">
      <c r="B361" s="4">
        <f>(361-20)/100</f>
        <v>3.41</v>
      </c>
      <c r="C361" s="33">
        <f>IF($C$10+$C$7=0,Dashboard!$C$27*$C$6*B361,Dashboard!$C$27*$C$6*(1-EXP(-($C$10+$C$7)*B361))/($C$10+$C$7))</f>
        <v>180811.91162043635</v>
      </c>
      <c r="D361" s="33">
        <f>IF($C$10+$C$9=0,Dashboard!$C$27*$C$8*B361,Dashboard!$C$27*$C$8*(1-EXP(-($C$10+$C$9)*B361))/($C$10+$C$9))</f>
        <v>446618.28936181328</v>
      </c>
      <c r="E361">
        <f t="shared" si="5"/>
        <v>1</v>
      </c>
    </row>
    <row r="362" spans="2:5" x14ac:dyDescent="0.25">
      <c r="B362" s="4">
        <f>(362-20)/100</f>
        <v>3.42</v>
      </c>
      <c r="C362" s="33">
        <f>IF($C$10+$C$7=0,Dashboard!$C$27*$C$6*B362,Dashboard!$C$27*$C$6*(1-EXP(-($C$10+$C$7)*B362))/($C$10+$C$7))</f>
        <v>180814.83071860042</v>
      </c>
      <c r="D362" s="33">
        <f>IF($C$10+$C$9=0,Dashboard!$C$27*$C$8*B362,Dashboard!$C$27*$C$8*(1-EXP(-($C$10+$C$9)*B362))/($C$10+$C$9))</f>
        <v>447230.5907851177</v>
      </c>
      <c r="E362">
        <f t="shared" si="5"/>
        <v>1</v>
      </c>
    </row>
    <row r="363" spans="2:5" x14ac:dyDescent="0.25">
      <c r="B363" s="4">
        <f>(363-20)/100</f>
        <v>3.43</v>
      </c>
      <c r="C363" s="33">
        <f>IF($C$10+$C$7=0,Dashboard!$C$27*$C$6*B363,Dashboard!$C$27*$C$6*(1-EXP(-($C$10+$C$7)*B363))/($C$10+$C$7))</f>
        <v>180817.6891548821</v>
      </c>
      <c r="D363" s="33">
        <f>IF($C$10+$C$9=0,Dashboard!$C$27*$C$8*B363,Dashboard!$C$27*$C$8*(1-EXP(-($C$10+$C$9)*B363))/($C$10+$C$9))</f>
        <v>447840.4478946157</v>
      </c>
      <c r="E363">
        <f t="shared" si="5"/>
        <v>1</v>
      </c>
    </row>
    <row r="364" spans="2:5" x14ac:dyDescent="0.25">
      <c r="B364" s="4">
        <f>(364-20)/100</f>
        <v>3.44</v>
      </c>
      <c r="C364" s="33">
        <f>IF($C$10+$C$7=0,Dashboard!$C$27*$C$6*B364,Dashboard!$C$27*$C$6*(1-EXP(-($C$10+$C$7)*B364))/($C$10+$C$7))</f>
        <v>180820.48818989811</v>
      </c>
      <c r="D364" s="33">
        <f>IF($C$10+$C$9=0,Dashboard!$C$27*$C$8*B364,Dashboard!$C$27*$C$8*(1-EXP(-($C$10+$C$9)*B364))/($C$10+$C$9))</f>
        <v>448447.87044803385</v>
      </c>
      <c r="E364">
        <f t="shared" si="5"/>
        <v>1</v>
      </c>
    </row>
    <row r="365" spans="2:5" x14ac:dyDescent="0.25">
      <c r="B365" s="4">
        <f>(365-20)/100</f>
        <v>3.45</v>
      </c>
      <c r="C365" s="33">
        <f>IF($C$10+$C$7=0,Dashboard!$C$27*$C$6*B365,Dashboard!$C$27*$C$6*(1-EXP(-($C$10+$C$7)*B365))/($C$10+$C$7))</f>
        <v>180823.2290580683</v>
      </c>
      <c r="D365" s="33">
        <f>IF($C$10+$C$9=0,Dashboard!$C$27*$C$8*B365,Dashboard!$C$27*$C$8*(1-EXP(-($C$10+$C$9)*B365))/($C$10+$C$9))</f>
        <v>449052.86816414603</v>
      </c>
      <c r="E365">
        <f t="shared" si="5"/>
        <v>1</v>
      </c>
    </row>
    <row r="366" spans="2:5" x14ac:dyDescent="0.25">
      <c r="B366" s="4">
        <f>(366-20)/100</f>
        <v>3.46</v>
      </c>
      <c r="C366" s="33">
        <f>IF($C$10+$C$7=0,Dashboard!$C$27*$C$6*B366,Dashboard!$C$27*$C$6*(1-EXP(-($C$10+$C$7)*B366))/($C$10+$C$7))</f>
        <v>180825.91296815992</v>
      </c>
      <c r="D366" s="33">
        <f>IF($C$10+$C$9=0,Dashboard!$C$27*$C$8*B366,Dashboard!$C$27*$C$8*(1-EXP(-($C$10+$C$9)*B366))/($C$10+$C$9))</f>
        <v>449655.45072292868</v>
      </c>
      <c r="E366">
        <f t="shared" si="5"/>
        <v>1</v>
      </c>
    </row>
    <row r="367" spans="2:5" x14ac:dyDescent="0.25">
      <c r="B367" s="4">
        <f>(367-20)/100</f>
        <v>3.47</v>
      </c>
      <c r="C367" s="33">
        <f>IF($C$10+$C$7=0,Dashboard!$C$27*$C$6*B367,Dashboard!$C$27*$C$6*(1-EXP(-($C$10+$C$7)*B367))/($C$10+$C$7))</f>
        <v>180828.54110382087</v>
      </c>
      <c r="D367" s="33">
        <f>IF($C$10+$C$9=0,Dashboard!$C$27*$C$8*B367,Dashboard!$C$27*$C$8*(1-EXP(-($C$10+$C$9)*B367))/($C$10+$C$9))</f>
        <v>450255.62776571559</v>
      </c>
      <c r="E367">
        <f t="shared" si="5"/>
        <v>1</v>
      </c>
    </row>
    <row r="368" spans="2:5" x14ac:dyDescent="0.25">
      <c r="B368" s="4">
        <f>(368-20)/100</f>
        <v>3.48</v>
      </c>
      <c r="C368" s="33">
        <f>IF($C$10+$C$7=0,Dashboard!$C$27*$C$6*B368,Dashboard!$C$27*$C$6*(1-EXP(-($C$10+$C$7)*B368))/($C$10+$C$7))</f>
        <v>180831.11462410149</v>
      </c>
      <c r="D368" s="33">
        <f>IF($C$10+$C$9=0,Dashboard!$C$27*$C$8*B368,Dashboard!$C$27*$C$8*(1-EXP(-($C$10+$C$9)*B368))/($C$10+$C$9))</f>
        <v>450853.40889535222</v>
      </c>
      <c r="E368">
        <f t="shared" si="5"/>
        <v>1</v>
      </c>
    </row>
    <row r="369" spans="2:5" x14ac:dyDescent="0.25">
      <c r="B369" s="4">
        <f>(369-20)/100</f>
        <v>3.49</v>
      </c>
      <c r="C369" s="33">
        <f>IF($C$10+$C$7=0,Dashboard!$C$27*$C$6*B369,Dashboard!$C$27*$C$6*(1-EXP(-($C$10+$C$7)*B369))/($C$10+$C$7))</f>
        <v>180833.63466396599</v>
      </c>
      <c r="D369" s="33">
        <f>IF($C$10+$C$9=0,Dashboard!$C$27*$C$8*B369,Dashboard!$C$27*$C$8*(1-EXP(-($C$10+$C$9)*B369))/($C$10+$C$9))</f>
        <v>451448.80367634923</v>
      </c>
      <c r="E369">
        <f t="shared" si="5"/>
        <v>1</v>
      </c>
    </row>
    <row r="370" spans="2:5" x14ac:dyDescent="0.25">
      <c r="B370" s="4">
        <f>(370-20)/100</f>
        <v>3.5</v>
      </c>
      <c r="C370" s="33">
        <f>IF($C$10+$C$7=0,Dashboard!$C$27*$C$6*B370,Dashboard!$C$27*$C$6*(1-EXP(-($C$10+$C$7)*B370))/($C$10+$C$7))</f>
        <v>180836.10233479278</v>
      </c>
      <c r="D370" s="33">
        <f>IF($C$10+$C$9=0,Dashboard!$C$27*$C$8*B370,Dashboard!$C$27*$C$8*(1-EXP(-($C$10+$C$9)*B370))/($C$10+$C$9))</f>
        <v>452041.82163503609</v>
      </c>
      <c r="E370">
        <f t="shared" si="5"/>
        <v>1</v>
      </c>
    </row>
    <row r="371" spans="2:5" x14ac:dyDescent="0.25">
      <c r="B371" s="4">
        <f>(371-20)/100</f>
        <v>3.51</v>
      </c>
      <c r="C371" s="33">
        <f>IF($C$10+$C$7=0,Dashboard!$C$27*$C$6*B371,Dashboard!$C$27*$C$6*(1-EXP(-($C$10+$C$7)*B371))/($C$10+$C$7))</f>
        <v>180838.51872486473</v>
      </c>
      <c r="D371" s="33">
        <f>IF($C$10+$C$9=0,Dashboard!$C$27*$C$8*B371,Dashboard!$C$27*$C$8*(1-EXP(-($C$10+$C$9)*B371))/($C$10+$C$9))</f>
        <v>452632.47225971264</v>
      </c>
      <c r="E371">
        <f t="shared" si="5"/>
        <v>1</v>
      </c>
    </row>
    <row r="372" spans="2:5" x14ac:dyDescent="0.25">
      <c r="B372" s="4">
        <f>(372-20)/100</f>
        <v>3.52</v>
      </c>
      <c r="C372" s="33">
        <f>IF($C$10+$C$7=0,Dashboard!$C$27*$C$6*B372,Dashboard!$C$27*$C$6*(1-EXP(-($C$10+$C$7)*B372))/($C$10+$C$7))</f>
        <v>180840.88489984893</v>
      </c>
      <c r="D372" s="33">
        <f>IF($C$10+$C$9=0,Dashboard!$C$27*$C$8*B372,Dashboard!$C$27*$C$8*(1-EXP(-($C$10+$C$9)*B372))/($C$10+$C$9))</f>
        <v>453220.76500080153</v>
      </c>
      <c r="E372">
        <f t="shared" si="5"/>
        <v>1</v>
      </c>
    </row>
    <row r="373" spans="2:5" x14ac:dyDescent="0.25">
      <c r="B373" s="4">
        <f>(373-20)/100</f>
        <v>3.53</v>
      </c>
      <c r="C373" s="33">
        <f>IF($C$10+$C$7=0,Dashboard!$C$27*$C$6*B373,Dashboard!$C$27*$C$6*(1-EXP(-($C$10+$C$7)*B373))/($C$10+$C$7))</f>
        <v>180843.20190326695</v>
      </c>
      <c r="D373" s="33">
        <f>IF($C$10+$C$9=0,Dashboard!$C$27*$C$8*B373,Dashboard!$C$27*$C$8*(1-EXP(-($C$10+$C$9)*B373))/($C$10+$C$9))</f>
        <v>453806.70927099901</v>
      </c>
      <c r="E373">
        <f t="shared" si="5"/>
        <v>1</v>
      </c>
    </row>
    <row r="374" spans="2:5" x14ac:dyDescent="0.25">
      <c r="B374" s="4">
        <f>(374-20)/100</f>
        <v>3.54</v>
      </c>
      <c r="C374" s="33">
        <f>IF($C$10+$C$7=0,Dashboard!$C$27*$C$6*B374,Dashboard!$C$27*$C$6*(1-EXP(-($C$10+$C$7)*B374))/($C$10+$C$7))</f>
        <v>180845.47075695486</v>
      </c>
      <c r="D374" s="33">
        <f>IF($C$10+$C$9=0,Dashboard!$C$27*$C$8*B374,Dashboard!$C$27*$C$8*(1-EXP(-($C$10+$C$9)*B374))/($C$10+$C$9))</f>
        <v>454390.31444542616</v>
      </c>
      <c r="E374">
        <f t="shared" si="5"/>
        <v>1</v>
      </c>
    </row>
    <row r="375" spans="2:5" x14ac:dyDescent="0.25">
      <c r="B375" s="4">
        <f>(375-20)/100</f>
        <v>3.55</v>
      </c>
      <c r="C375" s="33">
        <f>IF($C$10+$C$7=0,Dashboard!$C$27*$C$6*B375,Dashboard!$C$27*$C$6*(1-EXP(-($C$10+$C$7)*B375))/($C$10+$C$7))</f>
        <v>180847.69246151391</v>
      </c>
      <c r="D375" s="33">
        <f>IF($C$10+$C$9=0,Dashboard!$C$27*$C$8*B375,Dashboard!$C$27*$C$8*(1-EXP(-($C$10+$C$9)*B375))/($C$10+$C$9))</f>
        <v>454971.58986177808</v>
      </c>
      <c r="E375">
        <f t="shared" si="5"/>
        <v>1</v>
      </c>
    </row>
    <row r="376" spans="2:5" x14ac:dyDescent="0.25">
      <c r="B376" s="4">
        <f>(376-20)/100</f>
        <v>3.56</v>
      </c>
      <c r="C376" s="33">
        <f>IF($C$10+$C$7=0,Dashboard!$C$27*$C$6*B376,Dashboard!$C$27*$C$6*(1-EXP(-($C$10+$C$7)*B376))/($C$10+$C$7))</f>
        <v>180849.86799675177</v>
      </c>
      <c r="D376" s="33">
        <f>IF($C$10+$C$9=0,Dashboard!$C$27*$C$8*B376,Dashboard!$C$27*$C$8*(1-EXP(-($C$10+$C$9)*B376))/($C$10+$C$9))</f>
        <v>455550.54482047394</v>
      </c>
      <c r="E376">
        <f t="shared" si="5"/>
        <v>1</v>
      </c>
    </row>
    <row r="377" spans="2:5" x14ac:dyDescent="0.25">
      <c r="B377" s="4">
        <f>(377-20)/100</f>
        <v>3.57</v>
      </c>
      <c r="C377" s="33">
        <f>IF($C$10+$C$7=0,Dashboard!$C$27*$C$6*B377,Dashboard!$C$27*$C$6*(1-EXP(-($C$10+$C$7)*B377))/($C$10+$C$7))</f>
        <v>180851.99832211481</v>
      </c>
      <c r="D377" s="33">
        <f>IF($C$10+$C$9=0,Dashboard!$C$27*$C$8*B377,Dashboard!$C$27*$C$8*(1-EXP(-($C$10+$C$9)*B377))/($C$10+$C$9))</f>
        <v>456127.18858480512</v>
      </c>
      <c r="E377">
        <f t="shared" si="5"/>
        <v>1</v>
      </c>
    </row>
    <row r="378" spans="2:5" x14ac:dyDescent="0.25">
      <c r="B378" s="4">
        <f>(378-20)/100</f>
        <v>3.58</v>
      </c>
      <c r="C378" s="33">
        <f>IF($C$10+$C$7=0,Dashboard!$C$27*$C$6*B378,Dashboard!$C$27*$C$6*(1-EXP(-($C$10+$C$7)*B378))/($C$10+$C$7))</f>
        <v>180854.08437711096</v>
      </c>
      <c r="D378" s="33">
        <f>IF($C$10+$C$9=0,Dashboard!$C$27*$C$8*B378,Dashboard!$C$27*$C$8*(1-EXP(-($C$10+$C$9)*B378))/($C$10+$C$9))</f>
        <v>456701.53038108459</v>
      </c>
      <c r="E378">
        <f t="shared" si="5"/>
        <v>1</v>
      </c>
    </row>
    <row r="379" spans="2:5" x14ac:dyDescent="0.25">
      <c r="B379" s="4">
        <f>(379-20)/100</f>
        <v>3.59</v>
      </c>
      <c r="C379" s="33">
        <f>IF($C$10+$C$7=0,Dashboard!$C$27*$C$6*B379,Dashboard!$C$27*$C$6*(1-EXP(-($C$10+$C$7)*B379))/($C$10+$C$7))</f>
        <v>180856.12708172435</v>
      </c>
      <c r="D379" s="33">
        <f>IF($C$10+$C$9=0,Dashboard!$C$27*$C$8*B379,Dashboard!$C$27*$C$8*(1-EXP(-($C$10+$C$9)*B379))/($C$10+$C$9))</f>
        <v>457273.57939879294</v>
      </c>
      <c r="E379">
        <f t="shared" si="5"/>
        <v>1</v>
      </c>
    </row>
    <row r="380" spans="2:5" x14ac:dyDescent="0.25">
      <c r="B380" s="4">
        <f>(380-20)/100</f>
        <v>3.6</v>
      </c>
      <c r="C380" s="33">
        <f>IF($C$10+$C$7=0,Dashboard!$C$27*$C$6*B380,Dashboard!$C$27*$C$6*(1-EXP(-($C$10+$C$7)*B380))/($C$10+$C$7))</f>
        <v>180858.12733682079</v>
      </c>
      <c r="D380" s="33">
        <f>IF($C$10+$C$9=0,Dashboard!$C$27*$C$8*B380,Dashboard!$C$27*$C$8*(1-EXP(-($C$10+$C$9)*B380))/($C$10+$C$9))</f>
        <v>457843.34479072696</v>
      </c>
      <c r="E380">
        <f t="shared" si="5"/>
        <v>1</v>
      </c>
    </row>
    <row r="381" spans="2:5" x14ac:dyDescent="0.25">
      <c r="B381" s="4">
        <f>(381-20)/100</f>
        <v>3.61</v>
      </c>
      <c r="C381" s="33">
        <f>IF($C$10+$C$7=0,Dashboard!$C$27*$C$6*B381,Dashboard!$C$27*$C$6*(1-EXP(-($C$10+$C$7)*B381))/($C$10+$C$7))</f>
        <v>180860.08602454519</v>
      </c>
      <c r="D381" s="33">
        <f>IF($C$10+$C$9=0,Dashboard!$C$27*$C$8*B381,Dashboard!$C$27*$C$8*(1-EXP(-($C$10+$C$9)*B381))/($C$10+$C$9))</f>
        <v>458410.8356731449</v>
      </c>
      <c r="E381">
        <f t="shared" si="5"/>
        <v>1</v>
      </c>
    </row>
    <row r="382" spans="2:5" x14ac:dyDescent="0.25">
      <c r="B382" s="4">
        <f>(382-20)/100</f>
        <v>3.62</v>
      </c>
      <c r="C382" s="33">
        <f>IF($C$10+$C$7=0,Dashboard!$C$27*$C$6*B382,Dashboard!$C$27*$C$6*(1-EXP(-($C$10+$C$7)*B382))/($C$10+$C$7))</f>
        <v>180862.00400871062</v>
      </c>
      <c r="D382" s="33">
        <f>IF($C$10+$C$9=0,Dashboard!$C$27*$C$8*B382,Dashboard!$C$27*$C$8*(1-EXP(-($C$10+$C$9)*B382))/($C$10+$C$9))</f>
        <v>458976.06112591299</v>
      </c>
      <c r="E382">
        <f t="shared" si="5"/>
        <v>1</v>
      </c>
    </row>
    <row r="383" spans="2:5" x14ac:dyDescent="0.25">
      <c r="B383" s="4">
        <f>(383-20)/100</f>
        <v>3.63</v>
      </c>
      <c r="C383" s="33">
        <f>IF($C$10+$C$7=0,Dashboard!$C$27*$C$6*B383,Dashboard!$C$27*$C$6*(1-EXP(-($C$10+$C$7)*B383))/($C$10+$C$7))</f>
        <v>180863.88213517913</v>
      </c>
      <c r="D383" s="33">
        <f>IF($C$10+$C$9=0,Dashboard!$C$27*$C$8*B383,Dashboard!$C$27*$C$8*(1-EXP(-($C$10+$C$9)*B383))/($C$10+$C$9))</f>
        <v>459539.03019265068</v>
      </c>
      <c r="E383">
        <f t="shared" si="5"/>
        <v>1</v>
      </c>
    </row>
    <row r="384" spans="2:5" x14ac:dyDescent="0.25">
      <c r="B384" s="4">
        <f>(384-20)/100</f>
        <v>3.64</v>
      </c>
      <c r="C384" s="33">
        <f>IF($C$10+$C$7=0,Dashboard!$C$27*$C$6*B384,Dashboard!$C$27*$C$6*(1-EXP(-($C$10+$C$7)*B384))/($C$10+$C$7))</f>
        <v>180865.721232235</v>
      </c>
      <c r="D384" s="33">
        <f>IF($C$10+$C$9=0,Dashboard!$C$27*$C$8*B384,Dashboard!$C$27*$C$8*(1-EXP(-($C$10+$C$9)*B384))/($C$10+$C$9))</f>
        <v>460099.75188087497</v>
      </c>
      <c r="E384">
        <f t="shared" si="5"/>
        <v>1</v>
      </c>
    </row>
    <row r="385" spans="2:5" x14ac:dyDescent="0.25">
      <c r="B385" s="4">
        <f>(385-20)/100</f>
        <v>3.65</v>
      </c>
      <c r="C385" s="33">
        <f>IF($C$10+$C$7=0,Dashboard!$C$27*$C$6*B385,Dashboard!$C$27*$C$6*(1-EXP(-($C$10+$C$7)*B385))/($C$10+$C$7))</f>
        <v>180867.52211094971</v>
      </c>
      <c r="D385" s="33">
        <f>IF($C$10+$C$9=0,Dashboard!$C$27*$C$8*B385,Dashboard!$C$27*$C$8*(1-EXP(-($C$10+$C$9)*B385))/($C$10+$C$9))</f>
        <v>460658.2351621447</v>
      </c>
      <c r="E385">
        <f t="shared" si="5"/>
        <v>1</v>
      </c>
    </row>
    <row r="386" spans="2:5" x14ac:dyDescent="0.25">
      <c r="B386" s="4">
        <f>(386-20)/100</f>
        <v>3.66</v>
      </c>
      <c r="C386" s="33">
        <f>IF($C$10+$C$7=0,Dashboard!$C$27*$C$6*B386,Dashboard!$C$27*$C$6*(1-EXP(-($C$10+$C$7)*B386))/($C$10+$C$7))</f>
        <v>180869.28556554011</v>
      </c>
      <c r="D386" s="33">
        <f>IF($C$10+$C$9=0,Dashboard!$C$27*$C$8*B386,Dashboard!$C$27*$C$8*(1-EXP(-($C$10+$C$9)*B386))/($C$10+$C$9))</f>
        <v>461214.48897220445</v>
      </c>
      <c r="E386">
        <f t="shared" si="5"/>
        <v>1</v>
      </c>
    </row>
    <row r="387" spans="2:5" x14ac:dyDescent="0.25">
      <c r="B387" s="4">
        <f>(387-20)/100</f>
        <v>3.67</v>
      </c>
      <c r="C387" s="33">
        <f>IF($C$10+$C$7=0,Dashboard!$C$27*$C$6*B387,Dashboard!$C$27*$C$6*(1-EXP(-($C$10+$C$7)*B387))/($C$10+$C$7))</f>
        <v>180871.01237371814</v>
      </c>
      <c r="D387" s="33">
        <f>IF($C$10+$C$9=0,Dashboard!$C$27*$C$8*B387,Dashboard!$C$27*$C$8*(1-EXP(-($C$10+$C$9)*B387))/($C$10+$C$9))</f>
        <v>461768.52221112698</v>
      </c>
      <c r="E387">
        <f t="shared" si="5"/>
        <v>1</v>
      </c>
    </row>
    <row r="388" spans="2:5" x14ac:dyDescent="0.25">
      <c r="B388" s="4">
        <f>(388-20)/100</f>
        <v>3.68</v>
      </c>
      <c r="C388" s="33">
        <f>IF($C$10+$C$7=0,Dashboard!$C$27*$C$6*B388,Dashboard!$C$27*$C$6*(1-EXP(-($C$10+$C$7)*B388))/($C$10+$C$7))</f>
        <v>180872.70329703428</v>
      </c>
      <c r="D388" s="33">
        <f>IF($C$10+$C$9=0,Dashboard!$C$27*$C$8*B388,Dashboard!$C$27*$C$8*(1-EXP(-($C$10+$C$9)*B388))/($C$10+$C$9))</f>
        <v>462320.343743456</v>
      </c>
      <c r="E388">
        <f t="shared" si="5"/>
        <v>1</v>
      </c>
    </row>
    <row r="389" spans="2:5" x14ac:dyDescent="0.25">
      <c r="B389" s="4">
        <f>(389-20)/100</f>
        <v>3.69</v>
      </c>
      <c r="C389" s="33">
        <f>IF($C$10+$C$7=0,Dashboard!$C$27*$C$6*B389,Dashboard!$C$27*$C$6*(1-EXP(-($C$10+$C$7)*B389))/($C$10+$C$7))</f>
        <v>180874.35908121304</v>
      </c>
      <c r="D389" s="33">
        <f>IF($C$10+$C$9=0,Dashboard!$C$27*$C$8*B389,Dashboard!$C$27*$C$8*(1-EXP(-($C$10+$C$9)*B389))/($C$10+$C$9))</f>
        <v>462869.96239834768</v>
      </c>
      <c r="E389">
        <f t="shared" si="5"/>
        <v>1</v>
      </c>
    </row>
    <row r="390" spans="2:5" x14ac:dyDescent="0.25">
      <c r="B390" s="4">
        <f>(390-20)/100</f>
        <v>3.7</v>
      </c>
      <c r="C390" s="33">
        <f>IF($C$10+$C$7=0,Dashboard!$C$27*$C$6*B390,Dashboard!$C$27*$C$6*(1-EXP(-($C$10+$C$7)*B390))/($C$10+$C$7))</f>
        <v>180875.98045648215</v>
      </c>
      <c r="D390" s="33">
        <f>IF($C$10+$C$9=0,Dashboard!$C$27*$C$8*B390,Dashboard!$C$27*$C$8*(1-EXP(-($C$10+$C$9)*B390))/($C$10+$C$9))</f>
        <v>463417.38696971239</v>
      </c>
      <c r="E390">
        <f t="shared" si="5"/>
        <v>1</v>
      </c>
    </row>
    <row r="391" spans="2:5" x14ac:dyDescent="0.25">
      <c r="B391" s="4">
        <f>(391-20)/100</f>
        <v>3.71</v>
      </c>
      <c r="C391" s="33">
        <f>IF($C$10+$C$7=0,Dashboard!$C$27*$C$6*B391,Dashboard!$C$27*$C$6*(1-EXP(-($C$10+$C$7)*B391))/($C$10+$C$7))</f>
        <v>180877.56813789436</v>
      </c>
      <c r="D391" s="33">
        <f>IF($C$10+$C$9=0,Dashboard!$C$27*$C$8*B391,Dashboard!$C$27*$C$8*(1-EXP(-($C$10+$C$9)*B391))/($C$10+$C$9))</f>
        <v>463962.62621635466</v>
      </c>
      <c r="E391">
        <f t="shared" si="5"/>
        <v>1</v>
      </c>
    </row>
    <row r="392" spans="2:5" x14ac:dyDescent="0.25">
      <c r="B392" s="4">
        <f>(392-20)/100</f>
        <v>3.72</v>
      </c>
      <c r="C392" s="33">
        <f>IF($C$10+$C$7=0,Dashboard!$C$27*$C$6*B392,Dashboard!$C$27*$C$6*(1-EXP(-($C$10+$C$7)*B392))/($C$10+$C$7))</f>
        <v>180879.12282564284</v>
      </c>
      <c r="D392" s="33">
        <f>IF($C$10+$C$9=0,Dashboard!$C$27*$C$8*B392,Dashboard!$C$27*$C$8*(1-EXP(-($C$10+$C$9)*B392))/($C$10+$C$9))</f>
        <v>464505.6888621145</v>
      </c>
      <c r="E392">
        <f t="shared" si="5"/>
        <v>1</v>
      </c>
    </row>
    <row r="393" spans="2:5" x14ac:dyDescent="0.25">
      <c r="B393" s="4">
        <f>(393-20)/100</f>
        <v>3.73</v>
      </c>
      <c r="C393" s="33">
        <f>IF($C$10+$C$7=0,Dashboard!$C$27*$C$6*B393,Dashboard!$C$27*$C$6*(1-EXP(-($C$10+$C$7)*B393))/($C$10+$C$7))</f>
        <v>180880.64520537015</v>
      </c>
      <c r="D393" s="33">
        <f>IF($C$10+$C$9=0,Dashboard!$C$27*$C$8*B393,Dashboard!$C$27*$C$8*(1-EXP(-($C$10+$C$9)*B393))/($C$10+$C$9))</f>
        <v>465046.5835960054</v>
      </c>
      <c r="E393">
        <f t="shared" si="5"/>
        <v>1</v>
      </c>
    </row>
    <row r="394" spans="2:5" x14ac:dyDescent="0.25">
      <c r="B394" s="4">
        <f>(394-20)/100</f>
        <v>3.74</v>
      </c>
      <c r="C394" s="33">
        <f>IF($C$10+$C$7=0,Dashboard!$C$27*$C$6*B394,Dashboard!$C$27*$C$6*(1-EXP(-($C$10+$C$7)*B394))/($C$10+$C$7))</f>
        <v>180882.13594847042</v>
      </c>
      <c r="D394" s="33">
        <f>IF($C$10+$C$9=0,Dashboard!$C$27*$C$8*B394,Dashboard!$C$27*$C$8*(1-EXP(-($C$10+$C$9)*B394))/($C$10+$C$9))</f>
        <v>465585.31907235493</v>
      </c>
      <c r="E394">
        <f t="shared" si="5"/>
        <v>1</v>
      </c>
    </row>
    <row r="395" spans="2:5" x14ac:dyDescent="0.25">
      <c r="B395" s="4">
        <f>(395-20)/100</f>
        <v>3.75</v>
      </c>
      <c r="C395" s="33">
        <f>IF($C$10+$C$7=0,Dashboard!$C$27*$C$6*B395,Dashboard!$C$27*$C$6*(1-EXP(-($C$10+$C$7)*B395))/($C$10+$C$7))</f>
        <v>180883.59571238552</v>
      </c>
      <c r="D395" s="33">
        <f>IF($C$10+$C$9=0,Dashboard!$C$27*$C$8*B395,Dashboard!$C$27*$C$8*(1-EXP(-($C$10+$C$9)*B395))/($C$10+$C$9))</f>
        <v>466121.90391094208</v>
      </c>
      <c r="E395">
        <f t="shared" si="5"/>
        <v>1</v>
      </c>
    </row>
    <row r="396" spans="2:5" x14ac:dyDescent="0.25">
      <c r="B396" s="4">
        <f>(396-20)/100</f>
        <v>3.76</v>
      </c>
      <c r="C396" s="33">
        <f>IF($C$10+$C$7=0,Dashboard!$C$27*$C$6*B396,Dashboard!$C$27*$C$6*(1-EXP(-($C$10+$C$7)*B396))/($C$10+$C$7))</f>
        <v>180885.02514089496</v>
      </c>
      <c r="D396" s="33">
        <f>IF($C$10+$C$9=0,Dashboard!$C$27*$C$8*B396,Dashboard!$C$27*$C$8*(1-EXP(-($C$10+$C$9)*B396))/($C$10+$C$9))</f>
        <v>466656.34669713571</v>
      </c>
      <c r="E396">
        <f t="shared" si="5"/>
        <v>1</v>
      </c>
    </row>
    <row r="397" spans="2:5" x14ac:dyDescent="0.25">
      <c r="B397" s="4">
        <f>(397-20)/100</f>
        <v>3.77</v>
      </c>
      <c r="C397" s="33">
        <f>IF($C$10+$C$7=0,Dashboard!$C$27*$C$6*B397,Dashboard!$C$27*$C$6*(1-EXP(-($C$10+$C$7)*B397))/($C$10+$C$7))</f>
        <v>180886.42486439992</v>
      </c>
      <c r="D397" s="33">
        <f>IF($C$10+$C$9=0,Dashboard!$C$27*$C$8*B397,Dashboard!$C$27*$C$8*(1-EXP(-($C$10+$C$9)*B397))/($C$10+$C$9))</f>
        <v>467188.65598203189</v>
      </c>
      <c r="E397">
        <f t="shared" si="5"/>
        <v>1</v>
      </c>
    </row>
    <row r="398" spans="2:5" x14ac:dyDescent="0.25">
      <c r="B398" s="4">
        <f>(398-20)/100</f>
        <v>3.78</v>
      </c>
      <c r="C398" s="33">
        <f>IF($C$10+$C$7=0,Dashboard!$C$27*$C$6*B398,Dashboard!$C$27*$C$6*(1-EXP(-($C$10+$C$7)*B398))/($C$10+$C$7))</f>
        <v>180887.79550020111</v>
      </c>
      <c r="D398" s="33">
        <f>IF($C$10+$C$9=0,Dashboard!$C$27*$C$8*B398,Dashboard!$C$27*$C$8*(1-EXP(-($C$10+$C$9)*B398))/($C$10+$C$9))</f>
        <v>467718.84028259042</v>
      </c>
      <c r="E398">
        <f t="shared" si="5"/>
        <v>1</v>
      </c>
    </row>
    <row r="399" spans="2:5" x14ac:dyDescent="0.25">
      <c r="B399" s="4">
        <f>(399-20)/100</f>
        <v>3.79</v>
      </c>
      <c r="C399" s="33">
        <f>IF($C$10+$C$7=0,Dashboard!$C$27*$C$6*B399,Dashboard!$C$27*$C$6*(1-EXP(-($C$10+$C$7)*B399))/($C$10+$C$7))</f>
        <v>180889.13765277114</v>
      </c>
      <c r="D399" s="33">
        <f>IF($C$10+$C$9=0,Dashboard!$C$27*$C$8*B399,Dashboard!$C$27*$C$8*(1-EXP(-($C$10+$C$9)*B399))/($C$10+$C$9))</f>
        <v>468246.90808177151</v>
      </c>
      <c r="E399">
        <f t="shared" si="5"/>
        <v>1</v>
      </c>
    </row>
    <row r="400" spans="2:5" x14ac:dyDescent="0.25">
      <c r="B400" s="4">
        <f>(400-20)/100</f>
        <v>3.8</v>
      </c>
      <c r="C400" s="33">
        <f>IF($C$10+$C$7=0,Dashboard!$C$27*$C$6*B400,Dashboard!$C$27*$C$6*(1-EXP(-($C$10+$C$7)*B400))/($C$10+$C$7))</f>
        <v>180890.45191402108</v>
      </c>
      <c r="D400" s="33">
        <f>IF($C$10+$C$9=0,Dashboard!$C$27*$C$8*B400,Dashboard!$C$27*$C$8*(1-EXP(-($C$10+$C$9)*B400))/($C$10+$C$9))</f>
        <v>468772.86782867112</v>
      </c>
      <c r="E400">
        <f t="shared" si="5"/>
        <v>1</v>
      </c>
    </row>
    <row r="401" spans="2:5" x14ac:dyDescent="0.25">
      <c r="B401" s="4">
        <f>(401-20)/100</f>
        <v>3.81</v>
      </c>
      <c r="C401" s="33">
        <f>IF($C$10+$C$7=0,Dashboard!$C$27*$C$6*B401,Dashboard!$C$27*$C$6*(1-EXP(-($C$10+$C$7)*B401))/($C$10+$C$7))</f>
        <v>180891.73886356139</v>
      </c>
      <c r="D401" s="33">
        <f>IF($C$10+$C$9=0,Dashboard!$C$27*$C$8*B401,Dashboard!$C$27*$C$8*(1-EXP(-($C$10+$C$9)*B401))/($C$10+$C$9))</f>
        <v>469296.72793865652</v>
      </c>
      <c r="E401">
        <f t="shared" si="5"/>
        <v>1</v>
      </c>
    </row>
    <row r="402" spans="2:5" x14ac:dyDescent="0.25">
      <c r="B402" s="4">
        <f>(402-20)/100</f>
        <v>3.82</v>
      </c>
      <c r="C402" s="33">
        <f>IF($C$10+$C$7=0,Dashboard!$C$27*$C$6*B402,Dashboard!$C$27*$C$6*(1-EXP(-($C$10+$C$7)*B402))/($C$10+$C$7))</f>
        <v>180892.99906895775</v>
      </c>
      <c r="D402" s="33">
        <f>IF($C$10+$C$9=0,Dashboard!$C$27*$C$8*B402,Dashboard!$C$27*$C$8*(1-EXP(-($C$10+$C$9)*B402))/($C$10+$C$9))</f>
        <v>469818.49679350056</v>
      </c>
      <c r="E402">
        <f t="shared" si="5"/>
        <v>1</v>
      </c>
    </row>
    <row r="403" spans="2:5" x14ac:dyDescent="0.25">
      <c r="B403" s="4">
        <f>(403-20)/100</f>
        <v>3.83</v>
      </c>
      <c r="C403" s="33">
        <f>IF($C$10+$C$7=0,Dashboard!$C$27*$C$6*B403,Dashboard!$C$27*$C$6*(1-EXP(-($C$10+$C$7)*B403))/($C$10+$C$7))</f>
        <v>180894.23308598113</v>
      </c>
      <c r="D403" s="33">
        <f>IF($C$10+$C$9=0,Dashboard!$C$27*$C$8*B403,Dashboard!$C$27*$C$8*(1-EXP(-($C$10+$C$9)*B403))/($C$10+$C$9))</f>
        <v>470338.1827415161</v>
      </c>
      <c r="E403">
        <f t="shared" si="5"/>
        <v>1</v>
      </c>
    </row>
    <row r="404" spans="2:5" x14ac:dyDescent="0.25">
      <c r="B404" s="4">
        <f>(404-20)/100</f>
        <v>3.84</v>
      </c>
      <c r="C404" s="33">
        <f>IF($C$10+$C$7=0,Dashboard!$C$27*$C$6*B404,Dashboard!$C$27*$C$6*(1-EXP(-($C$10+$C$7)*B404))/($C$10+$C$7))</f>
        <v>180895.44145885296</v>
      </c>
      <c r="D404" s="33">
        <f>IF($C$10+$C$9=0,Dashboard!$C$27*$C$8*B404,Dashboard!$C$27*$C$8*(1-EXP(-($C$10+$C$9)*B404))/($C$10+$C$9))</f>
        <v>470855.7940976895</v>
      </c>
      <c r="E404">
        <f t="shared" ref="E404:E467" si="6">IF(AND(B404&gt;0,D404&gt;C404),1,0)</f>
        <v>1</v>
      </c>
    </row>
    <row r="405" spans="2:5" x14ac:dyDescent="0.25">
      <c r="B405" s="4">
        <f>(405-20)/100</f>
        <v>3.85</v>
      </c>
      <c r="C405" s="33">
        <f>IF($C$10+$C$7=0,Dashboard!$C$27*$C$6*B405,Dashboard!$C$27*$C$6*(1-EXP(-($C$10+$C$7)*B405))/($C$10+$C$7))</f>
        <v>180896.62472048539</v>
      </c>
      <c r="D405" s="33">
        <f>IF($C$10+$C$9=0,Dashboard!$C$27*$C$8*B405,Dashboard!$C$27*$C$8*(1-EXP(-($C$10+$C$9)*B405))/($C$10+$C$9))</f>
        <v>471371.33914381324</v>
      </c>
      <c r="E405">
        <f t="shared" si="6"/>
        <v>1</v>
      </c>
    </row>
    <row r="406" spans="2:5" x14ac:dyDescent="0.25">
      <c r="B406" s="4">
        <f>(406-20)/100</f>
        <v>3.86</v>
      </c>
      <c r="C406" s="33">
        <f>IF($C$10+$C$7=0,Dashboard!$C$27*$C$6*B406,Dashboard!$C$27*$C$6*(1-EXP(-($C$10+$C$7)*B406))/($C$10+$C$7))</f>
        <v>180897.78339271588</v>
      </c>
      <c r="D406" s="33">
        <f>IF($C$10+$C$9=0,Dashboard!$C$27*$C$8*B406,Dashboard!$C$27*$C$8*(1-EXP(-($C$10+$C$9)*B406))/($C$10+$C$9))</f>
        <v>471884.8261286192</v>
      </c>
      <c r="E406">
        <f t="shared" si="6"/>
        <v>1</v>
      </c>
    </row>
    <row r="407" spans="2:5" x14ac:dyDescent="0.25">
      <c r="B407" s="4">
        <f>(407-20)/100</f>
        <v>3.87</v>
      </c>
      <c r="C407" s="33">
        <f>IF($C$10+$C$7=0,Dashboard!$C$27*$C$6*B407,Dashboard!$C$27*$C$6*(1-EXP(-($C$10+$C$7)*B407))/($C$10+$C$7))</f>
        <v>180898.91798653768</v>
      </c>
      <c r="D407" s="33">
        <f>IF($C$10+$C$9=0,Dashboard!$C$27*$C$8*B407,Dashboard!$C$27*$C$8*(1-EXP(-($C$10+$C$9)*B407))/($C$10+$C$9))</f>
        <v>472396.26326791017</v>
      </c>
      <c r="E407">
        <f t="shared" si="6"/>
        <v>1</v>
      </c>
    </row>
    <row r="408" spans="2:5" x14ac:dyDescent="0.25">
      <c r="B408" s="4">
        <f>(408-20)/100</f>
        <v>3.88</v>
      </c>
      <c r="C408" s="33">
        <f>IF($C$10+$C$7=0,Dashboard!$C$27*$C$6*B408,Dashboard!$C$27*$C$6*(1-EXP(-($C$10+$C$7)*B408))/($C$10+$C$7))</f>
        <v>180900.02900232511</v>
      </c>
      <c r="D408" s="33">
        <f>IF($C$10+$C$9=0,Dashboard!$C$27*$C$8*B408,Dashboard!$C$27*$C$8*(1-EXP(-($C$10+$C$9)*B408))/($C$10+$C$9))</f>
        <v>472905.65874469117</v>
      </c>
      <c r="E408">
        <f t="shared" si="6"/>
        <v>1</v>
      </c>
    </row>
    <row r="409" spans="2:5" x14ac:dyDescent="0.25">
      <c r="B409" s="4">
        <f>(409-20)/100</f>
        <v>3.89</v>
      </c>
      <c r="C409" s="33">
        <f>IF($C$10+$C$7=0,Dashboard!$C$27*$C$6*B409,Dashboard!$C$27*$C$6*(1-EXP(-($C$10+$C$7)*B409))/($C$10+$C$7))</f>
        <v>180901.11693005406</v>
      </c>
      <c r="D409" s="33">
        <f>IF($C$10+$C$9=0,Dashboard!$C$27*$C$8*B409,Dashboard!$C$27*$C$8*(1-EXP(-($C$10+$C$9)*B409))/($C$10+$C$9))</f>
        <v>473413.02070930076</v>
      </c>
      <c r="E409">
        <f t="shared" si="6"/>
        <v>1</v>
      </c>
    </row>
    <row r="410" spans="2:5" x14ac:dyDescent="0.25">
      <c r="B410" s="4">
        <f>(410-20)/100</f>
        <v>3.9</v>
      </c>
      <c r="C410" s="33">
        <f>IF($C$10+$C$7=0,Dashboard!$C$27*$C$6*B410,Dashboard!$C$27*$C$6*(1-EXP(-($C$10+$C$7)*B410))/($C$10+$C$7))</f>
        <v>180902.18224951834</v>
      </c>
      <c r="D410" s="33">
        <f>IF($C$10+$C$9=0,Dashboard!$C$27*$C$8*B410,Dashboard!$C$27*$C$8*(1-EXP(-($C$10+$C$9)*B410))/($C$10+$C$9))</f>
        <v>473918.35727954115</v>
      </c>
      <c r="E410">
        <f t="shared" si="6"/>
        <v>1</v>
      </c>
    </row>
    <row r="411" spans="2:5" x14ac:dyDescent="0.25">
      <c r="B411" s="4">
        <f>(411-20)/100</f>
        <v>3.91</v>
      </c>
      <c r="C411" s="33">
        <f>IF($C$10+$C$7=0,Dashboard!$C$27*$C$6*B411,Dashboard!$C$27*$C$6*(1-EXP(-($C$10+$C$7)*B411))/($C$10+$C$7))</f>
        <v>180903.22543054109</v>
      </c>
      <c r="D411" s="33">
        <f>IF($C$10+$C$9=0,Dashboard!$C$27*$C$8*B411,Dashboard!$C$27*$C$8*(1-EXP(-($C$10+$C$9)*B411))/($C$10+$C$9))</f>
        <v>474421.67654080823</v>
      </c>
      <c r="E411">
        <f t="shared" si="6"/>
        <v>1</v>
      </c>
    </row>
    <row r="412" spans="2:5" x14ac:dyDescent="0.25">
      <c r="B412" s="4">
        <f>(412-20)/100</f>
        <v>3.92</v>
      </c>
      <c r="C412" s="33">
        <f>IF($C$10+$C$7=0,Dashboard!$C$27*$C$6*B412,Dashboard!$C$27*$C$6*(1-EXP(-($C$10+$C$7)*B412))/($C$10+$C$7))</f>
        <v>180904.24693318206</v>
      </c>
      <c r="D412" s="33">
        <f>IF($C$10+$C$9=0,Dashboard!$C$27*$C$8*B412,Dashboard!$C$27*$C$8*(1-EXP(-($C$10+$C$9)*B412))/($C$10+$C$9))</f>
        <v>474922.98654622107</v>
      </c>
      <c r="E412">
        <f t="shared" si="6"/>
        <v>1</v>
      </c>
    </row>
    <row r="413" spans="2:5" x14ac:dyDescent="0.25">
      <c r="B413" s="4">
        <f>(413-20)/100</f>
        <v>3.93</v>
      </c>
      <c r="C413" s="33">
        <f>IF($C$10+$C$7=0,Dashboard!$C$27*$C$6*B413,Dashboard!$C$27*$C$6*(1-EXP(-($C$10+$C$7)*B413))/($C$10+$C$7))</f>
        <v>180905.24720794047</v>
      </c>
      <c r="D413" s="33">
        <f>IF($C$10+$C$9=0,Dashboard!$C$27*$C$8*B413,Dashboard!$C$27*$C$8*(1-EXP(-($C$10+$C$9)*B413))/($C$10+$C$9))</f>
        <v>475422.29531675024</v>
      </c>
      <c r="E413">
        <f t="shared" si="6"/>
        <v>1</v>
      </c>
    </row>
    <row r="414" spans="2:5" x14ac:dyDescent="0.25">
      <c r="B414" s="4">
        <f>(414-20)/100</f>
        <v>3.94</v>
      </c>
      <c r="C414" s="33">
        <f>IF($C$10+$C$7=0,Dashboard!$C$27*$C$6*B414,Dashboard!$C$27*$C$6*(1-EXP(-($C$10+$C$7)*B414))/($C$10+$C$7))</f>
        <v>180906.22669595364</v>
      </c>
      <c r="D414" s="33">
        <f>IF($C$10+$C$9=0,Dashboard!$C$27*$C$8*B414,Dashboard!$C$27*$C$8*(1-EXP(-($C$10+$C$9)*B414))/($C$10+$C$9))</f>
        <v>475919.61084134685</v>
      </c>
      <c r="E414">
        <f t="shared" si="6"/>
        <v>1</v>
      </c>
    </row>
    <row r="415" spans="2:5" x14ac:dyDescent="0.25">
      <c r="B415" s="4">
        <f>(415-20)/100</f>
        <v>3.95</v>
      </c>
      <c r="C415" s="33">
        <f>IF($C$10+$C$7=0,Dashboard!$C$27*$C$6*B415,Dashboard!$C$27*$C$6*(1-EXP(-($C$10+$C$7)*B415))/($C$10+$C$7))</f>
        <v>180907.1858291917</v>
      </c>
      <c r="D415" s="33">
        <f>IF($C$10+$C$9=0,Dashboard!$C$27*$C$8*B415,Dashboard!$C$27*$C$8*(1-EXP(-($C$10+$C$9)*B415))/($C$10+$C$9))</f>
        <v>476414.94107706985</v>
      </c>
      <c r="E415">
        <f t="shared" si="6"/>
        <v>1</v>
      </c>
    </row>
    <row r="416" spans="2:5" x14ac:dyDescent="0.25">
      <c r="B416" s="4">
        <f>(416-20)/100</f>
        <v>3.96</v>
      </c>
      <c r="C416" s="33">
        <f>IF($C$10+$C$7=0,Dashboard!$C$27*$C$6*B416,Dashboard!$C$27*$C$6*(1-EXP(-($C$10+$C$7)*B416))/($C$10+$C$7))</f>
        <v>180908.12503064802</v>
      </c>
      <c r="D416" s="33">
        <f>IF($C$10+$C$9=0,Dashboard!$C$27*$C$8*B416,Dashboard!$C$27*$C$8*(1-EXP(-($C$10+$C$9)*B416))/($C$10+$C$9))</f>
        <v>476908.29394921369</v>
      </c>
      <c r="E416">
        <f t="shared" si="6"/>
        <v>1</v>
      </c>
    </row>
    <row r="417" spans="2:5" x14ac:dyDescent="0.25">
      <c r="B417" s="4">
        <f>(417-20)/100</f>
        <v>3.97</v>
      </c>
      <c r="C417" s="33">
        <f>IF($C$10+$C$7=0,Dashboard!$C$27*$C$6*B417,Dashboard!$C$27*$C$6*(1-EXP(-($C$10+$C$7)*B417))/($C$10+$C$7))</f>
        <v>180909.04471452557</v>
      </c>
      <c r="D417" s="33">
        <f>IF($C$10+$C$9=0,Dashboard!$C$27*$C$8*B417,Dashboard!$C$27*$C$8*(1-EXP(-($C$10+$C$9)*B417))/($C$10+$C$9))</f>
        <v>477399.67735143472</v>
      </c>
      <c r="E417">
        <f t="shared" si="6"/>
        <v>1</v>
      </c>
    </row>
    <row r="418" spans="2:5" x14ac:dyDescent="0.25">
      <c r="B418" s="4">
        <f>(418-20)/100</f>
        <v>3.98</v>
      </c>
      <c r="C418" s="33">
        <f>IF($C$10+$C$7=0,Dashboard!$C$27*$C$6*B418,Dashboard!$C$27*$C$6*(1-EXP(-($C$10+$C$7)*B418))/($C$10+$C$7))</f>
        <v>180909.94528641988</v>
      </c>
      <c r="D418" s="33">
        <f>IF($C$10+$C$9=0,Dashboard!$C$27*$C$8*B418,Dashboard!$C$27*$C$8*(1-EXP(-($C$10+$C$9)*B418))/($C$10+$C$9))</f>
        <v>477889.09914587787</v>
      </c>
      <c r="E418">
        <f t="shared" si="6"/>
        <v>1</v>
      </c>
    </row>
    <row r="419" spans="2:5" x14ac:dyDescent="0.25">
      <c r="B419" s="4">
        <f>(419-20)/100</f>
        <v>3.99</v>
      </c>
      <c r="C419" s="33">
        <f>IF($C$10+$C$7=0,Dashboard!$C$27*$C$6*B419,Dashboard!$C$27*$C$6*(1-EXP(-($C$10+$C$7)*B419))/($C$10+$C$7))</f>
        <v>180910.82714349771</v>
      </c>
      <c r="D419" s="33">
        <f>IF($C$10+$C$9=0,Dashboard!$C$27*$C$8*B419,Dashboard!$C$27*$C$8*(1-EXP(-($C$10+$C$9)*B419))/($C$10+$C$9))</f>
        <v>478376.56716330239</v>
      </c>
      <c r="E419">
        <f t="shared" si="6"/>
        <v>1</v>
      </c>
    </row>
    <row r="420" spans="2:5" x14ac:dyDescent="0.25">
      <c r="B420" s="4">
        <f>(420-20)/100</f>
        <v>4</v>
      </c>
      <c r="C420" s="33">
        <f>IF($C$10+$C$7=0,Dashboard!$C$27*$C$6*B420,Dashboard!$C$27*$C$6*(1-EXP(-($C$10+$C$7)*B420))/($C$10+$C$7))</f>
        <v>180911.6906746724</v>
      </c>
      <c r="D420" s="33">
        <f>IF($C$10+$C$9=0,Dashboard!$C$27*$C$8*B420,Dashboard!$C$27*$C$8*(1-EXP(-($C$10+$C$9)*B420))/($C$10+$C$9))</f>
        <v>478862.08920320676</v>
      </c>
      <c r="E420">
        <f t="shared" si="6"/>
        <v>1</v>
      </c>
    </row>
    <row r="421" spans="2:5" x14ac:dyDescent="0.25">
      <c r="B421" s="4">
        <f>(421-20)/100</f>
        <v>4.01</v>
      </c>
      <c r="C421" s="33">
        <f>IF($C$10+$C$7=0,Dashboard!$C$27*$C$6*B421,Dashboard!$C$27*$C$6*(1-EXP(-($C$10+$C$7)*B421))/($C$10+$C$7))</f>
        <v>180912.53626077512</v>
      </c>
      <c r="D421" s="33">
        <f>IF($C$10+$C$9=0,Dashboard!$C$27*$C$8*B421,Dashboard!$C$27*$C$8*(1-EXP(-($C$10+$C$9)*B421))/($C$10+$C$9))</f>
        <v>479345.67303395411</v>
      </c>
      <c r="E421">
        <f t="shared" si="6"/>
        <v>1</v>
      </c>
    </row>
    <row r="422" spans="2:5" x14ac:dyDescent="0.25">
      <c r="B422" s="4">
        <f>(422-20)/100</f>
        <v>4.0199999999999996</v>
      </c>
      <c r="C422" s="33">
        <f>IF($C$10+$C$7=0,Dashboard!$C$27*$C$6*B422,Dashboard!$C$27*$C$6*(1-EXP(-($C$10+$C$7)*B422))/($C$10+$C$7))</f>
        <v>180913.36427472311</v>
      </c>
      <c r="D422" s="33">
        <f>IF($C$10+$C$9=0,Dashboard!$C$27*$C$8*B422,Dashboard!$C$27*$C$8*(1-EXP(-($C$10+$C$9)*B422))/($C$10+$C$9))</f>
        <v>479827.32639289612</v>
      </c>
      <c r="E422">
        <f t="shared" si="6"/>
        <v>1</v>
      </c>
    </row>
    <row r="423" spans="2:5" x14ac:dyDescent="0.25">
      <c r="B423" s="4">
        <f>(423-20)/100</f>
        <v>4.03</v>
      </c>
      <c r="C423" s="33">
        <f>IF($C$10+$C$7=0,Dashboard!$C$27*$C$6*B423,Dashboard!$C$27*$C$6*(1-EXP(-($C$10+$C$7)*B423))/($C$10+$C$7))</f>
        <v>180914.1750816839</v>
      </c>
      <c r="D423" s="33">
        <f>IF($C$10+$C$9=0,Dashboard!$C$27*$C$8*B423,Dashboard!$C$27*$C$8*(1-EXP(-($C$10+$C$9)*B423))/($C$10+$C$9))</f>
        <v>480307.05698649673</v>
      </c>
      <c r="E423">
        <f t="shared" si="6"/>
        <v>1</v>
      </c>
    </row>
    <row r="424" spans="2:5" x14ac:dyDescent="0.25">
      <c r="B424" s="4">
        <f>(424-20)/100</f>
        <v>4.04</v>
      </c>
      <c r="C424" s="33">
        <f>IF($C$10+$C$7=0,Dashboard!$C$27*$C$6*B424,Dashboard!$C$27*$C$6*(1-EXP(-($C$10+$C$7)*B424))/($C$10+$C$7))</f>
        <v>180914.96903923649</v>
      </c>
      <c r="D424" s="33">
        <f>IF($C$10+$C$9=0,Dashboard!$C$27*$C$8*B424,Dashboard!$C$27*$C$8*(1-EXP(-($C$10+$C$9)*B424))/($C$10+$C$9))</f>
        <v>480784.87249045575</v>
      </c>
      <c r="E424">
        <f t="shared" si="6"/>
        <v>1</v>
      </c>
    </row>
    <row r="425" spans="2:5" x14ac:dyDescent="0.25">
      <c r="B425" s="4">
        <f>(425-20)/100</f>
        <v>4.05</v>
      </c>
      <c r="C425" s="33">
        <f>IF($C$10+$C$7=0,Dashboard!$C$27*$C$6*B425,Dashboard!$C$27*$C$6*(1-EXP(-($C$10+$C$7)*B425))/($C$10+$C$7))</f>
        <v>180915.74649752909</v>
      </c>
      <c r="D425" s="33">
        <f>IF($C$10+$C$9=0,Dashboard!$C$27*$C$8*B425,Dashboard!$C$27*$C$8*(1-EXP(-($C$10+$C$9)*B425))/($C$10+$C$9))</f>
        <v>481260.78054983116</v>
      </c>
      <c r="E425">
        <f t="shared" si="6"/>
        <v>1</v>
      </c>
    </row>
    <row r="426" spans="2:5" x14ac:dyDescent="0.25">
      <c r="B426" s="4">
        <f>(426-20)/100</f>
        <v>4.0599999999999996</v>
      </c>
      <c r="C426" s="33">
        <f>IF($C$10+$C$7=0,Dashboard!$C$27*$C$6*B426,Dashboard!$C$27*$C$6*(1-EXP(-($C$10+$C$7)*B426))/($C$10+$C$7))</f>
        <v>180916.50779943334</v>
      </c>
      <c r="D426" s="33">
        <f>IF($C$10+$C$9=0,Dashboard!$C$27*$C$8*B426,Dashboard!$C$27*$C$8*(1-EXP(-($C$10+$C$9)*B426))/($C$10+$C$9))</f>
        <v>481734.78877916239</v>
      </c>
      <c r="E426">
        <f t="shared" si="6"/>
        <v>1</v>
      </c>
    </row>
    <row r="427" spans="2:5" x14ac:dyDescent="0.25">
      <c r="B427" s="4">
        <f>(427-20)/100</f>
        <v>4.07</v>
      </c>
      <c r="C427" s="33">
        <f>IF($C$10+$C$7=0,Dashboard!$C$27*$C$6*B427,Dashboard!$C$27*$C$6*(1-EXP(-($C$10+$C$7)*B427))/($C$10+$C$7))</f>
        <v>180917.25328069576</v>
      </c>
      <c r="D427" s="33">
        <f>IF($C$10+$C$9=0,Dashboard!$C$27*$C$8*B427,Dashboard!$C$27*$C$8*(1-EXP(-($C$10+$C$9)*B427))/($C$10+$C$9))</f>
        <v>482206.90476259106</v>
      </c>
      <c r="E427">
        <f t="shared" si="6"/>
        <v>1</v>
      </c>
    </row>
    <row r="428" spans="2:5" x14ac:dyDescent="0.25">
      <c r="B428" s="4">
        <f>(428-20)/100</f>
        <v>4.08</v>
      </c>
      <c r="C428" s="33">
        <f>IF($C$10+$C$7=0,Dashboard!$C$27*$C$6*B428,Dashboard!$C$27*$C$6*(1-EXP(-($C$10+$C$7)*B428))/($C$10+$C$7))</f>
        <v>180917.98327008565</v>
      </c>
      <c r="D428" s="33">
        <f>IF($C$10+$C$9=0,Dashboard!$C$27*$C$8*B428,Dashboard!$C$27*$C$8*(1-EXP(-($C$10+$C$9)*B428))/($C$10+$C$9))</f>
        <v>482677.13605398301</v>
      </c>
      <c r="E428">
        <f t="shared" si="6"/>
        <v>1</v>
      </c>
    </row>
    <row r="429" spans="2:5" x14ac:dyDescent="0.25">
      <c r="B429" s="4">
        <f>(429-20)/100</f>
        <v>4.09</v>
      </c>
      <c r="C429" s="33">
        <f>IF($C$10+$C$7=0,Dashboard!$C$27*$C$6*B429,Dashboard!$C$27*$C$6*(1-EXP(-($C$10+$C$7)*B429))/($C$10+$C$7))</f>
        <v>180918.69808954015</v>
      </c>
      <c r="D429" s="33">
        <f>IF($C$10+$C$9=0,Dashboard!$C$27*$C$8*B429,Dashboard!$C$27*$C$8*(1-EXP(-($C$10+$C$9)*B429))/($C$10+$C$9))</f>
        <v>483145.49017704895</v>
      </c>
      <c r="E429">
        <f t="shared" si="6"/>
        <v>1</v>
      </c>
    </row>
    <row r="430" spans="2:5" x14ac:dyDescent="0.25">
      <c r="B430" s="4">
        <f>(430-20)/100</f>
        <v>4.0999999999999996</v>
      </c>
      <c r="C430" s="33">
        <f>IF($C$10+$C$7=0,Dashboard!$C$27*$C$6*B430,Dashboard!$C$27*$C$6*(1-EXP(-($C$10+$C$7)*B430))/($C$10+$C$7))</f>
        <v>180919.39805430625</v>
      </c>
      <c r="D430" s="33">
        <f>IF($C$10+$C$9=0,Dashboard!$C$27*$C$8*B430,Dashboard!$C$27*$C$8*(1-EXP(-($C$10+$C$9)*B430))/($C$10+$C$9))</f>
        <v>483611.97462546482</v>
      </c>
      <c r="E430">
        <f t="shared" si="6"/>
        <v>1</v>
      </c>
    </row>
    <row r="431" spans="2:5" x14ac:dyDescent="0.25">
      <c r="B431" s="4">
        <f>(431-20)/100</f>
        <v>4.1100000000000003</v>
      </c>
      <c r="C431" s="33">
        <f>IF($C$10+$C$7=0,Dashboard!$C$27*$C$6*B431,Dashboard!$C$27*$C$6*(1-EXP(-($C$10+$C$7)*B431))/($C$10+$C$7))</f>
        <v>180920.08347307975</v>
      </c>
      <c r="D431" s="33">
        <f>IF($C$10+$C$9=0,Dashboard!$C$27*$C$8*B431,Dashboard!$C$27*$C$8*(1-EXP(-($C$10+$C$9)*B431))/($C$10+$C$9))</f>
        <v>484076.59686299175</v>
      </c>
      <c r="E431">
        <f t="shared" si="6"/>
        <v>1</v>
      </c>
    </row>
    <row r="432" spans="2:5" x14ac:dyDescent="0.25">
      <c r="B432" s="4">
        <f>(432-20)/100</f>
        <v>4.12</v>
      </c>
      <c r="C432" s="33">
        <f>IF($C$10+$C$7=0,Dashboard!$C$27*$C$6*B432,Dashboard!$C$27*$C$6*(1-EXP(-($C$10+$C$7)*B432))/($C$10+$C$7))</f>
        <v>180920.75464814142</v>
      </c>
      <c r="D432" s="33">
        <f>IF($C$10+$C$9=0,Dashboard!$C$27*$C$8*B432,Dashboard!$C$27*$C$8*(1-EXP(-($C$10+$C$9)*B432))/($C$10+$C$9))</f>
        <v>484539.36432359548</v>
      </c>
      <c r="E432">
        <f t="shared" si="6"/>
        <v>1</v>
      </c>
    </row>
    <row r="433" spans="2:5" x14ac:dyDescent="0.25">
      <c r="B433" s="4">
        <f>(433-20)/100</f>
        <v>4.13</v>
      </c>
      <c r="C433" s="33">
        <f>IF($C$10+$C$7=0,Dashboard!$C$27*$C$6*B433,Dashboard!$C$27*$C$6*(1-EXP(-($C$10+$C$7)*B433))/($C$10+$C$7))</f>
        <v>180921.41187549036</v>
      </c>
      <c r="D433" s="33">
        <f>IF($C$10+$C$9=0,Dashboard!$C$27*$C$8*B433,Dashboard!$C$27*$C$8*(1-EXP(-($C$10+$C$9)*B433))/($C$10+$C$9))</f>
        <v>485000.28441156523</v>
      </c>
      <c r="E433">
        <f t="shared" si="6"/>
        <v>1</v>
      </c>
    </row>
    <row r="434" spans="2:5" x14ac:dyDescent="0.25">
      <c r="B434" s="4">
        <f>(434-20)/100</f>
        <v>4.1399999999999997</v>
      </c>
      <c r="C434" s="33">
        <f>IF($C$10+$C$7=0,Dashboard!$C$27*$C$6*B434,Dashboard!$C$27*$C$6*(1-EXP(-($C$10+$C$7)*B434))/($C$10+$C$7))</f>
        <v>180922.05544497448</v>
      </c>
      <c r="D434" s="33">
        <f>IF($C$10+$C$9=0,Dashboard!$C$27*$C$8*B434,Dashboard!$C$27*$C$8*(1-EXP(-($C$10+$C$9)*B434))/($C$10+$C$9))</f>
        <v>485459.36450163211</v>
      </c>
      <c r="E434">
        <f t="shared" si="6"/>
        <v>1</v>
      </c>
    </row>
    <row r="435" spans="2:5" x14ac:dyDescent="0.25">
      <c r="B435" s="4">
        <f>(435-20)/100</f>
        <v>4.1500000000000004</v>
      </c>
      <c r="C435" s="33">
        <f>IF($C$10+$C$7=0,Dashboard!$C$27*$C$6*B435,Dashboard!$C$27*$C$6*(1-EXP(-($C$10+$C$7)*B435))/($C$10+$C$7))</f>
        <v>180922.68564041832</v>
      </c>
      <c r="D435" s="33">
        <f>IF($C$10+$C$9=0,Dashboard!$C$27*$C$8*B435,Dashboard!$C$27*$C$8*(1-EXP(-($C$10+$C$9)*B435))/($C$10+$C$9))</f>
        <v>485916.61193908763</v>
      </c>
      <c r="E435">
        <f t="shared" si="6"/>
        <v>1</v>
      </c>
    </row>
    <row r="436" spans="2:5" x14ac:dyDescent="0.25">
      <c r="B436" s="4">
        <f>(436-20)/100</f>
        <v>4.16</v>
      </c>
      <c r="C436" s="33">
        <f>IF($C$10+$C$7=0,Dashboard!$C$27*$C$6*B436,Dashboard!$C$27*$C$6*(1-EXP(-($C$10+$C$7)*B436))/($C$10+$C$7))</f>
        <v>180923.30273974832</v>
      </c>
      <c r="D436" s="33">
        <f>IF($C$10+$C$9=0,Dashboard!$C$27*$C$8*B436,Dashboard!$C$27*$C$8*(1-EXP(-($C$10+$C$9)*B436))/($C$10+$C$9))</f>
        <v>486372.03403990046</v>
      </c>
      <c r="E436">
        <f t="shared" si="6"/>
        <v>1</v>
      </c>
    </row>
    <row r="437" spans="2:5" x14ac:dyDescent="0.25">
      <c r="B437" s="4">
        <f>(437-20)/100</f>
        <v>4.17</v>
      </c>
      <c r="C437" s="33">
        <f>IF($C$10+$C$7=0,Dashboard!$C$27*$C$6*B437,Dashboard!$C$27*$C$6*(1-EXP(-($C$10+$C$7)*B437))/($C$10+$C$7))</f>
        <v>180923.90701511534</v>
      </c>
      <c r="D437" s="33">
        <f>IF($C$10+$C$9=0,Dashboard!$C$27*$C$8*B437,Dashboard!$C$27*$C$8*(1-EXP(-($C$10+$C$9)*B437))/($C$10+$C$9))</f>
        <v>486825.63809083373</v>
      </c>
      <c r="E437">
        <f t="shared" si="6"/>
        <v>1</v>
      </c>
    </row>
    <row r="438" spans="2:5" x14ac:dyDescent="0.25">
      <c r="B438" s="4">
        <f>(438-20)/100</f>
        <v>4.18</v>
      </c>
      <c r="C438" s="33">
        <f>IF($C$10+$C$7=0,Dashboard!$C$27*$C$6*B438,Dashboard!$C$27*$C$6*(1-EXP(-($C$10+$C$7)*B438))/($C$10+$C$7))</f>
        <v>180924.49873301448</v>
      </c>
      <c r="D438" s="33">
        <f>IF($C$10+$C$9=0,Dashboard!$C$27*$C$8*B438,Dashboard!$C$27*$C$8*(1-EXP(-($C$10+$C$9)*B438))/($C$10+$C$9))</f>
        <v>487277.43134956207</v>
      </c>
      <c r="E438">
        <f t="shared" si="6"/>
        <v>1</v>
      </c>
    </row>
    <row r="439" spans="2:5" x14ac:dyDescent="0.25">
      <c r="B439" s="4">
        <f>(439-20)/100</f>
        <v>4.1900000000000004</v>
      </c>
      <c r="C439" s="33">
        <f>IF($C$10+$C$7=0,Dashboard!$C$27*$C$6*B439,Dashboard!$C$27*$C$6*(1-EXP(-($C$10+$C$7)*B439))/($C$10+$C$7))</f>
        <v>180925.07815440302</v>
      </c>
      <c r="D439" s="33">
        <f>IF($C$10+$C$9=0,Dashboard!$C$27*$C$8*B439,Dashboard!$C$27*$C$8*(1-EXP(-($C$10+$C$9)*B439))/($C$10+$C$9))</f>
        <v>487727.42104478722</v>
      </c>
      <c r="E439">
        <f t="shared" si="6"/>
        <v>1</v>
      </c>
    </row>
    <row r="440" spans="2:5" x14ac:dyDescent="0.25">
      <c r="B440" s="4">
        <f>(440-20)/100</f>
        <v>4.2</v>
      </c>
      <c r="C440" s="33">
        <f>IF($C$10+$C$7=0,Dashboard!$C$27*$C$6*B440,Dashboard!$C$27*$C$6*(1-EXP(-($C$10+$C$7)*B440))/($C$10+$C$7))</f>
        <v>180925.64553481515</v>
      </c>
      <c r="D440" s="33">
        <f>IF($C$10+$C$9=0,Dashboard!$C$27*$C$8*B440,Dashboard!$C$27*$C$8*(1-EXP(-($C$10+$C$9)*B440))/($C$10+$C$9))</f>
        <v>488175.61437635397</v>
      </c>
      <c r="E440">
        <f t="shared" si="6"/>
        <v>1</v>
      </c>
    </row>
    <row r="441" spans="2:5" x14ac:dyDescent="0.25">
      <c r="B441" s="4">
        <f>(441-20)/100</f>
        <v>4.21</v>
      </c>
      <c r="C441" s="33">
        <f>IF($C$10+$C$7=0,Dashboard!$C$27*$C$6*B441,Dashboard!$C$27*$C$6*(1-EXP(-($C$10+$C$7)*B441))/($C$10+$C$7))</f>
        <v>180926.20112447484</v>
      </c>
      <c r="D441" s="33">
        <f>IF($C$10+$C$9=0,Dashboard!$C$27*$C$8*B441,Dashboard!$C$27*$C$8*(1-EXP(-($C$10+$C$9)*B441))/($C$10+$C$9))</f>
        <v>488622.01851536526</v>
      </c>
      <c r="E441">
        <f t="shared" si="6"/>
        <v>1</v>
      </c>
    </row>
    <row r="442" spans="2:5" x14ac:dyDescent="0.25">
      <c r="B442" s="4">
        <f>(442-20)/100</f>
        <v>4.22</v>
      </c>
      <c r="C442" s="33">
        <f>IF($C$10+$C$7=0,Dashboard!$C$27*$C$6*B442,Dashboard!$C$27*$C$6*(1-EXP(-($C$10+$C$7)*B442))/($C$10+$C$7))</f>
        <v>180926.74516840611</v>
      </c>
      <c r="D442" s="33">
        <f>IF($C$10+$C$9=0,Dashboard!$C$27*$C$8*B442,Dashboard!$C$27*$C$8*(1-EXP(-($C$10+$C$9)*B442))/($C$10+$C$9))</f>
        <v>489066.64060429658</v>
      </c>
      <c r="E442">
        <f t="shared" si="6"/>
        <v>1</v>
      </c>
    </row>
    <row r="443" spans="2:5" x14ac:dyDescent="0.25">
      <c r="B443" s="4">
        <f>(443-20)/100</f>
        <v>4.2300000000000004</v>
      </c>
      <c r="C443" s="33">
        <f>IF($C$10+$C$7=0,Dashboard!$C$27*$C$6*B443,Dashboard!$C$27*$C$6*(1-EXP(-($C$10+$C$7)*B443))/($C$10+$C$7))</f>
        <v>180927.27790654119</v>
      </c>
      <c r="D443" s="33">
        <f>IF($C$10+$C$9=0,Dashboard!$C$27*$C$8*B443,Dashboard!$C$27*$C$8*(1-EXP(-($C$10+$C$9)*B443))/($C$10+$C$9))</f>
        <v>489509.48775711103</v>
      </c>
      <c r="E443">
        <f t="shared" si="6"/>
        <v>1</v>
      </c>
    </row>
    <row r="444" spans="2:5" x14ac:dyDescent="0.25">
      <c r="B444" s="4">
        <f>(444-20)/100</f>
        <v>4.24</v>
      </c>
      <c r="C444" s="33">
        <f>IF($C$10+$C$7=0,Dashboard!$C$27*$C$6*B444,Dashboard!$C$27*$C$6*(1-EXP(-($C$10+$C$7)*B444))/($C$10+$C$7))</f>
        <v>180927.7995738262</v>
      </c>
      <c r="D444" s="33">
        <f>IF($C$10+$C$9=0,Dashboard!$C$27*$C$8*B444,Dashboard!$C$27*$C$8*(1-EXP(-($C$10+$C$9)*B444))/($C$10+$C$9))</f>
        <v>489950.56705937255</v>
      </c>
      <c r="E444">
        <f t="shared" si="6"/>
        <v>1</v>
      </c>
    </row>
    <row r="445" spans="2:5" x14ac:dyDescent="0.25">
      <c r="B445" s="4">
        <f>(445-20)/100</f>
        <v>4.25</v>
      </c>
      <c r="C445" s="33">
        <f>IF($C$10+$C$7=0,Dashboard!$C$27*$C$6*B445,Dashboard!$C$27*$C$6*(1-EXP(-($C$10+$C$7)*B445))/($C$10+$C$7))</f>
        <v>180928.31040032487</v>
      </c>
      <c r="D445" s="33">
        <f>IF($C$10+$C$9=0,Dashboard!$C$27*$C$8*B445,Dashboard!$C$27*$C$8*(1-EXP(-($C$10+$C$9)*B445))/($C$10+$C$9))</f>
        <v>490389.88556835923</v>
      </c>
      <c r="E445">
        <f t="shared" si="6"/>
        <v>1</v>
      </c>
    </row>
    <row r="446" spans="2:5" x14ac:dyDescent="0.25">
      <c r="B446" s="4">
        <f>(446-20)/100</f>
        <v>4.26</v>
      </c>
      <c r="C446" s="33">
        <f>IF($C$10+$C$7=0,Dashboard!$C$27*$C$6*B446,Dashboard!$C$27*$C$6*(1-EXP(-($C$10+$C$7)*B446))/($C$10+$C$7))</f>
        <v>180928.81061131999</v>
      </c>
      <c r="D446" s="33">
        <f>IF($C$10+$C$9=0,Dashboard!$C$27*$C$8*B446,Dashboard!$C$27*$C$8*(1-EXP(-($C$10+$C$9)*B446))/($C$10+$C$9))</f>
        <v>490827.45031317655</v>
      </c>
      <c r="E446">
        <f t="shared" si="6"/>
        <v>1</v>
      </c>
    </row>
    <row r="447" spans="2:5" x14ac:dyDescent="0.25">
      <c r="B447" s="4">
        <f>(447-20)/100</f>
        <v>4.2699999999999996</v>
      </c>
      <c r="C447" s="33">
        <f>IF($C$10+$C$7=0,Dashboard!$C$27*$C$6*B447,Dashboard!$C$27*$C$6*(1-EXP(-($C$10+$C$7)*B447))/($C$10+$C$7))</f>
        <v>180929.30042741267</v>
      </c>
      <c r="D447" s="33">
        <f>IF($C$10+$C$9=0,Dashboard!$C$27*$C$8*B447,Dashboard!$C$27*$C$8*(1-EXP(-($C$10+$C$9)*B447))/($C$10+$C$9))</f>
        <v>491263.26829487004</v>
      </c>
      <c r="E447">
        <f t="shared" si="6"/>
        <v>1</v>
      </c>
    </row>
    <row r="448" spans="2:5" x14ac:dyDescent="0.25">
      <c r="B448" s="4">
        <f>(448-20)/100</f>
        <v>4.28</v>
      </c>
      <c r="C448" s="33">
        <f>IF($C$10+$C$7=0,Dashboard!$C$27*$C$6*B448,Dashboard!$C$27*$C$6*(1-EXP(-($C$10+$C$7)*B448))/($C$10+$C$7))</f>
        <v>180929.78006461982</v>
      </c>
      <c r="D448" s="33">
        <f>IF($C$10+$C$9=0,Dashboard!$C$27*$C$8*B448,Dashboard!$C$27*$C$8*(1-EXP(-($C$10+$C$9)*B448))/($C$10+$C$9))</f>
        <v>491697.34648653644</v>
      </c>
      <c r="E448">
        <f t="shared" si="6"/>
        <v>1</v>
      </c>
    </row>
    <row r="449" spans="2:5" x14ac:dyDescent="0.25">
      <c r="B449" s="4">
        <f>(449-20)/100</f>
        <v>4.29</v>
      </c>
      <c r="C449" s="33">
        <f>IF($C$10+$C$7=0,Dashboard!$C$27*$C$6*B449,Dashboard!$C$27*$C$6*(1-EXP(-($C$10+$C$7)*B449))/($C$10+$C$7))</f>
        <v>180930.24973446914</v>
      </c>
      <c r="D449" s="33">
        <f>IF($C$10+$C$9=0,Dashboard!$C$27*$C$8*B449,Dashboard!$C$27*$C$8*(1-EXP(-($C$10+$C$9)*B449))/($C$10+$C$9))</f>
        <v>492129.6918334362</v>
      </c>
      <c r="E449">
        <f t="shared" si="6"/>
        <v>1</v>
      </c>
    </row>
    <row r="450" spans="2:5" x14ac:dyDescent="0.25">
      <c r="B450" s="4">
        <f>(450-20)/100</f>
        <v>4.3</v>
      </c>
      <c r="C450" s="33">
        <f>IF($C$10+$C$7=0,Dashboard!$C$27*$C$6*B450,Dashboard!$C$27*$C$6*(1-EXP(-($C$10+$C$7)*B450))/($C$10+$C$7))</f>
        <v>180930.70964409268</v>
      </c>
      <c r="D450" s="33">
        <f>IF($C$10+$C$9=0,Dashboard!$C$27*$C$8*B450,Dashboard!$C$27*$C$8*(1-EXP(-($C$10+$C$9)*B450))/($C$10+$C$9))</f>
        <v>492560.31125310407</v>
      </c>
      <c r="E450">
        <f t="shared" si="6"/>
        <v>1</v>
      </c>
    </row>
    <row r="451" spans="2:5" x14ac:dyDescent="0.25">
      <c r="B451" s="4">
        <f>(451-20)/100</f>
        <v>4.3099999999999996</v>
      </c>
      <c r="C451" s="33">
        <f>IF($C$10+$C$7=0,Dashboard!$C$27*$C$6*B451,Dashboard!$C$27*$C$6*(1-EXP(-($C$10+$C$7)*B451))/($C$10+$C$7))</f>
        <v>180931.15999631805</v>
      </c>
      <c r="D451" s="33">
        <f>IF($C$10+$C$9=0,Dashboard!$C$27*$C$8*B451,Dashboard!$C$27*$C$8*(1-EXP(-($C$10+$C$9)*B451))/($C$10+$C$9))</f>
        <v>492989.21163545991</v>
      </c>
      <c r="E451">
        <f t="shared" si="6"/>
        <v>1</v>
      </c>
    </row>
    <row r="452" spans="2:5" x14ac:dyDescent="0.25">
      <c r="B452" s="4">
        <f>(452-20)/100</f>
        <v>4.32</v>
      </c>
      <c r="C452" s="33">
        <f>IF($C$10+$C$7=0,Dashboard!$C$27*$C$6*B452,Dashboard!$C$27*$C$6*(1-EXP(-($C$10+$C$7)*B452))/($C$10+$C$7))</f>
        <v>180931.60098975783</v>
      </c>
      <c r="D452" s="33">
        <f>IF($C$10+$C$9=0,Dashboard!$C$27*$C$8*B452,Dashboard!$C$27*$C$8*(1-EXP(-($C$10+$C$9)*B452))/($C$10+$C$9))</f>
        <v>493416.39984291903</v>
      </c>
      <c r="E452">
        <f t="shared" si="6"/>
        <v>1</v>
      </c>
    </row>
    <row r="453" spans="2:5" x14ac:dyDescent="0.25">
      <c r="B453" s="4">
        <f>(453-20)/100</f>
        <v>4.33</v>
      </c>
      <c r="C453" s="33">
        <f>IF($C$10+$C$7=0,Dashboard!$C$27*$C$6*B453,Dashboard!$C$27*$C$6*(1-EXP(-($C$10+$C$7)*B453))/($C$10+$C$7))</f>
        <v>180932.03281889737</v>
      </c>
      <c r="D453" s="33">
        <f>IF($C$10+$C$9=0,Dashboard!$C$27*$C$8*B453,Dashboard!$C$27*$C$8*(1-EXP(-($C$10+$C$9)*B453))/($C$10+$C$9))</f>
        <v>493841.88271050184</v>
      </c>
      <c r="E453">
        <f t="shared" si="6"/>
        <v>1</v>
      </c>
    </row>
    <row r="454" spans="2:5" x14ac:dyDescent="0.25">
      <c r="B454" s="4">
        <f>(454-20)/100</f>
        <v>4.34</v>
      </c>
      <c r="C454" s="33">
        <f>IF($C$10+$C$7=0,Dashboard!$C$27*$C$6*B454,Dashboard!$C$27*$C$6*(1-EXP(-($C$10+$C$7)*B454))/($C$10+$C$7))</f>
        <v>180932.45567418024</v>
      </c>
      <c r="D454" s="33">
        <f>IF($C$10+$C$9=0,Dashboard!$C$27*$C$8*B454,Dashboard!$C$27*$C$8*(1-EXP(-($C$10+$C$9)*B454))/($C$10+$C$9))</f>
        <v>494265.66704594332</v>
      </c>
      <c r="E454">
        <f t="shared" si="6"/>
        <v>1</v>
      </c>
    </row>
    <row r="455" spans="2:5" x14ac:dyDescent="0.25">
      <c r="B455" s="4">
        <f>(455-20)/100</f>
        <v>4.3499999999999996</v>
      </c>
      <c r="C455" s="33">
        <f>IF($C$10+$C$7=0,Dashboard!$C$27*$C$6*B455,Dashboard!$C$27*$C$6*(1-EXP(-($C$10+$C$7)*B455))/($C$10+$C$7))</f>
        <v>180932.8697420925</v>
      </c>
      <c r="D455" s="33">
        <f>IF($C$10+$C$9=0,Dashboard!$C$27*$C$8*B455,Dashboard!$C$27*$C$8*(1-EXP(-($C$10+$C$9)*B455))/($C$10+$C$9))</f>
        <v>494687.75962980191</v>
      </c>
      <c r="E455">
        <f t="shared" si="6"/>
        <v>1</v>
      </c>
    </row>
    <row r="456" spans="2:5" x14ac:dyDescent="0.25">
      <c r="B456" s="4">
        <f>(456-20)/100</f>
        <v>4.3600000000000003</v>
      </c>
      <c r="C456" s="33">
        <f>IF($C$10+$C$7=0,Dashboard!$C$27*$C$6*B456,Dashboard!$C$27*$C$6*(1-EXP(-($C$10+$C$7)*B456))/($C$10+$C$7))</f>
        <v>180933.2752052448</v>
      </c>
      <c r="D456" s="33">
        <f>IF($C$10+$C$9=0,Dashboard!$C$27*$C$8*B456,Dashboard!$C$27*$C$8*(1-EXP(-($C$10+$C$9)*B456))/($C$10+$C$9))</f>
        <v>495108.16721556784</v>
      </c>
      <c r="E456">
        <f t="shared" si="6"/>
        <v>1</v>
      </c>
    </row>
    <row r="457" spans="2:5" x14ac:dyDescent="0.25">
      <c r="B457" s="4">
        <f>(457-20)/100</f>
        <v>4.37</v>
      </c>
      <c r="C457" s="33">
        <f>IF($C$10+$C$7=0,Dashboard!$C$27*$C$6*B457,Dashboard!$C$27*$C$6*(1-EXP(-($C$10+$C$7)*B457))/($C$10+$C$7))</f>
        <v>180933.67224245294</v>
      </c>
      <c r="D457" s="33">
        <f>IF($C$10+$C$9=0,Dashboard!$C$27*$C$8*B457,Dashboard!$C$27*$C$8*(1-EXP(-($C$10+$C$9)*B457))/($C$10+$C$9))</f>
        <v>495526.8965297715</v>
      </c>
      <c r="E457">
        <f t="shared" si="6"/>
        <v>1</v>
      </c>
    </row>
    <row r="458" spans="2:5" x14ac:dyDescent="0.25">
      <c r="B458" s="4">
        <f>(458-20)/100</f>
        <v>4.38</v>
      </c>
      <c r="C458" s="33">
        <f>IF($C$10+$C$7=0,Dashboard!$C$27*$C$6*B458,Dashboard!$C$27*$C$6*(1-EXP(-($C$10+$C$7)*B458))/($C$10+$C$7))</f>
        <v>180934.06102881682</v>
      </c>
      <c r="D458" s="33">
        <f>IF($C$10+$C$9=0,Dashboard!$C$27*$C$8*B458,Dashboard!$C$27*$C$8*(1-EXP(-($C$10+$C$9)*B458))/($C$10+$C$9))</f>
        <v>495943.95427209098</v>
      </c>
      <c r="E458">
        <f t="shared" si="6"/>
        <v>1</v>
      </c>
    </row>
    <row r="459" spans="2:5" x14ac:dyDescent="0.25">
      <c r="B459" s="4">
        <f>(459-20)/100</f>
        <v>4.3899999999999997</v>
      </c>
      <c r="C459" s="33">
        <f>IF($C$10+$C$7=0,Dashboard!$C$27*$C$6*B459,Dashboard!$C$27*$C$6*(1-EXP(-($C$10+$C$7)*B459))/($C$10+$C$7))</f>
        <v>180934.4417357975</v>
      </c>
      <c r="D459" s="33">
        <f>IF($C$10+$C$9=0,Dashboard!$C$27*$C$8*B459,Dashboard!$C$27*$C$8*(1-EXP(-($C$10+$C$9)*B459))/($C$10+$C$9))</f>
        <v>496359.34711545892</v>
      </c>
      <c r="E459">
        <f t="shared" si="6"/>
        <v>1</v>
      </c>
    </row>
    <row r="460" spans="2:5" x14ac:dyDescent="0.25">
      <c r="B460" s="4">
        <f>(460-20)/100</f>
        <v>4.4000000000000004</v>
      </c>
      <c r="C460" s="33">
        <f>IF($C$10+$C$7=0,Dashboard!$C$27*$C$6*B460,Dashboard!$C$27*$C$6*(1-EXP(-($C$10+$C$7)*B460))/($C$10+$C$7))</f>
        <v>180934.81453129291</v>
      </c>
      <c r="D460" s="33">
        <f>IF($C$10+$C$9=0,Dashboard!$C$27*$C$8*B460,Dashboard!$C$27*$C$8*(1-EXP(-($C$10+$C$9)*B460))/($C$10+$C$9))</f>
        <v>496773.08170616964</v>
      </c>
      <c r="E460">
        <f t="shared" si="6"/>
        <v>1</v>
      </c>
    </row>
    <row r="461" spans="2:5" x14ac:dyDescent="0.25">
      <c r="B461" s="4">
        <f>(461-20)/100</f>
        <v>4.41</v>
      </c>
      <c r="C461" s="33">
        <f>IF($C$10+$C$7=0,Dashboard!$C$27*$C$6*B461,Dashboard!$C$27*$C$6*(1-EXP(-($C$10+$C$7)*B461))/($C$10+$C$7))</f>
        <v>180935.17957971193</v>
      </c>
      <c r="D461" s="33">
        <f>IF($C$10+$C$9=0,Dashboard!$C$27*$C$8*B461,Dashboard!$C$27*$C$8*(1-EXP(-($C$10+$C$9)*B461))/($C$10+$C$9))</f>
        <v>497185.1646639856</v>
      </c>
      <c r="E461">
        <f t="shared" si="6"/>
        <v>1</v>
      </c>
    </row>
    <row r="462" spans="2:5" x14ac:dyDescent="0.25">
      <c r="B462" s="4">
        <f>(462-20)/100</f>
        <v>4.42</v>
      </c>
      <c r="C462" s="33">
        <f>IF($C$10+$C$7=0,Dashboard!$C$27*$C$6*B462,Dashboard!$C$27*$C$6*(1-EXP(-($C$10+$C$7)*B462))/($C$10+$C$7))</f>
        <v>180935.53704204684</v>
      </c>
      <c r="D462" s="33">
        <f>IF($C$10+$C$9=0,Dashboard!$C$27*$C$8*B462,Dashboard!$C$27*$C$8*(1-EXP(-($C$10+$C$9)*B462))/($C$10+$C$9))</f>
        <v>497595.60258224269</v>
      </c>
      <c r="E462">
        <f t="shared" si="6"/>
        <v>1</v>
      </c>
    </row>
    <row r="463" spans="2:5" x14ac:dyDescent="0.25">
      <c r="B463" s="4">
        <f>(463-20)/100</f>
        <v>4.43</v>
      </c>
      <c r="C463" s="33">
        <f>IF($C$10+$C$7=0,Dashboard!$C$27*$C$6*B463,Dashboard!$C$27*$C$6*(1-EXP(-($C$10+$C$7)*B463))/($C$10+$C$7))</f>
        <v>180935.88707594425</v>
      </c>
      <c r="D463" s="33">
        <f>IF($C$10+$C$9=0,Dashboard!$C$27*$C$8*B463,Dashboard!$C$27*$C$8*(1-EXP(-($C$10+$C$9)*B463))/($C$10+$C$9))</f>
        <v>498004.4020279565</v>
      </c>
      <c r="E463">
        <f t="shared" si="6"/>
        <v>1</v>
      </c>
    </row>
    <row r="464" spans="2:5" x14ac:dyDescent="0.25">
      <c r="B464" s="4">
        <f>(464-20)/100</f>
        <v>4.4400000000000004</v>
      </c>
      <c r="C464" s="33">
        <f>IF($C$10+$C$7=0,Dashboard!$C$27*$C$6*B464,Dashboard!$C$27*$C$6*(1-EXP(-($C$10+$C$7)*B464))/($C$10+$C$7))</f>
        <v>180936.2298357749</v>
      </c>
      <c r="D464" s="33">
        <f>IF($C$10+$C$9=0,Dashboard!$C$27*$C$8*B464,Dashboard!$C$27*$C$8*(1-EXP(-($C$10+$C$9)*B464))/($C$10+$C$9))</f>
        <v>498411.56954192684</v>
      </c>
      <c r="E464">
        <f t="shared" si="6"/>
        <v>1</v>
      </c>
    </row>
    <row r="465" spans="2:5" x14ac:dyDescent="0.25">
      <c r="B465" s="4">
        <f>(465-20)/100</f>
        <v>4.45</v>
      </c>
      <c r="C465" s="33">
        <f>IF($C$10+$C$7=0,Dashboard!$C$27*$C$6*B465,Dashboard!$C$27*$C$6*(1-EXP(-($C$10+$C$7)*B465))/($C$10+$C$7))</f>
        <v>180936.5654727013</v>
      </c>
      <c r="D465" s="33">
        <f>IF($C$10+$C$9=0,Dashboard!$C$27*$C$8*B465,Dashboard!$C$27*$C$8*(1-EXP(-($C$10+$C$9)*B465))/($C$10+$C$9))</f>
        <v>498817.11163884267</v>
      </c>
      <c r="E465">
        <f t="shared" si="6"/>
        <v>1</v>
      </c>
    </row>
    <row r="466" spans="2:5" x14ac:dyDescent="0.25">
      <c r="B466" s="4">
        <f>(466-20)/100</f>
        <v>4.46</v>
      </c>
      <c r="C466" s="33">
        <f>IF($C$10+$C$7=0,Dashboard!$C$27*$C$6*B466,Dashboard!$C$27*$C$6*(1-EXP(-($C$10+$C$7)*B466))/($C$10+$C$7))</f>
        <v>180936.89413474489</v>
      </c>
      <c r="D466" s="33">
        <f>IF($C$10+$C$9=0,Dashboard!$C$27*$C$8*B466,Dashboard!$C$27*$C$8*(1-EXP(-($C$10+$C$9)*B466))/($C$10+$C$9))</f>
        <v>499221.03480738617</v>
      </c>
      <c r="E466">
        <f t="shared" si="6"/>
        <v>1</v>
      </c>
    </row>
    <row r="467" spans="2:5" x14ac:dyDescent="0.25">
      <c r="B467" s="4">
        <f>(467-20)/100</f>
        <v>4.47</v>
      </c>
      <c r="C467" s="33">
        <f>IF($C$10+$C$7=0,Dashboard!$C$27*$C$6*B467,Dashboard!$C$27*$C$6*(1-EXP(-($C$10+$C$7)*B467))/($C$10+$C$7))</f>
        <v>180937.21596685087</v>
      </c>
      <c r="D467" s="33">
        <f>IF($C$10+$C$9=0,Dashboard!$C$27*$C$8*B467,Dashboard!$C$27*$C$8*(1-EXP(-($C$10+$C$9)*B467))/($C$10+$C$9))</f>
        <v>499623.34551033663</v>
      </c>
      <c r="E467">
        <f t="shared" si="6"/>
        <v>1</v>
      </c>
    </row>
    <row r="468" spans="2:5" x14ac:dyDescent="0.25">
      <c r="B468" s="4">
        <f>(468-20)/100</f>
        <v>4.4800000000000004</v>
      </c>
      <c r="C468" s="33">
        <f>IF($C$10+$C$7=0,Dashboard!$C$27*$C$6*B468,Dashboard!$C$27*$C$6*(1-EXP(-($C$10+$C$7)*B468))/($C$10+$C$7))</f>
        <v>180937.53111095249</v>
      </c>
      <c r="D468" s="33">
        <f>IF($C$10+$C$9=0,Dashboard!$C$27*$C$8*B468,Dashboard!$C$27*$C$8*(1-EXP(-($C$10+$C$9)*B468))/($C$10+$C$9))</f>
        <v>500024.0501846738</v>
      </c>
      <c r="E468">
        <f t="shared" ref="E468:E520" si="7">IF(AND(B468&gt;0,D468&gt;C468),1,0)</f>
        <v>1</v>
      </c>
    </row>
    <row r="469" spans="2:5" x14ac:dyDescent="0.25">
      <c r="B469" s="4">
        <f>(469-20)/100</f>
        <v>4.49</v>
      </c>
      <c r="C469" s="33">
        <f>IF($C$10+$C$7=0,Dashboard!$C$27*$C$6*B469,Dashboard!$C$27*$C$6*(1-EXP(-($C$10+$C$7)*B469))/($C$10+$C$7))</f>
        <v>180937.83970603335</v>
      </c>
      <c r="D469" s="33">
        <f>IF($C$10+$C$9=0,Dashboard!$C$27*$C$8*B469,Dashboard!$C$27*$C$8*(1-EXP(-($C$10+$C$9)*B469))/($C$10+$C$9))</f>
        <v>500423.15524168115</v>
      </c>
      <c r="E469">
        <f t="shared" si="7"/>
        <v>1</v>
      </c>
    </row>
    <row r="470" spans="2:5" x14ac:dyDescent="0.25">
      <c r="B470" s="4">
        <f>(470-20)/100</f>
        <v>4.5</v>
      </c>
      <c r="C470" s="33">
        <f>IF($C$10+$C$7=0,Dashboard!$C$27*$C$6*B470,Dashboard!$C$27*$C$6*(1-EXP(-($C$10+$C$7)*B470))/($C$10+$C$7))</f>
        <v>180938.1418881889</v>
      </c>
      <c r="D470" s="33">
        <f>IF($C$10+$C$9=0,Dashboard!$C$27*$C$8*B470,Dashboard!$C$27*$C$8*(1-EXP(-($C$10+$C$9)*B470))/($C$10+$C$9))</f>
        <v>500820.66706704802</v>
      </c>
      <c r="E470">
        <f t="shared" si="7"/>
        <v>1</v>
      </c>
    </row>
    <row r="471" spans="2:5" x14ac:dyDescent="0.25">
      <c r="B471" s="4">
        <f>(471-20)/100</f>
        <v>4.51</v>
      </c>
      <c r="C471" s="33">
        <f>IF($C$10+$C$7=0,Dashboard!$C$27*$C$6*B471,Dashboard!$C$27*$C$6*(1-EXP(-($C$10+$C$7)*B471))/($C$10+$C$7))</f>
        <v>180938.43779068635</v>
      </c>
      <c r="D471" s="33">
        <f>IF($C$10+$C$9=0,Dashboard!$C$27*$C$8*B471,Dashboard!$C$27*$C$8*(1-EXP(-($C$10+$C$9)*B471))/($C$10+$C$9))</f>
        <v>501216.59202097222</v>
      </c>
      <c r="E471">
        <f t="shared" si="7"/>
        <v>1</v>
      </c>
    </row>
    <row r="472" spans="2:5" x14ac:dyDescent="0.25">
      <c r="B472" s="4">
        <f>(472-20)/100</f>
        <v>4.5199999999999996</v>
      </c>
      <c r="C472" s="33">
        <f>IF($C$10+$C$7=0,Dashboard!$C$27*$C$6*B472,Dashboard!$C$27*$C$6*(1-EXP(-($C$10+$C$7)*B472))/($C$10+$C$7))</f>
        <v>180938.72754402357</v>
      </c>
      <c r="D472" s="33">
        <f>IF($C$10+$C$9=0,Dashboard!$C$27*$C$8*B472,Dashboard!$C$27*$C$8*(1-EXP(-($C$10+$C$9)*B472))/($C$10+$C$9))</f>
        <v>501610.9364382613</v>
      </c>
      <c r="E472">
        <f t="shared" si="7"/>
        <v>1</v>
      </c>
    </row>
    <row r="473" spans="2:5" x14ac:dyDescent="0.25">
      <c r="B473" s="4">
        <f>(473-20)/100</f>
        <v>4.53</v>
      </c>
      <c r="C473" s="33">
        <f>IF($C$10+$C$7=0,Dashboard!$C$27*$C$6*B473,Dashboard!$C$27*$C$6*(1-EXP(-($C$10+$C$7)*B473))/($C$10+$C$7))</f>
        <v>180939.01127598638</v>
      </c>
      <c r="D473" s="33">
        <f>IF($C$10+$C$9=0,Dashboard!$C$27*$C$8*B473,Dashboard!$C$27*$C$8*(1-EXP(-($C$10+$C$9)*B473))/($C$10+$C$9))</f>
        <v>502003.70662843448</v>
      </c>
      <c r="E473">
        <f t="shared" si="7"/>
        <v>1</v>
      </c>
    </row>
    <row r="474" spans="2:5" x14ac:dyDescent="0.25">
      <c r="B474" s="4">
        <f>(474-20)/100</f>
        <v>4.54</v>
      </c>
      <c r="C474" s="33">
        <f>IF($C$10+$C$7=0,Dashboard!$C$27*$C$6*B474,Dashboard!$C$27*$C$6*(1-EXP(-($C$10+$C$7)*B474))/($C$10+$C$7))</f>
        <v>180939.28911170523</v>
      </c>
      <c r="D474" s="33">
        <f>IF($C$10+$C$9=0,Dashboard!$C$27*$C$8*B474,Dashboard!$C$27*$C$8*(1-EXP(-($C$10+$C$9)*B474))/($C$10+$C$9))</f>
        <v>502394.90887582314</v>
      </c>
      <c r="E474">
        <f t="shared" si="7"/>
        <v>1</v>
      </c>
    </row>
    <row r="475" spans="2:5" x14ac:dyDescent="0.25">
      <c r="B475" s="4">
        <f>(475-20)/100</f>
        <v>4.55</v>
      </c>
      <c r="C475" s="33">
        <f>IF($C$10+$C$7=0,Dashboard!$C$27*$C$6*B475,Dashboard!$C$27*$C$6*(1-EXP(-($C$10+$C$7)*B475))/($C$10+$C$7))</f>
        <v>180939.56117371016</v>
      </c>
      <c r="D475" s="33">
        <f>IF($C$10+$C$9=0,Dashboard!$C$27*$C$8*B475,Dashboard!$C$27*$C$8*(1-EXP(-($C$10+$C$9)*B475))/($C$10+$C$9))</f>
        <v>502784.54943967151</v>
      </c>
      <c r="E475">
        <f t="shared" si="7"/>
        <v>1</v>
      </c>
    </row>
    <row r="476" spans="2:5" x14ac:dyDescent="0.25">
      <c r="B476" s="4">
        <f>(476-20)/100</f>
        <v>4.5599999999999996</v>
      </c>
      <c r="C476" s="33">
        <f>IF($C$10+$C$7=0,Dashboard!$C$27*$C$6*B476,Dashboard!$C$27*$C$6*(1-EXP(-($C$10+$C$7)*B476))/($C$10+$C$7))</f>
        <v>180939.82758198495</v>
      </c>
      <c r="D476" s="33">
        <f>IF($C$10+$C$9=0,Dashboard!$C$27*$C$8*B476,Dashboard!$C$27*$C$8*(1-EXP(-($C$10+$C$9)*B476))/($C$10+$C$9))</f>
        <v>503172.63455423701</v>
      </c>
      <c r="E476">
        <f t="shared" si="7"/>
        <v>1</v>
      </c>
    </row>
    <row r="477" spans="2:5" x14ac:dyDescent="0.25">
      <c r="B477" s="4">
        <f>(477-20)/100</f>
        <v>4.57</v>
      </c>
      <c r="C477" s="33">
        <f>IF($C$10+$C$7=0,Dashboard!$C$27*$C$6*B477,Dashboard!$C$27*$C$6*(1-EXP(-($C$10+$C$7)*B477))/($C$10+$C$7))</f>
        <v>180940.08845401992</v>
      </c>
      <c r="D477" s="33">
        <f>IF($C$10+$C$9=0,Dashboard!$C$27*$C$8*B477,Dashboard!$C$27*$C$8*(1-EXP(-($C$10+$C$9)*B477))/($C$10+$C$9))</f>
        <v>503559.17042888975</v>
      </c>
      <c r="E477">
        <f t="shared" si="7"/>
        <v>1</v>
      </c>
    </row>
    <row r="478" spans="2:5" x14ac:dyDescent="0.25">
      <c r="B478" s="4">
        <f>(478-20)/100</f>
        <v>4.58</v>
      </c>
      <c r="C478" s="33">
        <f>IF($C$10+$C$7=0,Dashboard!$C$27*$C$6*B478,Dashboard!$C$27*$C$6*(1-EXP(-($C$10+$C$7)*B478))/($C$10+$C$7))</f>
        <v>180940.34390486387</v>
      </c>
      <c r="D478" s="33">
        <f>IF($C$10+$C$9=0,Dashboard!$C$27*$C$8*B478,Dashboard!$C$27*$C$8*(1-EXP(-($C$10+$C$9)*B478))/($C$10+$C$9))</f>
        <v>503944.16324821196</v>
      </c>
      <c r="E478">
        <f t="shared" si="7"/>
        <v>1</v>
      </c>
    </row>
    <row r="479" spans="2:5" x14ac:dyDescent="0.25">
      <c r="B479" s="4">
        <f>(479-20)/100</f>
        <v>4.59</v>
      </c>
      <c r="C479" s="33">
        <f>IF($C$10+$C$7=0,Dashboard!$C$27*$C$6*B479,Dashboard!$C$27*$C$6*(1-EXP(-($C$10+$C$7)*B479))/($C$10+$C$7))</f>
        <v>180940.59404717479</v>
      </c>
      <c r="D479" s="33">
        <f>IF($C$10+$C$9=0,Dashboard!$C$27*$C$8*B479,Dashboard!$C$27*$C$8*(1-EXP(-($C$10+$C$9)*B479))/($C$10+$C$9))</f>
        <v>504327.61917209689</v>
      </c>
      <c r="E479">
        <f t="shared" si="7"/>
        <v>1</v>
      </c>
    </row>
    <row r="480" spans="2:5" x14ac:dyDescent="0.25">
      <c r="B480" s="4">
        <f>(480-20)/100</f>
        <v>4.5999999999999996</v>
      </c>
      <c r="C480" s="33">
        <f>IF($C$10+$C$7=0,Dashboard!$C$27*$C$6*B480,Dashboard!$C$27*$C$6*(1-EXP(-($C$10+$C$7)*B480))/($C$10+$C$7))</f>
        <v>180940.83899126953</v>
      </c>
      <c r="D480" s="33">
        <f>IF($C$10+$C$9=0,Dashboard!$C$27*$C$8*B480,Dashboard!$C$27*$C$8*(1-EXP(-($C$10+$C$9)*B480))/($C$10+$C$9))</f>
        <v>504709.54433584749</v>
      </c>
      <c r="E480">
        <f t="shared" si="7"/>
        <v>1</v>
      </c>
    </row>
    <row r="481" spans="2:5" x14ac:dyDescent="0.25">
      <c r="B481" s="4">
        <f>(481-20)/100</f>
        <v>4.6100000000000003</v>
      </c>
      <c r="C481" s="33">
        <f>IF($C$10+$C$7=0,Dashboard!$C$27*$C$6*B481,Dashboard!$C$27*$C$6*(1-EXP(-($C$10+$C$7)*B481))/($C$10+$C$7))</f>
        <v>180941.07884517231</v>
      </c>
      <c r="D481" s="33">
        <f>IF($C$10+$C$9=0,Dashboard!$C$27*$C$8*B481,Dashboard!$C$27*$C$8*(1-EXP(-($C$10+$C$9)*B481))/($C$10+$C$9))</f>
        <v>505089.94485027483</v>
      </c>
      <c r="E481">
        <f t="shared" si="7"/>
        <v>1</v>
      </c>
    </row>
    <row r="482" spans="2:5" x14ac:dyDescent="0.25">
      <c r="B482" s="4">
        <f>(482-20)/100</f>
        <v>4.62</v>
      </c>
      <c r="C482" s="33">
        <f>IF($C$10+$C$7=0,Dashboard!$C$27*$C$6*B482,Dashboard!$C$27*$C$6*(1-EXP(-($C$10+$C$7)*B482))/($C$10+$C$7))</f>
        <v>180941.31371466265</v>
      </c>
      <c r="D482" s="33">
        <f>IF($C$10+$C$9=0,Dashboard!$C$27*$C$8*B482,Dashboard!$C$27*$C$8*(1-EXP(-($C$10+$C$9)*B482))/($C$10+$C$9))</f>
        <v>505468.82680179481</v>
      </c>
      <c r="E482">
        <f t="shared" si="7"/>
        <v>1</v>
      </c>
    </row>
    <row r="483" spans="2:5" x14ac:dyDescent="0.25">
      <c r="B483" s="4">
        <f>(483-20)/100</f>
        <v>4.63</v>
      </c>
      <c r="C483" s="33">
        <f>IF($C$10+$C$7=0,Dashboard!$C$27*$C$6*B483,Dashboard!$C$27*$C$6*(1-EXP(-($C$10+$C$7)*B483))/($C$10+$C$7))</f>
        <v>180941.5437033218</v>
      </c>
      <c r="D483" s="33">
        <f>IF($C$10+$C$9=0,Dashboard!$C$27*$C$8*B483,Dashboard!$C$27*$C$8*(1-EXP(-($C$10+$C$9)*B483))/($C$10+$C$9))</f>
        <v>505846.19625252706</v>
      </c>
      <c r="E483">
        <f t="shared" si="7"/>
        <v>1</v>
      </c>
    </row>
    <row r="484" spans="2:5" x14ac:dyDescent="0.25">
      <c r="B484" s="4">
        <f>(484-20)/100</f>
        <v>4.6399999999999997</v>
      </c>
      <c r="C484" s="33">
        <f>IF($C$10+$C$7=0,Dashboard!$C$27*$C$6*B484,Dashboard!$C$27*$C$6*(1-EXP(-($C$10+$C$7)*B484))/($C$10+$C$7))</f>
        <v>180941.76891257847</v>
      </c>
      <c r="D484" s="33">
        <f>IF($C$10+$C$9=0,Dashboard!$C$27*$C$8*B484,Dashboard!$C$27*$C$8*(1-EXP(-($C$10+$C$9)*B484))/($C$10+$C$9))</f>
        <v>506222.05924039066</v>
      </c>
      <c r="E484">
        <f t="shared" si="7"/>
        <v>1</v>
      </c>
    </row>
    <row r="485" spans="2:5" x14ac:dyDescent="0.25">
      <c r="B485" s="4">
        <f>(485-20)/100</f>
        <v>4.6500000000000004</v>
      </c>
      <c r="C485" s="33">
        <f>IF($C$10+$C$7=0,Dashboard!$C$27*$C$6*B485,Dashboard!$C$27*$C$6*(1-EXP(-($C$10+$C$7)*B485))/($C$10+$C$7))</f>
        <v>180941.98944175357</v>
      </c>
      <c r="D485" s="33">
        <f>IF($C$10+$C$9=0,Dashboard!$C$27*$C$8*B485,Dashboard!$C$27*$C$8*(1-EXP(-($C$10+$C$9)*B485))/($C$10+$C$9))</f>
        <v>506596.4217792016</v>
      </c>
      <c r="E485">
        <f t="shared" si="7"/>
        <v>1</v>
      </c>
    </row>
    <row r="486" spans="2:5" x14ac:dyDescent="0.25">
      <c r="B486" s="4">
        <f>(486-20)/100</f>
        <v>4.66</v>
      </c>
      <c r="C486" s="33">
        <f>IF($C$10+$C$7=0,Dashboard!$C$27*$C$6*B486,Dashboard!$C$27*$C$6*(1-EXP(-($C$10+$C$7)*B486))/($C$10+$C$7))</f>
        <v>180942.20538810414</v>
      </c>
      <c r="D486" s="33">
        <f>IF($C$10+$C$9=0,Dashboard!$C$27*$C$8*B486,Dashboard!$C$27*$C$8*(1-EXP(-($C$10+$C$9)*B486))/($C$10+$C$9))</f>
        <v>506969.28985876834</v>
      </c>
      <c r="E486">
        <f t="shared" si="7"/>
        <v>1</v>
      </c>
    </row>
    <row r="487" spans="2:5" x14ac:dyDescent="0.25">
      <c r="B487" s="4">
        <f>(487-20)/100</f>
        <v>4.67</v>
      </c>
      <c r="C487" s="33">
        <f>IF($C$10+$C$7=0,Dashboard!$C$27*$C$6*B487,Dashboard!$C$27*$C$6*(1-EXP(-($C$10+$C$7)*B487))/($C$10+$C$7))</f>
        <v>180942.41684686588</v>
      </c>
      <c r="D487" s="33">
        <f>IF($C$10+$C$9=0,Dashboard!$C$27*$C$8*B487,Dashboard!$C$27*$C$8*(1-EXP(-($C$10+$C$9)*B487))/($C$10+$C$9))</f>
        <v>507340.66944498813</v>
      </c>
      <c r="E487">
        <f t="shared" si="7"/>
        <v>1</v>
      </c>
    </row>
    <row r="488" spans="2:5" x14ac:dyDescent="0.25">
      <c r="B488" s="4">
        <f>(488-20)/100</f>
        <v>4.68</v>
      </c>
      <c r="C488" s="33">
        <f>IF($C$10+$C$7=0,Dashboard!$C$27*$C$6*B488,Dashboard!$C$27*$C$6*(1-EXP(-($C$10+$C$7)*B488))/($C$10+$C$7))</f>
        <v>180942.62391129564</v>
      </c>
      <c r="D488" s="33">
        <f>IF($C$10+$C$9=0,Dashboard!$C$27*$C$8*B488,Dashboard!$C$27*$C$8*(1-EXP(-($C$10+$C$9)*B488))/($C$10+$C$9))</f>
        <v>507710.56647994241</v>
      </c>
      <c r="E488">
        <f t="shared" si="7"/>
        <v>1</v>
      </c>
    </row>
    <row r="489" spans="2:5" x14ac:dyDescent="0.25">
      <c r="B489" s="4">
        <f>(489-20)/100</f>
        <v>4.6900000000000004</v>
      </c>
      <c r="C489" s="33">
        <f>IF($C$10+$C$7=0,Dashboard!$C$27*$C$6*B489,Dashboard!$C$27*$C$6*(1-EXP(-($C$10+$C$7)*B489))/($C$10+$C$7))</f>
        <v>180942.82667271211</v>
      </c>
      <c r="D489" s="33">
        <f>IF($C$10+$C$9=0,Dashboard!$C$27*$C$8*B489,Dashboard!$C$27*$C$8*(1-EXP(-($C$10+$C$9)*B489))/($C$10+$C$9))</f>
        <v>508078.9868819915</v>
      </c>
      <c r="E489">
        <f t="shared" si="7"/>
        <v>1</v>
      </c>
    </row>
    <row r="490" spans="2:5" x14ac:dyDescent="0.25">
      <c r="B490" s="4">
        <f>(490-20)/100</f>
        <v>4.7</v>
      </c>
      <c r="C490" s="33">
        <f>IF($C$10+$C$7=0,Dashboard!$C$27*$C$6*B490,Dashboard!$C$27*$C$6*(1-EXP(-($C$10+$C$7)*B490))/($C$10+$C$7))</f>
        <v>180943.02522053642</v>
      </c>
      <c r="D490" s="33">
        <f>IF($C$10+$C$9=0,Dashboard!$C$27*$C$8*B490,Dashboard!$C$27*$C$8*(1-EXP(-($C$10+$C$9)*B490))/($C$10+$C$9))</f>
        <v>508445.93654586963</v>
      </c>
      <c r="E490">
        <f t="shared" si="7"/>
        <v>1</v>
      </c>
    </row>
    <row r="491" spans="2:5" x14ac:dyDescent="0.25">
      <c r="B491" s="4">
        <f>(491-20)/100</f>
        <v>4.71</v>
      </c>
      <c r="C491" s="33">
        <f>IF($C$10+$C$7=0,Dashboard!$C$27*$C$6*B491,Dashboard!$C$27*$C$6*(1-EXP(-($C$10+$C$7)*B491))/($C$10+$C$7))</f>
        <v>180943.21964233136</v>
      </c>
      <c r="D491" s="33">
        <f>IF($C$10+$C$9=0,Dashboard!$C$27*$C$8*B491,Dashboard!$C$27*$C$8*(1-EXP(-($C$10+$C$9)*B491))/($C$10+$C$9))</f>
        <v>508811.42134277942</v>
      </c>
      <c r="E491">
        <f t="shared" si="7"/>
        <v>1</v>
      </c>
    </row>
    <row r="492" spans="2:5" x14ac:dyDescent="0.25">
      <c r="B492" s="4">
        <f>(492-20)/100</f>
        <v>4.72</v>
      </c>
      <c r="C492" s="33">
        <f>IF($C$10+$C$7=0,Dashboard!$C$27*$C$6*B492,Dashboard!$C$27*$C$6*(1-EXP(-($C$10+$C$7)*B492))/($C$10+$C$7))</f>
        <v>180943.41002384009</v>
      </c>
      <c r="D492" s="33">
        <f>IF($C$10+$C$9=0,Dashboard!$C$27*$C$8*B492,Dashboard!$C$27*$C$8*(1-EXP(-($C$10+$C$9)*B492))/($C$10+$C$9))</f>
        <v>509175.4471204853</v>
      </c>
      <c r="E492">
        <f t="shared" si="7"/>
        <v>1</v>
      </c>
    </row>
    <row r="493" spans="2:5" x14ac:dyDescent="0.25">
      <c r="B493" s="4">
        <f>(493-20)/100</f>
        <v>4.7300000000000004</v>
      </c>
      <c r="C493" s="33">
        <f>IF($C$10+$C$7=0,Dashboard!$C$27*$C$6*B493,Dashboard!$C$27*$C$6*(1-EXP(-($C$10+$C$7)*B493))/($C$10+$C$7))</f>
        <v>180943.59644902396</v>
      </c>
      <c r="D493" s="33">
        <f>IF($C$10+$C$9=0,Dashboard!$C$27*$C$8*B493,Dashboard!$C$27*$C$8*(1-EXP(-($C$10+$C$9)*B493))/($C$10+$C$9))</f>
        <v>509538.0197034076</v>
      </c>
      <c r="E493">
        <f t="shared" si="7"/>
        <v>1</v>
      </c>
    </row>
    <row r="494" spans="2:5" x14ac:dyDescent="0.25">
      <c r="B494" s="4">
        <f>(494-20)/100</f>
        <v>4.74</v>
      </c>
      <c r="C494" s="33">
        <f>IF($C$10+$C$7=0,Dashboard!$C$27*$C$6*B494,Dashboard!$C$27*$C$6*(1-EXP(-($C$10+$C$7)*B494))/($C$10+$C$7))</f>
        <v>180943.77900009946</v>
      </c>
      <c r="D494" s="33">
        <f>IF($C$10+$C$9=0,Dashboard!$C$27*$C$8*B494,Dashboard!$C$27*$C$8*(1-EXP(-($C$10+$C$9)*B494))/($C$10+$C$9))</f>
        <v>509899.14489271515</v>
      </c>
      <c r="E494">
        <f t="shared" si="7"/>
        <v>1</v>
      </c>
    </row>
    <row r="495" spans="2:5" x14ac:dyDescent="0.25">
      <c r="B495" s="4">
        <f>(495-20)/100</f>
        <v>4.75</v>
      </c>
      <c r="C495" s="33">
        <f>IF($C$10+$C$7=0,Dashboard!$C$27*$C$6*B495,Dashboard!$C$27*$C$6*(1-EXP(-($C$10+$C$7)*B495))/($C$10+$C$7))</f>
        <v>180943.95775757456</v>
      </c>
      <c r="D495" s="33">
        <f>IF($C$10+$C$9=0,Dashboard!$C$27*$C$8*B495,Dashboard!$C$27*$C$8*(1-EXP(-($C$10+$C$9)*B495))/($C$10+$C$9))</f>
        <v>510258.8284664189</v>
      </c>
      <c r="E495">
        <f t="shared" si="7"/>
        <v>1</v>
      </c>
    </row>
    <row r="496" spans="2:5" x14ac:dyDescent="0.25">
      <c r="B496" s="4">
        <f>(496-20)/100</f>
        <v>4.76</v>
      </c>
      <c r="C496" s="33">
        <f>IF($C$10+$C$7=0,Dashboard!$C$27*$C$6*B496,Dashboard!$C$27*$C$6*(1-EXP(-($C$10+$C$7)*B496))/($C$10+$C$7))</f>
        <v>180944.13280028428</v>
      </c>
      <c r="D496" s="33">
        <f>IF($C$10+$C$9=0,Dashboard!$C$27*$C$8*B496,Dashboard!$C$27*$C$8*(1-EXP(-($C$10+$C$9)*B496))/($C$10+$C$9))</f>
        <v>510617.07617946365</v>
      </c>
      <c r="E496">
        <f t="shared" si="7"/>
        <v>1</v>
      </c>
    </row>
    <row r="497" spans="2:5" x14ac:dyDescent="0.25">
      <c r="B497" s="4">
        <f>(497-20)/100</f>
        <v>4.7699999999999996</v>
      </c>
      <c r="C497" s="33">
        <f>IF($C$10+$C$7=0,Dashboard!$C$27*$C$6*B497,Dashboard!$C$27*$C$6*(1-EXP(-($C$10+$C$7)*B497))/($C$10+$C$7))</f>
        <v>180944.30420542523</v>
      </c>
      <c r="D497" s="33">
        <f>IF($C$10+$C$9=0,Dashboard!$C$27*$C$8*B497,Dashboard!$C$27*$C$8*(1-EXP(-($C$10+$C$9)*B497))/($C$10+$C$9))</f>
        <v>510973.89376382041</v>
      </c>
      <c r="E497">
        <f t="shared" si="7"/>
        <v>1</v>
      </c>
    </row>
    <row r="498" spans="2:5" x14ac:dyDescent="0.25">
      <c r="B498" s="4">
        <f>(498-20)/100</f>
        <v>4.78</v>
      </c>
      <c r="C498" s="33">
        <f>IF($C$10+$C$7=0,Dashboard!$C$27*$C$6*B498,Dashboard!$C$27*$C$6*(1-EXP(-($C$10+$C$7)*B498))/($C$10+$C$7))</f>
        <v>180944.4720485899</v>
      </c>
      <c r="D498" s="33">
        <f>IF($C$10+$C$9=0,Dashboard!$C$27*$C$8*B498,Dashboard!$C$27*$C$8*(1-EXP(-($C$10+$C$9)*B498))/($C$10+$C$9))</f>
        <v>511329.28692857828</v>
      </c>
      <c r="E498">
        <f t="shared" si="7"/>
        <v>1</v>
      </c>
    </row>
    <row r="499" spans="2:5" x14ac:dyDescent="0.25">
      <c r="B499" s="4">
        <f>(499-20)/100</f>
        <v>4.79</v>
      </c>
      <c r="C499" s="33">
        <f>IF($C$10+$C$7=0,Dashboard!$C$27*$C$6*B499,Dashboard!$C$27*$C$6*(1-EXP(-($C$10+$C$7)*B499))/($C$10+$C$7))</f>
        <v>180944.63640379978</v>
      </c>
      <c r="D499" s="33">
        <f>IF($C$10+$C$9=0,Dashboard!$C$27*$C$8*B499,Dashboard!$C$27*$C$8*(1-EXP(-($C$10+$C$9)*B499))/($C$10+$C$9))</f>
        <v>511683.26136003522</v>
      </c>
      <c r="E499">
        <f t="shared" si="7"/>
        <v>1</v>
      </c>
    </row>
    <row r="500" spans="2:5" x14ac:dyDescent="0.25">
      <c r="B500" s="4">
        <f>(500-20)/100</f>
        <v>4.8</v>
      </c>
      <c r="C500" s="33">
        <f>IF($C$10+$C$7=0,Dashboard!$C$27*$C$6*B500,Dashboard!$C$27*$C$6*(1-EXP(-($C$10+$C$7)*B500))/($C$10+$C$7))</f>
        <v>180944.79734353826</v>
      </c>
      <c r="D500" s="33">
        <f>IF($C$10+$C$9=0,Dashboard!$C$27*$C$8*B500,Dashboard!$C$27*$C$8*(1-EXP(-($C$10+$C$9)*B500))/($C$10+$C$9))</f>
        <v>512035.82272178988</v>
      </c>
      <c r="E500">
        <f t="shared" si="7"/>
        <v>1</v>
      </c>
    </row>
    <row r="501" spans="2:5" x14ac:dyDescent="0.25">
      <c r="B501" s="4">
        <f>(501-20)/100</f>
        <v>4.8099999999999996</v>
      </c>
      <c r="C501" s="33">
        <f>IF($C$10+$C$7=0,Dashboard!$C$27*$C$6*B501,Dashboard!$C$27*$C$6*(1-EXP(-($C$10+$C$7)*B501))/($C$10+$C$7))</f>
        <v>180944.95493878232</v>
      </c>
      <c r="D501" s="33">
        <f>IF($C$10+$C$9=0,Dashboard!$C$27*$C$8*B501,Dashboard!$C$27*$C$8*(1-EXP(-($C$10+$C$9)*B501))/($C$10+$C$9))</f>
        <v>512386.97665483155</v>
      </c>
      <c r="E501">
        <f t="shared" si="7"/>
        <v>1</v>
      </c>
    </row>
    <row r="502" spans="2:5" x14ac:dyDescent="0.25">
      <c r="B502" s="4">
        <f>(502-20)/100</f>
        <v>4.82</v>
      </c>
      <c r="C502" s="33">
        <f>IF($C$10+$C$7=0,Dashboard!$C$27*$C$6*B502,Dashboard!$C$27*$C$6*(1-EXP(-($C$10+$C$7)*B502))/($C$10+$C$7))</f>
        <v>180945.10925903401</v>
      </c>
      <c r="D502" s="33">
        <f>IF($C$10+$C$9=0,Dashboard!$C$27*$C$8*B502,Dashboard!$C$27*$C$8*(1-EXP(-($C$10+$C$9)*B502))/($C$10+$C$9))</f>
        <v>512736.7287776306</v>
      </c>
      <c r="E502">
        <f t="shared" si="7"/>
        <v>1</v>
      </c>
    </row>
    <row r="503" spans="2:5" x14ac:dyDescent="0.25">
      <c r="B503" s="4">
        <f>(503-20)/100</f>
        <v>4.83</v>
      </c>
      <c r="C503" s="33">
        <f>IF($C$10+$C$7=0,Dashboard!$C$27*$C$6*B503,Dashboard!$C$27*$C$6*(1-EXP(-($C$10+$C$7)*B503))/($C$10+$C$7))</f>
        <v>180945.2603723511</v>
      </c>
      <c r="D503" s="33">
        <f>IF($C$10+$C$9=0,Dashboard!$C$27*$C$8*B503,Dashboard!$C$27*$C$8*(1-EXP(-($C$10+$C$9)*B503))/($C$10+$C$9))</f>
        <v>513085.08468622842</v>
      </c>
      <c r="E503">
        <f t="shared" si="7"/>
        <v>1</v>
      </c>
    </row>
    <row r="504" spans="2:5" x14ac:dyDescent="0.25">
      <c r="B504" s="4">
        <f>(504-20)/100</f>
        <v>4.84</v>
      </c>
      <c r="C504" s="33">
        <f>IF($C$10+$C$7=0,Dashboard!$C$27*$C$6*B504,Dashboard!$C$27*$C$6*(1-EXP(-($C$10+$C$7)*B504))/($C$10+$C$7))</f>
        <v>180945.40834537699</v>
      </c>
      <c r="D504" s="33">
        <f>IF($C$10+$C$9=0,Dashboard!$C$27*$C$8*B504,Dashboard!$C$27*$C$8*(1-EXP(-($C$10+$C$9)*B504))/($C$10+$C$9))</f>
        <v>513432.04995432706</v>
      </c>
      <c r="E504">
        <f t="shared" si="7"/>
        <v>1</v>
      </c>
    </row>
    <row r="505" spans="2:5" x14ac:dyDescent="0.25">
      <c r="B505" s="4">
        <f>(505-20)/100</f>
        <v>4.8499999999999996</v>
      </c>
      <c r="C505" s="33">
        <f>IF($C$10+$C$7=0,Dashboard!$C$27*$C$6*B505,Dashboard!$C$27*$C$6*(1-EXP(-($C$10+$C$7)*B505))/($C$10+$C$7))</f>
        <v>180945.55324337014</v>
      </c>
      <c r="D505" s="33">
        <f>IF($C$10+$C$9=0,Dashboard!$C$27*$C$8*B505,Dashboard!$C$27*$C$8*(1-EXP(-($C$10+$C$9)*B505))/($C$10+$C$9))</f>
        <v>513777.63013337826</v>
      </c>
      <c r="E505">
        <f t="shared" si="7"/>
        <v>1</v>
      </c>
    </row>
    <row r="506" spans="2:5" x14ac:dyDescent="0.25">
      <c r="B506" s="4">
        <f>(506-20)/100</f>
        <v>4.8600000000000003</v>
      </c>
      <c r="C506" s="33">
        <f>IF($C$10+$C$7=0,Dashboard!$C$27*$C$6*B506,Dashboard!$C$27*$C$6*(1-EXP(-($C$10+$C$7)*B506))/($C$10+$C$7))</f>
        <v>180945.69513023304</v>
      </c>
      <c r="D506" s="33">
        <f>IF($C$10+$C$9=0,Dashboard!$C$27*$C$8*B506,Dashboard!$C$27*$C$8*(1-EXP(-($C$10+$C$9)*B506))/($C$10+$C$9))</f>
        <v>514121.8307526721</v>
      </c>
      <c r="E506">
        <f t="shared" si="7"/>
        <v>1</v>
      </c>
    </row>
    <row r="507" spans="2:5" x14ac:dyDescent="0.25">
      <c r="B507" s="4">
        <f>(507-20)/100</f>
        <v>4.87</v>
      </c>
      <c r="C507" s="33">
        <f>IF($C$10+$C$7=0,Dashboard!$C$27*$C$6*B507,Dashboard!$C$27*$C$6*(1-EXP(-($C$10+$C$7)*B507))/($C$10+$C$7))</f>
        <v>180945.83406853996</v>
      </c>
      <c r="D507" s="33">
        <f>IF($C$10+$C$9=0,Dashboard!$C$27*$C$8*B507,Dashboard!$C$27*$C$8*(1-EXP(-($C$10+$C$9)*B507))/($C$10+$C$9))</f>
        <v>514464.65731942595</v>
      </c>
      <c r="E507">
        <f t="shared" si="7"/>
        <v>1</v>
      </c>
    </row>
    <row r="508" spans="2:5" x14ac:dyDescent="0.25">
      <c r="B508" s="4">
        <f>(508-20)/100</f>
        <v>4.88</v>
      </c>
      <c r="C508" s="33">
        <f>IF($C$10+$C$7=0,Dashboard!$C$27*$C$6*B508,Dashboard!$C$27*$C$6*(1-EXP(-($C$10+$C$7)*B508))/($C$10+$C$7))</f>
        <v>180945.97011956503</v>
      </c>
      <c r="D508" s="33">
        <f>IF($C$10+$C$9=0,Dashboard!$C$27*$C$8*B508,Dashboard!$C$27*$C$8*(1-EXP(-($C$10+$C$9)*B508))/($C$10+$C$9))</f>
        <v>514806.11531887215</v>
      </c>
      <c r="E508">
        <f t="shared" si="7"/>
        <v>1</v>
      </c>
    </row>
    <row r="509" spans="2:5" x14ac:dyDescent="0.25">
      <c r="B509" s="4">
        <f>(509-20)/100</f>
        <v>4.8899999999999997</v>
      </c>
      <c r="C509" s="33">
        <f>IF($C$10+$C$7=0,Dashboard!$C$27*$C$6*B509,Dashboard!$C$27*$C$6*(1-EXP(-($C$10+$C$7)*B509))/($C$10+$C$7))</f>
        <v>180946.1033433089</v>
      </c>
      <c r="D509" s="33">
        <f>IF($C$10+$C$9=0,Dashboard!$C$27*$C$8*B509,Dashboard!$C$27*$C$8*(1-EXP(-($C$10+$C$9)*B509))/($C$10+$C$9))</f>
        <v>515146.21021434595</v>
      </c>
      <c r="E509">
        <f t="shared" si="7"/>
        <v>1</v>
      </c>
    </row>
    <row r="510" spans="2:5" x14ac:dyDescent="0.25">
      <c r="B510" s="4">
        <f>(510-20)/100</f>
        <v>4.9000000000000004</v>
      </c>
      <c r="C510" s="33">
        <f>IF($C$10+$C$7=0,Dashboard!$C$27*$C$6*B510,Dashboard!$C$27*$C$6*(1-EXP(-($C$10+$C$7)*B510))/($C$10+$C$7))</f>
        <v>180946.23379852547</v>
      </c>
      <c r="D510" s="33">
        <f>IF($C$10+$C$9=0,Dashboard!$C$27*$C$8*B510,Dashboard!$C$27*$C$8*(1-EXP(-($C$10+$C$9)*B510))/($C$10+$C$9))</f>
        <v>515484.94744737301</v>
      </c>
      <c r="E510">
        <f t="shared" si="7"/>
        <v>1</v>
      </c>
    </row>
    <row r="511" spans="2:5" x14ac:dyDescent="0.25">
      <c r="B511" s="4">
        <f>(511-20)/100</f>
        <v>4.91</v>
      </c>
      <c r="C511" s="33">
        <f>IF($C$10+$C$7=0,Dashboard!$C$27*$C$6*B511,Dashboard!$C$27*$C$6*(1-EXP(-($C$10+$C$7)*B511))/($C$10+$C$7))</f>
        <v>180946.36154274753</v>
      </c>
      <c r="D511" s="33">
        <f>IF($C$10+$C$9=0,Dashboard!$C$27*$C$8*B511,Dashboard!$C$27*$C$8*(1-EXP(-($C$10+$C$9)*B511))/($C$10+$C$9))</f>
        <v>515822.33243775618</v>
      </c>
      <c r="E511">
        <f t="shared" si="7"/>
        <v>1</v>
      </c>
    </row>
    <row r="512" spans="2:5" x14ac:dyDescent="0.25">
      <c r="B512" s="4">
        <f>(512-20)/100</f>
        <v>4.92</v>
      </c>
      <c r="C512" s="33">
        <f>IF($C$10+$C$7=0,Dashboard!$C$27*$C$6*B512,Dashboard!$C$27*$C$6*(1-EXP(-($C$10+$C$7)*B512))/($C$10+$C$7))</f>
        <v>180946.48663231239</v>
      </c>
      <c r="D512" s="33">
        <f>IF($C$10+$C$9=0,Dashboard!$C$27*$C$8*B512,Dashboard!$C$27*$C$8*(1-EXP(-($C$10+$C$9)*B512))/($C$10+$C$9))</f>
        <v>516158.37058366259</v>
      </c>
      <c r="E512">
        <f t="shared" si="7"/>
        <v>1</v>
      </c>
    </row>
    <row r="513" spans="2:5" x14ac:dyDescent="0.25">
      <c r="B513" s="4">
        <f>(513-20)/100</f>
        <v>4.93</v>
      </c>
      <c r="C513" s="33">
        <f>IF($C$10+$C$7=0,Dashboard!$C$27*$C$6*B513,Dashboard!$C$27*$C$6*(1-EXP(-($C$10+$C$7)*B513))/($C$10+$C$7))</f>
        <v>180946.60912238655</v>
      </c>
      <c r="D513" s="33">
        <f>IF($C$10+$C$9=0,Dashboard!$C$27*$C$8*B513,Dashboard!$C$27*$C$8*(1-EXP(-($C$10+$C$9)*B513))/($C$10+$C$9))</f>
        <v>516493.06726170972</v>
      </c>
      <c r="E513">
        <f t="shared" si="7"/>
        <v>1</v>
      </c>
    </row>
    <row r="514" spans="2:5" x14ac:dyDescent="0.25">
      <c r="B514" s="4">
        <f>(514-20)/100</f>
        <v>4.9400000000000004</v>
      </c>
      <c r="C514" s="33">
        <f>IF($C$10+$C$7=0,Dashboard!$C$27*$C$6*B514,Dashboard!$C$27*$C$6*(1-EXP(-($C$10+$C$7)*B514))/($C$10+$C$7))</f>
        <v>180946.7290669902</v>
      </c>
      <c r="D514" s="33">
        <f>IF($C$10+$C$9=0,Dashboard!$C$27*$C$8*B514,Dashboard!$C$27*$C$8*(1-EXP(-($C$10+$C$9)*B514))/($C$10+$C$9))</f>
        <v>516826.42782705167</v>
      </c>
      <c r="E514">
        <f t="shared" si="7"/>
        <v>1</v>
      </c>
    </row>
    <row r="515" spans="2:5" x14ac:dyDescent="0.25">
      <c r="B515" s="4">
        <f>(515-20)/100</f>
        <v>4.95</v>
      </c>
      <c r="C515" s="33">
        <f>IF($C$10+$C$7=0,Dashboard!$C$27*$C$6*B515,Dashboard!$C$27*$C$6*(1-EXP(-($C$10+$C$7)*B515))/($C$10+$C$7))</f>
        <v>180946.84651902074</v>
      </c>
      <c r="D515" s="33">
        <f>IF($C$10+$C$9=0,Dashboard!$C$27*$C$8*B515,Dashboard!$C$27*$C$8*(1-EXP(-($C$10+$C$9)*B515))/($C$10+$C$9))</f>
        <v>517158.45761346427</v>
      </c>
      <c r="E515">
        <f t="shared" si="7"/>
        <v>1</v>
      </c>
    </row>
    <row r="516" spans="2:5" x14ac:dyDescent="0.25">
      <c r="B516" s="4">
        <f>(516-20)/100</f>
        <v>4.96</v>
      </c>
      <c r="C516" s="33">
        <f>IF($C$10+$C$7=0,Dashboard!$C$27*$C$6*B516,Dashboard!$C$27*$C$6*(1-EXP(-($C$10+$C$7)*B516))/($C$10+$C$7))</f>
        <v>180946.96153027652</v>
      </c>
      <c r="D516" s="33">
        <f>IF($C$10+$C$9=0,Dashboard!$C$27*$C$8*B516,Dashboard!$C$27*$C$8*(1-EXP(-($C$10+$C$9)*B516))/($C$10+$C$9))</f>
        <v>517489.16193343152</v>
      </c>
      <c r="E516">
        <f t="shared" si="7"/>
        <v>1</v>
      </c>
    </row>
    <row r="517" spans="2:5" x14ac:dyDescent="0.25">
      <c r="B517" s="4">
        <f>(517-20)/100</f>
        <v>4.97</v>
      </c>
      <c r="C517" s="33">
        <f>IF($C$10+$C$7=0,Dashboard!$C$27*$C$6*B517,Dashboard!$C$27*$C$6*(1-EXP(-($C$10+$C$7)*B517))/($C$10+$C$7))</f>
        <v>180947.07415147926</v>
      </c>
      <c r="D517" s="33">
        <f>IF($C$10+$C$9=0,Dashboard!$C$27*$C$8*B517,Dashboard!$C$27*$C$8*(1-EXP(-($C$10+$C$9)*B517))/($C$10+$C$9))</f>
        <v>517818.54607822944</v>
      </c>
      <c r="E517">
        <f t="shared" si="7"/>
        <v>1</v>
      </c>
    </row>
    <row r="518" spans="2:5" x14ac:dyDescent="0.25">
      <c r="B518" s="4">
        <f>(518-20)/100</f>
        <v>4.9800000000000004</v>
      </c>
      <c r="C518" s="33">
        <f>IF($C$10+$C$7=0,Dashboard!$C$27*$C$6*B518,Dashboard!$C$27*$C$6*(1-EXP(-($C$10+$C$7)*B518))/($C$10+$C$7))</f>
        <v>180947.18443229684</v>
      </c>
      <c r="D518" s="33">
        <f>IF($C$10+$C$9=0,Dashboard!$C$27*$C$8*B518,Dashboard!$C$27*$C$8*(1-EXP(-($C$10+$C$9)*B518))/($C$10+$C$9))</f>
        <v>518146.61531801143</v>
      </c>
      <c r="E518">
        <f t="shared" si="7"/>
        <v>1</v>
      </c>
    </row>
    <row r="519" spans="2:5" x14ac:dyDescent="0.25">
      <c r="B519" s="4">
        <f>(519-20)/100</f>
        <v>4.99</v>
      </c>
      <c r="C519" s="33">
        <f>IF($C$10+$C$7=0,Dashboard!$C$27*$C$6*B519,Dashboard!$C$27*$C$6*(1-EXP(-($C$10+$C$7)*B519))/($C$10+$C$7))</f>
        <v>180947.29242136481</v>
      </c>
      <c r="D519" s="33">
        <f>IF($C$10+$C$9=0,Dashboard!$C$27*$C$8*B519,Dashboard!$C$27*$C$8*(1-EXP(-($C$10+$C$9)*B519))/($C$10+$C$9))</f>
        <v>518473.37490189227</v>
      </c>
      <c r="E519">
        <f t="shared" si="7"/>
        <v>1</v>
      </c>
    </row>
    <row r="520" spans="2:5" x14ac:dyDescent="0.25">
      <c r="B520" s="4">
        <f>(520-20)/100</f>
        <v>5</v>
      </c>
      <c r="C520" s="33">
        <f>IF($C$10+$C$7=0,Dashboard!$C$27*$C$6*B520,Dashboard!$C$27*$C$6*(1-EXP(-($C$10+$C$7)*B520))/($C$10+$C$7))</f>
        <v>180947.39816630812</v>
      </c>
      <c r="D520" s="33">
        <f>IF($C$10+$C$9=0,Dashboard!$C$27*$C$8*B520,Dashboard!$C$27*$C$8*(1-EXP(-($C$10+$C$9)*B520))/($C$10+$C$9))</f>
        <v>518798.83005803236</v>
      </c>
      <c r="E520">
        <f t="shared" si="7"/>
        <v>1</v>
      </c>
    </row>
  </sheetData>
  <mergeCells count="1">
    <mergeCell ref="B2:H2"/>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H20"/>
  <sheetViews>
    <sheetView workbookViewId="0"/>
  </sheetViews>
  <sheetFormatPr baseColWidth="10" defaultColWidth="8.7109375" defaultRowHeight="15" x14ac:dyDescent="0.25"/>
  <cols>
    <col min="2" max="2" width="52" customWidth="1"/>
    <col min="3" max="6" width="23" customWidth="1"/>
  </cols>
  <sheetData>
    <row r="2" spans="2:8" ht="18" x14ac:dyDescent="0.25">
      <c r="B2" s="59" t="s">
        <v>35</v>
      </c>
      <c r="C2" s="59"/>
      <c r="D2" s="59"/>
      <c r="E2" s="59"/>
      <c r="F2" s="59"/>
      <c r="G2" s="58"/>
      <c r="H2" s="58"/>
    </row>
    <row r="3" spans="2:8" ht="48" customHeight="1" x14ac:dyDescent="0.25">
      <c r="B3" s="9" t="s">
        <v>132</v>
      </c>
      <c r="C3" s="10"/>
      <c r="D3" s="10"/>
      <c r="E3" s="10"/>
      <c r="F3" s="10"/>
    </row>
    <row r="4" spans="2:8" x14ac:dyDescent="0.25">
      <c r="B4" s="10"/>
      <c r="C4" s="10"/>
      <c r="D4" s="10"/>
      <c r="E4" s="10"/>
      <c r="F4" s="10"/>
    </row>
    <row r="5" spans="2:8" x14ac:dyDescent="0.25">
      <c r="B5" s="20" t="s">
        <v>34</v>
      </c>
      <c r="C5" s="10"/>
      <c r="D5" s="10"/>
      <c r="E5" s="10"/>
      <c r="F5" s="10"/>
    </row>
    <row r="6" spans="2:8" x14ac:dyDescent="0.25">
      <c r="B6" s="10" t="s">
        <v>133</v>
      </c>
      <c r="C6" s="39">
        <v>0.1</v>
      </c>
      <c r="D6" s="10"/>
      <c r="E6" s="10"/>
      <c r="F6" s="10"/>
    </row>
    <row r="7" spans="2:8" x14ac:dyDescent="0.25">
      <c r="B7" s="10" t="s">
        <v>36</v>
      </c>
      <c r="C7" s="39">
        <v>0.1</v>
      </c>
      <c r="D7" s="10"/>
      <c r="E7" s="10"/>
      <c r="F7" s="10"/>
    </row>
    <row r="8" spans="2:8" x14ac:dyDescent="0.25">
      <c r="B8" s="10" t="s">
        <v>134</v>
      </c>
      <c r="C8" s="40">
        <f>IF(OR(C7&lt;=0,C7&gt;=1),"Requires 0 &lt; q &lt; 1",IF(C6=0,"No finite ceiling",1/C6))</f>
        <v>10</v>
      </c>
      <c r="D8" s="10"/>
      <c r="E8" s="10"/>
      <c r="F8" s="10"/>
    </row>
    <row r="10" spans="2:8" ht="33.950000000000003" customHeight="1" x14ac:dyDescent="0.25">
      <c r="B10" s="6" t="s">
        <v>135</v>
      </c>
      <c r="C10" s="6" t="s">
        <v>136</v>
      </c>
      <c r="D10" s="6" t="s">
        <v>137</v>
      </c>
      <c r="E10" s="6" t="s">
        <v>138</v>
      </c>
      <c r="F10" s="7" t="s">
        <v>139</v>
      </c>
    </row>
    <row r="11" spans="2:8" x14ac:dyDescent="0.25">
      <c r="B11">
        <v>1</v>
      </c>
      <c r="C11" s="41">
        <f t="shared" ref="C11:C20" si="0">(1-$C$6)*$C$7^B11+$C$6*$C$7</f>
        <v>0.1</v>
      </c>
      <c r="D11" s="5">
        <f t="shared" ref="D11:D20" si="1">IF(C11&gt;0,$C$7/C11,"Undefined at zero risk")</f>
        <v>1</v>
      </c>
      <c r="E11" s="5">
        <f t="shared" ref="E11:E20" si="2">$C$8</f>
        <v>10</v>
      </c>
      <c r="F11" s="5">
        <f>1</f>
        <v>1</v>
      </c>
    </row>
    <row r="12" spans="2:8" x14ac:dyDescent="0.25">
      <c r="B12">
        <v>2</v>
      </c>
      <c r="C12" s="41">
        <f t="shared" si="0"/>
        <v>1.9000000000000003E-2</v>
      </c>
      <c r="D12" s="5">
        <f t="shared" si="1"/>
        <v>5.2631578947368416</v>
      </c>
      <c r="E12" s="5">
        <f t="shared" si="2"/>
        <v>10</v>
      </c>
      <c r="F12" s="5">
        <f t="shared" ref="F12:F20" si="3">IF(C12&gt;0,C11/C12,"Undefined at zero risk")</f>
        <v>5.2631578947368416</v>
      </c>
    </row>
    <row r="13" spans="2:8" x14ac:dyDescent="0.25">
      <c r="B13">
        <v>3</v>
      </c>
      <c r="C13" s="41">
        <f t="shared" si="0"/>
        <v>1.0900000000000002E-2</v>
      </c>
      <c r="D13" s="5">
        <f t="shared" si="1"/>
        <v>9.1743119266055029</v>
      </c>
      <c r="E13" s="5">
        <f t="shared" si="2"/>
        <v>10</v>
      </c>
      <c r="F13" s="5">
        <f t="shared" si="3"/>
        <v>1.7431192660550459</v>
      </c>
    </row>
    <row r="14" spans="2:8" x14ac:dyDescent="0.25">
      <c r="B14">
        <v>4</v>
      </c>
      <c r="C14" s="41">
        <f t="shared" si="0"/>
        <v>1.0090000000000002E-2</v>
      </c>
      <c r="D14" s="5">
        <f t="shared" si="1"/>
        <v>9.9108027750247754</v>
      </c>
      <c r="E14" s="5">
        <f t="shared" si="2"/>
        <v>10</v>
      </c>
      <c r="F14" s="5">
        <f t="shared" si="3"/>
        <v>1.0802775024777007</v>
      </c>
    </row>
    <row r="15" spans="2:8" x14ac:dyDescent="0.25">
      <c r="B15">
        <v>5</v>
      </c>
      <c r="C15" s="41">
        <f t="shared" si="0"/>
        <v>1.0009000000000002E-2</v>
      </c>
      <c r="D15" s="5">
        <f t="shared" si="1"/>
        <v>9.9910080927165534</v>
      </c>
      <c r="E15" s="5">
        <f t="shared" si="2"/>
        <v>10</v>
      </c>
      <c r="F15" s="5">
        <f t="shared" si="3"/>
        <v>1.0080927165551004</v>
      </c>
    </row>
    <row r="16" spans="2:8" x14ac:dyDescent="0.25">
      <c r="B16">
        <v>6</v>
      </c>
      <c r="C16" s="41">
        <f t="shared" si="0"/>
        <v>1.0000900000000002E-2</v>
      </c>
      <c r="D16" s="5">
        <f t="shared" si="1"/>
        <v>9.9991000809927097</v>
      </c>
      <c r="E16" s="5">
        <f t="shared" si="2"/>
        <v>10</v>
      </c>
      <c r="F16" s="5">
        <f t="shared" si="3"/>
        <v>1.0008099271065605</v>
      </c>
    </row>
    <row r="17" spans="2:6" x14ac:dyDescent="0.25">
      <c r="B17">
        <v>7</v>
      </c>
      <c r="C17" s="41">
        <f t="shared" si="0"/>
        <v>1.0000090000000001E-2</v>
      </c>
      <c r="D17" s="5">
        <f t="shared" si="1"/>
        <v>9.9999100008099919</v>
      </c>
      <c r="E17" s="5">
        <f t="shared" si="2"/>
        <v>10</v>
      </c>
      <c r="F17" s="5">
        <f t="shared" si="3"/>
        <v>1.0000809992710067</v>
      </c>
    </row>
    <row r="18" spans="2:6" x14ac:dyDescent="0.25">
      <c r="B18">
        <v>8</v>
      </c>
      <c r="C18" s="41">
        <f t="shared" si="0"/>
        <v>1.0000009000000002E-2</v>
      </c>
      <c r="D18" s="5">
        <f t="shared" si="1"/>
        <v>9.999991000008098</v>
      </c>
      <c r="E18" s="5">
        <f t="shared" si="2"/>
        <v>10</v>
      </c>
      <c r="F18" s="5">
        <f t="shared" si="3"/>
        <v>1.0000080999927099</v>
      </c>
    </row>
    <row r="19" spans="2:6" x14ac:dyDescent="0.25">
      <c r="B19">
        <v>9</v>
      </c>
      <c r="C19" s="41">
        <f t="shared" si="0"/>
        <v>1.0000000900000002E-2</v>
      </c>
      <c r="D19" s="5">
        <f t="shared" si="1"/>
        <v>9.9999991000000801</v>
      </c>
      <c r="E19" s="5">
        <f t="shared" si="2"/>
        <v>10</v>
      </c>
      <c r="F19" s="5">
        <f t="shared" si="3"/>
        <v>1.0000008099999271</v>
      </c>
    </row>
    <row r="20" spans="2:6" x14ac:dyDescent="0.25">
      <c r="B20">
        <v>10</v>
      </c>
      <c r="C20" s="41">
        <f t="shared" si="0"/>
        <v>1.0000000090000002E-2</v>
      </c>
      <c r="D20" s="5">
        <f t="shared" si="1"/>
        <v>9.9999999099999997</v>
      </c>
      <c r="E20" s="5">
        <f t="shared" si="2"/>
        <v>10</v>
      </c>
      <c r="F20" s="5">
        <f t="shared" si="3"/>
        <v>1.0000000809999992</v>
      </c>
    </row>
  </sheetData>
  <mergeCells count="1">
    <mergeCell ref="B2:H2"/>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H23"/>
  <sheetViews>
    <sheetView workbookViewId="0"/>
  </sheetViews>
  <sheetFormatPr baseColWidth="10" defaultColWidth="8.7109375" defaultRowHeight="15" x14ac:dyDescent="0.25"/>
  <cols>
    <col min="2" max="2" width="29" customWidth="1"/>
    <col min="3" max="3" width="100" customWidth="1"/>
  </cols>
  <sheetData>
    <row r="2" spans="2:8" ht="18" x14ac:dyDescent="0.25">
      <c r="B2" s="58" t="s">
        <v>140</v>
      </c>
      <c r="C2" s="58"/>
      <c r="D2" s="58"/>
      <c r="E2" s="58"/>
      <c r="F2" s="58"/>
      <c r="G2" s="58"/>
      <c r="H2" s="58"/>
    </row>
    <row r="4" spans="2:8" ht="63" customHeight="1" x14ac:dyDescent="0.25">
      <c r="B4" s="44" t="s">
        <v>141</v>
      </c>
      <c r="C4" s="10" t="s">
        <v>142</v>
      </c>
    </row>
    <row r="5" spans="2:8" ht="63" customHeight="1" x14ac:dyDescent="0.25">
      <c r="B5" s="44" t="s">
        <v>143</v>
      </c>
      <c r="C5" s="10" t="s">
        <v>144</v>
      </c>
    </row>
    <row r="6" spans="2:8" ht="63" customHeight="1" x14ac:dyDescent="0.25">
      <c r="B6" s="44" t="s">
        <v>145</v>
      </c>
      <c r="C6" s="10" t="s">
        <v>146</v>
      </c>
    </row>
    <row r="7" spans="2:8" ht="63" customHeight="1" x14ac:dyDescent="0.25">
      <c r="B7" s="44" t="s">
        <v>147</v>
      </c>
      <c r="C7" s="10" t="s">
        <v>148</v>
      </c>
    </row>
    <row r="8" spans="2:8" ht="63" customHeight="1" x14ac:dyDescent="0.25">
      <c r="B8" s="44" t="s">
        <v>149</v>
      </c>
      <c r="C8" s="10" t="s">
        <v>150</v>
      </c>
    </row>
    <row r="9" spans="2:8" ht="63" customHeight="1" x14ac:dyDescent="0.25">
      <c r="B9" s="44" t="s">
        <v>151</v>
      </c>
      <c r="C9" s="10" t="s">
        <v>152</v>
      </c>
    </row>
    <row r="10" spans="2:8" ht="63" customHeight="1" x14ac:dyDescent="0.25">
      <c r="B10" s="44" t="s">
        <v>153</v>
      </c>
      <c r="C10" s="10" t="s">
        <v>154</v>
      </c>
    </row>
    <row r="11" spans="2:8" ht="63" customHeight="1" x14ac:dyDescent="0.25">
      <c r="B11" s="44" t="s">
        <v>155</v>
      </c>
      <c r="C11" s="10" t="s">
        <v>156</v>
      </c>
    </row>
    <row r="12" spans="2:8" ht="63" customHeight="1" x14ac:dyDescent="0.25">
      <c r="B12" s="44" t="s">
        <v>157</v>
      </c>
      <c r="C12" s="10" t="s">
        <v>158</v>
      </c>
    </row>
    <row r="13" spans="2:8" ht="63" customHeight="1" x14ac:dyDescent="0.25">
      <c r="B13" s="44" t="s">
        <v>159</v>
      </c>
      <c r="C13" s="10" t="s">
        <v>160</v>
      </c>
    </row>
    <row r="14" spans="2:8" ht="63" customHeight="1" x14ac:dyDescent="0.25">
      <c r="B14" s="44" t="s">
        <v>161</v>
      </c>
      <c r="C14" s="10" t="s">
        <v>162</v>
      </c>
    </row>
    <row r="15" spans="2:8" ht="63" customHeight="1" x14ac:dyDescent="0.25">
      <c r="B15" s="44" t="s">
        <v>163</v>
      </c>
      <c r="C15" s="10" t="s">
        <v>164</v>
      </c>
    </row>
    <row r="16" spans="2:8" ht="63" customHeight="1" x14ac:dyDescent="0.25">
      <c r="B16" s="45" t="s">
        <v>165</v>
      </c>
      <c r="C16" s="10" t="s">
        <v>166</v>
      </c>
    </row>
    <row r="17" spans="2:3" ht="63" customHeight="1" x14ac:dyDescent="0.25">
      <c r="B17" s="45" t="s">
        <v>167</v>
      </c>
      <c r="C17" s="10" t="s">
        <v>168</v>
      </c>
    </row>
    <row r="18" spans="2:3" ht="63" customHeight="1" x14ac:dyDescent="0.25">
      <c r="B18" s="45" t="s">
        <v>169</v>
      </c>
      <c r="C18" s="10" t="s">
        <v>170</v>
      </c>
    </row>
    <row r="19" spans="2:3" ht="63" customHeight="1" x14ac:dyDescent="0.25">
      <c r="B19" s="45" t="s">
        <v>171</v>
      </c>
      <c r="C19" s="10" t="s">
        <v>172</v>
      </c>
    </row>
    <row r="20" spans="2:3" ht="63" customHeight="1" x14ac:dyDescent="0.25">
      <c r="B20" s="45" t="s">
        <v>173</v>
      </c>
      <c r="C20" s="10" t="s">
        <v>174</v>
      </c>
    </row>
    <row r="21" spans="2:3" ht="63" customHeight="1" x14ac:dyDescent="0.25">
      <c r="B21" s="45" t="s">
        <v>175</v>
      </c>
      <c r="C21" s="10" t="s">
        <v>176</v>
      </c>
    </row>
    <row r="22" spans="2:3" ht="63" customHeight="1" x14ac:dyDescent="0.25">
      <c r="B22" s="45" t="s">
        <v>177</v>
      </c>
      <c r="C22" s="10" t="s">
        <v>178</v>
      </c>
    </row>
    <row r="23" spans="2:3" ht="63" customHeight="1" x14ac:dyDescent="0.25">
      <c r="B23" s="45" t="s">
        <v>179</v>
      </c>
      <c r="C23" s="10" t="s">
        <v>180</v>
      </c>
    </row>
  </sheetData>
  <mergeCells count="1">
    <mergeCell ref="B2:H2"/>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H1025"/>
  <sheetViews>
    <sheetView workbookViewId="0"/>
  </sheetViews>
  <sheetFormatPr baseColWidth="10" defaultColWidth="9.140625" defaultRowHeight="15" x14ac:dyDescent="0.25"/>
  <cols>
    <col min="2" max="2" width="53" customWidth="1"/>
    <col min="3" max="3" width="24" customWidth="1"/>
    <col min="4" max="8" width="22" customWidth="1"/>
  </cols>
  <sheetData>
    <row r="2" spans="2:8" ht="32.1" customHeight="1" x14ac:dyDescent="0.25">
      <c r="B2" s="60" t="s">
        <v>181</v>
      </c>
      <c r="C2" s="60"/>
      <c r="D2" s="60"/>
      <c r="E2" s="60"/>
      <c r="F2" s="60"/>
      <c r="G2" s="60"/>
      <c r="H2" s="60"/>
    </row>
    <row r="3" spans="2:8" x14ac:dyDescent="0.25">
      <c r="B3" s="61" t="s">
        <v>182</v>
      </c>
      <c r="C3" s="61"/>
      <c r="D3" s="61"/>
      <c r="E3" s="61"/>
      <c r="F3" s="61"/>
      <c r="G3" s="61"/>
      <c r="H3" s="61"/>
    </row>
    <row r="4" spans="2:8" x14ac:dyDescent="0.25">
      <c r="B4" s="61"/>
      <c r="C4" s="61"/>
      <c r="D4" s="61"/>
      <c r="E4" s="61"/>
      <c r="F4" s="61"/>
      <c r="G4" s="61"/>
      <c r="H4" s="61"/>
    </row>
    <row r="6" spans="2:8" ht="33.950000000000003" customHeight="1" x14ac:dyDescent="0.25">
      <c r="B6" s="7" t="s">
        <v>183</v>
      </c>
      <c r="C6" s="7" t="s">
        <v>184</v>
      </c>
    </row>
    <row r="7" spans="2:8" ht="27" customHeight="1" x14ac:dyDescent="0.25">
      <c r="B7" s="10" t="s">
        <v>185</v>
      </c>
      <c r="C7" s="54">
        <v>400000</v>
      </c>
    </row>
    <row r="8" spans="2:8" ht="27" customHeight="1" x14ac:dyDescent="0.25">
      <c r="B8" s="10" t="s">
        <v>186</v>
      </c>
      <c r="C8" s="54">
        <v>800000</v>
      </c>
    </row>
    <row r="9" spans="2:8" ht="27" customHeight="1" x14ac:dyDescent="0.25">
      <c r="B9" s="10" t="s">
        <v>187</v>
      </c>
      <c r="C9" s="26">
        <v>0.5</v>
      </c>
    </row>
    <row r="10" spans="2:8" ht="27" customHeight="1" x14ac:dyDescent="0.25">
      <c r="B10" s="10" t="s">
        <v>188</v>
      </c>
      <c r="C10" s="26">
        <v>0.1</v>
      </c>
    </row>
    <row r="11" spans="2:8" ht="27" customHeight="1" x14ac:dyDescent="0.25">
      <c r="B11" s="10" t="s">
        <v>189</v>
      </c>
      <c r="C11" s="54">
        <v>20000</v>
      </c>
    </row>
    <row r="12" spans="2:8" ht="27" customHeight="1" x14ac:dyDescent="0.25">
      <c r="B12" s="10" t="s">
        <v>190</v>
      </c>
      <c r="C12" s="54">
        <v>1500000</v>
      </c>
    </row>
    <row r="13" spans="2:8" ht="27" customHeight="1" x14ac:dyDescent="0.25">
      <c r="B13" s="10"/>
      <c r="C13" s="10"/>
    </row>
    <row r="14" spans="2:8" ht="27" customHeight="1" x14ac:dyDescent="0.25">
      <c r="B14" s="10"/>
      <c r="C14" s="10"/>
    </row>
    <row r="15" spans="2:8" ht="27" customHeight="1" x14ac:dyDescent="0.25">
      <c r="B15" s="10" t="s">
        <v>191</v>
      </c>
      <c r="C15" s="43">
        <f>IF(MIN(C7:C10)&lt;=0,"Requires positive r₀,U,γ,ρ",IF((C9+C10)*C7&gt;C10*C8,LN((C9+C10)*C7/(C10*C8))/C9,0))</f>
        <v>2.1972245773362196</v>
      </c>
    </row>
    <row r="16" spans="2:8" ht="27" customHeight="1" x14ac:dyDescent="0.25">
      <c r="B16" s="10" t="s">
        <v>192</v>
      </c>
      <c r="C16" s="43">
        <f>INDEX(B25:B1025,MATCH(MIN(E25:E1025),E25:E1025,0))</f>
        <v>2.2000000000000002</v>
      </c>
    </row>
    <row r="17" spans="2:8" ht="27" customHeight="1" x14ac:dyDescent="0.25">
      <c r="B17" s="10" t="s">
        <v>193</v>
      </c>
      <c r="C17" s="43">
        <f>INDEX(B25:B1025,MATCH(MAX(F25:F1025),F25:F1025,0))</f>
        <v>1.68</v>
      </c>
    </row>
    <row r="18" spans="2:8" ht="27" customHeight="1" x14ac:dyDescent="0.25">
      <c r="B18" s="10" t="s">
        <v>194</v>
      </c>
      <c r="C18" s="55">
        <f>(C9+C10)*C7-C10*C8</f>
        <v>160000</v>
      </c>
    </row>
    <row r="19" spans="2:8" ht="27" customHeight="1" x14ac:dyDescent="0.25">
      <c r="B19" s="10" t="s">
        <v>195</v>
      </c>
      <c r="C19" s="55">
        <f>C12-C7</f>
        <v>1100000</v>
      </c>
    </row>
    <row r="20" spans="2:8" ht="27" customHeight="1" x14ac:dyDescent="0.25">
      <c r="B20" s="10" t="s">
        <v>196</v>
      </c>
      <c r="C20" s="55">
        <f>C8</f>
        <v>800000</v>
      </c>
    </row>
    <row r="21" spans="2:8" ht="27" customHeight="1" x14ac:dyDescent="0.25">
      <c r="B21" s="10" t="s">
        <v>197</v>
      </c>
      <c r="C21" s="42" t="str">
        <f>IF(C18&gt;0,"Risk falls, then rises","Risk nondecreasing")</f>
        <v>Risk falls, then rises</v>
      </c>
    </row>
    <row r="22" spans="2:8" ht="27.95" customHeight="1" x14ac:dyDescent="0.25">
      <c r="B22" s="10" t="s">
        <v>198</v>
      </c>
      <c r="C22" s="10" t="str">
        <f>IF(AND(MIN(C7:C10)&gt;0,C11&gt;0),"VALID","CHECK THEOREM DOMAIN")</f>
        <v>VALID</v>
      </c>
    </row>
    <row r="24" spans="2:8" ht="33.950000000000003" customHeight="1" x14ac:dyDescent="0.25">
      <c r="B24" s="7" t="s">
        <v>91</v>
      </c>
      <c r="C24" s="7" t="s">
        <v>199</v>
      </c>
      <c r="D24" s="7" t="s">
        <v>200</v>
      </c>
      <c r="E24" s="7" t="s">
        <v>201</v>
      </c>
      <c r="F24" s="7" t="s">
        <v>202</v>
      </c>
      <c r="G24" s="7" t="s">
        <v>47</v>
      </c>
      <c r="H24" s="7" t="s">
        <v>104</v>
      </c>
    </row>
    <row r="25" spans="2:8" x14ac:dyDescent="0.25">
      <c r="B25" s="5">
        <f>(25-25)/100</f>
        <v>0</v>
      </c>
      <c r="C25" s="5">
        <f t="shared" ref="C25:C88" si="0">EXP(-$C$10*B25)</f>
        <v>1</v>
      </c>
      <c r="D25" s="33">
        <f t="shared" ref="D25:D88" si="1">$C$7*EXP(-$C$9*B25)</f>
        <v>400000</v>
      </c>
      <c r="E25" s="33">
        <f t="shared" ref="E25:E88" si="2">C25*D25+(1-C25)*$C$8</f>
        <v>400000</v>
      </c>
      <c r="F25" s="33">
        <f t="shared" ref="F25:F88" si="3">$C$12-E25-$C$11*B25</f>
        <v>1100000</v>
      </c>
      <c r="G25" s="33">
        <f t="shared" ref="G25:G88" si="4">$C$10*$C$8*EXP(-$C$10*B25)-($C$9+$C$10)*$C$7*EXP(-($C$9+$C$10)*B25)</f>
        <v>-160000</v>
      </c>
      <c r="H25" s="33">
        <f t="shared" ref="H25:H88" si="5">$C$11*B25</f>
        <v>0</v>
      </c>
    </row>
    <row r="26" spans="2:8" x14ac:dyDescent="0.25">
      <c r="B26" s="5">
        <f>(26-25)/100</f>
        <v>0.01</v>
      </c>
      <c r="C26" s="5">
        <f t="shared" si="0"/>
        <v>0.99900049983337502</v>
      </c>
      <c r="D26" s="33">
        <f t="shared" si="1"/>
        <v>398004.99167707295</v>
      </c>
      <c r="E26" s="33">
        <f t="shared" si="2"/>
        <v>398406.78575487412</v>
      </c>
      <c r="F26" s="33">
        <f t="shared" si="3"/>
        <v>1101393.2142451259</v>
      </c>
      <c r="G26" s="33">
        <f t="shared" si="4"/>
        <v>-158644.27138627449</v>
      </c>
      <c r="H26" s="33">
        <f t="shared" si="5"/>
        <v>200</v>
      </c>
    </row>
    <row r="27" spans="2:8" x14ac:dyDescent="0.25">
      <c r="B27" s="5">
        <f>(27-25)/100</f>
        <v>0.02</v>
      </c>
      <c r="C27" s="5">
        <f t="shared" si="0"/>
        <v>0.99800199866733308</v>
      </c>
      <c r="D27" s="33">
        <f t="shared" si="1"/>
        <v>396019.93349966727</v>
      </c>
      <c r="E27" s="33">
        <f t="shared" si="2"/>
        <v>396827.08621090581</v>
      </c>
      <c r="F27" s="33">
        <f t="shared" si="3"/>
        <v>1102772.9137890942</v>
      </c>
      <c r="G27" s="33">
        <f t="shared" si="4"/>
        <v>-157297.05119347668</v>
      </c>
      <c r="H27" s="33">
        <f t="shared" si="5"/>
        <v>400</v>
      </c>
    </row>
    <row r="28" spans="2:8" x14ac:dyDescent="0.25">
      <c r="B28" s="5">
        <f>(28-25)/100</f>
        <v>0.03</v>
      </c>
      <c r="C28" s="5">
        <f t="shared" si="0"/>
        <v>0.997004495503373</v>
      </c>
      <c r="D28" s="33">
        <f t="shared" si="1"/>
        <v>394044.77584122506</v>
      </c>
      <c r="E28" s="33">
        <f t="shared" si="2"/>
        <v>395260.81654062192</v>
      </c>
      <c r="F28" s="33">
        <f t="shared" si="3"/>
        <v>1104139.1834593781</v>
      </c>
      <c r="G28" s="33">
        <f t="shared" si="4"/>
        <v>-155958.28812572232</v>
      </c>
      <c r="H28" s="33">
        <f t="shared" si="5"/>
        <v>600</v>
      </c>
    </row>
    <row r="29" spans="2:8" x14ac:dyDescent="0.25">
      <c r="B29" s="5">
        <f>(29-25)/100</f>
        <v>0.04</v>
      </c>
      <c r="C29" s="5">
        <f t="shared" si="0"/>
        <v>0.99600798934399148</v>
      </c>
      <c r="D29" s="33">
        <f t="shared" si="1"/>
        <v>392079.46932270209</v>
      </c>
      <c r="E29" s="33">
        <f t="shared" si="2"/>
        <v>393707.89242797048</v>
      </c>
      <c r="F29" s="33">
        <f t="shared" si="3"/>
        <v>1105492.1075720296</v>
      </c>
      <c r="G29" s="33">
        <f t="shared" si="4"/>
        <v>-154627.93119437888</v>
      </c>
      <c r="H29" s="33">
        <f t="shared" si="5"/>
        <v>800</v>
      </c>
    </row>
    <row r="30" spans="2:8" x14ac:dyDescent="0.25">
      <c r="B30" s="5">
        <f>(30-25)/100</f>
        <v>0.05</v>
      </c>
      <c r="C30" s="5">
        <f t="shared" si="0"/>
        <v>0.99501247919268232</v>
      </c>
      <c r="D30" s="33">
        <f t="shared" si="1"/>
        <v>390123.96481133305</v>
      </c>
      <c r="E30" s="33">
        <f t="shared" si="2"/>
        <v>392168.2300652574</v>
      </c>
      <c r="F30" s="33">
        <f t="shared" si="3"/>
        <v>1106831.7699347427</v>
      </c>
      <c r="G30" s="33">
        <f t="shared" si="4"/>
        <v>-153305.9297162274</v>
      </c>
      <c r="H30" s="33">
        <f t="shared" si="5"/>
        <v>1000</v>
      </c>
    </row>
    <row r="31" spans="2:8" x14ac:dyDescent="0.25">
      <c r="B31" s="5">
        <f>(31-25)/100</f>
        <v>0.06</v>
      </c>
      <c r="C31" s="5">
        <f t="shared" si="0"/>
        <v>0.99401796405393528</v>
      </c>
      <c r="D31" s="33">
        <f t="shared" si="1"/>
        <v>388178.21341940324</v>
      </c>
      <c r="E31" s="33">
        <f t="shared" si="2"/>
        <v>390641.74615010095</v>
      </c>
      <c r="F31" s="33">
        <f t="shared" si="3"/>
        <v>1108158.2538498989</v>
      </c>
      <c r="G31" s="33">
        <f t="shared" si="4"/>
        <v>-151992.23331163474</v>
      </c>
      <c r="H31" s="33">
        <f t="shared" si="5"/>
        <v>1200</v>
      </c>
    </row>
    <row r="32" spans="2:8" x14ac:dyDescent="0.25">
      <c r="B32" s="5">
        <f>(32-25)/100</f>
        <v>7.0000000000000007E-2</v>
      </c>
      <c r="C32" s="5">
        <f t="shared" si="0"/>
        <v>0.99302444293323511</v>
      </c>
      <c r="D32" s="33">
        <f t="shared" si="1"/>
        <v>386242.16650302656</v>
      </c>
      <c r="E32" s="33">
        <f t="shared" si="2"/>
        <v>389128.35788240569</v>
      </c>
      <c r="F32" s="33">
        <f t="shared" si="3"/>
        <v>1109471.6421175944</v>
      </c>
      <c r="G32" s="33">
        <f t="shared" si="4"/>
        <v>-150686.79190273746</v>
      </c>
      <c r="H32" s="33">
        <f t="shared" si="5"/>
        <v>1400.0000000000002</v>
      </c>
    </row>
    <row r="33" spans="2:8" x14ac:dyDescent="0.25">
      <c r="B33" s="5">
        <f>(33-25)/100</f>
        <v>0.08</v>
      </c>
      <c r="C33" s="5">
        <f t="shared" si="0"/>
        <v>0.99203191483706066</v>
      </c>
      <c r="D33" s="33">
        <f t="shared" si="1"/>
        <v>384315.77566092927</v>
      </c>
      <c r="E33" s="33">
        <f t="shared" si="2"/>
        <v>387627.98296135332</v>
      </c>
      <c r="F33" s="33">
        <f t="shared" si="3"/>
        <v>1110772.0170386466</v>
      </c>
      <c r="G33" s="33">
        <f t="shared" si="4"/>
        <v>-149389.55571163629</v>
      </c>
      <c r="H33" s="33">
        <f t="shared" si="5"/>
        <v>1600</v>
      </c>
    </row>
    <row r="34" spans="2:8" x14ac:dyDescent="0.25">
      <c r="B34" s="5">
        <f>(34-25)/100</f>
        <v>0.09</v>
      </c>
      <c r="C34" s="5">
        <f t="shared" si="0"/>
        <v>0.99104037877288365</v>
      </c>
      <c r="D34" s="33">
        <f t="shared" si="1"/>
        <v>382398.99273324001</v>
      </c>
      <c r="E34" s="33">
        <f t="shared" si="2"/>
        <v>386140.53958241246</v>
      </c>
      <c r="F34" s="33">
        <f t="shared" si="3"/>
        <v>1112059.4604175875</v>
      </c>
      <c r="G34" s="33">
        <f t="shared" si="4"/>
        <v>-148100.4752586009</v>
      </c>
      <c r="H34" s="33">
        <f t="shared" si="5"/>
        <v>1800</v>
      </c>
    </row>
    <row r="35" spans="2:8" x14ac:dyDescent="0.25">
      <c r="B35" s="5">
        <f>(35-25)/100</f>
        <v>0.1</v>
      </c>
      <c r="C35" s="5">
        <f t="shared" si="0"/>
        <v>0.99004983374916811</v>
      </c>
      <c r="D35" s="33">
        <f t="shared" si="1"/>
        <v>380491.76980028563</v>
      </c>
      <c r="E35" s="33">
        <f t="shared" si="2"/>
        <v>384665.94643436506</v>
      </c>
      <c r="F35" s="33">
        <f t="shared" si="3"/>
        <v>1113334.0535656349</v>
      </c>
      <c r="G35" s="33">
        <f t="shared" si="4"/>
        <v>-146819.50136028623</v>
      </c>
      <c r="H35" s="33">
        <f t="shared" si="5"/>
        <v>2000</v>
      </c>
    </row>
    <row r="36" spans="2:8" x14ac:dyDescent="0.25">
      <c r="B36" s="5">
        <f>(36-25)/100</f>
        <v>0.11</v>
      </c>
      <c r="C36" s="5">
        <f t="shared" si="0"/>
        <v>0.98906027877536873</v>
      </c>
      <c r="D36" s="33">
        <f t="shared" si="1"/>
        <v>378594.05918139353</v>
      </c>
      <c r="E36" s="33">
        <f t="shared" si="2"/>
        <v>383204.12269635254</v>
      </c>
      <c r="F36" s="33">
        <f t="shared" si="3"/>
        <v>1114595.8773036473</v>
      </c>
      <c r="G36" s="33">
        <f t="shared" si="4"/>
        <v>-145546.58512795903</v>
      </c>
      <c r="H36" s="33">
        <f t="shared" si="5"/>
        <v>2200</v>
      </c>
    </row>
    <row r="37" spans="2:8" x14ac:dyDescent="0.25">
      <c r="B37" s="5">
        <f>(37-25)/100</f>
        <v>0.12</v>
      </c>
      <c r="C37" s="5">
        <f t="shared" si="0"/>
        <v>0.98807171286193052</v>
      </c>
      <c r="D37" s="33">
        <f t="shared" si="1"/>
        <v>376705.81343369948</v>
      </c>
      <c r="E37" s="33">
        <f t="shared" si="2"/>
        <v>381754.98803493788</v>
      </c>
      <c r="F37" s="33">
        <f t="shared" si="3"/>
        <v>1115845.011965062</v>
      </c>
      <c r="G37" s="33">
        <f t="shared" si="4"/>
        <v>-144281.67796573494</v>
      </c>
      <c r="H37" s="33">
        <f t="shared" si="5"/>
        <v>2400</v>
      </c>
    </row>
    <row r="38" spans="2:8" x14ac:dyDescent="0.25">
      <c r="B38" s="5">
        <f>(38-25)/100</f>
        <v>0.13</v>
      </c>
      <c r="C38" s="5">
        <f t="shared" si="0"/>
        <v>0.98708413502028758</v>
      </c>
      <c r="D38" s="33">
        <f t="shared" si="1"/>
        <v>374826.98535096139</v>
      </c>
      <c r="E38" s="33">
        <f t="shared" si="2"/>
        <v>380318.46260118566</v>
      </c>
      <c r="F38" s="33">
        <f t="shared" si="3"/>
        <v>1117081.5373988142</v>
      </c>
      <c r="G38" s="33">
        <f t="shared" si="4"/>
        <v>-143024.73156882642</v>
      </c>
      <c r="H38" s="33">
        <f t="shared" si="5"/>
        <v>2600</v>
      </c>
    </row>
    <row r="39" spans="2:8" x14ac:dyDescent="0.25">
      <c r="B39" s="5">
        <f>(39-25)/100</f>
        <v>0.14000000000000001</v>
      </c>
      <c r="C39" s="5">
        <f t="shared" si="0"/>
        <v>0.98609754426286189</v>
      </c>
      <c r="D39" s="33">
        <f t="shared" si="1"/>
        <v>372957.52796237933</v>
      </c>
      <c r="E39" s="33">
        <f t="shared" si="2"/>
        <v>378894.46702776034</v>
      </c>
      <c r="F39" s="33">
        <f t="shared" si="3"/>
        <v>1118305.5329722397</v>
      </c>
      <c r="G39" s="33">
        <f t="shared" si="4"/>
        <v>-141775.69792180095</v>
      </c>
      <c r="H39" s="33">
        <f t="shared" si="5"/>
        <v>2800.0000000000005</v>
      </c>
    </row>
    <row r="40" spans="2:8" x14ac:dyDescent="0.25">
      <c r="B40" s="5">
        <f>(40-25)/100</f>
        <v>0.15</v>
      </c>
      <c r="C40" s="5">
        <f t="shared" si="0"/>
        <v>0.98511193960306265</v>
      </c>
      <c r="D40" s="33">
        <f t="shared" si="1"/>
        <v>371097.39453142113</v>
      </c>
      <c r="E40" s="33">
        <f t="shared" si="2"/>
        <v>377482.92242604116</v>
      </c>
      <c r="F40" s="33">
        <f t="shared" si="3"/>
        <v>1119517.0775739588</v>
      </c>
      <c r="G40" s="33">
        <f t="shared" si="4"/>
        <v>-140534.52929684977</v>
      </c>
      <c r="H40" s="33">
        <f t="shared" si="5"/>
        <v>3000</v>
      </c>
    </row>
    <row r="41" spans="2:8" x14ac:dyDescent="0.25">
      <c r="B41" s="5">
        <f>(41-25)/100</f>
        <v>0.16</v>
      </c>
      <c r="C41" s="5">
        <f t="shared" si="0"/>
        <v>0.98412732005528514</v>
      </c>
      <c r="D41" s="33">
        <f t="shared" si="1"/>
        <v>369246.53855465428</v>
      </c>
      <c r="E41" s="33">
        <f t="shared" si="2"/>
        <v>376083.75038325432</v>
      </c>
      <c r="F41" s="33">
        <f t="shared" si="3"/>
        <v>1120716.2496167456</v>
      </c>
      <c r="G41" s="33">
        <f t="shared" si="4"/>
        <v>-139301.17825206666</v>
      </c>
      <c r="H41" s="33">
        <f t="shared" si="5"/>
        <v>3200</v>
      </c>
    </row>
    <row r="42" spans="2:8" x14ac:dyDescent="0.25">
      <c r="B42" s="5">
        <f>(42-25)/100</f>
        <v>0.17</v>
      </c>
      <c r="C42" s="5">
        <f t="shared" si="0"/>
        <v>0.98314368463490964</v>
      </c>
      <c r="D42" s="33">
        <f t="shared" si="1"/>
        <v>367404.91376058297</v>
      </c>
      <c r="E42" s="33">
        <f t="shared" si="2"/>
        <v>374696.87295962306</v>
      </c>
      <c r="F42" s="33">
        <f t="shared" si="3"/>
        <v>1121903.1270403769</v>
      </c>
      <c r="G42" s="33">
        <f t="shared" si="4"/>
        <v>-138075.59762973763</v>
      </c>
      <c r="H42" s="33">
        <f t="shared" si="5"/>
        <v>3400.0000000000005</v>
      </c>
    </row>
    <row r="43" spans="2:8" x14ac:dyDescent="0.25">
      <c r="B43" s="5">
        <f>(43-25)/100</f>
        <v>0.18</v>
      </c>
      <c r="C43" s="5">
        <f t="shared" si="0"/>
        <v>0.98216103235830077</v>
      </c>
      <c r="D43" s="33">
        <f t="shared" si="1"/>
        <v>365572.47410849127</v>
      </c>
      <c r="E43" s="33">
        <f t="shared" si="2"/>
        <v>373322.21268553333</v>
      </c>
      <c r="F43" s="33">
        <f t="shared" si="3"/>
        <v>1123077.7873144667</v>
      </c>
      <c r="G43" s="33">
        <f t="shared" si="4"/>
        <v>-136857.7405546403</v>
      </c>
      <c r="H43" s="33">
        <f t="shared" si="5"/>
        <v>3600</v>
      </c>
    </row>
    <row r="44" spans="2:8" x14ac:dyDescent="0.25">
      <c r="B44" s="5">
        <f>(44-25)/100</f>
        <v>0.19</v>
      </c>
      <c r="C44" s="5">
        <f t="shared" si="0"/>
        <v>0.981179362242806</v>
      </c>
      <c r="D44" s="33">
        <f t="shared" si="1"/>
        <v>363749.17378729256</v>
      </c>
      <c r="E44" s="33">
        <f t="shared" si="2"/>
        <v>371959.6925587185</v>
      </c>
      <c r="F44" s="33">
        <f t="shared" si="3"/>
        <v>1124240.3074412816</v>
      </c>
      <c r="G44" s="33">
        <f t="shared" si="4"/>
        <v>-135647.56043235352</v>
      </c>
      <c r="H44" s="33">
        <f t="shared" si="5"/>
        <v>3800</v>
      </c>
    </row>
    <row r="45" spans="2:8" x14ac:dyDescent="0.25">
      <c r="B45" s="5">
        <f>(45-25)/100</f>
        <v>0.2</v>
      </c>
      <c r="C45" s="5">
        <f t="shared" si="0"/>
        <v>0.98019867330675525</v>
      </c>
      <c r="D45" s="33">
        <f t="shared" si="1"/>
        <v>361934.96721438383</v>
      </c>
      <c r="E45" s="33">
        <f t="shared" si="2"/>
        <v>370609.23604145879</v>
      </c>
      <c r="F45" s="33">
        <f t="shared" si="3"/>
        <v>1125390.7639585412</v>
      </c>
      <c r="G45" s="33">
        <f t="shared" si="4"/>
        <v>-134445.01094757736</v>
      </c>
      <c r="H45" s="33">
        <f t="shared" si="5"/>
        <v>4000</v>
      </c>
    </row>
    <row r="46" spans="2:8" x14ac:dyDescent="0.25">
      <c r="B46" s="5">
        <f>(46-25)/100</f>
        <v>0.21</v>
      </c>
      <c r="C46" s="5">
        <f t="shared" si="0"/>
        <v>0.97921896456945956</v>
      </c>
      <c r="D46" s="33">
        <f t="shared" si="1"/>
        <v>360129.80903450627</v>
      </c>
      <c r="E46" s="33">
        <f t="shared" si="2"/>
        <v>369270.7670577988</v>
      </c>
      <c r="F46" s="33">
        <f t="shared" si="3"/>
        <v>1126529.2329422012</v>
      </c>
      <c r="G46" s="33">
        <f t="shared" si="4"/>
        <v>-133250.04606246308</v>
      </c>
      <c r="H46" s="33">
        <f t="shared" si="5"/>
        <v>4200</v>
      </c>
    </row>
    <row r="47" spans="2:8" x14ac:dyDescent="0.25">
      <c r="B47" s="5">
        <f>(47-25)/100</f>
        <v>0.22</v>
      </c>
      <c r="C47" s="5">
        <f t="shared" si="0"/>
        <v>0.97824023505121005</v>
      </c>
      <c r="D47" s="33">
        <f t="shared" si="1"/>
        <v>358333.6541186113</v>
      </c>
      <c r="E47" s="33">
        <f t="shared" si="2"/>
        <v>367944.20999078127</v>
      </c>
      <c r="F47" s="33">
        <f t="shared" si="3"/>
        <v>1127655.7900092187</v>
      </c>
      <c r="G47" s="33">
        <f t="shared" si="4"/>
        <v>-132062.62001495279</v>
      </c>
      <c r="H47" s="33">
        <f t="shared" si="5"/>
        <v>4400</v>
      </c>
    </row>
    <row r="48" spans="2:8" x14ac:dyDescent="0.25">
      <c r="B48" s="5">
        <f>(48-25)/100</f>
        <v>0.23</v>
      </c>
      <c r="C48" s="5">
        <f t="shared" si="0"/>
        <v>0.97726248377327707</v>
      </c>
      <c r="D48" s="33">
        <f t="shared" si="1"/>
        <v>356546.45756273251</v>
      </c>
      <c r="E48" s="33">
        <f t="shared" si="2"/>
        <v>366629.48967969767</v>
      </c>
      <c r="F48" s="33">
        <f t="shared" si="3"/>
        <v>1128770.5103203023</v>
      </c>
      <c r="G48" s="33">
        <f t="shared" si="4"/>
        <v>-130882.68731712944</v>
      </c>
      <c r="H48" s="33">
        <f t="shared" si="5"/>
        <v>4600</v>
      </c>
    </row>
    <row r="49" spans="2:8" x14ac:dyDescent="0.25">
      <c r="B49" s="5">
        <f>(49-25)/100</f>
        <v>0.24</v>
      </c>
      <c r="C49" s="5">
        <f t="shared" si="0"/>
        <v>0.97628570975790929</v>
      </c>
      <c r="D49" s="33">
        <f t="shared" si="1"/>
        <v>354768.17468686297</v>
      </c>
      <c r="E49" s="33">
        <f t="shared" si="2"/>
        <v>365326.53141735453</v>
      </c>
      <c r="F49" s="33">
        <f t="shared" si="3"/>
        <v>1129873.4685826455</v>
      </c>
      <c r="G49" s="33">
        <f t="shared" si="4"/>
        <v>-129710.20275357645</v>
      </c>
      <c r="H49" s="33">
        <f t="shared" si="5"/>
        <v>4800</v>
      </c>
    </row>
    <row r="50" spans="2:8" x14ac:dyDescent="0.25">
      <c r="B50" s="5">
        <f>(50-25)/100</f>
        <v>0.25</v>
      </c>
      <c r="C50" s="5">
        <f t="shared" si="0"/>
        <v>0.97530991202833262</v>
      </c>
      <c r="D50" s="33">
        <f t="shared" si="1"/>
        <v>352998.76103383821</v>
      </c>
      <c r="E50" s="33">
        <f t="shared" si="2"/>
        <v>364035.26094735705</v>
      </c>
      <c r="F50" s="33">
        <f t="shared" si="3"/>
        <v>1130964.7390526431</v>
      </c>
      <c r="G50" s="33">
        <f t="shared" si="4"/>
        <v>-128545.12137974727</v>
      </c>
      <c r="H50" s="33">
        <f t="shared" si="5"/>
        <v>5000</v>
      </c>
    </row>
    <row r="51" spans="2:8" x14ac:dyDescent="0.25">
      <c r="B51" s="5">
        <f>(51-25)/100</f>
        <v>0.26</v>
      </c>
      <c r="C51" s="5">
        <f t="shared" si="0"/>
        <v>0.97433508960874937</v>
      </c>
      <c r="D51" s="33">
        <f t="shared" si="1"/>
        <v>351238.17236822454</v>
      </c>
      <c r="E51" s="33">
        <f t="shared" si="2"/>
        <v>362755.60446140787</v>
      </c>
      <c r="F51" s="33">
        <f t="shared" si="3"/>
        <v>1132044.3955385922</v>
      </c>
      <c r="G51" s="33">
        <f t="shared" si="4"/>
        <v>-127387.39852034449</v>
      </c>
      <c r="H51" s="33">
        <f t="shared" si="5"/>
        <v>5200</v>
      </c>
    </row>
    <row r="52" spans="2:8" x14ac:dyDescent="0.25">
      <c r="B52" s="5">
        <f>(52-25)/100</f>
        <v>0.27</v>
      </c>
      <c r="C52" s="5">
        <f t="shared" si="0"/>
        <v>0.97336124152433678</v>
      </c>
      <c r="D52" s="33">
        <f t="shared" si="1"/>
        <v>349486.36467521376</v>
      </c>
      <c r="E52" s="33">
        <f t="shared" si="2"/>
        <v>361487.48859662376</v>
      </c>
      <c r="F52" s="33">
        <f t="shared" si="3"/>
        <v>1133112.5114033762</v>
      </c>
      <c r="G52" s="33">
        <f t="shared" si="4"/>
        <v>-126236.98976770898</v>
      </c>
      <c r="H52" s="33">
        <f t="shared" si="5"/>
        <v>5400</v>
      </c>
    </row>
    <row r="53" spans="2:8" x14ac:dyDescent="0.25">
      <c r="B53" s="5">
        <f>(53-25)/100</f>
        <v>0.28000000000000003</v>
      </c>
      <c r="C53" s="5">
        <f t="shared" si="0"/>
        <v>0.97238836680124685</v>
      </c>
      <c r="D53" s="33">
        <f t="shared" si="1"/>
        <v>347743.29415952234</v>
      </c>
      <c r="E53" s="33">
        <f t="shared" si="2"/>
        <v>360230.84043286601</v>
      </c>
      <c r="F53" s="33">
        <f t="shared" si="3"/>
        <v>1134169.159567134</v>
      </c>
      <c r="G53" s="33">
        <f t="shared" si="4"/>
        <v>-125093.85098021837</v>
      </c>
      <c r="H53" s="33">
        <f t="shared" si="5"/>
        <v>5600.0000000000009</v>
      </c>
    </row>
    <row r="54" spans="2:8" x14ac:dyDescent="0.25">
      <c r="B54" s="5">
        <f>(54-25)/100</f>
        <v>0.28999999999999998</v>
      </c>
      <c r="C54" s="5">
        <f t="shared" si="0"/>
        <v>0.97141646446660479</v>
      </c>
      <c r="D54" s="33">
        <f t="shared" si="1"/>
        <v>346008.91724429652</v>
      </c>
      <c r="E54" s="33">
        <f t="shared" si="2"/>
        <v>358985.58749008871</v>
      </c>
      <c r="F54" s="33">
        <f t="shared" si="3"/>
        <v>1135214.4125099112</v>
      </c>
      <c r="G54" s="33">
        <f t="shared" si="4"/>
        <v>-123957.93828069516</v>
      </c>
      <c r="H54" s="33">
        <f t="shared" si="5"/>
        <v>5800</v>
      </c>
    </row>
    <row r="55" spans="2:8" x14ac:dyDescent="0.25">
      <c r="B55" s="5">
        <f>(55-25)/100</f>
        <v>0.3</v>
      </c>
      <c r="C55" s="5">
        <f t="shared" si="0"/>
        <v>0.97044553354850815</v>
      </c>
      <c r="D55" s="33">
        <f t="shared" si="1"/>
        <v>344283.19057002314</v>
      </c>
      <c r="E55" s="33">
        <f t="shared" si="2"/>
        <v>357751.65772570227</v>
      </c>
      <c r="F55" s="33">
        <f t="shared" si="3"/>
        <v>1136248.3422742977</v>
      </c>
      <c r="G55" s="33">
        <f t="shared" si="4"/>
        <v>-122829.20805482463</v>
      </c>
      <c r="H55" s="33">
        <f t="shared" si="5"/>
        <v>6000</v>
      </c>
    </row>
    <row r="56" spans="2:8" x14ac:dyDescent="0.25">
      <c r="B56" s="5">
        <f>(56-25)/100</f>
        <v>0.31</v>
      </c>
      <c r="C56" s="5">
        <f t="shared" si="0"/>
        <v>0.96947557307602594</v>
      </c>
      <c r="D56" s="33">
        <f t="shared" si="1"/>
        <v>342566.07099344541</v>
      </c>
      <c r="E56" s="33">
        <f t="shared" si="2"/>
        <v>356528.9795319523</v>
      </c>
      <c r="F56" s="33">
        <f t="shared" si="3"/>
        <v>1137271.0204680478</v>
      </c>
      <c r="G56" s="33">
        <f t="shared" si="4"/>
        <v>-121707.61694958176</v>
      </c>
      <c r="H56" s="33">
        <f t="shared" si="5"/>
        <v>6200</v>
      </c>
    </row>
    <row r="57" spans="2:8" x14ac:dyDescent="0.25">
      <c r="B57" s="5">
        <f>(57-25)/100</f>
        <v>0.32</v>
      </c>
      <c r="C57" s="5">
        <f t="shared" si="0"/>
        <v>0.9685065820791976</v>
      </c>
      <c r="D57" s="33">
        <f t="shared" si="1"/>
        <v>340857.51558648451</v>
      </c>
      <c r="E57" s="33">
        <f t="shared" si="2"/>
        <v>355317.48173331487</v>
      </c>
      <c r="F57" s="33">
        <f t="shared" si="3"/>
        <v>1138282.5182666851</v>
      </c>
      <c r="G57" s="33">
        <f t="shared" si="4"/>
        <v>-120593.12187166794</v>
      </c>
      <c r="H57" s="33">
        <f t="shared" si="5"/>
        <v>6400</v>
      </c>
    </row>
    <row r="58" spans="2:8" x14ac:dyDescent="0.25">
      <c r="B58" s="5">
        <f>(58-25)/100</f>
        <v>0.33</v>
      </c>
      <c r="C58" s="5">
        <f t="shared" si="0"/>
        <v>0.96753855958903201</v>
      </c>
      <c r="D58" s="33">
        <f t="shared" si="1"/>
        <v>339157.48163516633</v>
      </c>
      <c r="E58" s="33">
        <f t="shared" si="2"/>
        <v>354117.09358390683</v>
      </c>
      <c r="F58" s="33">
        <f t="shared" si="3"/>
        <v>1139282.9064160932</v>
      </c>
      <c r="G58" s="33">
        <f t="shared" si="4"/>
        <v>-119485.67998595689</v>
      </c>
      <c r="H58" s="33">
        <f t="shared" si="5"/>
        <v>6600</v>
      </c>
    </row>
    <row r="59" spans="2:8" x14ac:dyDescent="0.25">
      <c r="B59" s="5">
        <f>(59-25)/100</f>
        <v>0.34</v>
      </c>
      <c r="C59" s="5">
        <f t="shared" si="0"/>
        <v>0.96657150463750663</v>
      </c>
      <c r="D59" s="33">
        <f t="shared" si="1"/>
        <v>337465.9266385535</v>
      </c>
      <c r="E59" s="33">
        <f t="shared" si="2"/>
        <v>352927.74476491177</v>
      </c>
      <c r="F59" s="33">
        <f t="shared" si="3"/>
        <v>1140272.2552350883</v>
      </c>
      <c r="G59" s="33">
        <f t="shared" si="4"/>
        <v>-118385.24871394972</v>
      </c>
      <c r="H59" s="33">
        <f t="shared" si="5"/>
        <v>6800.0000000000009</v>
      </c>
    </row>
    <row r="60" spans="2:8" x14ac:dyDescent="0.25">
      <c r="B60" s="5">
        <f>(60-25)/100</f>
        <v>0.35</v>
      </c>
      <c r="C60" s="5">
        <f t="shared" si="0"/>
        <v>0.96560541625756646</v>
      </c>
      <c r="D60" s="33">
        <f t="shared" si="1"/>
        <v>335782.80830768292</v>
      </c>
      <c r="E60" s="33">
        <f t="shared" si="2"/>
        <v>351749.36538202164</v>
      </c>
      <c r="F60" s="33">
        <f t="shared" si="3"/>
        <v>1141250.6346179782</v>
      </c>
      <c r="G60" s="33">
        <f t="shared" si="4"/>
        <v>-117291.78573223959</v>
      </c>
      <c r="H60" s="33">
        <f t="shared" si="5"/>
        <v>7000</v>
      </c>
    </row>
    <row r="61" spans="2:8" x14ac:dyDescent="0.25">
      <c r="B61" s="5">
        <f>(61-25)/100</f>
        <v>0.36</v>
      </c>
      <c r="C61" s="5">
        <f t="shared" si="0"/>
        <v>0.96464029348312308</v>
      </c>
      <c r="D61" s="33">
        <f t="shared" si="1"/>
        <v>334108.08456450881</v>
      </c>
      <c r="E61" s="33">
        <f t="shared" si="2"/>
        <v>350581.88596289343</v>
      </c>
      <c r="F61" s="33">
        <f t="shared" si="3"/>
        <v>1142218.1140371065</v>
      </c>
      <c r="G61" s="33">
        <f t="shared" si="4"/>
        <v>-116205.24897098528</v>
      </c>
      <c r="H61" s="33">
        <f t="shared" si="5"/>
        <v>7200</v>
      </c>
    </row>
    <row r="62" spans="2:8" x14ac:dyDescent="0.25">
      <c r="B62" s="5">
        <f>(62-25)/100</f>
        <v>0.37</v>
      </c>
      <c r="C62" s="5">
        <f t="shared" si="0"/>
        <v>0.9636761353490535</v>
      </c>
      <c r="D62" s="33">
        <f t="shared" si="1"/>
        <v>332441.71354085027</v>
      </c>
      <c r="E62" s="33">
        <f t="shared" si="2"/>
        <v>349425.23745462089</v>
      </c>
      <c r="F62" s="33">
        <f t="shared" si="3"/>
        <v>1143174.7625453791</v>
      </c>
      <c r="G62" s="33">
        <f t="shared" si="4"/>
        <v>-115125.59661239391</v>
      </c>
      <c r="H62" s="33">
        <f t="shared" si="5"/>
        <v>7400</v>
      </c>
    </row>
    <row r="63" spans="2:8" x14ac:dyDescent="0.25">
      <c r="B63" s="5">
        <f>(63-25)/100</f>
        <v>0.38</v>
      </c>
      <c r="C63" s="5">
        <f t="shared" si="0"/>
        <v>0.96271294089119952</v>
      </c>
      <c r="D63" s="33">
        <f t="shared" si="1"/>
        <v>330783.6535773449</v>
      </c>
      <c r="E63" s="33">
        <f t="shared" si="2"/>
        <v>348279.35122122185</v>
      </c>
      <c r="F63" s="33">
        <f t="shared" si="3"/>
        <v>1144120.648778778</v>
      </c>
      <c r="G63" s="33">
        <f t="shared" si="4"/>
        <v>-114052.78708921294</v>
      </c>
      <c r="H63" s="33">
        <f t="shared" si="5"/>
        <v>7600</v>
      </c>
    </row>
    <row r="64" spans="2:8" x14ac:dyDescent="0.25">
      <c r="B64" s="5">
        <f>(64-25)/100</f>
        <v>0.39</v>
      </c>
      <c r="C64" s="5">
        <f t="shared" si="0"/>
        <v>0.96175070914636673</v>
      </c>
      <c r="D64" s="33">
        <f t="shared" si="1"/>
        <v>329133.86322240735</v>
      </c>
      <c r="E64" s="33">
        <f t="shared" si="2"/>
        <v>347144.15904114017</v>
      </c>
      <c r="F64" s="33">
        <f t="shared" si="3"/>
        <v>1145055.8409588598</v>
      </c>
      <c r="G64" s="33">
        <f t="shared" si="4"/>
        <v>-112986.77908323079</v>
      </c>
      <c r="H64" s="33">
        <f t="shared" si="5"/>
        <v>7800</v>
      </c>
    </row>
    <row r="65" spans="2:8" x14ac:dyDescent="0.25">
      <c r="B65" s="5">
        <f>(65-25)/100</f>
        <v>0.4</v>
      </c>
      <c r="C65" s="5">
        <f t="shared" si="0"/>
        <v>0.96078943915232318</v>
      </c>
      <c r="D65" s="33">
        <f t="shared" si="1"/>
        <v>327492.30123119272</v>
      </c>
      <c r="E65" s="33">
        <f t="shared" si="2"/>
        <v>346019.59310476278</v>
      </c>
      <c r="F65" s="33">
        <f t="shared" si="3"/>
        <v>1145980.4068952373</v>
      </c>
      <c r="G65" s="33">
        <f t="shared" si="4"/>
        <v>-111927.53152378697</v>
      </c>
      <c r="H65" s="33">
        <f t="shared" si="5"/>
        <v>8000</v>
      </c>
    </row>
    <row r="66" spans="2:8" x14ac:dyDescent="0.25">
      <c r="B66" s="5">
        <f>(66-25)/100</f>
        <v>0.41</v>
      </c>
      <c r="C66" s="5">
        <f t="shared" si="0"/>
        <v>0.9598291299477989</v>
      </c>
      <c r="D66" s="33">
        <f t="shared" si="1"/>
        <v>325858.9265645658</v>
      </c>
      <c r="E66" s="33">
        <f t="shared" si="2"/>
        <v>344905.58601195179</v>
      </c>
      <c r="F66" s="33">
        <f t="shared" si="3"/>
        <v>1146894.4139880482</v>
      </c>
      <c r="G66" s="33">
        <f t="shared" si="4"/>
        <v>-110875.00358629062</v>
      </c>
      <c r="H66" s="33">
        <f t="shared" si="5"/>
        <v>8200</v>
      </c>
    </row>
    <row r="67" spans="2:8" x14ac:dyDescent="0.25">
      <c r="B67" s="5">
        <f>(67-25)/100</f>
        <v>0.42</v>
      </c>
      <c r="C67" s="5">
        <f t="shared" si="0"/>
        <v>0.95886978057248451</v>
      </c>
      <c r="D67" s="33">
        <f t="shared" si="1"/>
        <v>324233.69838807482</v>
      </c>
      <c r="E67" s="33">
        <f t="shared" si="2"/>
        <v>343802.07076959079</v>
      </c>
      <c r="F67" s="33">
        <f t="shared" si="3"/>
        <v>1147797.9292304092</v>
      </c>
      <c r="G67" s="33">
        <f t="shared" si="4"/>
        <v>-109829.15469074831</v>
      </c>
      <c r="H67" s="33">
        <f t="shared" si="5"/>
        <v>8400</v>
      </c>
    </row>
    <row r="68" spans="2:8" x14ac:dyDescent="0.25">
      <c r="B68" s="5">
        <f>(68-25)/100</f>
        <v>0.43</v>
      </c>
      <c r="C68" s="5">
        <f t="shared" si="0"/>
        <v>0.95791139006703063</v>
      </c>
      <c r="D68" s="33">
        <f t="shared" si="1"/>
        <v>322616.57607093075</v>
      </c>
      <c r="E68" s="33">
        <f t="shared" si="2"/>
        <v>342708.98078914668</v>
      </c>
      <c r="F68" s="33">
        <f t="shared" si="3"/>
        <v>1148691.0192108534</v>
      </c>
      <c r="G68" s="33">
        <f t="shared" si="4"/>
        <v>-108789.94450030026</v>
      </c>
      <c r="H68" s="33">
        <f t="shared" si="5"/>
        <v>8600</v>
      </c>
    </row>
    <row r="69" spans="2:8" x14ac:dyDescent="0.25">
      <c r="B69" s="5">
        <f>(69-25)/100</f>
        <v>0.44</v>
      </c>
      <c r="C69" s="5">
        <f t="shared" si="0"/>
        <v>0.95695395747304668</v>
      </c>
      <c r="D69" s="33">
        <f t="shared" si="1"/>
        <v>321007.51918499137</v>
      </c>
      <c r="E69" s="33">
        <f t="shared" si="2"/>
        <v>341626.2498842451</v>
      </c>
      <c r="F69" s="33">
        <f t="shared" si="3"/>
        <v>1149573.750115755</v>
      </c>
      <c r="G69" s="33">
        <f t="shared" si="4"/>
        <v>-107757.33291976574</v>
      </c>
      <c r="H69" s="33">
        <f t="shared" si="5"/>
        <v>8800</v>
      </c>
    </row>
    <row r="70" spans="2:8" x14ac:dyDescent="0.25">
      <c r="B70" s="5">
        <f>(70-25)/100</f>
        <v>0.45</v>
      </c>
      <c r="C70" s="5">
        <f t="shared" si="0"/>
        <v>0.95599748183309985</v>
      </c>
      <c r="D70" s="33">
        <f t="shared" si="1"/>
        <v>319406.48750375083</v>
      </c>
      <c r="E70" s="33">
        <f t="shared" si="2"/>
        <v>340553.81226826145</v>
      </c>
      <c r="F70" s="33">
        <f t="shared" si="3"/>
        <v>1150446.1877317387</v>
      </c>
      <c r="G70" s="33">
        <f t="shared" si="4"/>
        <v>-106731.28009419677</v>
      </c>
      <c r="H70" s="33">
        <f t="shared" si="5"/>
        <v>9000</v>
      </c>
    </row>
    <row r="71" spans="2:8" x14ac:dyDescent="0.25">
      <c r="B71" s="5">
        <f>(71-25)/100</f>
        <v>0.46</v>
      </c>
      <c r="C71" s="5">
        <f t="shared" si="0"/>
        <v>0.95504196219071458</v>
      </c>
      <c r="D71" s="33">
        <f t="shared" si="1"/>
        <v>317813.44100133365</v>
      </c>
      <c r="E71" s="33">
        <f t="shared" si="2"/>
        <v>339491.60255192494</v>
      </c>
      <c r="F71" s="33">
        <f t="shared" si="3"/>
        <v>1151308.397448075</v>
      </c>
      <c r="G71" s="33">
        <f t="shared" si="4"/>
        <v>-105711.74640744075</v>
      </c>
      <c r="H71" s="33">
        <f t="shared" si="5"/>
        <v>9200</v>
      </c>
    </row>
    <row r="72" spans="2:8" x14ac:dyDescent="0.25">
      <c r="B72" s="5">
        <f>(72-25)/100</f>
        <v>0.47</v>
      </c>
      <c r="C72" s="5">
        <f t="shared" si="0"/>
        <v>0.95408739759037109</v>
      </c>
      <c r="D72" s="33">
        <f t="shared" si="1"/>
        <v>316228.33985149424</v>
      </c>
      <c r="E72" s="33">
        <f t="shared" si="2"/>
        <v>338439.5557409387</v>
      </c>
      <c r="F72" s="33">
        <f t="shared" si="3"/>
        <v>1152160.4442590612</v>
      </c>
      <c r="G72" s="33">
        <f t="shared" si="4"/>
        <v>-104698.69248071166</v>
      </c>
      <c r="H72" s="33">
        <f t="shared" si="5"/>
        <v>9400</v>
      </c>
    </row>
    <row r="73" spans="2:8" x14ac:dyDescent="0.25">
      <c r="B73" s="5">
        <f>(73-25)/100</f>
        <v>0.48</v>
      </c>
      <c r="C73" s="5">
        <f t="shared" si="0"/>
        <v>0.95313378707750473</v>
      </c>
      <c r="D73" s="33">
        <f t="shared" si="1"/>
        <v>314651.14442662138</v>
      </c>
      <c r="E73" s="33">
        <f t="shared" si="2"/>
        <v>337397.60723361274</v>
      </c>
      <c r="F73" s="33">
        <f t="shared" si="3"/>
        <v>1153002.3927663872</v>
      </c>
      <c r="G73" s="33">
        <f t="shared" si="4"/>
        <v>-103692.07917116953</v>
      </c>
      <c r="H73" s="33">
        <f t="shared" si="5"/>
        <v>9600</v>
      </c>
    </row>
    <row r="74" spans="2:8" x14ac:dyDescent="0.25">
      <c r="B74" s="5">
        <f>(74-25)/100</f>
        <v>0.49</v>
      </c>
      <c r="C74" s="5">
        <f t="shared" si="0"/>
        <v>0.95218112969850488</v>
      </c>
      <c r="D74" s="33">
        <f t="shared" si="1"/>
        <v>313081.81529674726</v>
      </c>
      <c r="E74" s="33">
        <f t="shared" si="2"/>
        <v>336365.69281851157</v>
      </c>
      <c r="F74" s="33">
        <f t="shared" si="3"/>
        <v>1153834.3071814885</v>
      </c>
      <c r="G74" s="33">
        <f t="shared" si="4"/>
        <v>-102691.86757050888</v>
      </c>
      <c r="H74" s="33">
        <f t="shared" si="5"/>
        <v>9800</v>
      </c>
    </row>
    <row r="75" spans="2:8" x14ac:dyDescent="0.25">
      <c r="B75" s="5">
        <f>(75-25)/100</f>
        <v>0.5</v>
      </c>
      <c r="C75" s="5">
        <f t="shared" si="0"/>
        <v>0.95122942450071402</v>
      </c>
      <c r="D75" s="33">
        <f t="shared" si="1"/>
        <v>311520.31322856195</v>
      </c>
      <c r="E75" s="33">
        <f t="shared" si="2"/>
        <v>335343.74867211597</v>
      </c>
      <c r="F75" s="33">
        <f t="shared" si="3"/>
        <v>1154656.2513278839</v>
      </c>
      <c r="G75" s="33">
        <f t="shared" si="4"/>
        <v>-101698.01900355516</v>
      </c>
      <c r="H75" s="33">
        <f t="shared" si="5"/>
        <v>10000</v>
      </c>
    </row>
    <row r="76" spans="2:8" x14ac:dyDescent="0.25">
      <c r="B76" s="5">
        <f>(76-25)/100</f>
        <v>0.51</v>
      </c>
      <c r="C76" s="5">
        <f t="shared" si="0"/>
        <v>0.95027867053242698</v>
      </c>
      <c r="D76" s="33">
        <f t="shared" si="1"/>
        <v>309966.59918443242</v>
      </c>
      <c r="E76" s="33">
        <f t="shared" si="2"/>
        <v>334331.71135649853</v>
      </c>
      <c r="F76" s="33">
        <f t="shared" si="3"/>
        <v>1155468.2886435015</v>
      </c>
      <c r="G76" s="33">
        <f t="shared" si="4"/>
        <v>-100710.49502686984</v>
      </c>
      <c r="H76" s="33">
        <f t="shared" si="5"/>
        <v>10200</v>
      </c>
    </row>
    <row r="77" spans="2:8" x14ac:dyDescent="0.25">
      <c r="B77" s="5">
        <f>(77-25)/100</f>
        <v>0.52</v>
      </c>
      <c r="C77" s="5">
        <f t="shared" si="0"/>
        <v>0.94932886684288953</v>
      </c>
      <c r="D77" s="33">
        <f t="shared" si="1"/>
        <v>308420.63432142651</v>
      </c>
      <c r="E77" s="33">
        <f t="shared" si="2"/>
        <v>333329.51781701337</v>
      </c>
      <c r="F77" s="33">
        <f t="shared" si="3"/>
        <v>1156270.4821829866</v>
      </c>
      <c r="G77" s="33">
        <f t="shared" si="4"/>
        <v>-99729.257427363875</v>
      </c>
      <c r="H77" s="33">
        <f t="shared" si="5"/>
        <v>10400</v>
      </c>
    </row>
    <row r="78" spans="2:8" x14ac:dyDescent="0.25">
      <c r="B78" s="5">
        <f>(78-25)/100</f>
        <v>0.53</v>
      </c>
      <c r="C78" s="5">
        <f t="shared" si="0"/>
        <v>0.9483800124822982</v>
      </c>
      <c r="D78" s="33">
        <f t="shared" si="1"/>
        <v>306882.37999034225</v>
      </c>
      <c r="E78" s="33">
        <f t="shared" si="2"/>
        <v>332337.10537999962</v>
      </c>
      <c r="F78" s="33">
        <f t="shared" si="3"/>
        <v>1157062.8946200004</v>
      </c>
      <c r="G78" s="33">
        <f t="shared" si="4"/>
        <v>-98754.268220919068</v>
      </c>
      <c r="H78" s="33">
        <f t="shared" si="5"/>
        <v>10600</v>
      </c>
    </row>
    <row r="79" spans="2:8" x14ac:dyDescent="0.25">
      <c r="B79" s="5">
        <f>(79-25)/100</f>
        <v>0.54</v>
      </c>
      <c r="C79" s="5">
        <f t="shared" si="0"/>
        <v>0.94743210650179832</v>
      </c>
      <c r="D79" s="33">
        <f t="shared" si="1"/>
        <v>305351.79773474124</v>
      </c>
      <c r="E79" s="33">
        <f t="shared" si="2"/>
        <v>331354.41175049829</v>
      </c>
      <c r="F79" s="33">
        <f t="shared" si="3"/>
        <v>1157845.5882495018</v>
      </c>
      <c r="G79" s="33">
        <f t="shared" si="4"/>
        <v>-97785.489651018317</v>
      </c>
      <c r="H79" s="33">
        <f t="shared" si="5"/>
        <v>10800</v>
      </c>
    </row>
    <row r="80" spans="2:8" x14ac:dyDescent="0.25">
      <c r="B80" s="5">
        <f>(80-25)/100</f>
        <v>0.55000000000000004</v>
      </c>
      <c r="C80" s="5">
        <f t="shared" si="0"/>
        <v>0.94648514795348382</v>
      </c>
      <c r="D80" s="33">
        <f t="shared" si="1"/>
        <v>303828.84928998741</v>
      </c>
      <c r="E80" s="33">
        <f t="shared" si="2"/>
        <v>330381.37500998343</v>
      </c>
      <c r="F80" s="33">
        <f t="shared" si="3"/>
        <v>1158618.6249900167</v>
      </c>
      <c r="G80" s="33">
        <f t="shared" si="4"/>
        <v>-96822.884187383577</v>
      </c>
      <c r="H80" s="33">
        <f t="shared" si="5"/>
        <v>11000</v>
      </c>
    </row>
    <row r="81" spans="2:8" x14ac:dyDescent="0.25">
      <c r="B81" s="5">
        <f>(81-25)/100</f>
        <v>0.56000000000000005</v>
      </c>
      <c r="C81" s="5">
        <f t="shared" si="0"/>
        <v>0.94553913589039629</v>
      </c>
      <c r="D81" s="33">
        <f t="shared" si="1"/>
        <v>302313.49658229016</v>
      </c>
      <c r="E81" s="33">
        <f t="shared" si="2"/>
        <v>329417.93361410586</v>
      </c>
      <c r="F81" s="33">
        <f t="shared" si="3"/>
        <v>1159382.0663858941</v>
      </c>
      <c r="G81" s="33">
        <f t="shared" si="4"/>
        <v>-95866.414524622058</v>
      </c>
      <c r="H81" s="33">
        <f t="shared" si="5"/>
        <v>11200.000000000002</v>
      </c>
    </row>
    <row r="82" spans="2:8" x14ac:dyDescent="0.25">
      <c r="B82" s="5">
        <f>(82-25)/100</f>
        <v>0.56999999999999995</v>
      </c>
      <c r="C82" s="5">
        <f t="shared" si="0"/>
        <v>0.94459406936652335</v>
      </c>
      <c r="D82" s="33">
        <f t="shared" si="1"/>
        <v>300805.70172775304</v>
      </c>
      <c r="E82" s="33">
        <f t="shared" si="2"/>
        <v>328464.02639045223</v>
      </c>
      <c r="F82" s="33">
        <f t="shared" si="3"/>
        <v>1160135.9736095478</v>
      </c>
      <c r="G82" s="33">
        <f t="shared" si="4"/>
        <v>-94916.04358088068</v>
      </c>
      <c r="H82" s="33">
        <f t="shared" si="5"/>
        <v>11399.999999999998</v>
      </c>
    </row>
    <row r="83" spans="2:8" x14ac:dyDescent="0.25">
      <c r="B83" s="5">
        <f>(83-25)/100</f>
        <v>0.57999999999999996</v>
      </c>
      <c r="C83" s="5">
        <f t="shared" si="0"/>
        <v>0.94364994743679853</v>
      </c>
      <c r="D83" s="33">
        <f t="shared" si="1"/>
        <v>299305.42703142611</v>
      </c>
      <c r="E83" s="33">
        <f t="shared" si="2"/>
        <v>327519.59253631497</v>
      </c>
      <c r="F83" s="33">
        <f t="shared" si="3"/>
        <v>1160880.4074636851</v>
      </c>
      <c r="G83" s="33">
        <f t="shared" si="4"/>
        <v>-93971.734496508376</v>
      </c>
      <c r="H83" s="33">
        <f t="shared" si="5"/>
        <v>11600</v>
      </c>
    </row>
    <row r="84" spans="2:8" x14ac:dyDescent="0.25">
      <c r="B84" s="5">
        <f>(84-25)/100</f>
        <v>0.59</v>
      </c>
      <c r="C84" s="5">
        <f t="shared" si="0"/>
        <v>0.94270676915709972</v>
      </c>
      <c r="D84" s="33">
        <f t="shared" si="1"/>
        <v>297812.63498636376</v>
      </c>
      <c r="E84" s="33">
        <f t="shared" si="2"/>
        <v>326584.57161647786</v>
      </c>
      <c r="F84" s="33">
        <f t="shared" si="3"/>
        <v>1161615.4283835222</v>
      </c>
      <c r="G84" s="33">
        <f t="shared" si="4"/>
        <v>-93033.450632726584</v>
      </c>
      <c r="H84" s="33">
        <f t="shared" si="5"/>
        <v>11800</v>
      </c>
    </row>
    <row r="85" spans="2:8" x14ac:dyDescent="0.25">
      <c r="B85" s="5">
        <f>(85-25)/100</f>
        <v>0.6</v>
      </c>
      <c r="C85" s="5">
        <f t="shared" si="0"/>
        <v>0.94176453358424872</v>
      </c>
      <c r="D85" s="33">
        <f t="shared" si="1"/>
        <v>296327.28827268718</v>
      </c>
      <c r="E85" s="33">
        <f t="shared" si="2"/>
        <v>325658.90356101346</v>
      </c>
      <c r="F85" s="33">
        <f t="shared" si="3"/>
        <v>1162341.0964389865</v>
      </c>
      <c r="G85" s="33">
        <f t="shared" si="4"/>
        <v>-92101.155570307543</v>
      </c>
      <c r="H85" s="33">
        <f t="shared" si="5"/>
        <v>12000</v>
      </c>
    </row>
    <row r="86" spans="2:8" x14ac:dyDescent="0.25">
      <c r="B86" s="5">
        <f>(86-25)/100</f>
        <v>0.61</v>
      </c>
      <c r="C86" s="5">
        <f t="shared" si="0"/>
        <v>0.94082323977600968</v>
      </c>
      <c r="D86" s="33">
        <f t="shared" si="1"/>
        <v>294849.34975665109</v>
      </c>
      <c r="E86" s="33">
        <f t="shared" si="2"/>
        <v>324742.52866309456</v>
      </c>
      <c r="F86" s="33">
        <f t="shared" si="3"/>
        <v>1163057.4713369054</v>
      </c>
      <c r="G86" s="33">
        <f t="shared" si="4"/>
        <v>-91174.813108260627</v>
      </c>
      <c r="H86" s="33">
        <f t="shared" si="5"/>
        <v>12200</v>
      </c>
    </row>
    <row r="87" spans="2:8" x14ac:dyDescent="0.25">
      <c r="B87" s="5">
        <f>(87-25)/100</f>
        <v>0.62</v>
      </c>
      <c r="C87" s="5">
        <f t="shared" si="0"/>
        <v>0.93988288679108889</v>
      </c>
      <c r="D87" s="33">
        <f t="shared" si="1"/>
        <v>293378.78248971567</v>
      </c>
      <c r="E87" s="33">
        <f t="shared" si="2"/>
        <v>323835.38757681783</v>
      </c>
      <c r="F87" s="33">
        <f t="shared" si="3"/>
        <v>1163764.6124231822</v>
      </c>
      <c r="G87" s="33">
        <f t="shared" si="4"/>
        <v>-90254.387262526259</v>
      </c>
      <c r="H87" s="33">
        <f t="shared" si="5"/>
        <v>12400</v>
      </c>
    </row>
    <row r="88" spans="2:8" x14ac:dyDescent="0.25">
      <c r="B88" s="5">
        <f>(88-25)/100</f>
        <v>0.63</v>
      </c>
      <c r="C88" s="5">
        <f t="shared" si="0"/>
        <v>0.93894347368913322</v>
      </c>
      <c r="D88" s="33">
        <f t="shared" si="1"/>
        <v>291915.54970762273</v>
      </c>
      <c r="E88" s="33">
        <f t="shared" si="2"/>
        <v>322937.42131504155</v>
      </c>
      <c r="F88" s="33">
        <f t="shared" si="3"/>
        <v>1164462.5786849584</v>
      </c>
      <c r="G88" s="33">
        <f t="shared" si="4"/>
        <v>-89339.842264678227</v>
      </c>
      <c r="H88" s="33">
        <f t="shared" si="5"/>
        <v>12600</v>
      </c>
    </row>
    <row r="89" spans="2:8" x14ac:dyDescent="0.25">
      <c r="B89" s="5">
        <f>(89-25)/100</f>
        <v>0.64</v>
      </c>
      <c r="C89" s="5">
        <f t="shared" ref="C89:C152" si="6">EXP(-$C$10*B89)</f>
        <v>0.93800499953072947</v>
      </c>
      <c r="D89" s="33">
        <f t="shared" ref="D89:D152" si="7">$C$7*EXP(-$C$9*B89)</f>
        <v>290459.6148294764</v>
      </c>
      <c r="E89" s="33">
        <f t="shared" ref="E89:E152" si="8">C89*D89+(1-C89)*$C$8</f>
        <v>322048.57124723529</v>
      </c>
      <c r="F89" s="33">
        <f t="shared" ref="F89:F152" si="9">$C$12-E89-$C$11*B89</f>
        <v>1165151.4287527646</v>
      </c>
      <c r="G89" s="33">
        <f t="shared" ref="G89:G152" si="10">$C$10*$C$8*EXP(-$C$10*B89)-($C$9+$C$10)*$C$7*EXP(-($C$9+$C$10)*B89)</f>
        <v>-88431.142560632958</v>
      </c>
      <c r="H89" s="33">
        <f t="shared" ref="H89:H152" si="11">$C$11*B89</f>
        <v>12800</v>
      </c>
    </row>
    <row r="90" spans="2:8" x14ac:dyDescent="0.25">
      <c r="B90" s="5">
        <f>(90-25)/100</f>
        <v>0.65</v>
      </c>
      <c r="C90" s="5">
        <f t="shared" si="6"/>
        <v>0.93706746337740343</v>
      </c>
      <c r="D90" s="33">
        <f t="shared" si="7"/>
        <v>289010.94145682891</v>
      </c>
      <c r="E90" s="33">
        <f t="shared" si="8"/>
        <v>321168.77909734321</v>
      </c>
      <c r="F90" s="33">
        <f t="shared" si="9"/>
        <v>1165831.2209026567</v>
      </c>
      <c r="G90" s="33">
        <f t="shared" si="10"/>
        <v>-87528.252809367244</v>
      </c>
      <c r="H90" s="33">
        <f t="shared" si="11"/>
        <v>13000</v>
      </c>
    </row>
    <row r="91" spans="2:8" x14ac:dyDescent="0.25">
      <c r="B91" s="5">
        <f>(91-25)/100</f>
        <v>0.66</v>
      </c>
      <c r="C91" s="5">
        <f t="shared" si="6"/>
        <v>0.93613086429161885</v>
      </c>
      <c r="D91" s="33">
        <f t="shared" si="7"/>
        <v>287569.49337277049</v>
      </c>
      <c r="E91" s="33">
        <f t="shared" si="8"/>
        <v>320297.98694165953</v>
      </c>
      <c r="F91" s="33">
        <f t="shared" si="9"/>
        <v>1166502.0130583404</v>
      </c>
      <c r="G91" s="33">
        <f t="shared" si="10"/>
        <v>-86631.137881643226</v>
      </c>
      <c r="H91" s="33">
        <f t="shared" si="11"/>
        <v>13200</v>
      </c>
    </row>
    <row r="92" spans="2:8" x14ac:dyDescent="0.25">
      <c r="B92" s="5">
        <f>(92-25)/100</f>
        <v>0.67</v>
      </c>
      <c r="C92" s="5">
        <f t="shared" si="6"/>
        <v>0.93519520133677658</v>
      </c>
      <c r="D92" s="33">
        <f t="shared" si="7"/>
        <v>286135.23454102396</v>
      </c>
      <c r="E92" s="33">
        <f t="shared" si="8"/>
        <v>319436.13720671745</v>
      </c>
      <c r="F92" s="33">
        <f t="shared" si="9"/>
        <v>1167163.8627932826</v>
      </c>
      <c r="G92" s="33">
        <f t="shared" si="10"/>
        <v>-85739.762858741102</v>
      </c>
      <c r="H92" s="33">
        <f t="shared" si="11"/>
        <v>13400</v>
      </c>
    </row>
    <row r="93" spans="2:8" x14ac:dyDescent="0.25">
      <c r="B93" s="5">
        <f>(93-25)/100</f>
        <v>0.68</v>
      </c>
      <c r="C93" s="5">
        <f t="shared" si="6"/>
        <v>0.93426047357721353</v>
      </c>
      <c r="D93" s="33">
        <f t="shared" si="7"/>
        <v>284708.12910504389</v>
      </c>
      <c r="E93" s="33">
        <f t="shared" si="8"/>
        <v>318583.17266718991</v>
      </c>
      <c r="F93" s="33">
        <f t="shared" si="9"/>
        <v>1167816.82733281</v>
      </c>
      <c r="G93" s="33">
        <f t="shared" si="10"/>
        <v>-84854.093031199372</v>
      </c>
      <c r="H93" s="33">
        <f t="shared" si="11"/>
        <v>13600.000000000002</v>
      </c>
    </row>
    <row r="94" spans="2:8" x14ac:dyDescent="0.25">
      <c r="B94" s="5">
        <f>(94-25)/100</f>
        <v>0.69</v>
      </c>
      <c r="C94" s="5">
        <f t="shared" si="6"/>
        <v>0.93332668007820196</v>
      </c>
      <c r="D94" s="33">
        <f t="shared" si="7"/>
        <v>283288.14138712001</v>
      </c>
      <c r="E94" s="33">
        <f t="shared" si="8"/>
        <v>317739.0364438034</v>
      </c>
      <c r="F94" s="33">
        <f t="shared" si="9"/>
        <v>1168460.9635561965</v>
      </c>
      <c r="G94" s="33">
        <f t="shared" si="10"/>
        <v>-83974.093897562838</v>
      </c>
      <c r="H94" s="33">
        <f t="shared" si="11"/>
        <v>13799.999999999998</v>
      </c>
    </row>
    <row r="95" spans="2:8" x14ac:dyDescent="0.25">
      <c r="B95" s="5">
        <f>(95-25)/100</f>
        <v>0.7</v>
      </c>
      <c r="C95" s="5">
        <f t="shared" si="6"/>
        <v>0.93239381990594827</v>
      </c>
      <c r="D95" s="33">
        <f t="shared" si="7"/>
        <v>281875.23588748538</v>
      </c>
      <c r="E95" s="33">
        <f t="shared" si="8"/>
        <v>316903.67200126412</v>
      </c>
      <c r="F95" s="33">
        <f t="shared" si="9"/>
        <v>1169096.3279987359</v>
      </c>
      <c r="G95" s="33">
        <f t="shared" si="10"/>
        <v>-83099.731163137752</v>
      </c>
      <c r="H95" s="33">
        <f t="shared" si="11"/>
        <v>14000</v>
      </c>
    </row>
    <row r="96" spans="2:8" x14ac:dyDescent="0.25">
      <c r="B96" s="5">
        <f>(96-25)/100</f>
        <v>0.71</v>
      </c>
      <c r="C96" s="5">
        <f t="shared" si="6"/>
        <v>0.93146189212759212</v>
      </c>
      <c r="D96" s="33">
        <f t="shared" si="7"/>
        <v>280469.37728342897</v>
      </c>
      <c r="E96" s="33">
        <f t="shared" si="8"/>
        <v>316077.02314619656</v>
      </c>
      <c r="F96" s="33">
        <f t="shared" si="9"/>
        <v>1169722.9768538035</v>
      </c>
      <c r="G96" s="33">
        <f t="shared" si="10"/>
        <v>-82230.970738754768</v>
      </c>
      <c r="H96" s="33">
        <f t="shared" si="11"/>
        <v>14200</v>
      </c>
    </row>
    <row r="97" spans="2:8" x14ac:dyDescent="0.25">
      <c r="B97" s="5">
        <f>(97-25)/100</f>
        <v>0.72</v>
      </c>
      <c r="C97" s="5">
        <f t="shared" si="6"/>
        <v>0.93053089581120574</v>
      </c>
      <c r="D97" s="33">
        <f t="shared" si="7"/>
        <v>279070.53042841243</v>
      </c>
      <c r="E97" s="33">
        <f t="shared" si="8"/>
        <v>315259.03402509436</v>
      </c>
      <c r="F97" s="33">
        <f t="shared" si="9"/>
        <v>1170340.9659749055</v>
      </c>
      <c r="G97" s="33">
        <f t="shared" si="10"/>
        <v>-81367.778739538931</v>
      </c>
      <c r="H97" s="33">
        <f t="shared" si="11"/>
        <v>14400</v>
      </c>
    </row>
    <row r="98" spans="2:8" x14ac:dyDescent="0.25">
      <c r="B98" s="5">
        <f>(98-25)/100</f>
        <v>0.73</v>
      </c>
      <c r="C98" s="5">
        <f t="shared" si="6"/>
        <v>0.92960083002579275</v>
      </c>
      <c r="D98" s="33">
        <f t="shared" si="7"/>
        <v>277678.66035119153</v>
      </c>
      <c r="E98" s="33">
        <f t="shared" si="8"/>
        <v>314449.64912228368</v>
      </c>
      <c r="F98" s="33">
        <f t="shared" si="9"/>
        <v>1170950.3508777162</v>
      </c>
      <c r="G98" s="33">
        <f t="shared" si="10"/>
        <v>-80510.121483687282</v>
      </c>
      <c r="H98" s="33">
        <f t="shared" si="11"/>
        <v>14600</v>
      </c>
    </row>
    <row r="99" spans="2:8" x14ac:dyDescent="0.25">
      <c r="B99" s="5">
        <f>(99-25)/100</f>
        <v>0.74</v>
      </c>
      <c r="C99" s="5">
        <f t="shared" si="6"/>
        <v>0.92867169384128723</v>
      </c>
      <c r="D99" s="33">
        <f t="shared" si="7"/>
        <v>276293.73225494189</v>
      </c>
      <c r="E99" s="33">
        <f t="shared" si="8"/>
        <v>313648.8132578982</v>
      </c>
      <c r="F99" s="33">
        <f t="shared" si="9"/>
        <v>1171551.1867421018</v>
      </c>
      <c r="G99" s="33">
        <f t="shared" si="10"/>
        <v>-79657.965491253795</v>
      </c>
      <c r="H99" s="33">
        <f t="shared" si="11"/>
        <v>14800</v>
      </c>
    </row>
    <row r="100" spans="2:8" x14ac:dyDescent="0.25">
      <c r="B100" s="5">
        <f>(100-25)/100</f>
        <v>0.75</v>
      </c>
      <c r="C100" s="5">
        <f t="shared" si="6"/>
        <v>0.92774348632855286</v>
      </c>
      <c r="D100" s="33">
        <f t="shared" si="7"/>
        <v>274915.71151638887</v>
      </c>
      <c r="E100" s="33">
        <f t="shared" si="8"/>
        <v>312856.471585867</v>
      </c>
      <c r="F100" s="33">
        <f t="shared" si="9"/>
        <v>1172143.528414133</v>
      </c>
      <c r="G100" s="33">
        <f t="shared" si="10"/>
        <v>-78811.277482941368</v>
      </c>
      <c r="H100" s="33">
        <f t="shared" si="11"/>
        <v>15000</v>
      </c>
    </row>
    <row r="101" spans="2:8" x14ac:dyDescent="0.25">
      <c r="B101" s="5">
        <f>(101-25)/100</f>
        <v>0.76</v>
      </c>
      <c r="C101" s="5">
        <f t="shared" si="6"/>
        <v>0.92681620655938224</v>
      </c>
      <c r="D101" s="33">
        <f t="shared" si="7"/>
        <v>273544.56368494232</v>
      </c>
      <c r="E101" s="33">
        <f t="shared" si="8"/>
        <v>312072.56959191378</v>
      </c>
      <c r="F101" s="33">
        <f t="shared" si="9"/>
        <v>1172727.4304080862</v>
      </c>
      <c r="G101" s="33">
        <f t="shared" si="10"/>
        <v>-77970.024378901217</v>
      </c>
      <c r="H101" s="33">
        <f t="shared" si="11"/>
        <v>15200</v>
      </c>
    </row>
    <row r="102" spans="2:8" x14ac:dyDescent="0.25">
      <c r="B102" s="5">
        <f>(102-25)/100</f>
        <v>0.77</v>
      </c>
      <c r="C102" s="5">
        <f t="shared" si="6"/>
        <v>0.92588985360649534</v>
      </c>
      <c r="D102" s="33">
        <f t="shared" si="7"/>
        <v>272180.25448183506</v>
      </c>
      <c r="E102" s="33">
        <f t="shared" si="8"/>
        <v>311297.05309156864</v>
      </c>
      <c r="F102" s="33">
        <f t="shared" si="9"/>
        <v>1173302.9469084314</v>
      </c>
      <c r="G102" s="33">
        <f t="shared" si="10"/>
        <v>-77134.173297539324</v>
      </c>
      <c r="H102" s="33">
        <f t="shared" si="11"/>
        <v>15400</v>
      </c>
    </row>
    <row r="103" spans="2:8" x14ac:dyDescent="0.25">
      <c r="B103" s="5">
        <f>(103-25)/100</f>
        <v>0.78</v>
      </c>
      <c r="C103" s="5">
        <f t="shared" si="6"/>
        <v>0.92496442654353928</v>
      </c>
      <c r="D103" s="33">
        <f t="shared" si="7"/>
        <v>270822.74979926588</v>
      </c>
      <c r="E103" s="33">
        <f t="shared" si="8"/>
        <v>310529.86822819093</v>
      </c>
      <c r="F103" s="33">
        <f t="shared" si="9"/>
        <v>1173870.131771809</v>
      </c>
      <c r="G103" s="33">
        <f t="shared" si="10"/>
        <v>-76303.691554330289</v>
      </c>
      <c r="H103" s="33">
        <f t="shared" si="11"/>
        <v>15600</v>
      </c>
    </row>
    <row r="104" spans="2:8" x14ac:dyDescent="0.25">
      <c r="B104" s="5">
        <f>(104-25)/100</f>
        <v>0.79</v>
      </c>
      <c r="C104" s="5">
        <f t="shared" si="6"/>
        <v>0.92403992444508676</v>
      </c>
      <c r="D104" s="33">
        <f t="shared" si="7"/>
        <v>269472.01569954708</v>
      </c>
      <c r="E104" s="33">
        <f t="shared" si="8"/>
        <v>309770.96147100534</v>
      </c>
      <c r="F104" s="33">
        <f t="shared" si="9"/>
        <v>1174429.0385289947</v>
      </c>
      <c r="G104" s="33">
        <f t="shared" si="10"/>
        <v>-75478.546660637876</v>
      </c>
      <c r="H104" s="33">
        <f t="shared" si="11"/>
        <v>15800</v>
      </c>
    </row>
    <row r="105" spans="2:8" x14ac:dyDescent="0.25">
      <c r="B105" s="5">
        <f>(105-25)/100</f>
        <v>0.8</v>
      </c>
      <c r="C105" s="5">
        <f t="shared" si="6"/>
        <v>0.92311634638663576</v>
      </c>
      <c r="D105" s="33">
        <f t="shared" si="7"/>
        <v>268128.01841425576</v>
      </c>
      <c r="E105" s="33">
        <f t="shared" si="8"/>
        <v>309020.27961314778</v>
      </c>
      <c r="F105" s="33">
        <f t="shared" si="9"/>
        <v>1174979.7203868523</v>
      </c>
      <c r="G105" s="33">
        <f t="shared" si="10"/>
        <v>-74658.70632254293</v>
      </c>
      <c r="H105" s="33">
        <f t="shared" si="11"/>
        <v>16000</v>
      </c>
    </row>
    <row r="106" spans="2:8" x14ac:dyDescent="0.25">
      <c r="B106" s="5">
        <f>(106-25)/100</f>
        <v>0.81</v>
      </c>
      <c r="C106" s="5">
        <f t="shared" si="6"/>
        <v>0.92219369144460805</v>
      </c>
      <c r="D106" s="33">
        <f t="shared" si="7"/>
        <v>266790.72434338974</v>
      </c>
      <c r="E106" s="33">
        <f t="shared" si="8"/>
        <v>308277.76976972498</v>
      </c>
      <c r="F106" s="33">
        <f t="shared" si="9"/>
        <v>1175522.2302302751</v>
      </c>
      <c r="G106" s="33">
        <f t="shared" si="10"/>
        <v>-73844.138439678238</v>
      </c>
      <c r="H106" s="33">
        <f t="shared" si="11"/>
        <v>16200.000000000002</v>
      </c>
    </row>
    <row r="107" spans="2:8" x14ac:dyDescent="0.25">
      <c r="B107" s="5">
        <f>(107-25)/100</f>
        <v>0.82</v>
      </c>
      <c r="C107" s="5">
        <f t="shared" si="6"/>
        <v>0.9212719586963487</v>
      </c>
      <c r="D107" s="33">
        <f t="shared" si="7"/>
        <v>265460.10005452775</v>
      </c>
      <c r="E107" s="33">
        <f t="shared" si="8"/>
        <v>307543.37937588454</v>
      </c>
      <c r="F107" s="33">
        <f t="shared" si="9"/>
        <v>1176056.6206241155</v>
      </c>
      <c r="G107" s="33">
        <f t="shared" si="10"/>
        <v>-73034.811104070206</v>
      </c>
      <c r="H107" s="33">
        <f t="shared" si="11"/>
        <v>16400</v>
      </c>
    </row>
    <row r="108" spans="2:8" x14ac:dyDescent="0.25">
      <c r="B108" s="5">
        <f>(108-25)/100</f>
        <v>0.83</v>
      </c>
      <c r="C108" s="5">
        <f t="shared" si="6"/>
        <v>0.92035114722012468</v>
      </c>
      <c r="D108" s="33">
        <f t="shared" si="7"/>
        <v>264136.11228199315</v>
      </c>
      <c r="E108" s="33">
        <f t="shared" si="8"/>
        <v>306817.05618489633</v>
      </c>
      <c r="F108" s="33">
        <f t="shared" si="9"/>
        <v>1176582.9438151037</v>
      </c>
      <c r="G108" s="33">
        <f t="shared" si="10"/>
        <v>-72230.692598987691</v>
      </c>
      <c r="H108" s="33">
        <f t="shared" si="11"/>
        <v>16600</v>
      </c>
    </row>
    <row r="109" spans="2:8" x14ac:dyDescent="0.25">
      <c r="B109" s="5">
        <f>(109-25)/100</f>
        <v>0.84</v>
      </c>
      <c r="C109" s="5">
        <f t="shared" si="6"/>
        <v>0.91943125609512466</v>
      </c>
      <c r="D109" s="33">
        <f t="shared" si="7"/>
        <v>262818.72792602272</v>
      </c>
      <c r="E109" s="33">
        <f t="shared" si="8"/>
        <v>306098.74826624617</v>
      </c>
      <c r="F109" s="33">
        <f t="shared" si="9"/>
        <v>1177101.2517337538</v>
      </c>
      <c r="G109" s="33">
        <f t="shared" si="10"/>
        <v>-71431.751397797547</v>
      </c>
      <c r="H109" s="33">
        <f t="shared" si="11"/>
        <v>16800</v>
      </c>
    </row>
    <row r="110" spans="2:8" x14ac:dyDescent="0.25">
      <c r="B110" s="5">
        <f>(110-25)/100</f>
        <v>0.85</v>
      </c>
      <c r="C110" s="5">
        <f t="shared" si="6"/>
        <v>0.91851228440145738</v>
      </c>
      <c r="D110" s="33">
        <f t="shared" si="7"/>
        <v>261507.91405193892</v>
      </c>
      <c r="E110" s="33">
        <f t="shared" si="8"/>
        <v>305388.40400374046</v>
      </c>
      <c r="F110" s="33">
        <f t="shared" si="9"/>
        <v>1177611.5959962595</v>
      </c>
      <c r="G110" s="33">
        <f t="shared" si="10"/>
        <v>-70637.95616282722</v>
      </c>
      <c r="H110" s="33">
        <f t="shared" si="11"/>
        <v>17000</v>
      </c>
    </row>
    <row r="111" spans="2:8" x14ac:dyDescent="0.25">
      <c r="B111" s="5">
        <f>(111-25)/100</f>
        <v>0.86</v>
      </c>
      <c r="C111" s="5">
        <f t="shared" si="6"/>
        <v>0.91759423122015094</v>
      </c>
      <c r="D111" s="33">
        <f t="shared" si="7"/>
        <v>260203.63788932661</v>
      </c>
      <c r="E111" s="33">
        <f t="shared" si="8"/>
        <v>304685.97209362243</v>
      </c>
      <c r="F111" s="33">
        <f t="shared" si="9"/>
        <v>1178114.0279063776</v>
      </c>
      <c r="G111" s="33">
        <f t="shared" si="10"/>
        <v>-69849.275744233848</v>
      </c>
      <c r="H111" s="33">
        <f t="shared" si="11"/>
        <v>17200</v>
      </c>
    </row>
    <row r="112" spans="2:8" x14ac:dyDescent="0.25">
      <c r="B112" s="5">
        <f>(112-25)/100</f>
        <v>0.87</v>
      </c>
      <c r="C112" s="5">
        <f t="shared" si="6"/>
        <v>0.91667709563315225</v>
      </c>
      <c r="D112" s="33">
        <f t="shared" si="7"/>
        <v>258905.86683121385</v>
      </c>
      <c r="E112" s="33">
        <f t="shared" si="8"/>
        <v>303991.40154269896</v>
      </c>
      <c r="F112" s="33">
        <f t="shared" si="9"/>
        <v>1178608.598457301</v>
      </c>
      <c r="G112" s="33">
        <f t="shared" si="10"/>
        <v>-69065.679178880295</v>
      </c>
      <c r="H112" s="33">
        <f t="shared" si="11"/>
        <v>17400</v>
      </c>
    </row>
    <row r="113" spans="2:8" x14ac:dyDescent="0.25">
      <c r="B113" s="5">
        <f>(113-25)/100</f>
        <v>0.88</v>
      </c>
      <c r="C113" s="5">
        <f t="shared" si="6"/>
        <v>0.91576087672332562</v>
      </c>
      <c r="D113" s="33">
        <f t="shared" si="7"/>
        <v>257614.56843325656</v>
      </c>
      <c r="E113" s="33">
        <f t="shared" si="8"/>
        <v>303304.6416664797</v>
      </c>
      <c r="F113" s="33">
        <f t="shared" si="9"/>
        <v>1179095.3583335204</v>
      </c>
      <c r="G113" s="33">
        <f t="shared" si="10"/>
        <v>-68287.135689218048</v>
      </c>
      <c r="H113" s="33">
        <f t="shared" si="11"/>
        <v>17600</v>
      </c>
    </row>
    <row r="114" spans="2:8" x14ac:dyDescent="0.25">
      <c r="B114" s="5">
        <f>(114-25)/100</f>
        <v>0.89</v>
      </c>
      <c r="C114" s="5">
        <f t="shared" si="6"/>
        <v>0.91484557357445195</v>
      </c>
      <c r="D114" s="33">
        <f t="shared" si="7"/>
        <v>256329.7104129275</v>
      </c>
      <c r="E114" s="33">
        <f t="shared" si="8"/>
        <v>302625.64208732627</v>
      </c>
      <c r="F114" s="33">
        <f t="shared" si="9"/>
        <v>1179574.3579126736</v>
      </c>
      <c r="G114" s="33">
        <f t="shared" si="10"/>
        <v>-67513.614682176558</v>
      </c>
      <c r="H114" s="33">
        <f t="shared" si="11"/>
        <v>17800</v>
      </c>
    </row>
    <row r="115" spans="2:8" x14ac:dyDescent="0.25">
      <c r="B115" s="5">
        <f>(115-25)/100</f>
        <v>0.9</v>
      </c>
      <c r="C115" s="5">
        <f t="shared" si="6"/>
        <v>0.91393118527122819</v>
      </c>
      <c r="D115" s="33">
        <f t="shared" si="7"/>
        <v>255051.26064870934</v>
      </c>
      <c r="E115" s="33">
        <f t="shared" si="8"/>
        <v>301954.35273261333</v>
      </c>
      <c r="F115" s="33">
        <f t="shared" si="9"/>
        <v>1180045.6472673868</v>
      </c>
      <c r="G115" s="33">
        <f t="shared" si="10"/>
        <v>-66745.085748059268</v>
      </c>
      <c r="H115" s="33">
        <f t="shared" si="11"/>
        <v>18000</v>
      </c>
    </row>
    <row r="116" spans="2:8" x14ac:dyDescent="0.25">
      <c r="B116" s="5">
        <f>(116-25)/100</f>
        <v>0.91</v>
      </c>
      <c r="C116" s="5">
        <f t="shared" si="6"/>
        <v>0.91301771089926576</v>
      </c>
      <c r="D116" s="33">
        <f t="shared" si="7"/>
        <v>253779.1871792913</v>
      </c>
      <c r="E116" s="33">
        <f t="shared" si="8"/>
        <v>301290.72383290023</v>
      </c>
      <c r="F116" s="33">
        <f t="shared" si="9"/>
        <v>1180509.2761670998</v>
      </c>
      <c r="G116" s="33">
        <f t="shared" si="10"/>
        <v>-65981.518659446432</v>
      </c>
      <c r="H116" s="33">
        <f t="shared" si="11"/>
        <v>18200</v>
      </c>
    </row>
    <row r="117" spans="2:8" x14ac:dyDescent="0.25">
      <c r="B117" s="5">
        <f>(117-25)/100</f>
        <v>0.92</v>
      </c>
      <c r="C117" s="5">
        <f t="shared" si="6"/>
        <v>0.91210514954509037</v>
      </c>
      <c r="D117" s="33">
        <f t="shared" si="7"/>
        <v>252513.45820277039</v>
      </c>
      <c r="E117" s="33">
        <f t="shared" si="8"/>
        <v>300634.70592011354</v>
      </c>
      <c r="F117" s="33">
        <f t="shared" si="9"/>
        <v>1180965.2940798865</v>
      </c>
      <c r="G117" s="33">
        <f t="shared" si="10"/>
        <v>-65222.88337010426</v>
      </c>
      <c r="H117" s="33">
        <f t="shared" si="11"/>
        <v>18400</v>
      </c>
    </row>
    <row r="118" spans="2:8" x14ac:dyDescent="0.25">
      <c r="B118" s="5">
        <f>(118-25)/100</f>
        <v>0.93</v>
      </c>
      <c r="C118" s="5">
        <f t="shared" si="6"/>
        <v>0.91119350029614055</v>
      </c>
      <c r="D118" s="33">
        <f t="shared" si="7"/>
        <v>251254.0420758563</v>
      </c>
      <c r="E118" s="33">
        <f t="shared" si="8"/>
        <v>299986.24982574087</v>
      </c>
      <c r="F118" s="33">
        <f t="shared" si="9"/>
        <v>1181413.7501742591</v>
      </c>
      <c r="G118" s="33">
        <f t="shared" si="10"/>
        <v>-64469.150013900726</v>
      </c>
      <c r="H118" s="33">
        <f t="shared" si="11"/>
        <v>18600</v>
      </c>
    </row>
    <row r="119" spans="2:8" x14ac:dyDescent="0.25">
      <c r="B119" s="5">
        <f>(119-25)/100</f>
        <v>0.94</v>
      </c>
      <c r="C119" s="5">
        <f t="shared" si="6"/>
        <v>0.91028276224076698</v>
      </c>
      <c r="D119" s="33">
        <f t="shared" si="7"/>
        <v>250000.9073130803</v>
      </c>
      <c r="E119" s="33">
        <f t="shared" si="8"/>
        <v>299345.30667903513</v>
      </c>
      <c r="F119" s="33">
        <f t="shared" si="9"/>
        <v>1181854.6933209649</v>
      </c>
      <c r="G119" s="33">
        <f t="shared" si="10"/>
        <v>-63720.288903727866</v>
      </c>
      <c r="H119" s="33">
        <f t="shared" si="11"/>
        <v>18800</v>
      </c>
    </row>
    <row r="120" spans="2:8" x14ac:dyDescent="0.25">
      <c r="B120" s="5">
        <f>(120-25)/100</f>
        <v>0.95</v>
      </c>
      <c r="C120" s="5">
        <f t="shared" si="6"/>
        <v>0.90937293446823142</v>
      </c>
      <c r="D120" s="33">
        <f t="shared" si="7"/>
        <v>248754.02258600804</v>
      </c>
      <c r="E120" s="33">
        <f t="shared" si="8"/>
        <v>298711.8279052297</v>
      </c>
      <c r="F120" s="33">
        <f t="shared" si="9"/>
        <v>1182288.1720947702</v>
      </c>
      <c r="G120" s="33">
        <f t="shared" si="10"/>
        <v>-62976.270530430382</v>
      </c>
      <c r="H120" s="33">
        <f t="shared" si="11"/>
        <v>19000</v>
      </c>
    </row>
    <row r="121" spans="2:8" x14ac:dyDescent="0.25">
      <c r="B121" s="5">
        <f>(121-25)/100</f>
        <v>0.96</v>
      </c>
      <c r="C121" s="5">
        <f t="shared" si="6"/>
        <v>0.90846401606870619</v>
      </c>
      <c r="D121" s="33">
        <f t="shared" si="7"/>
        <v>247513.35672245634</v>
      </c>
      <c r="E121" s="33">
        <f t="shared" si="8"/>
        <v>298085.765223764</v>
      </c>
      <c r="F121" s="33">
        <f t="shared" si="9"/>
        <v>1182714.2347762361</v>
      </c>
      <c r="G121" s="33">
        <f t="shared" si="10"/>
        <v>-62237.065561740877</v>
      </c>
      <c r="H121" s="33">
        <f t="shared" si="11"/>
        <v>19200</v>
      </c>
    </row>
    <row r="122" spans="2:8" x14ac:dyDescent="0.25">
      <c r="B122" s="5">
        <f>(122-25)/100</f>
        <v>0.97</v>
      </c>
      <c r="C122" s="5">
        <f t="shared" si="6"/>
        <v>0.9075560061332727</v>
      </c>
      <c r="D122" s="33">
        <f t="shared" si="7"/>
        <v>246278.87870571404</v>
      </c>
      <c r="E122" s="33">
        <f t="shared" si="8"/>
        <v>297467.07064652035</v>
      </c>
      <c r="F122" s="33">
        <f t="shared" si="9"/>
        <v>1183132.9293534798</v>
      </c>
      <c r="G122" s="33">
        <f t="shared" si="10"/>
        <v>-61502.644841221292</v>
      </c>
      <c r="H122" s="33">
        <f t="shared" si="11"/>
        <v>19400</v>
      </c>
    </row>
    <row r="123" spans="2:8" x14ac:dyDescent="0.25">
      <c r="B123" s="5">
        <f>(123-25)/100</f>
        <v>0.98</v>
      </c>
      <c r="C123" s="5">
        <f t="shared" si="6"/>
        <v>0.90664890375392093</v>
      </c>
      <c r="D123" s="33">
        <f t="shared" si="7"/>
        <v>245050.55767376645</v>
      </c>
      <c r="E123" s="33">
        <f t="shared" si="8"/>
        <v>296855.69647607056</v>
      </c>
      <c r="F123" s="33">
        <f t="shared" si="9"/>
        <v>1183544.3035239293</v>
      </c>
      <c r="G123" s="33">
        <f t="shared" si="10"/>
        <v>-60772.979387210711</v>
      </c>
      <c r="H123" s="33">
        <f t="shared" si="11"/>
        <v>19600</v>
      </c>
    </row>
    <row r="124" spans="2:8" x14ac:dyDescent="0.25">
      <c r="B124" s="5">
        <f>(124-25)/100</f>
        <v>0.99</v>
      </c>
      <c r="C124" s="5">
        <f t="shared" si="6"/>
        <v>0.9057427080235485</v>
      </c>
      <c r="D124" s="33">
        <f t="shared" si="7"/>
        <v>243828.36291852369</v>
      </c>
      <c r="E124" s="33">
        <f t="shared" si="8"/>
        <v>296251.59530393343</v>
      </c>
      <c r="F124" s="33">
        <f t="shared" si="9"/>
        <v>1183948.4046960666</v>
      </c>
      <c r="G124" s="33">
        <f t="shared" si="10"/>
        <v>-60048.040391779461</v>
      </c>
      <c r="H124" s="33">
        <f t="shared" si="11"/>
        <v>19800</v>
      </c>
    </row>
    <row r="125" spans="2:8" x14ac:dyDescent="0.25">
      <c r="B125" s="5">
        <f>(125-25)/100</f>
        <v>1</v>
      </c>
      <c r="C125" s="5">
        <f t="shared" si="6"/>
        <v>0.90483741803595952</v>
      </c>
      <c r="D125" s="33">
        <f t="shared" si="7"/>
        <v>242612.26388505337</v>
      </c>
      <c r="E125" s="33">
        <f t="shared" si="8"/>
        <v>295654.72000884294</v>
      </c>
      <c r="F125" s="33">
        <f t="shared" si="9"/>
        <v>1184345.2799911571</v>
      </c>
      <c r="G125" s="33">
        <f t="shared" si="10"/>
        <v>-59327.799219689565</v>
      </c>
      <c r="H125" s="33">
        <f t="shared" si="11"/>
        <v>20000</v>
      </c>
    </row>
    <row r="126" spans="2:8" x14ac:dyDescent="0.25">
      <c r="B126" s="5">
        <f>(126-25)/100</f>
        <v>1.01</v>
      </c>
      <c r="C126" s="5">
        <f t="shared" si="6"/>
        <v>0.90393303288586413</v>
      </c>
      <c r="D126" s="33">
        <f t="shared" si="7"/>
        <v>241402.23017081621</v>
      </c>
      <c r="E126" s="33">
        <f t="shared" si="8"/>
        <v>295065.02375502605</v>
      </c>
      <c r="F126" s="33">
        <f t="shared" si="9"/>
        <v>1184734.976244974</v>
      </c>
      <c r="G126" s="33">
        <f t="shared" si="10"/>
        <v>-58612.227407361279</v>
      </c>
      <c r="H126" s="33">
        <f t="shared" si="11"/>
        <v>20200</v>
      </c>
    </row>
    <row r="127" spans="2:8" x14ac:dyDescent="0.25">
      <c r="B127" s="5">
        <f>(127-25)/100</f>
        <v>1.02</v>
      </c>
      <c r="C127" s="5">
        <f t="shared" si="6"/>
        <v>0.90302955166887677</v>
      </c>
      <c r="D127" s="33">
        <f t="shared" si="7"/>
        <v>240198.23152490635</v>
      </c>
      <c r="E127" s="33">
        <f t="shared" si="8"/>
        <v>294482.45999049186</v>
      </c>
      <c r="F127" s="33">
        <f t="shared" si="9"/>
        <v>1185117.5400095081</v>
      </c>
      <c r="G127" s="33">
        <f t="shared" si="10"/>
        <v>-57901.29666184583</v>
      </c>
      <c r="H127" s="33">
        <f t="shared" si="11"/>
        <v>20400</v>
      </c>
    </row>
    <row r="128" spans="2:8" x14ac:dyDescent="0.25">
      <c r="B128" s="5">
        <f>(128-25)/100</f>
        <v>1.03</v>
      </c>
      <c r="C128" s="5">
        <f t="shared" si="6"/>
        <v>0.90212697348151649</v>
      </c>
      <c r="D128" s="33">
        <f t="shared" si="7"/>
        <v>239000.23784729498</v>
      </c>
      <c r="E128" s="33">
        <f t="shared" si="8"/>
        <v>293906.9824453296</v>
      </c>
      <c r="F128" s="33">
        <f t="shared" si="9"/>
        <v>1185493.0175546703</v>
      </c>
      <c r="G128" s="33">
        <f t="shared" si="10"/>
        <v>-57194.978859804367</v>
      </c>
      <c r="H128" s="33">
        <f t="shared" si="11"/>
        <v>20600</v>
      </c>
    </row>
    <row r="129" spans="2:8" x14ac:dyDescent="0.25">
      <c r="B129" s="5">
        <f>(129-25)/100</f>
        <v>1.04</v>
      </c>
      <c r="C129" s="5">
        <f t="shared" si="6"/>
        <v>0.90122529742120472</v>
      </c>
      <c r="D129" s="33">
        <f t="shared" si="7"/>
        <v>237808.21918807775</v>
      </c>
      <c r="E129" s="33">
        <f t="shared" si="8"/>
        <v>293338.54513001861</v>
      </c>
      <c r="F129" s="33">
        <f t="shared" si="9"/>
        <v>1185861.4548699814</v>
      </c>
      <c r="G129" s="33">
        <f t="shared" si="10"/>
        <v>-56493.246046493077</v>
      </c>
      <c r="H129" s="33">
        <f t="shared" si="11"/>
        <v>20800</v>
      </c>
    </row>
    <row r="130" spans="2:8" x14ac:dyDescent="0.25">
      <c r="B130" s="5">
        <f>(130-25)/100</f>
        <v>1.05</v>
      </c>
      <c r="C130" s="5">
        <f t="shared" si="6"/>
        <v>0.90032452258626561</v>
      </c>
      <c r="D130" s="33">
        <f t="shared" si="7"/>
        <v>236622.14574672605</v>
      </c>
      <c r="E130" s="33">
        <f t="shared" si="8"/>
        <v>292777.10233374638</v>
      </c>
      <c r="F130" s="33">
        <f t="shared" si="9"/>
        <v>1186222.8976662536</v>
      </c>
      <c r="G130" s="33">
        <f t="shared" si="10"/>
        <v>-55796.070434754074</v>
      </c>
      <c r="H130" s="33">
        <f t="shared" si="11"/>
        <v>21000</v>
      </c>
    </row>
    <row r="131" spans="2:8" x14ac:dyDescent="0.25">
      <c r="B131" s="5">
        <f>(131-25)/100</f>
        <v>1.06</v>
      </c>
      <c r="C131" s="5">
        <f t="shared" si="6"/>
        <v>0.89942464807592404</v>
      </c>
      <c r="D131" s="33">
        <f t="shared" si="7"/>
        <v>235441.98787134208</v>
      </c>
      <c r="E131" s="33">
        <f t="shared" si="8"/>
        <v>292222.60862273857</v>
      </c>
      <c r="F131" s="33">
        <f t="shared" si="9"/>
        <v>1186577.3913772614</v>
      </c>
      <c r="G131" s="33">
        <f t="shared" si="10"/>
        <v>-55103.424404012767</v>
      </c>
      <c r="H131" s="33">
        <f t="shared" si="11"/>
        <v>21200</v>
      </c>
    </row>
    <row r="132" spans="2:8" x14ac:dyDescent="0.25">
      <c r="B132" s="5">
        <f>(132-25)/100</f>
        <v>1.07</v>
      </c>
      <c r="C132" s="5">
        <f t="shared" si="6"/>
        <v>0.8985256729903055</v>
      </c>
      <c r="D132" s="33">
        <f t="shared" si="7"/>
        <v>234267.71605791751</v>
      </c>
      <c r="E132" s="33">
        <f t="shared" si="8"/>
        <v>291675.01883859769</v>
      </c>
      <c r="F132" s="33">
        <f t="shared" si="9"/>
        <v>1186924.9811614023</v>
      </c>
      <c r="G132" s="33">
        <f t="shared" si="10"/>
        <v>-54415.280499280852</v>
      </c>
      <c r="H132" s="33">
        <f t="shared" si="11"/>
        <v>21400</v>
      </c>
    </row>
    <row r="133" spans="2:8" x14ac:dyDescent="0.25">
      <c r="B133" s="5">
        <f>(133-25)/100</f>
        <v>1.08</v>
      </c>
      <c r="C133" s="5">
        <f t="shared" si="6"/>
        <v>0.89762759643043488</v>
      </c>
      <c r="D133" s="33">
        <f t="shared" si="7"/>
        <v>233099.30094959587</v>
      </c>
      <c r="E133" s="33">
        <f t="shared" si="8"/>
        <v>291134.28809665242</v>
      </c>
      <c r="F133" s="33">
        <f t="shared" si="9"/>
        <v>1187265.7119033476</v>
      </c>
      <c r="G133" s="33">
        <f t="shared" si="10"/>
        <v>-53731.611430165402</v>
      </c>
      <c r="H133" s="33">
        <f t="shared" si="11"/>
        <v>21600</v>
      </c>
    </row>
    <row r="134" spans="2:8" x14ac:dyDescent="0.25">
      <c r="B134" s="5">
        <f>(134-25)/100</f>
        <v>1.0900000000000001</v>
      </c>
      <c r="C134" s="5">
        <f t="shared" si="6"/>
        <v>0.89673041749823545</v>
      </c>
      <c r="D134" s="33">
        <f t="shared" si="7"/>
        <v>231936.71333593855</v>
      </c>
      <c r="E134" s="33">
        <f t="shared" si="8"/>
        <v>290600.37178431638</v>
      </c>
      <c r="F134" s="33">
        <f t="shared" si="9"/>
        <v>1187599.6282156836</v>
      </c>
      <c r="G134" s="33">
        <f t="shared" si="10"/>
        <v>-53052.390069884001</v>
      </c>
      <c r="H134" s="33">
        <f t="shared" si="11"/>
        <v>21800</v>
      </c>
    </row>
    <row r="135" spans="2:8" x14ac:dyDescent="0.25">
      <c r="B135" s="5">
        <f>(135-25)/100</f>
        <v>1.1000000000000001</v>
      </c>
      <c r="C135" s="5">
        <f t="shared" si="6"/>
        <v>0.89583413529652822</v>
      </c>
      <c r="D135" s="33">
        <f t="shared" si="7"/>
        <v>230779.92415219467</v>
      </c>
      <c r="E135" s="33">
        <f t="shared" si="8"/>
        <v>290073.22555945709</v>
      </c>
      <c r="F135" s="33">
        <f t="shared" si="9"/>
        <v>1187926.7744405428</v>
      </c>
      <c r="G135" s="33">
        <f t="shared" si="10"/>
        <v>-52377.589454285539</v>
      </c>
      <c r="H135" s="33">
        <f t="shared" si="11"/>
        <v>22000</v>
      </c>
    </row>
    <row r="136" spans="2:8" x14ac:dyDescent="0.25">
      <c r="B136" s="5">
        <f>(136-25)/100</f>
        <v>1.1100000000000001</v>
      </c>
      <c r="C136" s="5">
        <f t="shared" si="6"/>
        <v>0.89493874892903102</v>
      </c>
      <c r="D136" s="33">
        <f t="shared" si="7"/>
        <v>229628.90447857438</v>
      </c>
      <c r="E136" s="33">
        <f t="shared" si="8"/>
        <v>289552.80534877453</v>
      </c>
      <c r="F136" s="33">
        <f t="shared" si="9"/>
        <v>1188247.1946512256</v>
      </c>
      <c r="G136" s="33">
        <f t="shared" si="10"/>
        <v>-51707.18278087712</v>
      </c>
      <c r="H136" s="33">
        <f t="shared" si="11"/>
        <v>22200.000000000004</v>
      </c>
    </row>
    <row r="137" spans="2:8" x14ac:dyDescent="0.25">
      <c r="B137" s="5">
        <f>(137-25)/100</f>
        <v>1.1200000000000001</v>
      </c>
      <c r="C137" s="5">
        <f t="shared" si="6"/>
        <v>0.89404425750035721</v>
      </c>
      <c r="D137" s="33">
        <f t="shared" si="7"/>
        <v>228483.62553952594</v>
      </c>
      <c r="E137" s="33">
        <f t="shared" si="8"/>
        <v>289039.06734618935</v>
      </c>
      <c r="F137" s="33">
        <f t="shared" si="9"/>
        <v>1188560.9326538106</v>
      </c>
      <c r="G137" s="33">
        <f t="shared" si="10"/>
        <v>-51041.143407856522</v>
      </c>
      <c r="H137" s="33">
        <f t="shared" si="11"/>
        <v>22400.000000000004</v>
      </c>
    </row>
    <row r="138" spans="2:8" x14ac:dyDescent="0.25">
      <c r="B138" s="5">
        <f>(138-25)/100</f>
        <v>1.1299999999999999</v>
      </c>
      <c r="C138" s="5">
        <f t="shared" si="6"/>
        <v>0.89315066011601552</v>
      </c>
      <c r="D138" s="33">
        <f t="shared" si="7"/>
        <v>227344.05870301623</v>
      </c>
      <c r="E138" s="33">
        <f t="shared" si="8"/>
        <v>288531.96801124071</v>
      </c>
      <c r="F138" s="33">
        <f t="shared" si="9"/>
        <v>1188868.0319887593</v>
      </c>
      <c r="G138" s="33">
        <f t="shared" si="10"/>
        <v>-50379.444853150606</v>
      </c>
      <c r="H138" s="33">
        <f t="shared" si="11"/>
        <v>22599.999999999996</v>
      </c>
    </row>
    <row r="139" spans="2:8" x14ac:dyDescent="0.25">
      <c r="B139" s="5">
        <f>(139-25)/100</f>
        <v>1.1399999999999999</v>
      </c>
      <c r="C139" s="5">
        <f t="shared" si="6"/>
        <v>0.8922579558824083</v>
      </c>
      <c r="D139" s="33">
        <f t="shared" si="7"/>
        <v>226210.17547981485</v>
      </c>
      <c r="E139" s="33">
        <f t="shared" si="8"/>
        <v>288031.46406749386</v>
      </c>
      <c r="F139" s="33">
        <f t="shared" si="9"/>
        <v>1189168.5359325062</v>
      </c>
      <c r="G139" s="33">
        <f t="shared" si="10"/>
        <v>-49722.060793459619</v>
      </c>
      <c r="H139" s="33">
        <f t="shared" si="11"/>
        <v>22799.999999999996</v>
      </c>
    </row>
    <row r="140" spans="2:8" x14ac:dyDescent="0.25">
      <c r="B140" s="5">
        <f>(140-25)/100</f>
        <v>1.1499999999999999</v>
      </c>
      <c r="C140" s="5">
        <f t="shared" si="6"/>
        <v>0.89136614390683133</v>
      </c>
      <c r="D140" s="33">
        <f t="shared" si="7"/>
        <v>225081.94752278228</v>
      </c>
      <c r="E140" s="33">
        <f t="shared" si="8"/>
        <v>287537.51250095712</v>
      </c>
      <c r="F140" s="33">
        <f t="shared" si="9"/>
        <v>1189462.4874990429</v>
      </c>
      <c r="G140" s="33">
        <f t="shared" si="10"/>
        <v>-49068.965063306823</v>
      </c>
      <c r="H140" s="33">
        <f t="shared" si="11"/>
        <v>23000</v>
      </c>
    </row>
    <row r="141" spans="2:8" x14ac:dyDescent="0.25">
      <c r="B141" s="5">
        <f>(141-25)/100</f>
        <v>1.1599999999999999</v>
      </c>
      <c r="C141" s="5">
        <f t="shared" si="6"/>
        <v>0.89047522329747264</v>
      </c>
      <c r="D141" s="33">
        <f t="shared" si="7"/>
        <v>223959.34662616081</v>
      </c>
      <c r="E141" s="33">
        <f t="shared" si="8"/>
        <v>287050.07055850851</v>
      </c>
      <c r="F141" s="33">
        <f t="shared" si="9"/>
        <v>1189749.9294414916</v>
      </c>
      <c r="G141" s="33">
        <f t="shared" si="10"/>
        <v>-48420.131654094163</v>
      </c>
      <c r="H141" s="33">
        <f t="shared" si="11"/>
        <v>23200</v>
      </c>
    </row>
    <row r="142" spans="2:8" x14ac:dyDescent="0.25">
      <c r="B142" s="5">
        <f>(142-25)/100</f>
        <v>1.17</v>
      </c>
      <c r="C142" s="5">
        <f t="shared" si="6"/>
        <v>0.88958519316341134</v>
      </c>
      <c r="D142" s="33">
        <f t="shared" si="7"/>
        <v>222842.34472486956</v>
      </c>
      <c r="E142" s="33">
        <f t="shared" si="8"/>
        <v>286569.0957463315</v>
      </c>
      <c r="F142" s="33">
        <f t="shared" si="9"/>
        <v>1190030.9042536686</v>
      </c>
      <c r="G142" s="33">
        <f t="shared" si="10"/>
        <v>-47775.534713163448</v>
      </c>
      <c r="H142" s="33">
        <f t="shared" si="11"/>
        <v>23400</v>
      </c>
    </row>
    <row r="143" spans="2:8" x14ac:dyDescent="0.25">
      <c r="B143" s="5">
        <f>(143-25)/100</f>
        <v>1.18</v>
      </c>
      <c r="C143" s="5">
        <f t="shared" si="6"/>
        <v>0.88869605261461737</v>
      </c>
      <c r="D143" s="33">
        <f t="shared" si="7"/>
        <v>221730.91389380285</v>
      </c>
      <c r="E143" s="33">
        <f t="shared" si="8"/>
        <v>286094.54582836031</v>
      </c>
      <c r="F143" s="33">
        <f t="shared" si="9"/>
        <v>1190305.4541716396</v>
      </c>
      <c r="G143" s="33">
        <f t="shared" si="10"/>
        <v>-47135.148542863128</v>
      </c>
      <c r="H143" s="33">
        <f t="shared" si="11"/>
        <v>23600</v>
      </c>
    </row>
    <row r="144" spans="2:8" x14ac:dyDescent="0.25">
      <c r="B144" s="5">
        <f>(144-25)/100</f>
        <v>1.19</v>
      </c>
      <c r="C144" s="5">
        <f t="shared" si="6"/>
        <v>0.88780780076195009</v>
      </c>
      <c r="D144" s="33">
        <f t="shared" si="7"/>
        <v>220625.02634713193</v>
      </c>
      <c r="E144" s="33">
        <f t="shared" si="8"/>
        <v>285626.37882473442</v>
      </c>
      <c r="F144" s="33">
        <f t="shared" si="9"/>
        <v>1190573.6211752656</v>
      </c>
      <c r="G144" s="33">
        <f t="shared" si="10"/>
        <v>-46498.947599620689</v>
      </c>
      <c r="H144" s="33">
        <f t="shared" si="11"/>
        <v>23800</v>
      </c>
    </row>
    <row r="145" spans="2:8" x14ac:dyDescent="0.25">
      <c r="B145" s="5">
        <f>(145-25)/100</f>
        <v>1.2</v>
      </c>
      <c r="C145" s="5">
        <f t="shared" si="6"/>
        <v>0.88692043671715748</v>
      </c>
      <c r="D145" s="33">
        <f t="shared" si="7"/>
        <v>219524.65443761056</v>
      </c>
      <c r="E145" s="33">
        <f t="shared" si="8"/>
        <v>285164.55301026267</v>
      </c>
      <c r="F145" s="33">
        <f t="shared" si="9"/>
        <v>1190835.4469897375</v>
      </c>
      <c r="G145" s="33">
        <f t="shared" si="10"/>
        <v>-45866.906493020608</v>
      </c>
      <c r="H145" s="33">
        <f t="shared" si="11"/>
        <v>24000</v>
      </c>
    </row>
    <row r="146" spans="2:8" x14ac:dyDescent="0.25">
      <c r="B146" s="5">
        <f>(146-25)/100</f>
        <v>1.21</v>
      </c>
      <c r="C146" s="5">
        <f t="shared" si="6"/>
        <v>0.88603395959287556</v>
      </c>
      <c r="D146" s="33">
        <f t="shared" si="7"/>
        <v>218429.77065588377</v>
      </c>
      <c r="E146" s="33">
        <f t="shared" si="8"/>
        <v>284709.02691289596</v>
      </c>
      <c r="F146" s="33">
        <f t="shared" si="9"/>
        <v>1191090.973087104</v>
      </c>
      <c r="G146" s="33">
        <f t="shared" si="10"/>
        <v>-45238.999984887792</v>
      </c>
      <c r="H146" s="33">
        <f t="shared" si="11"/>
        <v>24200</v>
      </c>
    </row>
    <row r="147" spans="2:8" x14ac:dyDescent="0.25">
      <c r="B147" s="5">
        <f>(147-25)/100</f>
        <v>1.22</v>
      </c>
      <c r="C147" s="5">
        <f t="shared" si="6"/>
        <v>0.88514836850262713</v>
      </c>
      <c r="D147" s="33">
        <f t="shared" si="7"/>
        <v>217340.34762979992</v>
      </c>
      <c r="E147" s="33">
        <f t="shared" si="8"/>
        <v>284259.75931220956</v>
      </c>
      <c r="F147" s="33">
        <f t="shared" si="9"/>
        <v>1191340.2406877903</v>
      </c>
      <c r="G147" s="33">
        <f t="shared" si="10"/>
        <v>-44615.20298837655</v>
      </c>
      <c r="H147" s="33">
        <f t="shared" si="11"/>
        <v>24400</v>
      </c>
    </row>
    <row r="148" spans="2:8" x14ac:dyDescent="0.25">
      <c r="B148" s="5">
        <f>(148-25)/100</f>
        <v>1.23</v>
      </c>
      <c r="C148" s="5">
        <f t="shared" si="6"/>
        <v>0.8842636625608209</v>
      </c>
      <c r="D148" s="33">
        <f t="shared" si="7"/>
        <v>216256.35812372662</v>
      </c>
      <c r="E148" s="33">
        <f t="shared" si="8"/>
        <v>283816.70923789433</v>
      </c>
      <c r="F148" s="33">
        <f t="shared" si="9"/>
        <v>1191583.2907621057</v>
      </c>
      <c r="G148" s="33">
        <f t="shared" si="10"/>
        <v>-43995.490567064946</v>
      </c>
      <c r="H148" s="33">
        <f t="shared" si="11"/>
        <v>24600</v>
      </c>
    </row>
    <row r="149" spans="2:8" x14ac:dyDescent="0.25">
      <c r="B149" s="5">
        <f>(149-25)/100</f>
        <v>1.24</v>
      </c>
      <c r="C149" s="5">
        <f t="shared" si="6"/>
        <v>0.8833798408827509</v>
      </c>
      <c r="D149" s="33">
        <f t="shared" si="7"/>
        <v>215177.77503786978</v>
      </c>
      <c r="E149" s="33">
        <f t="shared" si="8"/>
        <v>283379.83596825704</v>
      </c>
      <c r="F149" s="33">
        <f t="shared" si="9"/>
        <v>1191820.1640317431</v>
      </c>
      <c r="G149" s="33">
        <f t="shared" si="10"/>
        <v>-43379.837934054594</v>
      </c>
      <c r="H149" s="33">
        <f t="shared" si="11"/>
        <v>24800</v>
      </c>
    </row>
    <row r="150" spans="2:8" x14ac:dyDescent="0.25">
      <c r="B150" s="5">
        <f>(150-25)/100</f>
        <v>1.25</v>
      </c>
      <c r="C150" s="5">
        <f t="shared" si="6"/>
        <v>0.88249690258459546</v>
      </c>
      <c r="D150" s="33">
        <f t="shared" si="7"/>
        <v>214104.57140759612</v>
      </c>
      <c r="E150" s="33">
        <f t="shared" si="8"/>
        <v>282949.09902872954</v>
      </c>
      <c r="F150" s="33">
        <f t="shared" si="9"/>
        <v>1192050.9009712704</v>
      </c>
      <c r="G150" s="33">
        <f t="shared" si="10"/>
        <v>-42768.220451075889</v>
      </c>
      <c r="H150" s="33">
        <f t="shared" si="11"/>
        <v>25000</v>
      </c>
    </row>
    <row r="151" spans="2:8" x14ac:dyDescent="0.25">
      <c r="B151" s="5">
        <f>(151-25)/100</f>
        <v>1.26</v>
      </c>
      <c r="C151" s="5">
        <f t="shared" si="6"/>
        <v>0.88161484678341606</v>
      </c>
      <c r="D151" s="33">
        <f t="shared" si="7"/>
        <v>213036.72040275886</v>
      </c>
      <c r="E151" s="33">
        <f t="shared" si="8"/>
        <v>282524.45819038688</v>
      </c>
      <c r="F151" s="33">
        <f t="shared" si="9"/>
        <v>1192275.5418096131</v>
      </c>
      <c r="G151" s="33">
        <f t="shared" si="10"/>
        <v>-42160.613627598534</v>
      </c>
      <c r="H151" s="33">
        <f t="shared" si="11"/>
        <v>25200</v>
      </c>
    </row>
    <row r="152" spans="2:8" x14ac:dyDescent="0.25">
      <c r="B152" s="5">
        <f>(152-25)/100</f>
        <v>1.27</v>
      </c>
      <c r="C152" s="5">
        <f t="shared" si="6"/>
        <v>0.88073367259715696</v>
      </c>
      <c r="D152" s="33">
        <f t="shared" si="7"/>
        <v>211974.19532702741</v>
      </c>
      <c r="E152" s="33">
        <f t="shared" si="8"/>
        <v>282105.87346847437</v>
      </c>
      <c r="F152" s="33">
        <f t="shared" si="9"/>
        <v>1192494.1265315255</v>
      </c>
      <c r="G152" s="33">
        <f t="shared" si="10"/>
        <v>-41556.993119947423</v>
      </c>
      <c r="H152" s="33">
        <f t="shared" si="11"/>
        <v>25400</v>
      </c>
    </row>
    <row r="153" spans="2:8" x14ac:dyDescent="0.25">
      <c r="B153" s="5">
        <f>(153-25)/100</f>
        <v>1.28</v>
      </c>
      <c r="C153" s="5">
        <f t="shared" ref="C153:C216" si="12">EXP(-$C$10*B153)</f>
        <v>0.87985337914464379</v>
      </c>
      <c r="D153" s="33">
        <f t="shared" ref="D153:D216" si="13">$C$7*EXP(-$C$9*B153)</f>
        <v>210916.96961721941</v>
      </c>
      <c r="E153" s="33">
        <f t="shared" ref="E153:E216" si="14">C153*D153+(1-C153)*$C$8</f>
        <v>281693.30512094364</v>
      </c>
      <c r="F153" s="33">
        <f t="shared" ref="F153:F216" si="15">$C$12-E153-$C$11*B153</f>
        <v>1192706.6948790564</v>
      </c>
      <c r="G153" s="33">
        <f t="shared" ref="G153:G216" si="16">$C$10*$C$8*EXP(-$C$10*B153)-($C$9+$C$10)*$C$7*EXP(-($C$9+$C$10)*B153)</f>
        <v>-40957.33473042371</v>
      </c>
      <c r="H153" s="33">
        <f t="shared" ref="H153:H216" si="17">$C$11*B153</f>
        <v>25600</v>
      </c>
    </row>
    <row r="154" spans="2:8" x14ac:dyDescent="0.25">
      <c r="B154" s="5">
        <f>(154-25)/100</f>
        <v>1.29</v>
      </c>
      <c r="C154" s="5">
        <f t="shared" si="12"/>
        <v>0.87897396554558316</v>
      </c>
      <c r="D154" s="33">
        <f t="shared" si="13"/>
        <v>209865.01684263715</v>
      </c>
      <c r="E154" s="33">
        <f t="shared" si="14"/>
        <v>281286.71364699688</v>
      </c>
      <c r="F154" s="33">
        <f t="shared" si="15"/>
        <v>1192913.2863530032</v>
      </c>
      <c r="G154" s="33">
        <f t="shared" si="16"/>
        <v>-40361.61440643137</v>
      </c>
      <c r="H154" s="33">
        <f t="shared" si="17"/>
        <v>25800</v>
      </c>
    </row>
    <row r="155" spans="2:8" x14ac:dyDescent="0.25">
      <c r="B155" s="5">
        <f>(155-25)/100</f>
        <v>1.3</v>
      </c>
      <c r="C155" s="5">
        <f t="shared" si="12"/>
        <v>0.8780954309205613</v>
      </c>
      <c r="D155" s="33">
        <f t="shared" si="13"/>
        <v>208818.31070440641</v>
      </c>
      <c r="E155" s="33">
        <f t="shared" si="14"/>
        <v>280886.05978564033</v>
      </c>
      <c r="F155" s="33">
        <f t="shared" si="15"/>
        <v>1193113.9402143597</v>
      </c>
      <c r="G155" s="33">
        <f t="shared" si="16"/>
        <v>-39769.808239608727</v>
      </c>
      <c r="H155" s="33">
        <f t="shared" si="17"/>
        <v>26000</v>
      </c>
    </row>
    <row r="156" spans="2:8" x14ac:dyDescent="0.25">
      <c r="B156" s="5">
        <f>(156-25)/100</f>
        <v>1.31</v>
      </c>
      <c r="C156" s="5">
        <f t="shared" si="12"/>
        <v>0.87721777439104354</v>
      </c>
      <c r="D156" s="33">
        <f t="shared" si="13"/>
        <v>207776.82503481928</v>
      </c>
      <c r="E156" s="33">
        <f t="shared" si="14"/>
        <v>280491.30451424664</v>
      </c>
      <c r="F156" s="33">
        <f t="shared" si="15"/>
        <v>1193308.6954857535</v>
      </c>
      <c r="G156" s="33">
        <f t="shared" si="16"/>
        <v>-39181.892464965364</v>
      </c>
      <c r="H156" s="33">
        <f t="shared" si="17"/>
        <v>26200</v>
      </c>
    </row>
    <row r="157" spans="2:8" x14ac:dyDescent="0.25">
      <c r="B157" s="5">
        <f>(157-25)/100</f>
        <v>1.32</v>
      </c>
      <c r="C157" s="5">
        <f t="shared" si="12"/>
        <v>0.87634099507937324</v>
      </c>
      <c r="D157" s="33">
        <f t="shared" si="13"/>
        <v>206740.53379667967</v>
      </c>
      <c r="E157" s="33">
        <f t="shared" si="14"/>
        <v>280102.40904712444</v>
      </c>
      <c r="F157" s="33">
        <f t="shared" si="15"/>
        <v>1193497.5909528756</v>
      </c>
      <c r="G157" s="33">
        <f t="shared" si="16"/>
        <v>-38597.843460024</v>
      </c>
      <c r="H157" s="33">
        <f t="shared" si="17"/>
        <v>26400</v>
      </c>
    </row>
    <row r="158" spans="2:8" x14ac:dyDescent="0.25">
      <c r="B158" s="5">
        <f>(158-25)/100</f>
        <v>1.33</v>
      </c>
      <c r="C158" s="5">
        <f t="shared" si="12"/>
        <v>0.8754650921087711</v>
      </c>
      <c r="D158" s="33">
        <f t="shared" si="13"/>
        <v>205709.41108265278</v>
      </c>
      <c r="E158" s="33">
        <f t="shared" si="14"/>
        <v>279719.33483409882</v>
      </c>
      <c r="F158" s="33">
        <f t="shared" si="15"/>
        <v>1193680.6651659012</v>
      </c>
      <c r="G158" s="33">
        <f t="shared" si="16"/>
        <v>-38017.637743967731</v>
      </c>
      <c r="H158" s="33">
        <f t="shared" si="17"/>
        <v>26600</v>
      </c>
    </row>
    <row r="159" spans="2:8" x14ac:dyDescent="0.25">
      <c r="B159" s="5">
        <f>(159-25)/100</f>
        <v>1.34</v>
      </c>
      <c r="C159" s="5">
        <f t="shared" si="12"/>
        <v>0.87459006460333399</v>
      </c>
      <c r="D159" s="33">
        <f t="shared" si="13"/>
        <v>204683.43111461698</v>
      </c>
      <c r="E159" s="33">
        <f t="shared" si="14"/>
        <v>279342.04355909774</v>
      </c>
      <c r="F159" s="33">
        <f t="shared" si="15"/>
        <v>1193857.9564409023</v>
      </c>
      <c r="G159" s="33">
        <f t="shared" si="16"/>
        <v>-37441.251976792249</v>
      </c>
      <c r="H159" s="33">
        <f t="shared" si="17"/>
        <v>26800</v>
      </c>
    </row>
    <row r="160" spans="2:8" x14ac:dyDescent="0.25">
      <c r="B160" s="5">
        <f>(160-25)/100</f>
        <v>1.35</v>
      </c>
      <c r="C160" s="5">
        <f t="shared" si="12"/>
        <v>0.87371591168803442</v>
      </c>
      <c r="D160" s="33">
        <f t="shared" si="13"/>
        <v>203662.56824301966</v>
      </c>
      <c r="E160" s="33">
        <f t="shared" si="14"/>
        <v>278970.49713874893</v>
      </c>
      <c r="F160" s="33">
        <f t="shared" si="15"/>
        <v>1194029.5028612511</v>
      </c>
      <c r="G160" s="33">
        <f t="shared" si="16"/>
        <v>-36868.662958463116</v>
      </c>
      <c r="H160" s="33">
        <f t="shared" si="17"/>
        <v>27000</v>
      </c>
    </row>
    <row r="161" spans="2:8" x14ac:dyDescent="0.25">
      <c r="B161" s="5">
        <f>(161-25)/100</f>
        <v>1.36</v>
      </c>
      <c r="C161" s="5">
        <f t="shared" si="12"/>
        <v>0.87284263248871929</v>
      </c>
      <c r="D161" s="33">
        <f t="shared" si="13"/>
        <v>202646.79694623582</v>
      </c>
      <c r="E161" s="33">
        <f t="shared" si="14"/>
        <v>278604.65772098402</v>
      </c>
      <c r="F161" s="33">
        <f t="shared" si="15"/>
        <v>1194195.342279016</v>
      </c>
      <c r="G161" s="33">
        <f t="shared" si="16"/>
        <v>-36299.847628078132</v>
      </c>
      <c r="H161" s="33">
        <f t="shared" si="17"/>
        <v>27200.000000000004</v>
      </c>
    </row>
    <row r="162" spans="2:8" x14ac:dyDescent="0.25">
      <c r="B162" s="5">
        <f>(162-25)/100</f>
        <v>1.37</v>
      </c>
      <c r="C162" s="5">
        <f t="shared" si="12"/>
        <v>0.87197022613210939</v>
      </c>
      <c r="D162" s="33">
        <f t="shared" si="13"/>
        <v>201636.0918299302</v>
      </c>
      <c r="E162" s="33">
        <f t="shared" si="14"/>
        <v>278244.4876836515</v>
      </c>
      <c r="F162" s="33">
        <f t="shared" si="15"/>
        <v>1194355.5123163485</v>
      </c>
      <c r="G162" s="33">
        <f t="shared" si="16"/>
        <v>-35734.783063034658</v>
      </c>
      <c r="H162" s="33">
        <f t="shared" si="17"/>
        <v>27400.000000000004</v>
      </c>
    </row>
    <row r="163" spans="2:8" x14ac:dyDescent="0.25">
      <c r="B163" s="5">
        <f>(163-25)/100</f>
        <v>1.38</v>
      </c>
      <c r="C163" s="5">
        <f t="shared" si="12"/>
        <v>0.87109869174579835</v>
      </c>
      <c r="D163" s="33">
        <f t="shared" si="13"/>
        <v>200630.42762642223</v>
      </c>
      <c r="E163" s="33">
        <f t="shared" si="14"/>
        <v>277889.94963313779</v>
      </c>
      <c r="F163" s="33">
        <f t="shared" si="15"/>
        <v>1194510.0503668622</v>
      </c>
      <c r="G163" s="33">
        <f t="shared" si="16"/>
        <v>-35173.446478202022</v>
      </c>
      <c r="H163" s="33">
        <f t="shared" si="17"/>
        <v>27599.999999999996</v>
      </c>
    </row>
    <row r="164" spans="2:8" x14ac:dyDescent="0.25">
      <c r="B164" s="5">
        <f>(164-25)/100</f>
        <v>1.39</v>
      </c>
      <c r="C164" s="5">
        <f t="shared" si="12"/>
        <v>0.87022802845825165</v>
      </c>
      <c r="D164" s="33">
        <f t="shared" si="13"/>
        <v>199629.7791940544</v>
      </c>
      <c r="E164" s="33">
        <f t="shared" si="14"/>
        <v>277541.00640299672</v>
      </c>
      <c r="F164" s="33">
        <f t="shared" si="15"/>
        <v>1194658.9935970032</v>
      </c>
      <c r="G164" s="33">
        <f t="shared" si="16"/>
        <v>-34615.81522509869</v>
      </c>
      <c r="H164" s="33">
        <f t="shared" si="17"/>
        <v>27799.999999999996</v>
      </c>
    </row>
    <row r="165" spans="2:8" x14ac:dyDescent="0.25">
      <c r="B165" s="5">
        <f>(165-25)/100</f>
        <v>1.4</v>
      </c>
      <c r="C165" s="5">
        <f t="shared" si="12"/>
        <v>0.86935823539880586</v>
      </c>
      <c r="D165" s="33">
        <f t="shared" si="13"/>
        <v>198634.12151656381</v>
      </c>
      <c r="E165" s="33">
        <f t="shared" si="14"/>
        <v>277197.62105258717</v>
      </c>
      <c r="F165" s="33">
        <f t="shared" si="15"/>
        <v>1194802.3789474128</v>
      </c>
      <c r="G165" s="33">
        <f t="shared" si="16"/>
        <v>-34061.866791074674</v>
      </c>
      <c r="H165" s="33">
        <f t="shared" si="17"/>
        <v>28000</v>
      </c>
    </row>
    <row r="166" spans="2:8" x14ac:dyDescent="0.25">
      <c r="B166" s="5">
        <f>(166-25)/100</f>
        <v>1.41</v>
      </c>
      <c r="C166" s="5">
        <f t="shared" si="12"/>
        <v>0.86848931169766785</v>
      </c>
      <c r="D166" s="33">
        <f t="shared" si="13"/>
        <v>197643.42970245666</v>
      </c>
      <c r="E166" s="33">
        <f t="shared" si="14"/>
        <v>276859.75686571869</v>
      </c>
      <c r="F166" s="33">
        <f t="shared" si="15"/>
        <v>1194940.2431342814</v>
      </c>
      <c r="G166" s="33">
        <f t="shared" si="16"/>
        <v>-33511.578798498376</v>
      </c>
      <c r="H166" s="33">
        <f t="shared" si="17"/>
        <v>28200</v>
      </c>
    </row>
    <row r="167" spans="2:8" x14ac:dyDescent="0.25">
      <c r="B167" s="5">
        <f>(167-25)/100</f>
        <v>1.42</v>
      </c>
      <c r="C167" s="5">
        <f t="shared" si="12"/>
        <v>0.86762125648591404</v>
      </c>
      <c r="D167" s="33">
        <f t="shared" si="13"/>
        <v>196657.67898438603</v>
      </c>
      <c r="E167" s="33">
        <f t="shared" si="14"/>
        <v>276527.37734930532</v>
      </c>
      <c r="F167" s="33">
        <f t="shared" si="15"/>
        <v>1195072.6226506946</v>
      </c>
      <c r="G167" s="33">
        <f t="shared" si="16"/>
        <v>-32964.929003948811</v>
      </c>
      <c r="H167" s="33">
        <f t="shared" si="17"/>
        <v>28400</v>
      </c>
    </row>
    <row r="168" spans="2:8" x14ac:dyDescent="0.25">
      <c r="B168" s="5">
        <f>(168-25)/100</f>
        <v>1.43</v>
      </c>
      <c r="C168" s="5">
        <f t="shared" si="12"/>
        <v>0.866754068895489</v>
      </c>
      <c r="D168" s="33">
        <f t="shared" si="13"/>
        <v>195676.84471853261</v>
      </c>
      <c r="E168" s="33">
        <f t="shared" si="14"/>
        <v>276200.44623202772</v>
      </c>
      <c r="F168" s="33">
        <f t="shared" si="15"/>
        <v>1195199.5537679722</v>
      </c>
      <c r="G168" s="33">
        <f t="shared" si="16"/>
        <v>-32421.895297412222</v>
      </c>
      <c r="H168" s="33">
        <f t="shared" si="17"/>
        <v>28600</v>
      </c>
    </row>
    <row r="169" spans="2:8" x14ac:dyDescent="0.25">
      <c r="B169" s="5">
        <f>(169-25)/100</f>
        <v>1.44</v>
      </c>
      <c r="C169" s="5">
        <f t="shared" si="12"/>
        <v>0.86588774805920499</v>
      </c>
      <c r="D169" s="33">
        <f t="shared" si="13"/>
        <v>194700.90238398866</v>
      </c>
      <c r="E169" s="33">
        <f t="shared" si="14"/>
        <v>275878.92746300303</v>
      </c>
      <c r="F169" s="33">
        <f t="shared" si="15"/>
        <v>1195321.072536997</v>
      </c>
      <c r="G169" s="33">
        <f t="shared" si="16"/>
        <v>-31882.455701483836</v>
      </c>
      <c r="H169" s="33">
        <f t="shared" si="17"/>
        <v>28800</v>
      </c>
    </row>
    <row r="170" spans="2:8" x14ac:dyDescent="0.25">
      <c r="B170" s="5">
        <f>(170-25)/100</f>
        <v>1.45</v>
      </c>
      <c r="C170" s="5">
        <f t="shared" si="12"/>
        <v>0.8650222931107413</v>
      </c>
      <c r="D170" s="33">
        <f t="shared" si="13"/>
        <v>193729.82758214499</v>
      </c>
      <c r="E170" s="33">
        <f t="shared" si="14"/>
        <v>275562.78521046252</v>
      </c>
      <c r="F170" s="33">
        <f t="shared" si="15"/>
        <v>1195437.2147895375</v>
      </c>
      <c r="G170" s="33">
        <f t="shared" si="16"/>
        <v>-31346.588370574056</v>
      </c>
      <c r="H170" s="33">
        <f t="shared" si="17"/>
        <v>29000</v>
      </c>
    </row>
    <row r="171" spans="2:8" x14ac:dyDescent="0.25">
      <c r="B171" s="5">
        <f>(171-25)/100</f>
        <v>1.46</v>
      </c>
      <c r="C171" s="5">
        <f t="shared" si="12"/>
        <v>0.8641577031846428</v>
      </c>
      <c r="D171" s="33">
        <f t="shared" si="13"/>
        <v>192763.59603608097</v>
      </c>
      <c r="E171" s="33">
        <f t="shared" si="14"/>
        <v>275251.98386043782</v>
      </c>
      <c r="F171" s="33">
        <f t="shared" si="15"/>
        <v>1195548.0161395622</v>
      </c>
      <c r="G171" s="33">
        <f t="shared" si="16"/>
        <v>-30814.271590119795</v>
      </c>
      <c r="H171" s="33">
        <f t="shared" si="17"/>
        <v>29200</v>
      </c>
    </row>
    <row r="172" spans="2:8" x14ac:dyDescent="0.25">
      <c r="B172" s="5">
        <f>(172-25)/100</f>
        <v>1.47</v>
      </c>
      <c r="C172" s="5">
        <f t="shared" si="12"/>
        <v>0.86329397741631941</v>
      </c>
      <c r="D172" s="33">
        <f t="shared" si="13"/>
        <v>191802.18358995765</v>
      </c>
      <c r="E172" s="33">
        <f t="shared" si="14"/>
        <v>274946.48801545415</v>
      </c>
      <c r="F172" s="33">
        <f t="shared" si="15"/>
        <v>1195653.5119845457</v>
      </c>
      <c r="G172" s="33">
        <f t="shared" si="16"/>
        <v>-30285.483775800225</v>
      </c>
      <c r="H172" s="33">
        <f t="shared" si="17"/>
        <v>29400</v>
      </c>
    </row>
    <row r="173" spans="2:8" x14ac:dyDescent="0.25">
      <c r="B173" s="5">
        <f>(173-25)/100</f>
        <v>1.48</v>
      </c>
      <c r="C173" s="5">
        <f t="shared" si="12"/>
        <v>0.8624311149420455</v>
      </c>
      <c r="D173" s="33">
        <f t="shared" si="13"/>
        <v>190845.56620841374</v>
      </c>
      <c r="E173" s="33">
        <f t="shared" si="14"/>
        <v>274646.2624932318</v>
      </c>
      <c r="F173" s="33">
        <f t="shared" si="15"/>
        <v>1195753.7375067682</v>
      </c>
      <c r="G173" s="33">
        <f t="shared" si="16"/>
        <v>-29760.20347275729</v>
      </c>
      <c r="H173" s="33">
        <f t="shared" si="17"/>
        <v>29600</v>
      </c>
    </row>
    <row r="174" spans="2:8" x14ac:dyDescent="0.25">
      <c r="B174" s="5">
        <f>(174-25)/100</f>
        <v>1.49</v>
      </c>
      <c r="C174" s="5">
        <f t="shared" si="12"/>
        <v>0.86156911489895827</v>
      </c>
      <c r="D174" s="33">
        <f t="shared" si="13"/>
        <v>189893.71997596495</v>
      </c>
      <c r="E174" s="33">
        <f t="shared" si="14"/>
        <v>274351.27232539613</v>
      </c>
      <c r="F174" s="33">
        <f t="shared" si="15"/>
        <v>1195848.7276746039</v>
      </c>
      <c r="G174" s="33">
        <f t="shared" si="16"/>
        <v>-29238.409354820993</v>
      </c>
      <c r="H174" s="33">
        <f t="shared" si="17"/>
        <v>29800</v>
      </c>
    </row>
    <row r="175" spans="2:8" x14ac:dyDescent="0.25">
      <c r="B175" s="5">
        <f>(175-25)/100</f>
        <v>1.5</v>
      </c>
      <c r="C175" s="5">
        <f t="shared" si="12"/>
        <v>0.86070797642505781</v>
      </c>
      <c r="D175" s="33">
        <f t="shared" si="13"/>
        <v>188946.62109640587</v>
      </c>
      <c r="E175" s="33">
        <f t="shared" si="14"/>
        <v>274061.48275619338</v>
      </c>
      <c r="F175" s="33">
        <f t="shared" si="15"/>
        <v>1195938.5172438067</v>
      </c>
      <c r="G175" s="33">
        <f t="shared" si="16"/>
        <v>-28720.080223739176</v>
      </c>
      <c r="H175" s="33">
        <f t="shared" si="17"/>
        <v>30000</v>
      </c>
    </row>
    <row r="176" spans="2:8" x14ac:dyDescent="0.25">
      <c r="B176" s="5">
        <f>(176-25)/100</f>
        <v>1.51</v>
      </c>
      <c r="C176" s="5">
        <f t="shared" si="12"/>
        <v>0.85984769865920552</v>
      </c>
      <c r="D176" s="33">
        <f t="shared" si="13"/>
        <v>188004.24589221517</v>
      </c>
      <c r="E176" s="33">
        <f t="shared" si="14"/>
        <v>273776.85924121621</v>
      </c>
      <c r="F176" s="33">
        <f t="shared" si="15"/>
        <v>1196023.1407587838</v>
      </c>
      <c r="G176" s="33">
        <f t="shared" si="16"/>
        <v>-28205.195008411931</v>
      </c>
      <c r="H176" s="33">
        <f t="shared" si="17"/>
        <v>30200</v>
      </c>
    </row>
    <row r="177" spans="2:8" x14ac:dyDescent="0.25">
      <c r="B177" s="5">
        <f>(177-25)/100</f>
        <v>1.52</v>
      </c>
      <c r="C177" s="5">
        <f t="shared" si="12"/>
        <v>0.85898828074112343</v>
      </c>
      <c r="D177" s="33">
        <f t="shared" si="13"/>
        <v>187066.5708039637</v>
      </c>
      <c r="E177" s="33">
        <f t="shared" si="14"/>
        <v>273497.36744613567</v>
      </c>
      <c r="F177" s="33">
        <f t="shared" si="15"/>
        <v>1196102.6325538643</v>
      </c>
      <c r="G177" s="33">
        <f t="shared" si="16"/>
        <v>-27693.732764130793</v>
      </c>
      <c r="H177" s="33">
        <f t="shared" si="17"/>
        <v>30400</v>
      </c>
    </row>
    <row r="178" spans="2:8" x14ac:dyDescent="0.25">
      <c r="B178" s="5">
        <f>(178-25)/100</f>
        <v>1.53</v>
      </c>
      <c r="C178" s="5">
        <f t="shared" si="12"/>
        <v>0.8581297218113938</v>
      </c>
      <c r="D178" s="33">
        <f t="shared" si="13"/>
        <v>186133.57238972536</v>
      </c>
      <c r="E178" s="33">
        <f t="shared" si="14"/>
        <v>273222.97324544092</v>
      </c>
      <c r="F178" s="33">
        <f t="shared" si="15"/>
        <v>1196177.026754559</v>
      </c>
      <c r="G178" s="33">
        <f t="shared" si="16"/>
        <v>-27185.672671822074</v>
      </c>
      <c r="H178" s="33">
        <f t="shared" si="17"/>
        <v>30600</v>
      </c>
    </row>
    <row r="179" spans="2:8" x14ac:dyDescent="0.25">
      <c r="B179" s="5">
        <f>(179-25)/100</f>
        <v>1.54</v>
      </c>
      <c r="C179" s="5">
        <f t="shared" si="12"/>
        <v>0.85727202101145739</v>
      </c>
      <c r="D179" s="33">
        <f t="shared" si="13"/>
        <v>185205.22732449122</v>
      </c>
      <c r="E179" s="33">
        <f t="shared" si="14"/>
        <v>272953.64272118709</v>
      </c>
      <c r="F179" s="33">
        <f t="shared" si="15"/>
        <v>1196246.3572788129</v>
      </c>
      <c r="G179" s="33">
        <f t="shared" si="16"/>
        <v>-26680.994037295211</v>
      </c>
      <c r="H179" s="33">
        <f t="shared" si="17"/>
        <v>30800</v>
      </c>
    </row>
    <row r="180" spans="2:8" x14ac:dyDescent="0.25">
      <c r="B180" s="5">
        <f>(180-25)/100</f>
        <v>1.55</v>
      </c>
      <c r="C180" s="5">
        <f t="shared" si="12"/>
        <v>0.85641517748361351</v>
      </c>
      <c r="D180" s="33">
        <f t="shared" si="13"/>
        <v>184281.51239958633</v>
      </c>
      <c r="E180" s="33">
        <f t="shared" si="14"/>
        <v>272689.34216174961</v>
      </c>
      <c r="F180" s="33">
        <f t="shared" si="15"/>
        <v>1196310.6578382505</v>
      </c>
      <c r="G180" s="33">
        <f t="shared" si="16"/>
        <v>-26179.67629049519</v>
      </c>
      <c r="H180" s="33">
        <f t="shared" si="17"/>
        <v>31000</v>
      </c>
    </row>
    <row r="181" spans="2:8" x14ac:dyDescent="0.25">
      <c r="B181" s="5">
        <f>(181-25)/100</f>
        <v>1.56</v>
      </c>
      <c r="C181" s="5">
        <f t="shared" si="12"/>
        <v>0.85555919037101846</v>
      </c>
      <c r="D181" s="33">
        <f t="shared" si="13"/>
        <v>183362.4045220894</v>
      </c>
      <c r="E181" s="33">
        <f t="shared" si="14"/>
        <v>272430.03806058719</v>
      </c>
      <c r="F181" s="33">
        <f t="shared" si="15"/>
        <v>1196369.9619394129</v>
      </c>
      <c r="G181" s="33">
        <f t="shared" si="16"/>
        <v>-25681.698984759729</v>
      </c>
      <c r="H181" s="33">
        <f t="shared" si="17"/>
        <v>31200</v>
      </c>
    </row>
    <row r="182" spans="2:8" x14ac:dyDescent="0.25">
      <c r="B182" s="5">
        <f>(182-25)/100</f>
        <v>1.57</v>
      </c>
      <c r="C182" s="5">
        <f t="shared" si="12"/>
        <v>0.85470405881768508</v>
      </c>
      <c r="D182" s="33">
        <f t="shared" si="13"/>
        <v>182447.88071425568</v>
      </c>
      <c r="E182" s="33">
        <f t="shared" si="14"/>
        <v>272175.69711501111</v>
      </c>
      <c r="F182" s="33">
        <f t="shared" si="15"/>
        <v>1196424.302884989</v>
      </c>
      <c r="G182" s="33">
        <f t="shared" si="16"/>
        <v>-25187.04179608071</v>
      </c>
      <c r="H182" s="33">
        <f t="shared" si="17"/>
        <v>31400</v>
      </c>
    </row>
    <row r="183" spans="2:8" x14ac:dyDescent="0.25">
      <c r="B183" s="5">
        <f>(183-25)/100</f>
        <v>1.58</v>
      </c>
      <c r="C183" s="5">
        <f t="shared" si="12"/>
        <v>0.85384978196848171</v>
      </c>
      <c r="D183" s="33">
        <f t="shared" si="13"/>
        <v>181537.91811294234</v>
      </c>
      <c r="E183" s="33">
        <f t="shared" si="14"/>
        <v>271926.28622496256</v>
      </c>
      <c r="F183" s="33">
        <f t="shared" si="15"/>
        <v>1196473.7137750373</v>
      </c>
      <c r="G183" s="33">
        <f t="shared" si="16"/>
        <v>-24695.684522370211</v>
      </c>
      <c r="H183" s="33">
        <f t="shared" si="17"/>
        <v>31600</v>
      </c>
    </row>
    <row r="184" spans="2:8" x14ac:dyDescent="0.25">
      <c r="B184" s="5">
        <f>(184-25)/100</f>
        <v>1.59</v>
      </c>
      <c r="C184" s="5">
        <f t="shared" si="12"/>
        <v>0.85299635896913151</v>
      </c>
      <c r="D184" s="33">
        <f t="shared" si="13"/>
        <v>180632.49396903688</v>
      </c>
      <c r="E184" s="33">
        <f t="shared" si="14"/>
        <v>271681.77249179687</v>
      </c>
      <c r="F184" s="33">
        <f t="shared" si="15"/>
        <v>1196518.2275082031</v>
      </c>
      <c r="G184" s="33">
        <f t="shared" si="16"/>
        <v>-24207.607082730727</v>
      </c>
      <c r="H184" s="33">
        <f t="shared" si="17"/>
        <v>31800</v>
      </c>
    </row>
    <row r="185" spans="2:8" x14ac:dyDescent="0.25">
      <c r="B185" s="5">
        <f>(185-25)/100</f>
        <v>1.6</v>
      </c>
      <c r="C185" s="5">
        <f t="shared" si="12"/>
        <v>0.85214378896621135</v>
      </c>
      <c r="D185" s="33">
        <f t="shared" si="13"/>
        <v>179731.58564688862</v>
      </c>
      <c r="E185" s="33">
        <f t="shared" si="14"/>
        <v>271442.12321707571</v>
      </c>
      <c r="F185" s="33">
        <f t="shared" si="15"/>
        <v>1196557.8767829244</v>
      </c>
      <c r="G185" s="33">
        <f t="shared" si="16"/>
        <v>-23722.789516729987</v>
      </c>
      <c r="H185" s="33">
        <f t="shared" si="17"/>
        <v>32000</v>
      </c>
    </row>
    <row r="186" spans="2:8" x14ac:dyDescent="0.25">
      <c r="B186" s="5">
        <f>(186-25)/100</f>
        <v>1.61</v>
      </c>
      <c r="C186" s="5">
        <f t="shared" si="12"/>
        <v>0.8512920711071511</v>
      </c>
      <c r="D186" s="33">
        <f t="shared" si="13"/>
        <v>178835.17062374257</v>
      </c>
      <c r="E186" s="33">
        <f t="shared" si="14"/>
        <v>271207.3059013657</v>
      </c>
      <c r="F186" s="33">
        <f t="shared" si="15"/>
        <v>1196592.6940986342</v>
      </c>
      <c r="G186" s="33">
        <f t="shared" si="16"/>
        <v>-23241.211983679867</v>
      </c>
      <c r="H186" s="33">
        <f t="shared" si="17"/>
        <v>32200.000000000004</v>
      </c>
    </row>
    <row r="187" spans="2:8" x14ac:dyDescent="0.25">
      <c r="B187" s="5">
        <f>(187-25)/100</f>
        <v>1.62</v>
      </c>
      <c r="C187" s="5">
        <f t="shared" si="12"/>
        <v>0.85044120454023298</v>
      </c>
      <c r="D187" s="33">
        <f t="shared" si="13"/>
        <v>177943.22648917645</v>
      </c>
      <c r="E187" s="33">
        <f t="shared" si="14"/>
        <v>270977.28824304434</v>
      </c>
      <c r="F187" s="33">
        <f t="shared" si="15"/>
        <v>1196622.7117569556</v>
      </c>
      <c r="G187" s="33">
        <f t="shared" si="16"/>
        <v>-22762.854761919793</v>
      </c>
      <c r="H187" s="33">
        <f t="shared" si="17"/>
        <v>32400.000000000004</v>
      </c>
    </row>
    <row r="188" spans="2:8" x14ac:dyDescent="0.25">
      <c r="B188" s="5">
        <f>(188-25)/100</f>
        <v>1.63</v>
      </c>
      <c r="C188" s="5">
        <f t="shared" si="12"/>
        <v>0.84959118841459025</v>
      </c>
      <c r="D188" s="33">
        <f t="shared" si="13"/>
        <v>177055.73094454047</v>
      </c>
      <c r="E188" s="33">
        <f t="shared" si="14"/>
        <v>270752.03813711391</v>
      </c>
      <c r="F188" s="33">
        <f t="shared" si="15"/>
        <v>1196647.9618628861</v>
      </c>
      <c r="G188" s="33">
        <f t="shared" si="16"/>
        <v>-22287.698248104425</v>
      </c>
      <c r="H188" s="33">
        <f t="shared" si="17"/>
        <v>32599.999999999996</v>
      </c>
    </row>
    <row r="189" spans="2:8" x14ac:dyDescent="0.25">
      <c r="B189" s="5">
        <f>(189-25)/100</f>
        <v>1.64</v>
      </c>
      <c r="C189" s="5">
        <f t="shared" si="12"/>
        <v>0.84874202188020675</v>
      </c>
      <c r="D189" s="33">
        <f t="shared" si="13"/>
        <v>176172.66180239973</v>
      </c>
      <c r="E189" s="33">
        <f t="shared" si="14"/>
        <v>270531.52367402118</v>
      </c>
      <c r="F189" s="33">
        <f t="shared" si="15"/>
        <v>1196668.4763259788</v>
      </c>
      <c r="G189" s="33">
        <f t="shared" si="16"/>
        <v>-21815.722956495418</v>
      </c>
      <c r="H189" s="33">
        <f t="shared" si="17"/>
        <v>32800</v>
      </c>
    </row>
    <row r="190" spans="2:8" x14ac:dyDescent="0.25">
      <c r="B190" s="5">
        <f>(190-25)/100</f>
        <v>1.65</v>
      </c>
      <c r="C190" s="5">
        <f t="shared" si="12"/>
        <v>0.84789370408791587</v>
      </c>
      <c r="D190" s="33">
        <f t="shared" si="13"/>
        <v>175293.9969859797</v>
      </c>
      <c r="E190" s="33">
        <f t="shared" si="14"/>
        <v>270315.71313848556</v>
      </c>
      <c r="F190" s="33">
        <f t="shared" si="15"/>
        <v>1196684.2868615144</v>
      </c>
      <c r="G190" s="33">
        <f t="shared" si="16"/>
        <v>-21346.9095182577</v>
      </c>
      <c r="H190" s="33">
        <f t="shared" si="17"/>
        <v>33000</v>
      </c>
    </row>
    <row r="191" spans="2:8" x14ac:dyDescent="0.25">
      <c r="B191" s="5">
        <f>(191-25)/100</f>
        <v>1.66</v>
      </c>
      <c r="C191" s="5">
        <f t="shared" si="12"/>
        <v>0.84704623418939962</v>
      </c>
      <c r="D191" s="33">
        <f t="shared" si="13"/>
        <v>174419.71452861425</v>
      </c>
      <c r="E191" s="33">
        <f t="shared" si="14"/>
        <v>270104.57500833308</v>
      </c>
      <c r="F191" s="33">
        <f t="shared" si="15"/>
        <v>1196695.4249916668</v>
      </c>
      <c r="G191" s="33">
        <f t="shared" si="16"/>
        <v>-20881.238680759736</v>
      </c>
      <c r="H191" s="33">
        <f t="shared" si="17"/>
        <v>33200</v>
      </c>
    </row>
    <row r="192" spans="2:8" x14ac:dyDescent="0.25">
      <c r="B192" s="5">
        <f>(192-25)/100</f>
        <v>1.67</v>
      </c>
      <c r="C192" s="5">
        <f t="shared" si="12"/>
        <v>0.84619961133718824</v>
      </c>
      <c r="D192" s="33">
        <f t="shared" si="13"/>
        <v>173549.79257319635</v>
      </c>
      <c r="E192" s="33">
        <f t="shared" si="14"/>
        <v>269898.07795333781</v>
      </c>
      <c r="F192" s="33">
        <f t="shared" si="15"/>
        <v>1196701.9220466623</v>
      </c>
      <c r="G192" s="33">
        <f t="shared" si="16"/>
        <v>-20418.691306877983</v>
      </c>
      <c r="H192" s="33">
        <f t="shared" si="17"/>
        <v>33400</v>
      </c>
    </row>
    <row r="193" spans="2:8" x14ac:dyDescent="0.25">
      <c r="B193" s="5">
        <f>(193-25)/100</f>
        <v>1.68</v>
      </c>
      <c r="C193" s="5">
        <f t="shared" si="12"/>
        <v>0.84535383468465874</v>
      </c>
      <c r="D193" s="33">
        <f t="shared" si="13"/>
        <v>172684.20937163188</v>
      </c>
      <c r="E193" s="33">
        <f t="shared" si="14"/>
        <v>269696.1908340705</v>
      </c>
      <c r="F193" s="33">
        <f t="shared" si="15"/>
        <v>1196703.8091659294</v>
      </c>
      <c r="G193" s="33">
        <f t="shared" si="16"/>
        <v>-19959.248374305796</v>
      </c>
      <c r="H193" s="33">
        <f t="shared" si="17"/>
        <v>33600</v>
      </c>
    </row>
    <row r="194" spans="2:8" x14ac:dyDescent="0.25">
      <c r="B194" s="5">
        <f>(194-25)/100</f>
        <v>1.69</v>
      </c>
      <c r="C194" s="5">
        <f t="shared" si="12"/>
        <v>0.84450890338603435</v>
      </c>
      <c r="D194" s="33">
        <f t="shared" si="13"/>
        <v>171822.94328429567</v>
      </c>
      <c r="E194" s="33">
        <f t="shared" si="14"/>
        <v>269498.88270075386</v>
      </c>
      <c r="F194" s="33">
        <f t="shared" si="15"/>
        <v>1196701.1172992461</v>
      </c>
      <c r="G194" s="33">
        <f t="shared" si="16"/>
        <v>-19502.890974866023</v>
      </c>
      <c r="H194" s="33">
        <f t="shared" si="17"/>
        <v>33800</v>
      </c>
    </row>
    <row r="195" spans="2:8" x14ac:dyDescent="0.25">
      <c r="B195" s="5">
        <f>(195-25)/100</f>
        <v>1.7</v>
      </c>
      <c r="C195" s="5">
        <f t="shared" si="12"/>
        <v>0.8436648165963837</v>
      </c>
      <c r="D195" s="33">
        <f t="shared" si="13"/>
        <v>170965.97277949069</v>
      </c>
      <c r="E195" s="33">
        <f t="shared" si="14"/>
        <v>269306.1227921244</v>
      </c>
      <c r="F195" s="33">
        <f t="shared" si="15"/>
        <v>1196693.8772078757</v>
      </c>
      <c r="G195" s="33">
        <f t="shared" si="16"/>
        <v>-19049.600313828094</v>
      </c>
      <c r="H195" s="33">
        <f t="shared" si="17"/>
        <v>34000</v>
      </c>
    </row>
    <row r="196" spans="2:8" x14ac:dyDescent="0.25">
      <c r="B196" s="5">
        <f>(196-25)/100</f>
        <v>1.71</v>
      </c>
      <c r="C196" s="5">
        <f t="shared" si="12"/>
        <v>0.8428215734716199</v>
      </c>
      <c r="D196" s="33">
        <f t="shared" si="13"/>
        <v>170113.27643290965</v>
      </c>
      <c r="E196" s="33">
        <f t="shared" si="14"/>
        <v>269117.88053430163</v>
      </c>
      <c r="F196" s="33">
        <f t="shared" si="15"/>
        <v>1196682.1194656985</v>
      </c>
      <c r="G196" s="33">
        <f t="shared" si="16"/>
        <v>-18599.357709228934</v>
      </c>
      <c r="H196" s="33">
        <f t="shared" si="17"/>
        <v>34200</v>
      </c>
    </row>
    <row r="197" spans="2:8" x14ac:dyDescent="0.25">
      <c r="B197" s="5">
        <f>(197-25)/100</f>
        <v>1.72</v>
      </c>
      <c r="C197" s="5">
        <f t="shared" si="12"/>
        <v>0.84197917316849991</v>
      </c>
      <c r="D197" s="33">
        <f t="shared" si="13"/>
        <v>169264.83292709952</v>
      </c>
      <c r="E197" s="33">
        <f t="shared" si="14"/>
        <v>268934.1255396636</v>
      </c>
      <c r="F197" s="33">
        <f t="shared" si="15"/>
        <v>1196665.8744603363</v>
      </c>
      <c r="G197" s="33">
        <f t="shared" si="16"/>
        <v>-18152.144591198114</v>
      </c>
      <c r="H197" s="33">
        <f t="shared" si="17"/>
        <v>34400</v>
      </c>
    </row>
    <row r="198" spans="2:8" x14ac:dyDescent="0.25">
      <c r="B198" s="5">
        <f>(198-25)/100</f>
        <v>1.73</v>
      </c>
      <c r="C198" s="5">
        <f t="shared" si="12"/>
        <v>0.84113761484462324</v>
      </c>
      <c r="D198" s="33">
        <f t="shared" si="13"/>
        <v>168420.62105092849</v>
      </c>
      <c r="E198" s="33">
        <f t="shared" si="14"/>
        <v>268754.82760572957</v>
      </c>
      <c r="F198" s="33">
        <f t="shared" si="15"/>
        <v>1196645.1723942705</v>
      </c>
      <c r="G198" s="33">
        <f t="shared" si="16"/>
        <v>-17707.942501287005</v>
      </c>
      <c r="H198" s="33">
        <f t="shared" si="17"/>
        <v>34600</v>
      </c>
    </row>
    <row r="199" spans="2:8" x14ac:dyDescent="0.25">
      <c r="B199" s="5">
        <f>(199-25)/100</f>
        <v>1.74</v>
      </c>
      <c r="C199" s="5">
        <f t="shared" si="12"/>
        <v>0.84029689765843141</v>
      </c>
      <c r="D199" s="33">
        <f t="shared" si="13"/>
        <v>167580.61969905559</v>
      </c>
      <c r="E199" s="33">
        <f t="shared" si="14"/>
        <v>268579.95671404869</v>
      </c>
      <c r="F199" s="33">
        <f t="shared" si="15"/>
        <v>1196620.0432859513</v>
      </c>
      <c r="G199" s="33">
        <f t="shared" si="16"/>
        <v>-17266.733091801783</v>
      </c>
      <c r="H199" s="33">
        <f t="shared" si="17"/>
        <v>34800</v>
      </c>
    </row>
    <row r="200" spans="2:8" x14ac:dyDescent="0.25">
      <c r="B200" s="5">
        <f>(200-25)/100</f>
        <v>1.75</v>
      </c>
      <c r="C200" s="5">
        <f t="shared" si="12"/>
        <v>0.83945702076920736</v>
      </c>
      <c r="D200" s="33">
        <f t="shared" si="13"/>
        <v>166744.80787140335</v>
      </c>
      <c r="E200" s="33">
        <f t="shared" si="14"/>
        <v>268409.48302909627</v>
      </c>
      <c r="F200" s="33">
        <f t="shared" si="15"/>
        <v>1196590.5169709036</v>
      </c>
      <c r="G200" s="33">
        <f t="shared" si="16"/>
        <v>-16828.498125140686</v>
      </c>
      <c r="H200" s="33">
        <f t="shared" si="17"/>
        <v>35000</v>
      </c>
    </row>
    <row r="201" spans="2:8" x14ac:dyDescent="0.25">
      <c r="B201" s="5">
        <f>(201-25)/100</f>
        <v>1.76</v>
      </c>
      <c r="C201" s="5">
        <f t="shared" si="12"/>
        <v>0.83861798333707394</v>
      </c>
      <c r="D201" s="33">
        <f t="shared" si="13"/>
        <v>165913.16467263256</v>
      </c>
      <c r="E201" s="33">
        <f t="shared" si="14"/>
        <v>268243.3768971758</v>
      </c>
      <c r="F201" s="33">
        <f t="shared" si="15"/>
        <v>1196556.6231028242</v>
      </c>
      <c r="G201" s="33">
        <f t="shared" si="16"/>
        <v>-16393.219473135061</v>
      </c>
      <c r="H201" s="33">
        <f t="shared" si="17"/>
        <v>35200</v>
      </c>
    </row>
    <row r="202" spans="2:8" x14ac:dyDescent="0.25">
      <c r="B202" s="5">
        <f>(202-25)/100</f>
        <v>1.77</v>
      </c>
      <c r="C202" s="5">
        <f t="shared" si="12"/>
        <v>0.83777978452299384</v>
      </c>
      <c r="D202" s="33">
        <f t="shared" si="13"/>
        <v>165085.66931161986</v>
      </c>
      <c r="E202" s="33">
        <f t="shared" si="14"/>
        <v>268081.60884532804</v>
      </c>
      <c r="F202" s="33">
        <f t="shared" si="15"/>
        <v>1196518.391154672</v>
      </c>
      <c r="G202" s="33">
        <f t="shared" si="16"/>
        <v>-15960.879116394368</v>
      </c>
      <c r="H202" s="33">
        <f t="shared" si="17"/>
        <v>35400</v>
      </c>
    </row>
    <row r="203" spans="2:8" x14ac:dyDescent="0.25">
      <c r="B203" s="5">
        <f>(203-25)/100</f>
        <v>1.78</v>
      </c>
      <c r="C203" s="5">
        <f t="shared" si="12"/>
        <v>0.83694242348876802</v>
      </c>
      <c r="D203" s="33">
        <f t="shared" si="13"/>
        <v>164262.3011009382</v>
      </c>
      <c r="E203" s="33">
        <f t="shared" si="14"/>
        <v>267924.14958024654</v>
      </c>
      <c r="F203" s="33">
        <f t="shared" si="15"/>
        <v>1196475.8504197535</v>
      </c>
      <c r="G203" s="33">
        <f t="shared" si="16"/>
        <v>-15531.459143655127</v>
      </c>
      <c r="H203" s="33">
        <f t="shared" si="17"/>
        <v>35600</v>
      </c>
    </row>
    <row r="204" spans="2:8" x14ac:dyDescent="0.25">
      <c r="B204" s="5">
        <f>(204-25)/100</f>
        <v>1.79</v>
      </c>
      <c r="C204" s="5">
        <f t="shared" si="12"/>
        <v>0.8361058993970355</v>
      </c>
      <c r="D204" s="33">
        <f t="shared" si="13"/>
        <v>163443.03945633938</v>
      </c>
      <c r="E204" s="33">
        <f t="shared" si="14"/>
        <v>267770.96998719941</v>
      </c>
      <c r="F204" s="33">
        <f t="shared" si="15"/>
        <v>1196429.0300128006</v>
      </c>
      <c r="G204" s="33">
        <f t="shared" si="16"/>
        <v>-15104.941751133825</v>
      </c>
      <c r="H204" s="33">
        <f t="shared" si="17"/>
        <v>35800</v>
      </c>
    </row>
    <row r="205" spans="2:8" x14ac:dyDescent="0.25">
      <c r="B205" s="5">
        <f>(205-25)/100</f>
        <v>1.8</v>
      </c>
      <c r="C205" s="5">
        <f t="shared" si="12"/>
        <v>0.835270211411272</v>
      </c>
      <c r="D205" s="33">
        <f t="shared" si="13"/>
        <v>162627.86389623964</v>
      </c>
      <c r="E205" s="33">
        <f t="shared" si="14"/>
        <v>267622.04112895805</v>
      </c>
      <c r="F205" s="33">
        <f t="shared" si="15"/>
        <v>1196377.9588710419</v>
      </c>
      <c r="G205" s="33">
        <f t="shared" si="16"/>
        <v>-14681.309241883617</v>
      </c>
      <c r="H205" s="33">
        <f t="shared" si="17"/>
        <v>36000</v>
      </c>
    </row>
    <row r="206" spans="2:8" x14ac:dyDescent="0.25">
      <c r="B206" s="5">
        <f>(206-25)/100</f>
        <v>1.81</v>
      </c>
      <c r="C206" s="5">
        <f t="shared" si="12"/>
        <v>0.83443535869578955</v>
      </c>
      <c r="D206" s="33">
        <f t="shared" si="13"/>
        <v>161816.75404120752</v>
      </c>
      <c r="E206" s="33">
        <f t="shared" si="14"/>
        <v>267477.3342447317</v>
      </c>
      <c r="F206" s="33">
        <f t="shared" si="15"/>
        <v>1196322.6657552682</v>
      </c>
      <c r="G206" s="33">
        <f t="shared" si="16"/>
        <v>-14260.544025154843</v>
      </c>
      <c r="H206" s="33">
        <f t="shared" si="17"/>
        <v>36200</v>
      </c>
    </row>
    <row r="207" spans="2:8" x14ac:dyDescent="0.25">
      <c r="B207" s="5">
        <f>(207-25)/100</f>
        <v>1.82</v>
      </c>
      <c r="C207" s="5">
        <f t="shared" si="12"/>
        <v>0.8336013404157353</v>
      </c>
      <c r="D207" s="33">
        <f t="shared" si="13"/>
        <v>161009.68961345439</v>
      </c>
      <c r="E207" s="33">
        <f t="shared" si="14"/>
        <v>267336.8207491088</v>
      </c>
      <c r="F207" s="33">
        <f t="shared" si="15"/>
        <v>1196263.1792508913</v>
      </c>
      <c r="G207" s="33">
        <f t="shared" si="16"/>
        <v>-13842.628615759415</v>
      </c>
      <c r="H207" s="33">
        <f t="shared" si="17"/>
        <v>36400</v>
      </c>
    </row>
    <row r="208" spans="2:8" x14ac:dyDescent="0.25">
      <c r="B208" s="5">
        <f>(208-25)/100</f>
        <v>1.83</v>
      </c>
      <c r="C208" s="5">
        <f t="shared" si="12"/>
        <v>0.83276815573709095</v>
      </c>
      <c r="D208" s="33">
        <f t="shared" si="13"/>
        <v>160206.6504363275</v>
      </c>
      <c r="E208" s="33">
        <f t="shared" si="14"/>
        <v>267200.4722310045</v>
      </c>
      <c r="F208" s="33">
        <f t="shared" si="15"/>
        <v>1196199.5277689956</v>
      </c>
      <c r="G208" s="33">
        <f t="shared" si="16"/>
        <v>-13427.545633439091</v>
      </c>
      <c r="H208" s="33">
        <f t="shared" si="17"/>
        <v>36600</v>
      </c>
    </row>
    <row r="209" spans="2:8" x14ac:dyDescent="0.25">
      <c r="B209" s="5">
        <f>(209-25)/100</f>
        <v>1.84</v>
      </c>
      <c r="C209" s="5">
        <f t="shared" si="12"/>
        <v>0.83193580382667176</v>
      </c>
      <c r="D209" s="33">
        <f t="shared" si="13"/>
        <v>159407.61643380564</v>
      </c>
      <c r="E209" s="33">
        <f t="shared" si="14"/>
        <v>267068.26045261446</v>
      </c>
      <c r="F209" s="33">
        <f t="shared" si="15"/>
        <v>1196131.7395473856</v>
      </c>
      <c r="G209" s="33">
        <f t="shared" si="16"/>
        <v>-13015.277802237397</v>
      </c>
      <c r="H209" s="33">
        <f t="shared" si="17"/>
        <v>36800</v>
      </c>
    </row>
    <row r="210" spans="2:8" x14ac:dyDescent="0.25">
      <c r="B210" s="5">
        <f>(210-25)/100</f>
        <v>1.85</v>
      </c>
      <c r="C210" s="5">
        <f t="shared" si="12"/>
        <v>0.83110428385212565</v>
      </c>
      <c r="D210" s="33">
        <f t="shared" si="13"/>
        <v>158612.56762999712</v>
      </c>
      <c r="E210" s="33">
        <f t="shared" si="14"/>
        <v>266940.15734837507</v>
      </c>
      <c r="F210" s="33">
        <f t="shared" si="15"/>
        <v>1196059.8426516249</v>
      </c>
      <c r="G210" s="33">
        <f t="shared" si="16"/>
        <v>-12605.807949875321</v>
      </c>
      <c r="H210" s="33">
        <f t="shared" si="17"/>
        <v>37000</v>
      </c>
    </row>
    <row r="211" spans="2:8" x14ac:dyDescent="0.25">
      <c r="B211" s="5">
        <f>(211-25)/100</f>
        <v>1.86</v>
      </c>
      <c r="C211" s="5">
        <f t="shared" si="12"/>
        <v>0.83027359498193265</v>
      </c>
      <c r="D211" s="33">
        <f t="shared" si="13"/>
        <v>157821.48414864045</v>
      </c>
      <c r="E211" s="33">
        <f t="shared" si="14"/>
        <v>266816.13502392964</v>
      </c>
      <c r="F211" s="33">
        <f t="shared" si="15"/>
        <v>1195983.8649760704</v>
      </c>
      <c r="G211" s="33">
        <f t="shared" si="16"/>
        <v>-12199.119007130867</v>
      </c>
      <c r="H211" s="33">
        <f t="shared" si="17"/>
        <v>37200</v>
      </c>
    </row>
    <row r="212" spans="2:8" x14ac:dyDescent="0.25">
      <c r="B212" s="5">
        <f>(212-25)/100</f>
        <v>1.87</v>
      </c>
      <c r="C212" s="5">
        <f t="shared" si="12"/>
        <v>0.82944373638540392</v>
      </c>
      <c r="D212" s="33">
        <f t="shared" si="13"/>
        <v>157034.34621260734</v>
      </c>
      <c r="E212" s="33">
        <f t="shared" si="14"/>
        <v>266696.16575510101</v>
      </c>
      <c r="F212" s="33">
        <f t="shared" si="15"/>
        <v>1195903.834244899</v>
      </c>
      <c r="G212" s="33">
        <f t="shared" si="16"/>
        <v>-11795.194007222162</v>
      </c>
      <c r="H212" s="33">
        <f t="shared" si="17"/>
        <v>37400</v>
      </c>
    </row>
    <row r="213" spans="2:8" x14ac:dyDescent="0.25">
      <c r="B213" s="5">
        <f>(213-25)/100</f>
        <v>1.88</v>
      </c>
      <c r="C213" s="5">
        <f t="shared" si="12"/>
        <v>0.8286147072326806</v>
      </c>
      <c r="D213" s="33">
        <f t="shared" si="13"/>
        <v>156251.13414340845</v>
      </c>
      <c r="E213" s="33">
        <f t="shared" si="14"/>
        <v>266580.22198687022</v>
      </c>
      <c r="F213" s="33">
        <f t="shared" si="15"/>
        <v>1195819.7780131297</v>
      </c>
      <c r="G213" s="33">
        <f t="shared" si="16"/>
        <v>-11394.01608519438</v>
      </c>
      <c r="H213" s="33">
        <f t="shared" si="17"/>
        <v>37600</v>
      </c>
    </row>
    <row r="214" spans="2:8" x14ac:dyDescent="0.25">
      <c r="B214" s="5">
        <f>(214-25)/100</f>
        <v>1.89</v>
      </c>
      <c r="C214" s="5">
        <f t="shared" si="12"/>
        <v>0.82778650669473364</v>
      </c>
      <c r="D214" s="33">
        <f t="shared" si="13"/>
        <v>155471.82836070121</v>
      </c>
      <c r="E214" s="33">
        <f t="shared" si="14"/>
        <v>266468.27633236116</v>
      </c>
      <c r="F214" s="33">
        <f t="shared" si="15"/>
        <v>1195731.7236676388</v>
      </c>
      <c r="G214" s="33">
        <f t="shared" si="16"/>
        <v>-10995.568477310153</v>
      </c>
      <c r="H214" s="33">
        <f t="shared" si="17"/>
        <v>37800</v>
      </c>
    </row>
    <row r="215" spans="2:8" x14ac:dyDescent="0.25">
      <c r="B215" s="5">
        <f>(215-25)/100</f>
        <v>1.9</v>
      </c>
      <c r="C215" s="5">
        <f t="shared" si="12"/>
        <v>0.82695913394336229</v>
      </c>
      <c r="D215" s="33">
        <f t="shared" si="13"/>
        <v>154696.40938180051</v>
      </c>
      <c r="E215" s="33">
        <f t="shared" si="14"/>
        <v>266360.30157183175</v>
      </c>
      <c r="F215" s="33">
        <f t="shared" si="15"/>
        <v>1195639.6984281682</v>
      </c>
      <c r="G215" s="33">
        <f t="shared" si="16"/>
        <v>-10599.834520443968</v>
      </c>
      <c r="H215" s="33">
        <f t="shared" si="17"/>
        <v>38000</v>
      </c>
    </row>
    <row r="216" spans="2:8" x14ac:dyDescent="0.25">
      <c r="B216" s="5">
        <f>(216-25)/100</f>
        <v>1.91</v>
      </c>
      <c r="C216" s="5">
        <f t="shared" si="12"/>
        <v>0.82613258815119384</v>
      </c>
      <c r="D216" s="33">
        <f t="shared" si="13"/>
        <v>153924.85782119143</v>
      </c>
      <c r="E216" s="33">
        <f t="shared" si="14"/>
        <v>266256.27065167035</v>
      </c>
      <c r="F216" s="33">
        <f t="shared" si="15"/>
        <v>1195543.7293483296</v>
      </c>
      <c r="G216" s="33">
        <f t="shared" si="16"/>
        <v>-10206.797651479734</v>
      </c>
      <c r="H216" s="33">
        <f t="shared" si="17"/>
        <v>38200</v>
      </c>
    </row>
    <row r="217" spans="2:8" x14ac:dyDescent="0.25">
      <c r="B217" s="5">
        <f>(217-25)/100</f>
        <v>1.92</v>
      </c>
      <c r="C217" s="5">
        <f t="shared" ref="C217:C280" si="18">EXP(-$C$10*B217)</f>
        <v>0.82530686849168233</v>
      </c>
      <c r="D217" s="33">
        <f t="shared" ref="D217:D280" si="19">$C$7*EXP(-$C$9*B217)</f>
        <v>153157.15439004483</v>
      </c>
      <c r="E217" s="33">
        <f t="shared" ref="E217:E280" si="20">C217*D217+(1-C217)*$C$8</f>
        <v>266156.15668339917</v>
      </c>
      <c r="F217" s="33">
        <f t="shared" ref="F217:F280" si="21">$C$12-E217-$C$11*B217</f>
        <v>1195443.8433166009</v>
      </c>
      <c r="G217" s="33">
        <f t="shared" ref="G217:G280" si="22">$C$10*$C$8*EXP(-$C$10*B217)-($C$9+$C$10)*$C$7*EXP(-($C$9+$C$10)*B217)</f>
        <v>-9816.4414067124308</v>
      </c>
      <c r="H217" s="33">
        <f t="shared" ref="H217:H280" si="23">$C$11*B217</f>
        <v>38400</v>
      </c>
    </row>
    <row r="218" spans="2:8" x14ac:dyDescent="0.25">
      <c r="B218" s="5">
        <f>(218-25)/100</f>
        <v>1.93</v>
      </c>
      <c r="C218" s="5">
        <f t="shared" si="18"/>
        <v>0.82448197413910818</v>
      </c>
      <c r="D218" s="33">
        <f t="shared" si="19"/>
        <v>152393.27989573492</v>
      </c>
      <c r="E218" s="33">
        <f t="shared" si="20"/>
        <v>266059.93294268264</v>
      </c>
      <c r="F218" s="33">
        <f t="shared" si="21"/>
        <v>1195340.0670573174</v>
      </c>
      <c r="G218" s="33">
        <f t="shared" si="22"/>
        <v>-9428.7494212528545</v>
      </c>
      <c r="H218" s="33">
        <f t="shared" si="23"/>
        <v>38600</v>
      </c>
    </row>
    <row r="219" spans="2:8" x14ac:dyDescent="0.25">
      <c r="B219" s="5">
        <f>(219-25)/100</f>
        <v>1.94</v>
      </c>
      <c r="C219" s="5">
        <f t="shared" si="18"/>
        <v>0.82365790426857688</v>
      </c>
      <c r="D219" s="33">
        <f t="shared" si="19"/>
        <v>151633.21524135952</v>
      </c>
      <c r="E219" s="33">
        <f t="shared" si="20"/>
        <v>265967.57286834269</v>
      </c>
      <c r="F219" s="33">
        <f t="shared" si="21"/>
        <v>1195232.4271316573</v>
      </c>
      <c r="G219" s="33">
        <f t="shared" si="22"/>
        <v>-9043.705428436384</v>
      </c>
      <c r="H219" s="33">
        <f t="shared" si="23"/>
        <v>38800</v>
      </c>
    </row>
    <row r="220" spans="2:8" x14ac:dyDescent="0.25">
      <c r="B220" s="5">
        <f>(220-25)/100</f>
        <v>1.95</v>
      </c>
      <c r="C220" s="5">
        <f t="shared" si="18"/>
        <v>0.82283465805601841</v>
      </c>
      <c r="D220" s="33">
        <f t="shared" si="19"/>
        <v>150876.94142526278</v>
      </c>
      <c r="E220" s="33">
        <f t="shared" si="20"/>
        <v>265879.05006137927</v>
      </c>
      <c r="F220" s="33">
        <f t="shared" si="21"/>
        <v>1195120.9499386207</v>
      </c>
      <c r="G220" s="33">
        <f t="shared" si="22"/>
        <v>-8661.2932592349243</v>
      </c>
      <c r="H220" s="33">
        <f t="shared" si="23"/>
        <v>39000</v>
      </c>
    </row>
    <row r="221" spans="2:8" x14ac:dyDescent="0.25">
      <c r="B221" s="5">
        <f>(221-25)/100</f>
        <v>1.96</v>
      </c>
      <c r="C221" s="5">
        <f t="shared" si="18"/>
        <v>0.82201223467818652</v>
      </c>
      <c r="D221" s="33">
        <f t="shared" si="19"/>
        <v>150124.43954055983</v>
      </c>
      <c r="E221" s="33">
        <f t="shared" si="20"/>
        <v>265794.33828399668</v>
      </c>
      <c r="F221" s="33">
        <f t="shared" si="21"/>
        <v>1195005.6617160034</v>
      </c>
      <c r="G221" s="33">
        <f t="shared" si="22"/>
        <v>-8281.4968416726042</v>
      </c>
      <c r="H221" s="33">
        <f t="shared" si="23"/>
        <v>39200</v>
      </c>
    </row>
    <row r="222" spans="2:8" x14ac:dyDescent="0.25">
      <c r="B222" s="5">
        <f>(222-25)/100</f>
        <v>1.97</v>
      </c>
      <c r="C222" s="5">
        <f t="shared" si="18"/>
        <v>0.82119063331265796</v>
      </c>
      <c r="D222" s="33">
        <f t="shared" si="19"/>
        <v>149375.69077466437</v>
      </c>
      <c r="E222" s="33">
        <f t="shared" si="20"/>
        <v>265713.41145863605</v>
      </c>
      <c r="F222" s="33">
        <f t="shared" si="21"/>
        <v>1194886.5885413638</v>
      </c>
      <c r="G222" s="33">
        <f t="shared" si="22"/>
        <v>-7904.3002002448047</v>
      </c>
      <c r="H222" s="33">
        <f t="shared" si="23"/>
        <v>39400</v>
      </c>
    </row>
    <row r="223" spans="2:8" x14ac:dyDescent="0.25">
      <c r="B223" s="5">
        <f>(223-25)/100</f>
        <v>1.98</v>
      </c>
      <c r="C223" s="5">
        <f t="shared" si="18"/>
        <v>0.82036985313783106</v>
      </c>
      <c r="D223" s="33">
        <f t="shared" si="19"/>
        <v>148630.67640881828</v>
      </c>
      <c r="E223" s="33">
        <f t="shared" si="20"/>
        <v>265636.24366701388</v>
      </c>
      <c r="F223" s="33">
        <f t="shared" si="21"/>
        <v>1194763.7563329861</v>
      </c>
      <c r="G223" s="33">
        <f t="shared" si="22"/>
        <v>-7529.6874553407542</v>
      </c>
      <c r="H223" s="33">
        <f t="shared" si="23"/>
        <v>39600</v>
      </c>
    </row>
    <row r="224" spans="2:8" x14ac:dyDescent="0.25">
      <c r="B224" s="5">
        <f>(224-25)/100</f>
        <v>1.99</v>
      </c>
      <c r="C224" s="5">
        <f t="shared" si="18"/>
        <v>0.81954989333292561</v>
      </c>
      <c r="D224" s="33">
        <f t="shared" si="19"/>
        <v>147889.37781762358</v>
      </c>
      <c r="E224" s="33">
        <f t="shared" si="20"/>
        <v>265562.80914916564</v>
      </c>
      <c r="F224" s="33">
        <f t="shared" si="21"/>
        <v>1194637.1908508344</v>
      </c>
      <c r="G224" s="33">
        <f t="shared" si="22"/>
        <v>-7157.6428226696444</v>
      </c>
      <c r="H224" s="33">
        <f t="shared" si="23"/>
        <v>39800</v>
      </c>
    </row>
    <row r="225" spans="2:8" x14ac:dyDescent="0.25">
      <c r="B225" s="5">
        <f>(225-25)/100</f>
        <v>2</v>
      </c>
      <c r="C225" s="5">
        <f t="shared" si="18"/>
        <v>0.81873075307798182</v>
      </c>
      <c r="D225" s="33">
        <f t="shared" si="19"/>
        <v>147151.77646857692</v>
      </c>
      <c r="E225" s="33">
        <f t="shared" si="20"/>
        <v>265493.08230249537</v>
      </c>
      <c r="F225" s="33">
        <f t="shared" si="21"/>
        <v>1194506.9176975046</v>
      </c>
      <c r="G225" s="33">
        <f t="shared" si="22"/>
        <v>-6788.1506126899694</v>
      </c>
      <c r="H225" s="33">
        <f t="shared" si="23"/>
        <v>40000</v>
      </c>
    </row>
    <row r="226" spans="2:8" x14ac:dyDescent="0.25">
      <c r="B226" s="5">
        <f>(226-25)/100</f>
        <v>2.0099999999999998</v>
      </c>
      <c r="C226" s="5">
        <f t="shared" si="18"/>
        <v>0.8179124315538594</v>
      </c>
      <c r="D226" s="33">
        <f t="shared" si="19"/>
        <v>146417.85392160615</v>
      </c>
      <c r="E226" s="33">
        <f t="shared" si="20"/>
        <v>265427.03768083116</v>
      </c>
      <c r="F226" s="33">
        <f t="shared" si="21"/>
        <v>1194372.9623191687</v>
      </c>
      <c r="G226" s="33">
        <f t="shared" si="22"/>
        <v>-6421.1952300424673</v>
      </c>
      <c r="H226" s="33">
        <f t="shared" si="23"/>
        <v>40199.999999999993</v>
      </c>
    </row>
    <row r="227" spans="2:8" x14ac:dyDescent="0.25">
      <c r="B227" s="5">
        <f>(227-25)/100</f>
        <v>2.02</v>
      </c>
      <c r="C227" s="5">
        <f t="shared" si="18"/>
        <v>0.81709492794223659</v>
      </c>
      <c r="D227" s="33">
        <f t="shared" si="19"/>
        <v>145687.59182860932</v>
      </c>
      <c r="E227" s="33">
        <f t="shared" si="20"/>
        <v>265364.64999348624</v>
      </c>
      <c r="F227" s="33">
        <f t="shared" si="21"/>
        <v>1194235.3500065138</v>
      </c>
      <c r="G227" s="33">
        <f t="shared" si="22"/>
        <v>-6056.7611729863856</v>
      </c>
      <c r="H227" s="33">
        <f t="shared" si="23"/>
        <v>40400</v>
      </c>
    </row>
    <row r="228" spans="2:8" x14ac:dyDescent="0.25">
      <c r="B228" s="5">
        <f>(228-25)/100</f>
        <v>2.0299999999999998</v>
      </c>
      <c r="C228" s="5">
        <f t="shared" si="18"/>
        <v>0.8162782414256099</v>
      </c>
      <c r="D228" s="33">
        <f t="shared" si="19"/>
        <v>144960.97193299615</v>
      </c>
      <c r="E228" s="33">
        <f t="shared" si="20"/>
        <v>265305.89410432539</v>
      </c>
      <c r="F228" s="33">
        <f t="shared" si="21"/>
        <v>1194094.1058956746</v>
      </c>
      <c r="G228" s="33">
        <f t="shared" si="22"/>
        <v>-5694.8330328391821</v>
      </c>
      <c r="H228" s="33">
        <f t="shared" si="23"/>
        <v>40599.999999999993</v>
      </c>
    </row>
    <row r="229" spans="2:8" x14ac:dyDescent="0.25">
      <c r="B229" s="5">
        <f>(229-25)/100</f>
        <v>2.04</v>
      </c>
      <c r="C229" s="5">
        <f t="shared" si="18"/>
        <v>0.8154623711872927</v>
      </c>
      <c r="D229" s="33">
        <f t="shared" si="19"/>
        <v>144237.97606923131</v>
      </c>
      <c r="E229" s="33">
        <f t="shared" si="20"/>
        <v>265250.74503083719</v>
      </c>
      <c r="F229" s="33">
        <f t="shared" si="21"/>
        <v>1193949.2549691629</v>
      </c>
      <c r="G229" s="33">
        <f t="shared" si="22"/>
        <v>-5335.3954934193971</v>
      </c>
      <c r="H229" s="33">
        <f t="shared" si="23"/>
        <v>40800</v>
      </c>
    </row>
    <row r="230" spans="2:8" x14ac:dyDescent="0.25">
      <c r="B230" s="5">
        <f>(230-25)/100</f>
        <v>2.0499999999999998</v>
      </c>
      <c r="C230" s="5">
        <f t="shared" si="18"/>
        <v>0.81464731641141452</v>
      </c>
      <c r="D230" s="33">
        <f t="shared" si="19"/>
        <v>143518.58616238064</v>
      </c>
      <c r="E230" s="33">
        <f t="shared" si="20"/>
        <v>265199.1779432121</v>
      </c>
      <c r="F230" s="33">
        <f t="shared" si="21"/>
        <v>1193800.822056788</v>
      </c>
      <c r="G230" s="33">
        <f t="shared" si="22"/>
        <v>-4978.4333304931133</v>
      </c>
      <c r="H230" s="33">
        <f t="shared" si="23"/>
        <v>41000</v>
      </c>
    </row>
    <row r="231" spans="2:8" x14ac:dyDescent="0.25">
      <c r="B231" s="5">
        <f>(231-25)/100</f>
        <v>2.06</v>
      </c>
      <c r="C231" s="5">
        <f t="shared" si="18"/>
        <v>0.81383307628292068</v>
      </c>
      <c r="D231" s="33">
        <f t="shared" si="19"/>
        <v>142802.78422765897</v>
      </c>
      <c r="E231" s="33">
        <f t="shared" si="20"/>
        <v>265151.16816342529</v>
      </c>
      <c r="F231" s="33">
        <f t="shared" si="21"/>
        <v>1193648.8318365747</v>
      </c>
      <c r="G231" s="33">
        <f t="shared" si="22"/>
        <v>-4623.9314112234497</v>
      </c>
      <c r="H231" s="33">
        <f t="shared" si="23"/>
        <v>41200</v>
      </c>
    </row>
    <row r="232" spans="2:8" x14ac:dyDescent="0.25">
      <c r="B232" s="5">
        <f>(232-25)/100</f>
        <v>2.0699999999999998</v>
      </c>
      <c r="C232" s="5">
        <f t="shared" si="18"/>
        <v>0.81301964998757104</v>
      </c>
      <c r="D232" s="33">
        <f t="shared" si="19"/>
        <v>142090.55236998061</v>
      </c>
      <c r="E232" s="33">
        <f t="shared" si="20"/>
        <v>265106.69116432546</v>
      </c>
      <c r="F232" s="33">
        <f t="shared" si="21"/>
        <v>1193493.3088356745</v>
      </c>
      <c r="G232" s="33">
        <f t="shared" si="22"/>
        <v>-4271.8746936236857</v>
      </c>
      <c r="H232" s="33">
        <f t="shared" si="23"/>
        <v>41400</v>
      </c>
    </row>
    <row r="233" spans="2:8" x14ac:dyDescent="0.25">
      <c r="B233" s="5">
        <f>(233-25)/100</f>
        <v>2.08</v>
      </c>
      <c r="C233" s="5">
        <f t="shared" si="18"/>
        <v>0.81220703671193895</v>
      </c>
      <c r="D233" s="33">
        <f t="shared" si="19"/>
        <v>141381.87278351205</v>
      </c>
      <c r="E233" s="33">
        <f t="shared" si="20"/>
        <v>265065.72256872948</v>
      </c>
      <c r="F233" s="33">
        <f t="shared" si="21"/>
        <v>1193334.2774312706</v>
      </c>
      <c r="G233" s="33">
        <f t="shared" si="22"/>
        <v>-3922.248226013282</v>
      </c>
      <c r="H233" s="33">
        <f t="shared" si="23"/>
        <v>41600</v>
      </c>
    </row>
    <row r="234" spans="2:8" x14ac:dyDescent="0.25">
      <c r="B234" s="5">
        <f>(234-25)/100</f>
        <v>2.09</v>
      </c>
      <c r="C234" s="5">
        <f t="shared" si="18"/>
        <v>0.81139523564341143</v>
      </c>
      <c r="D234" s="33">
        <f t="shared" si="19"/>
        <v>140676.72775122678</v>
      </c>
      <c r="E234" s="33">
        <f t="shared" si="20"/>
        <v>265028.23814852152</v>
      </c>
      <c r="F234" s="33">
        <f t="shared" si="21"/>
        <v>1193171.7618514784</v>
      </c>
      <c r="G234" s="33">
        <f t="shared" si="22"/>
        <v>-3575.0371464774944</v>
      </c>
      <c r="H234" s="33">
        <f t="shared" si="23"/>
        <v>41800</v>
      </c>
    </row>
    <row r="235" spans="2:8" x14ac:dyDescent="0.25">
      <c r="B235" s="5">
        <f>(235-25)/100</f>
        <v>2.1</v>
      </c>
      <c r="C235" s="5">
        <f t="shared" si="18"/>
        <v>0.81058424597018708</v>
      </c>
      <c r="D235" s="33">
        <f t="shared" si="19"/>
        <v>139975.09964446214</v>
      </c>
      <c r="E235" s="33">
        <f t="shared" si="20"/>
        <v>264994.21382375847</v>
      </c>
      <c r="F235" s="33">
        <f t="shared" si="21"/>
        <v>1193005.7861762415</v>
      </c>
      <c r="G235" s="33">
        <f t="shared" si="22"/>
        <v>-3230.2266823299287</v>
      </c>
      <c r="H235" s="33">
        <f t="shared" si="23"/>
        <v>42000</v>
      </c>
    </row>
    <row r="236" spans="2:8" x14ac:dyDescent="0.25">
      <c r="B236" s="5">
        <f>(236-25)/100</f>
        <v>2.11</v>
      </c>
      <c r="C236" s="5">
        <f t="shared" si="18"/>
        <v>0.80977406688127629</v>
      </c>
      <c r="D236" s="33">
        <f t="shared" si="19"/>
        <v>139276.97092247903</v>
      </c>
      <c r="E236" s="33">
        <f t="shared" si="20"/>
        <v>264963.62566178007</v>
      </c>
      <c r="F236" s="33">
        <f t="shared" si="21"/>
        <v>1192836.3743382199</v>
      </c>
      <c r="G236" s="33">
        <f t="shared" si="22"/>
        <v>-2887.8021495785651</v>
      </c>
      <c r="H236" s="33">
        <f t="shared" si="23"/>
        <v>42200</v>
      </c>
    </row>
    <row r="237" spans="2:8" x14ac:dyDescent="0.25">
      <c r="B237" s="5">
        <f>(237-25)/100</f>
        <v>2.12</v>
      </c>
      <c r="C237" s="5">
        <f t="shared" si="18"/>
        <v>0.8089646975664998</v>
      </c>
      <c r="D237" s="33">
        <f t="shared" si="19"/>
        <v>138582.32413202297</v>
      </c>
      <c r="E237" s="33">
        <f t="shared" si="20"/>
        <v>264936.44987632474</v>
      </c>
      <c r="F237" s="33">
        <f t="shared" si="21"/>
        <v>1192663.5501236753</v>
      </c>
      <c r="G237" s="33">
        <f t="shared" si="22"/>
        <v>-2547.7489523947952</v>
      </c>
      <c r="H237" s="33">
        <f t="shared" si="23"/>
        <v>42400</v>
      </c>
    </row>
    <row r="238" spans="2:8" x14ac:dyDescent="0.25">
      <c r="B238" s="5">
        <f>(238-25)/100</f>
        <v>2.13</v>
      </c>
      <c r="C238" s="5">
        <f t="shared" si="18"/>
        <v>0.80815613721648838</v>
      </c>
      <c r="D238" s="33">
        <f t="shared" si="19"/>
        <v>137891.14190688808</v>
      </c>
      <c r="E238" s="33">
        <f t="shared" si="20"/>
        <v>264912.6628266506</v>
      </c>
      <c r="F238" s="33">
        <f t="shared" si="21"/>
        <v>1192487.3371733495</v>
      </c>
      <c r="G238" s="33">
        <f t="shared" si="22"/>
        <v>-2210.0525825857185</v>
      </c>
      <c r="H238" s="33">
        <f t="shared" si="23"/>
        <v>42600</v>
      </c>
    </row>
    <row r="239" spans="2:8" x14ac:dyDescent="0.25">
      <c r="B239" s="5">
        <f>(239-25)/100</f>
        <v>2.14</v>
      </c>
      <c r="C239" s="5">
        <f t="shared" si="18"/>
        <v>0.80734838502268147</v>
      </c>
      <c r="D239" s="33">
        <f t="shared" si="19"/>
        <v>137203.40696748265</v>
      </c>
      <c r="E239" s="33">
        <f t="shared" si="20"/>
        <v>264892.24101666163</v>
      </c>
      <c r="F239" s="33">
        <f t="shared" si="21"/>
        <v>1192307.7589833383</v>
      </c>
      <c r="G239" s="33">
        <f t="shared" si="22"/>
        <v>-1874.6986190695825</v>
      </c>
      <c r="H239" s="33">
        <f t="shared" si="23"/>
        <v>42800</v>
      </c>
    </row>
    <row r="240" spans="2:8" x14ac:dyDescent="0.25">
      <c r="B240" s="5">
        <f>(240-25)/100</f>
        <v>2.15</v>
      </c>
      <c r="C240" s="5">
        <f t="shared" si="18"/>
        <v>0.80654144017732687</v>
      </c>
      <c r="D240" s="33">
        <f t="shared" si="19"/>
        <v>136519.1021203975</v>
      </c>
      <c r="E240" s="33">
        <f t="shared" si="20"/>
        <v>264875.16109403945</v>
      </c>
      <c r="F240" s="33">
        <f t="shared" si="21"/>
        <v>1192124.8389059606</v>
      </c>
      <c r="G240" s="33">
        <f t="shared" si="22"/>
        <v>-1541.6727273544238</v>
      </c>
      <c r="H240" s="33">
        <f t="shared" si="23"/>
        <v>43000</v>
      </c>
    </row>
    <row r="241" spans="2:8" x14ac:dyDescent="0.25">
      <c r="B241" s="5">
        <f>(241-25)/100</f>
        <v>2.16</v>
      </c>
      <c r="C241" s="5">
        <f t="shared" si="18"/>
        <v>0.80573530187347964</v>
      </c>
      <c r="D241" s="33">
        <f t="shared" si="19"/>
        <v>135838.21025797565</v>
      </c>
      <c r="E241" s="33">
        <f t="shared" si="20"/>
        <v>264861.39984937949</v>
      </c>
      <c r="F241" s="33">
        <f t="shared" si="21"/>
        <v>1191938.6001506206</v>
      </c>
      <c r="G241" s="33">
        <f t="shared" si="22"/>
        <v>-1210.960659019569</v>
      </c>
      <c r="H241" s="33">
        <f t="shared" si="23"/>
        <v>43200</v>
      </c>
    </row>
    <row r="242" spans="2:8" x14ac:dyDescent="0.25">
      <c r="B242" s="5">
        <f>(242-25)/100</f>
        <v>2.17</v>
      </c>
      <c r="C242" s="5">
        <f t="shared" si="18"/>
        <v>0.80492996930500149</v>
      </c>
      <c r="D242" s="33">
        <f t="shared" si="19"/>
        <v>135160.71435788521</v>
      </c>
      <c r="E242" s="33">
        <f t="shared" si="20"/>
        <v>264850.93421533343</v>
      </c>
      <c r="F242" s="33">
        <f t="shared" si="21"/>
        <v>1191749.0657846667</v>
      </c>
      <c r="G242" s="33">
        <f t="shared" si="22"/>
        <v>-882.54825120065652</v>
      </c>
      <c r="H242" s="33">
        <f t="shared" si="23"/>
        <v>43400</v>
      </c>
    </row>
    <row r="243" spans="2:8" x14ac:dyDescent="0.25">
      <c r="B243" s="5">
        <f>(243-25)/100</f>
        <v>2.1800000000000002</v>
      </c>
      <c r="C243" s="5">
        <f t="shared" si="18"/>
        <v>0.80412544166655964</v>
      </c>
      <c r="D243" s="33">
        <f t="shared" si="19"/>
        <v>134486.59748269332</v>
      </c>
      <c r="E243" s="33">
        <f t="shared" si="20"/>
        <v>264843.7412657559</v>
      </c>
      <c r="F243" s="33">
        <f t="shared" si="21"/>
        <v>1191556.2587342442</v>
      </c>
      <c r="G243" s="33">
        <f t="shared" si="22"/>
        <v>-556.42142607739515</v>
      </c>
      <c r="H243" s="33">
        <f t="shared" si="23"/>
        <v>43600</v>
      </c>
    </row>
    <row r="244" spans="2:8" x14ac:dyDescent="0.25">
      <c r="B244" s="5">
        <f>(244-25)/100</f>
        <v>2.19</v>
      </c>
      <c r="C244" s="5">
        <f t="shared" si="18"/>
        <v>0.80332171815362652</v>
      </c>
      <c r="D244" s="33">
        <f t="shared" si="19"/>
        <v>133815.84277944305</v>
      </c>
      <c r="E244" s="33">
        <f t="shared" si="20"/>
        <v>264839.79821485654</v>
      </c>
      <c r="F244" s="33">
        <f t="shared" si="21"/>
        <v>1191360.2017851435</v>
      </c>
      <c r="G244" s="33">
        <f t="shared" si="22"/>
        <v>-232.56619036453776</v>
      </c>
      <c r="H244" s="33">
        <f t="shared" si="23"/>
        <v>43800</v>
      </c>
    </row>
    <row r="245" spans="2:8" x14ac:dyDescent="0.25">
      <c r="B245" s="5">
        <f>(245-25)/100</f>
        <v>2.2000000000000002</v>
      </c>
      <c r="C245" s="5">
        <f t="shared" si="18"/>
        <v>0.80251879796247849</v>
      </c>
      <c r="D245" s="33">
        <f t="shared" si="19"/>
        <v>133148.43347923181</v>
      </c>
      <c r="E245" s="33">
        <f t="shared" si="20"/>
        <v>264839.08241635736</v>
      </c>
      <c r="F245" s="33">
        <f t="shared" si="21"/>
        <v>1191160.9175836425</v>
      </c>
      <c r="G245" s="33">
        <f t="shared" si="22"/>
        <v>89.031365194197861</v>
      </c>
      <c r="H245" s="33">
        <f t="shared" si="23"/>
        <v>44000</v>
      </c>
    </row>
    <row r="246" spans="2:8" x14ac:dyDescent="0.25">
      <c r="B246" s="5">
        <f>(246-25)/100</f>
        <v>2.21</v>
      </c>
      <c r="C246" s="5">
        <f t="shared" si="18"/>
        <v>0.80171668029019527</v>
      </c>
      <c r="D246" s="33">
        <f t="shared" si="19"/>
        <v>132484.35289679238</v>
      </c>
      <c r="E246" s="33">
        <f t="shared" si="20"/>
        <v>264841.57136265491</v>
      </c>
      <c r="F246" s="33">
        <f t="shared" si="21"/>
        <v>1190958.4286373451</v>
      </c>
      <c r="G246" s="33">
        <f t="shared" si="22"/>
        <v>408.38506632894132</v>
      </c>
      <c r="H246" s="33">
        <f t="shared" si="23"/>
        <v>44200</v>
      </c>
    </row>
    <row r="247" spans="2:8" x14ac:dyDescent="0.25">
      <c r="B247" s="5">
        <f>(247-25)/100</f>
        <v>2.2200000000000002</v>
      </c>
      <c r="C247" s="5">
        <f t="shared" si="18"/>
        <v>0.80091536433465915</v>
      </c>
      <c r="D247" s="33">
        <f t="shared" si="19"/>
        <v>131823.58443007563</v>
      </c>
      <c r="E247" s="33">
        <f t="shared" si="20"/>
        <v>264847.24268398742</v>
      </c>
      <c r="F247" s="33">
        <f t="shared" si="21"/>
        <v>1190752.7573160126</v>
      </c>
      <c r="G247" s="33">
        <f t="shared" si="22"/>
        <v>725.508655743899</v>
      </c>
      <c r="H247" s="33">
        <f t="shared" si="23"/>
        <v>44400.000000000007</v>
      </c>
    </row>
    <row r="248" spans="2:8" x14ac:dyDescent="0.25">
      <c r="B248" s="5">
        <f>(248-25)/100</f>
        <v>2.23</v>
      </c>
      <c r="C248" s="5">
        <f t="shared" si="18"/>
        <v>0.80011484929455412</v>
      </c>
      <c r="D248" s="33">
        <f t="shared" si="19"/>
        <v>131166.11155983541</v>
      </c>
      <c r="E248" s="33">
        <f t="shared" si="20"/>
        <v>264856.07414760708</v>
      </c>
      <c r="F248" s="33">
        <f t="shared" si="21"/>
        <v>1190543.9258523928</v>
      </c>
      <c r="G248" s="33">
        <f t="shared" si="22"/>
        <v>1040.4157936140764</v>
      </c>
      <c r="H248" s="33">
        <f t="shared" si="23"/>
        <v>44600</v>
      </c>
    </row>
    <row r="249" spans="2:8" x14ac:dyDescent="0.25">
      <c r="B249" s="5">
        <f>(249-25)/100</f>
        <v>2.2400000000000002</v>
      </c>
      <c r="C249" s="5">
        <f t="shared" si="18"/>
        <v>0.79931513436936508</v>
      </c>
      <c r="D249" s="33">
        <f t="shared" si="19"/>
        <v>130511.91784921578</v>
      </c>
      <c r="E249" s="33">
        <f t="shared" si="20"/>
        <v>264868.04365695739</v>
      </c>
      <c r="F249" s="33">
        <f t="shared" si="21"/>
        <v>1190331.9563430427</v>
      </c>
      <c r="G249" s="33">
        <f t="shared" si="22"/>
        <v>1353.1200580795339</v>
      </c>
      <c r="H249" s="33">
        <f t="shared" si="23"/>
        <v>44800.000000000007</v>
      </c>
    </row>
    <row r="250" spans="2:8" x14ac:dyDescent="0.25">
      <c r="B250" s="5">
        <f>(250-25)/100</f>
        <v>2.25</v>
      </c>
      <c r="C250" s="5">
        <f t="shared" si="18"/>
        <v>0.79851621875937706</v>
      </c>
      <c r="D250" s="33">
        <f t="shared" si="19"/>
        <v>129860.9869433399</v>
      </c>
      <c r="E250" s="33">
        <f t="shared" si="20"/>
        <v>264883.12925085495</v>
      </c>
      <c r="F250" s="33">
        <f t="shared" si="21"/>
        <v>1190116.870749145</v>
      </c>
      <c r="G250" s="33">
        <f t="shared" si="22"/>
        <v>1663.6349457361939</v>
      </c>
      <c r="H250" s="33">
        <f t="shared" si="23"/>
        <v>45000</v>
      </c>
    </row>
    <row r="251" spans="2:8" x14ac:dyDescent="0.25">
      <c r="B251" s="5">
        <f>(251-25)/100</f>
        <v>2.2599999999999998</v>
      </c>
      <c r="C251" s="5">
        <f t="shared" si="18"/>
        <v>0.79771810166567425</v>
      </c>
      <c r="D251" s="33">
        <f t="shared" si="19"/>
        <v>129213.30256890118</v>
      </c>
      <c r="E251" s="33">
        <f t="shared" si="20"/>
        <v>264901.30910267681</v>
      </c>
      <c r="F251" s="33">
        <f t="shared" si="21"/>
        <v>1189898.6908973232</v>
      </c>
      <c r="G251" s="33">
        <f t="shared" si="22"/>
        <v>1971.9738721241956</v>
      </c>
      <c r="H251" s="33">
        <f t="shared" si="23"/>
        <v>45199.999999999993</v>
      </c>
    </row>
    <row r="252" spans="2:8" x14ac:dyDescent="0.25">
      <c r="B252" s="5">
        <f>(252-25)/100</f>
        <v>2.27</v>
      </c>
      <c r="C252" s="5">
        <f t="shared" si="18"/>
        <v>0.79692078229013963</v>
      </c>
      <c r="D252" s="33">
        <f t="shared" si="19"/>
        <v>128568.84853375654</v>
      </c>
      <c r="E252" s="33">
        <f t="shared" si="20"/>
        <v>264922.56151955202</v>
      </c>
      <c r="F252" s="33">
        <f t="shared" si="21"/>
        <v>1189677.438480448</v>
      </c>
      <c r="G252" s="33">
        <f t="shared" si="22"/>
        <v>2278.1501722129178</v>
      </c>
      <c r="H252" s="33">
        <f t="shared" si="23"/>
        <v>45400</v>
      </c>
    </row>
    <row r="253" spans="2:8" x14ac:dyDescent="0.25">
      <c r="B253" s="5">
        <f>(253-25)/100</f>
        <v>2.2799999999999998</v>
      </c>
      <c r="C253" s="5">
        <f t="shared" si="18"/>
        <v>0.79612425983545376</v>
      </c>
      <c r="D253" s="33">
        <f t="shared" si="19"/>
        <v>127927.60872652158</v>
      </c>
      <c r="E253" s="33">
        <f t="shared" si="20"/>
        <v>264946.86494155851</v>
      </c>
      <c r="F253" s="33">
        <f t="shared" si="21"/>
        <v>1189453.1350584414</v>
      </c>
      <c r="G253" s="33">
        <f t="shared" si="22"/>
        <v>2582.1771008833894</v>
      </c>
      <c r="H253" s="33">
        <f t="shared" si="23"/>
        <v>45599.999999999993</v>
      </c>
    </row>
    <row r="254" spans="2:8" x14ac:dyDescent="0.25">
      <c r="B254" s="5">
        <f>(254-25)/100</f>
        <v>2.29</v>
      </c>
      <c r="C254" s="5">
        <f t="shared" si="18"/>
        <v>0.79532853350509392</v>
      </c>
      <c r="D254" s="33">
        <f t="shared" si="19"/>
        <v>127289.56711616763</v>
      </c>
      <c r="E254" s="33">
        <f t="shared" si="20"/>
        <v>264974.19794092467</v>
      </c>
      <c r="F254" s="33">
        <f t="shared" si="21"/>
        <v>1189225.8020590753</v>
      </c>
      <c r="G254" s="33">
        <f t="shared" si="22"/>
        <v>2884.0678334076074</v>
      </c>
      <c r="H254" s="33">
        <f t="shared" si="23"/>
        <v>45800</v>
      </c>
    </row>
    <row r="255" spans="2:8" x14ac:dyDescent="0.25">
      <c r="B255" s="5">
        <f>(255-25)/100</f>
        <v>2.2999999999999998</v>
      </c>
      <c r="C255" s="5">
        <f t="shared" si="18"/>
        <v>0.79453360250333405</v>
      </c>
      <c r="D255" s="33">
        <f t="shared" si="19"/>
        <v>126654.7077516213</v>
      </c>
      <c r="E255" s="33">
        <f t="shared" si="20"/>
        <v>265004.53922123538</v>
      </c>
      <c r="F255" s="33">
        <f t="shared" si="21"/>
        <v>1188995.4607787647</v>
      </c>
      <c r="G255" s="33">
        <f t="shared" si="22"/>
        <v>3183.8354659251636</v>
      </c>
      <c r="H255" s="33">
        <f t="shared" si="23"/>
        <v>46000</v>
      </c>
    </row>
    <row r="256" spans="2:8" x14ac:dyDescent="0.25">
      <c r="B256" s="5">
        <f>(256-25)/100</f>
        <v>2.31</v>
      </c>
      <c r="C256" s="5">
        <f t="shared" si="18"/>
        <v>0.7937394660352427</v>
      </c>
      <c r="D256" s="33">
        <f t="shared" si="19"/>
        <v>126023.01476136532</v>
      </c>
      <c r="E256" s="33">
        <f t="shared" si="20"/>
        <v>265037.86761664343</v>
      </c>
      <c r="F256" s="33">
        <f t="shared" si="21"/>
        <v>1188762.1323833566</v>
      </c>
      <c r="G256" s="33">
        <f t="shared" si="22"/>
        <v>3481.4930159168216</v>
      </c>
      <c r="H256" s="33">
        <f t="shared" si="23"/>
        <v>46200</v>
      </c>
    </row>
    <row r="257" spans="2:8" x14ac:dyDescent="0.25">
      <c r="B257" s="5">
        <f>(257-25)/100</f>
        <v>2.3199999999999998</v>
      </c>
      <c r="C257" s="5">
        <f t="shared" si="18"/>
        <v>0.79294612330668368</v>
      </c>
      <c r="D257" s="33">
        <f t="shared" si="19"/>
        <v>125394.47235304213</v>
      </c>
      <c r="E257" s="33">
        <f t="shared" si="20"/>
        <v>265074.16209108493</v>
      </c>
      <c r="F257" s="33">
        <f t="shared" si="21"/>
        <v>1188525.837908915</v>
      </c>
      <c r="G257" s="33">
        <f t="shared" si="22"/>
        <v>3777.0534226755626</v>
      </c>
      <c r="H257" s="33">
        <f t="shared" si="23"/>
        <v>46400</v>
      </c>
    </row>
    <row r="258" spans="2:8" x14ac:dyDescent="0.25">
      <c r="B258" s="5">
        <f>(258-25)/100</f>
        <v>2.33</v>
      </c>
      <c r="C258" s="5">
        <f t="shared" si="18"/>
        <v>0.79215357352431404</v>
      </c>
      <c r="D258" s="33">
        <f t="shared" si="19"/>
        <v>124769.06481305869</v>
      </c>
      <c r="E258" s="33">
        <f t="shared" si="20"/>
        <v>265113.40173749998</v>
      </c>
      <c r="F258" s="33">
        <f t="shared" si="21"/>
        <v>1188286.5982625</v>
      </c>
      <c r="G258" s="33">
        <f t="shared" si="22"/>
        <v>4070.5295477744003</v>
      </c>
      <c r="H258" s="33">
        <f t="shared" si="23"/>
        <v>46600</v>
      </c>
    </row>
    <row r="259" spans="2:8" x14ac:dyDescent="0.25">
      <c r="B259" s="5">
        <f>(259-25)/100</f>
        <v>2.34</v>
      </c>
      <c r="C259" s="5">
        <f t="shared" si="18"/>
        <v>0.79136181589558385</v>
      </c>
      <c r="D259" s="33">
        <f t="shared" si="19"/>
        <v>124146.77650619402</v>
      </c>
      <c r="E259" s="33">
        <f t="shared" si="20"/>
        <v>265155.56577705778</v>
      </c>
      <c r="F259" s="33">
        <f t="shared" si="21"/>
        <v>1188044.4342229422</v>
      </c>
      <c r="G259" s="33">
        <f t="shared" si="22"/>
        <v>4361.9341755317655</v>
      </c>
      <c r="H259" s="33">
        <f t="shared" si="23"/>
        <v>46800</v>
      </c>
    </row>
    <row r="260" spans="2:8" x14ac:dyDescent="0.25">
      <c r="B260" s="5">
        <f>(260-25)/100</f>
        <v>2.35</v>
      </c>
      <c r="C260" s="5">
        <f t="shared" si="18"/>
        <v>0.79057084962873558</v>
      </c>
      <c r="D260" s="33">
        <f t="shared" si="19"/>
        <v>123527.59187520795</v>
      </c>
      <c r="E260" s="33">
        <f t="shared" si="20"/>
        <v>265200.63355838635</v>
      </c>
      <c r="F260" s="33">
        <f t="shared" si="21"/>
        <v>1187799.3664416135</v>
      </c>
      <c r="G260" s="33">
        <f t="shared" si="22"/>
        <v>4651.2800134739373</v>
      </c>
      <c r="H260" s="33">
        <f t="shared" si="23"/>
        <v>47000</v>
      </c>
    </row>
    <row r="261" spans="2:8" x14ac:dyDescent="0.25">
      <c r="B261" s="5">
        <f>(261-25)/100</f>
        <v>2.36</v>
      </c>
      <c r="C261" s="5">
        <f t="shared" si="18"/>
        <v>0.78978067393280271</v>
      </c>
      <c r="D261" s="33">
        <f t="shared" si="19"/>
        <v>122911.49544045251</v>
      </c>
      <c r="E261" s="33">
        <f t="shared" si="20"/>
        <v>265248.58455680701</v>
      </c>
      <c r="F261" s="33">
        <f t="shared" si="21"/>
        <v>1187551.4154431929</v>
      </c>
      <c r="G261" s="33">
        <f t="shared" si="22"/>
        <v>4938.5796927947013</v>
      </c>
      <c r="H261" s="33">
        <f t="shared" si="23"/>
        <v>47200</v>
      </c>
    </row>
    <row r="262" spans="2:8" x14ac:dyDescent="0.25">
      <c r="B262" s="5">
        <f>(262-25)/100</f>
        <v>2.37</v>
      </c>
      <c r="C262" s="5">
        <f t="shared" si="18"/>
        <v>0.78899128801760965</v>
      </c>
      <c r="D262" s="33">
        <f t="shared" si="19"/>
        <v>122298.4717994847</v>
      </c>
      <c r="E262" s="33">
        <f t="shared" si="20"/>
        <v>265299.39837357303</v>
      </c>
      <c r="F262" s="33">
        <f t="shared" si="21"/>
        <v>1187300.6016264269</v>
      </c>
      <c r="G262" s="33">
        <f t="shared" si="22"/>
        <v>5223.845768812309</v>
      </c>
      <c r="H262" s="33">
        <f t="shared" si="23"/>
        <v>47400</v>
      </c>
    </row>
    <row r="263" spans="2:8" x14ac:dyDescent="0.25">
      <c r="B263" s="5">
        <f>(263-25)/100</f>
        <v>2.38</v>
      </c>
      <c r="C263" s="5">
        <f t="shared" si="18"/>
        <v>0.78820269109377039</v>
      </c>
      <c r="D263" s="33">
        <f t="shared" si="19"/>
        <v>121688.50562668162</v>
      </c>
      <c r="E263" s="33">
        <f t="shared" si="20"/>
        <v>265353.05473511352</v>
      </c>
      <c r="F263" s="33">
        <f t="shared" si="21"/>
        <v>1187046.9452648866</v>
      </c>
      <c r="G263" s="33">
        <f t="shared" si="22"/>
        <v>5507.0907214237013</v>
      </c>
      <c r="H263" s="33">
        <f t="shared" si="23"/>
        <v>47600</v>
      </c>
    </row>
    <row r="264" spans="2:8" x14ac:dyDescent="0.25">
      <c r="B264" s="5">
        <f>(264-25)/100</f>
        <v>2.39</v>
      </c>
      <c r="C264" s="5">
        <f t="shared" si="18"/>
        <v>0.78741488237268786</v>
      </c>
      <c r="D264" s="33">
        <f t="shared" si="19"/>
        <v>121081.58167285714</v>
      </c>
      <c r="E264" s="33">
        <f t="shared" si="20"/>
        <v>265409.53349228151</v>
      </c>
      <c r="F264" s="33">
        <f t="shared" si="21"/>
        <v>1186790.4665077184</v>
      </c>
      <c r="G264" s="33">
        <f t="shared" si="22"/>
        <v>5788.3269555559309</v>
      </c>
      <c r="H264" s="33">
        <f t="shared" si="23"/>
        <v>47800</v>
      </c>
    </row>
    <row r="265" spans="2:8" x14ac:dyDescent="0.25">
      <c r="B265" s="5">
        <f>(265-25)/100</f>
        <v>2.4</v>
      </c>
      <c r="C265" s="5">
        <f t="shared" si="18"/>
        <v>0.78662786106655347</v>
      </c>
      <c r="D265" s="33">
        <f t="shared" si="19"/>
        <v>120477.68476488086</v>
      </c>
      <c r="E265" s="33">
        <f t="shared" si="20"/>
        <v>265468.81461960595</v>
      </c>
      <c r="F265" s="33">
        <f t="shared" si="21"/>
        <v>1186531.1853803941</v>
      </c>
      <c r="G265" s="33">
        <f t="shared" si="22"/>
        <v>6067.5668016150521</v>
      </c>
      <c r="H265" s="33">
        <f t="shared" si="23"/>
        <v>48000</v>
      </c>
    </row>
    <row r="266" spans="2:8" x14ac:dyDescent="0.25">
      <c r="B266" s="5">
        <f>(266-25)/100</f>
        <v>2.41</v>
      </c>
      <c r="C266" s="5">
        <f t="shared" si="18"/>
        <v>0.78584162638834554</v>
      </c>
      <c r="D266" s="33">
        <f t="shared" si="19"/>
        <v>119876.79980529853</v>
      </c>
      <c r="E266" s="33">
        <f t="shared" si="20"/>
        <v>265530.87821454951</v>
      </c>
      <c r="F266" s="33">
        <f t="shared" si="21"/>
        <v>1186269.1217854505</v>
      </c>
      <c r="G266" s="33">
        <f t="shared" si="22"/>
        <v>6344.8225159321009</v>
      </c>
      <c r="H266" s="33">
        <f t="shared" si="23"/>
        <v>48200</v>
      </c>
    </row>
    <row r="267" spans="2:8" x14ac:dyDescent="0.25">
      <c r="B267" s="5">
        <f>(267-25)/100</f>
        <v>2.42</v>
      </c>
      <c r="C267" s="5">
        <f t="shared" si="18"/>
        <v>0.78505617755182955</v>
      </c>
      <c r="D267" s="33">
        <f t="shared" si="19"/>
        <v>119278.91177195495</v>
      </c>
      <c r="E267" s="33">
        <f t="shared" si="20"/>
        <v>265595.70449676923</v>
      </c>
      <c r="F267" s="33">
        <f t="shared" si="21"/>
        <v>1186004.2955032308</v>
      </c>
      <c r="G267" s="33">
        <f t="shared" si="22"/>
        <v>6620.1062812066375</v>
      </c>
      <c r="H267" s="33">
        <f t="shared" si="23"/>
        <v>48400</v>
      </c>
    </row>
    <row r="268" spans="2:8" x14ac:dyDescent="0.25">
      <c r="B268" s="5">
        <f>(268-25)/100</f>
        <v>2.4300000000000002</v>
      </c>
      <c r="C268" s="5">
        <f t="shared" si="18"/>
        <v>0.78427151377155646</v>
      </c>
      <c r="D268" s="33">
        <f t="shared" si="19"/>
        <v>118684.0057176181</v>
      </c>
      <c r="E268" s="33">
        <f t="shared" si="20"/>
        <v>265663.27380738326</v>
      </c>
      <c r="F268" s="33">
        <f t="shared" si="21"/>
        <v>1185736.7261926169</v>
      </c>
      <c r="G268" s="33">
        <f t="shared" si="22"/>
        <v>6893.4302069474579</v>
      </c>
      <c r="H268" s="33">
        <f t="shared" si="23"/>
        <v>48600</v>
      </c>
    </row>
    <row r="269" spans="2:8" x14ac:dyDescent="0.25">
      <c r="B269" s="5">
        <f>(269-25)/100</f>
        <v>2.44</v>
      </c>
      <c r="C269" s="5">
        <f t="shared" si="18"/>
        <v>0.7834876342628625</v>
      </c>
      <c r="D269" s="33">
        <f t="shared" si="19"/>
        <v>118092.06676960569</v>
      </c>
      <c r="E269" s="33">
        <f t="shared" si="20"/>
        <v>265733.56660824036</v>
      </c>
      <c r="F269" s="33">
        <f t="shared" si="21"/>
        <v>1185466.4333917596</v>
      </c>
      <c r="G269" s="33">
        <f t="shared" si="22"/>
        <v>7164.8063299107816</v>
      </c>
      <c r="H269" s="33">
        <f t="shared" si="23"/>
        <v>48800</v>
      </c>
    </row>
    <row r="270" spans="2:8" x14ac:dyDescent="0.25">
      <c r="B270" s="5">
        <f>(270-25)/100</f>
        <v>2.4500000000000002</v>
      </c>
      <c r="C270" s="5">
        <f t="shared" si="18"/>
        <v>0.78270453824186814</v>
      </c>
      <c r="D270" s="33">
        <f t="shared" si="19"/>
        <v>117503.08012941311</v>
      </c>
      <c r="E270" s="33">
        <f t="shared" si="20"/>
        <v>265806.56348119501</v>
      </c>
      <c r="F270" s="33">
        <f t="shared" si="21"/>
        <v>1185193.4365188051</v>
      </c>
      <c r="G270" s="33">
        <f t="shared" si="22"/>
        <v>7434.2466145357321</v>
      </c>
      <c r="H270" s="33">
        <f t="shared" si="23"/>
        <v>49000</v>
      </c>
    </row>
    <row r="271" spans="2:8" x14ac:dyDescent="0.25">
      <c r="B271" s="5">
        <f>(271-25)/100</f>
        <v>2.46</v>
      </c>
      <c r="C271" s="5">
        <f t="shared" si="18"/>
        <v>0.78192222492547725</v>
      </c>
      <c r="D271" s="33">
        <f t="shared" si="19"/>
        <v>116917.03107234377</v>
      </c>
      <c r="E271" s="33">
        <f t="shared" si="20"/>
        <v>265882.24512738641</v>
      </c>
      <c r="F271" s="33">
        <f t="shared" si="21"/>
        <v>1184917.7548726136</v>
      </c>
      <c r="G271" s="33">
        <f t="shared" si="22"/>
        <v>7701.7629533772633</v>
      </c>
      <c r="H271" s="33">
        <f t="shared" si="23"/>
        <v>49200</v>
      </c>
    </row>
    <row r="272" spans="2:8" x14ac:dyDescent="0.25">
      <c r="B272" s="5">
        <f>(272-25)/100</f>
        <v>2.4700000000000002</v>
      </c>
      <c r="C272" s="5">
        <f t="shared" si="18"/>
        <v>0.78114069353137638</v>
      </c>
      <c r="D272" s="33">
        <f t="shared" si="19"/>
        <v>116333.90494714062</v>
      </c>
      <c r="E272" s="33">
        <f t="shared" si="20"/>
        <v>265960.59236652154</v>
      </c>
      <c r="F272" s="33">
        <f t="shared" si="21"/>
        <v>1184639.4076334785</v>
      </c>
      <c r="G272" s="33">
        <f t="shared" si="22"/>
        <v>7967.3671675365113</v>
      </c>
      <c r="H272" s="33">
        <f t="shared" si="23"/>
        <v>49400.000000000007</v>
      </c>
    </row>
    <row r="273" spans="2:8" x14ac:dyDescent="0.25">
      <c r="B273" s="5">
        <f>(273-25)/100</f>
        <v>2.48</v>
      </c>
      <c r="C273" s="5">
        <f t="shared" si="18"/>
        <v>0.78035994327803426</v>
      </c>
      <c r="D273" s="33">
        <f t="shared" si="19"/>
        <v>115753.68717562025</v>
      </c>
      <c r="E273" s="33">
        <f t="shared" si="20"/>
        <v>266041.58613616292</v>
      </c>
      <c r="F273" s="33">
        <f t="shared" si="21"/>
        <v>1184358.413863837</v>
      </c>
      <c r="G273" s="33">
        <f t="shared" si="22"/>
        <v>8231.0710070885398</v>
      </c>
      <c r="H273" s="33">
        <f t="shared" si="23"/>
        <v>49600</v>
      </c>
    </row>
    <row r="274" spans="2:8" x14ac:dyDescent="0.25">
      <c r="B274" s="5">
        <f>(274-25)/100</f>
        <v>2.4900000000000002</v>
      </c>
      <c r="C274" s="5">
        <f t="shared" si="18"/>
        <v>0.77957997338470042</v>
      </c>
      <c r="D274" s="33">
        <f t="shared" si="19"/>
        <v>115176.36325230809</v>
      </c>
      <c r="E274" s="33">
        <f t="shared" si="20"/>
        <v>266125.20749102056</v>
      </c>
      <c r="F274" s="33">
        <f t="shared" si="21"/>
        <v>1184074.7925089793</v>
      </c>
      <c r="G274" s="33">
        <f t="shared" si="22"/>
        <v>8492.886151507475</v>
      </c>
      <c r="H274" s="33">
        <f t="shared" si="23"/>
        <v>49800.000000000007</v>
      </c>
    </row>
    <row r="275" spans="2:8" x14ac:dyDescent="0.25">
      <c r="B275" s="5">
        <f>(275-25)/100</f>
        <v>2.5</v>
      </c>
      <c r="C275" s="5">
        <f t="shared" si="18"/>
        <v>0.77880078307140488</v>
      </c>
      <c r="D275" s="33">
        <f t="shared" si="19"/>
        <v>114601.91874407604</v>
      </c>
      <c r="E275" s="33">
        <f t="shared" si="20"/>
        <v>266211.43760224804</v>
      </c>
      <c r="F275" s="33">
        <f t="shared" si="21"/>
        <v>1183788.562397752</v>
      </c>
      <c r="G275" s="33">
        <f t="shared" si="22"/>
        <v>8752.8242100892312</v>
      </c>
      <c r="H275" s="33">
        <f t="shared" si="23"/>
        <v>50000</v>
      </c>
    </row>
    <row r="276" spans="2:8" x14ac:dyDescent="0.25">
      <c r="B276" s="5">
        <f>(276-25)/100</f>
        <v>2.5099999999999998</v>
      </c>
      <c r="C276" s="5">
        <f t="shared" si="18"/>
        <v>0.77802237155895726</v>
      </c>
      <c r="D276" s="33">
        <f t="shared" si="19"/>
        <v>114030.33928978143</v>
      </c>
      <c r="E276" s="33">
        <f t="shared" si="20"/>
        <v>266300.25775674247</v>
      </c>
      <c r="F276" s="33">
        <f t="shared" si="21"/>
        <v>1183499.7422432576</v>
      </c>
      <c r="G276" s="33">
        <f t="shared" si="22"/>
        <v>9010.8967223715954</v>
      </c>
      <c r="H276" s="33">
        <f t="shared" si="23"/>
        <v>50199.999999999993</v>
      </c>
    </row>
    <row r="277" spans="2:8" x14ac:dyDescent="0.25">
      <c r="B277" s="5">
        <f>(277-25)/100</f>
        <v>2.52</v>
      </c>
      <c r="C277" s="5">
        <f t="shared" si="18"/>
        <v>0.77724473806894612</v>
      </c>
      <c r="D277" s="33">
        <f t="shared" si="19"/>
        <v>113461.61059990816</v>
      </c>
      <c r="E277" s="33">
        <f t="shared" si="20"/>
        <v>266391.64935644949</v>
      </c>
      <c r="F277" s="33">
        <f t="shared" si="21"/>
        <v>1183208.3506435505</v>
      </c>
      <c r="G277" s="33">
        <f t="shared" si="22"/>
        <v>9267.1151585518674</v>
      </c>
      <c r="H277" s="33">
        <f t="shared" si="23"/>
        <v>50400</v>
      </c>
    </row>
    <row r="278" spans="2:8" x14ac:dyDescent="0.25">
      <c r="B278" s="5">
        <f>(278-25)/100</f>
        <v>2.5299999999999998</v>
      </c>
      <c r="C278" s="5">
        <f t="shared" si="18"/>
        <v>0.77646788182373783</v>
      </c>
      <c r="D278" s="33">
        <f t="shared" si="19"/>
        <v>112895.71845620933</v>
      </c>
      <c r="E278" s="33">
        <f t="shared" si="20"/>
        <v>266485.59391767165</v>
      </c>
      <c r="F278" s="33">
        <f t="shared" si="21"/>
        <v>1182914.4060823284</v>
      </c>
      <c r="G278" s="33">
        <f t="shared" si="22"/>
        <v>9521.4909199018584</v>
      </c>
      <c r="H278" s="33">
        <f t="shared" si="23"/>
        <v>50599.999999999993</v>
      </c>
    </row>
    <row r="279" spans="2:8" x14ac:dyDescent="0.25">
      <c r="B279" s="5">
        <f>(279-25)/100</f>
        <v>2.54</v>
      </c>
      <c r="C279" s="5">
        <f t="shared" si="18"/>
        <v>0.77569180204647603</v>
      </c>
      <c r="D279" s="33">
        <f t="shared" si="19"/>
        <v>112332.64871135191</v>
      </c>
      <c r="E279" s="33">
        <f t="shared" si="20"/>
        <v>266582.07307038148</v>
      </c>
      <c r="F279" s="33">
        <f t="shared" si="21"/>
        <v>1182617.9269296185</v>
      </c>
      <c r="G279" s="33">
        <f t="shared" si="22"/>
        <v>9774.035339180693</v>
      </c>
      <c r="H279" s="33">
        <f t="shared" si="23"/>
        <v>50800</v>
      </c>
    </row>
    <row r="280" spans="2:8" x14ac:dyDescent="0.25">
      <c r="B280" s="5">
        <f>(280-25)/100</f>
        <v>2.5499999999999998</v>
      </c>
      <c r="C280" s="5">
        <f t="shared" si="18"/>
        <v>0.77491649796108097</v>
      </c>
      <c r="D280" s="33">
        <f t="shared" si="19"/>
        <v>111772.38728856294</v>
      </c>
      <c r="E280" s="33">
        <f t="shared" si="20"/>
        <v>266681.06855753809</v>
      </c>
      <c r="F280" s="33">
        <f t="shared" si="21"/>
        <v>1182318.9314424619</v>
      </c>
      <c r="G280" s="33">
        <f t="shared" si="22"/>
        <v>10024.759681044772</v>
      </c>
      <c r="H280" s="33">
        <f t="shared" si="23"/>
        <v>51000</v>
      </c>
    </row>
    <row r="281" spans="2:8" x14ac:dyDescent="0.25">
      <c r="B281" s="5">
        <f>(281-25)/100</f>
        <v>2.56</v>
      </c>
      <c r="C281" s="5">
        <f t="shared" ref="C281:C344" si="24">EXP(-$C$10*B281)</f>
        <v>0.77414196879224839</v>
      </c>
      <c r="D281" s="33">
        <f t="shared" ref="D281:D344" si="25">$C$7*EXP(-$C$9*B281)</f>
        <v>111214.92018127766</v>
      </c>
      <c r="E281" s="33">
        <f t="shared" ref="E281:E344" si="26">C281*D281+(1-C281)*$C$8</f>
        <v>266782.56223440834</v>
      </c>
      <c r="F281" s="33">
        <f t="shared" ref="F281:F344" si="27">$C$12-E281-$C$11*B281</f>
        <v>1182017.4377655918</v>
      </c>
      <c r="G281" s="33">
        <f t="shared" ref="G281:G344" si="28">$C$10*$C$8*EXP(-$C$10*B281)-($C$9+$C$10)*$C$7*EXP(-($C$9+$C$10)*B281)</f>
        <v>10273.67514245565</v>
      </c>
      <c r="H281" s="33">
        <f t="shared" ref="H281:H344" si="29">$C$11*B281</f>
        <v>51200</v>
      </c>
    </row>
    <row r="282" spans="2:8" x14ac:dyDescent="0.25">
      <c r="B282" s="5">
        <f>(282-25)/100</f>
        <v>2.57</v>
      </c>
      <c r="C282" s="5">
        <f t="shared" si="24"/>
        <v>0.77336821376544906</v>
      </c>
      <c r="D282" s="33">
        <f t="shared" si="25"/>
        <v>110660.23345278937</v>
      </c>
      <c r="E282" s="33">
        <f t="shared" si="26"/>
        <v>266886.53606789204</v>
      </c>
      <c r="F282" s="33">
        <f t="shared" si="27"/>
        <v>1181713.4639321079</v>
      </c>
      <c r="G282" s="33">
        <f t="shared" si="28"/>
        <v>10520.792853085135</v>
      </c>
      <c r="H282" s="33">
        <f t="shared" si="29"/>
        <v>51400</v>
      </c>
    </row>
    <row r="283" spans="2:8" x14ac:dyDescent="0.25">
      <c r="B283" s="5">
        <f>(283-25)/100</f>
        <v>2.58</v>
      </c>
      <c r="C283" s="5">
        <f t="shared" si="24"/>
        <v>0.77259523210692804</v>
      </c>
      <c r="D283" s="33">
        <f t="shared" si="25"/>
        <v>110108.31323590093</v>
      </c>
      <c r="E283" s="33">
        <f t="shared" si="26"/>
        <v>266992.97213585081</v>
      </c>
      <c r="F283" s="33">
        <f t="shared" si="27"/>
        <v>1181407.0278641493</v>
      </c>
      <c r="G283" s="33">
        <f t="shared" si="28"/>
        <v>10766.123875718316</v>
      </c>
      <c r="H283" s="33">
        <f t="shared" si="29"/>
        <v>51600</v>
      </c>
    </row>
    <row r="284" spans="2:8" x14ac:dyDescent="0.25">
      <c r="B284" s="5">
        <f>(284-25)/100</f>
        <v>2.59</v>
      </c>
      <c r="C284" s="5">
        <f t="shared" si="24"/>
        <v>0.77182302304370343</v>
      </c>
      <c r="D284" s="33">
        <f t="shared" si="25"/>
        <v>109559.14573257824</v>
      </c>
      <c r="E284" s="33">
        <f t="shared" si="26"/>
        <v>267101.85262644145</v>
      </c>
      <c r="F284" s="33">
        <f t="shared" si="27"/>
        <v>1181098.1473735585</v>
      </c>
      <c r="G284" s="33">
        <f t="shared" si="28"/>
        <v>11009.679206653753</v>
      </c>
      <c r="H284" s="33">
        <f t="shared" si="29"/>
        <v>51800</v>
      </c>
    </row>
    <row r="285" spans="2:8" x14ac:dyDescent="0.25">
      <c r="B285" s="5">
        <f>(285-25)/100</f>
        <v>2.6</v>
      </c>
      <c r="C285" s="5">
        <f t="shared" si="24"/>
        <v>0.77105158580356625</v>
      </c>
      <c r="D285" s="33">
        <f t="shared" si="25"/>
        <v>109012.71721360504</v>
      </c>
      <c r="E285" s="33">
        <f t="shared" si="26"/>
        <v>267213.15983745287</v>
      </c>
      <c r="F285" s="33">
        <f t="shared" si="27"/>
        <v>1180786.8401625471</v>
      </c>
      <c r="G285" s="33">
        <f t="shared" si="28"/>
        <v>11251.469776101767</v>
      </c>
      <c r="H285" s="33">
        <f t="shared" si="29"/>
        <v>52000</v>
      </c>
    </row>
    <row r="286" spans="2:8" x14ac:dyDescent="0.25">
      <c r="B286" s="5">
        <f>(286-25)/100</f>
        <v>2.61</v>
      </c>
      <c r="C286" s="5">
        <f t="shared" si="24"/>
        <v>0.77028091961507916</v>
      </c>
      <c r="D286" s="33">
        <f t="shared" si="25"/>
        <v>108469.01401823996</v>
      </c>
      <c r="E286" s="33">
        <f t="shared" si="26"/>
        <v>267326.87617564749</v>
      </c>
      <c r="F286" s="33">
        <f t="shared" si="27"/>
        <v>1180473.1238243524</v>
      </c>
      <c r="G286" s="33">
        <f t="shared" si="28"/>
        <v>11491.506448579858</v>
      </c>
      <c r="H286" s="33">
        <f t="shared" si="29"/>
        <v>52200</v>
      </c>
    </row>
    <row r="287" spans="2:8" x14ac:dyDescent="0.25">
      <c r="B287" s="5">
        <f>(287-25)/100</f>
        <v>2.62</v>
      </c>
      <c r="C287" s="5">
        <f t="shared" si="24"/>
        <v>0.76951102370757585</v>
      </c>
      <c r="D287" s="33">
        <f t="shared" si="25"/>
        <v>107928.02255387472</v>
      </c>
      <c r="E287" s="33">
        <f t="shared" si="26"/>
        <v>267442.98415610578</v>
      </c>
      <c r="F287" s="33">
        <f t="shared" si="27"/>
        <v>1180157.0158438943</v>
      </c>
      <c r="G287" s="33">
        <f t="shared" si="28"/>
        <v>11729.800023306176</v>
      </c>
      <c r="H287" s="33">
        <f t="shared" si="29"/>
        <v>52400</v>
      </c>
    </row>
    <row r="288" spans="2:8" x14ac:dyDescent="0.25">
      <c r="B288" s="5">
        <f>(288-25)/100</f>
        <v>2.63</v>
      </c>
      <c r="C288" s="5">
        <f t="shared" si="24"/>
        <v>0.76874189731116027</v>
      </c>
      <c r="D288" s="33">
        <f t="shared" si="25"/>
        <v>107389.72929569463</v>
      </c>
      <c r="E288" s="33">
        <f t="shared" si="26"/>
        <v>267561.46640157595</v>
      </c>
      <c r="F288" s="33">
        <f t="shared" si="27"/>
        <v>1179838.5335984239</v>
      </c>
      <c r="G288" s="33">
        <f t="shared" si="28"/>
        <v>11966.361234590302</v>
      </c>
      <c r="H288" s="33">
        <f t="shared" si="29"/>
        <v>52600</v>
      </c>
    </row>
    <row r="289" spans="2:8" x14ac:dyDescent="0.25">
      <c r="B289" s="5">
        <f>(289-25)/100</f>
        <v>2.64</v>
      </c>
      <c r="C289" s="5">
        <f t="shared" si="24"/>
        <v>0.76797353965670612</v>
      </c>
      <c r="D289" s="33">
        <f t="shared" si="25"/>
        <v>106854.12078634014</v>
      </c>
      <c r="E289" s="33">
        <f t="shared" si="26"/>
        <v>267682.30564182595</v>
      </c>
      <c r="F289" s="33">
        <f t="shared" si="27"/>
        <v>1179517.694358174</v>
      </c>
      <c r="G289" s="33">
        <f t="shared" si="28"/>
        <v>12201.200752221972</v>
      </c>
      <c r="H289" s="33">
        <f t="shared" si="29"/>
        <v>52800</v>
      </c>
    </row>
    <row r="290" spans="2:8" x14ac:dyDescent="0.25">
      <c r="B290" s="5">
        <f>(290-25)/100</f>
        <v>2.65</v>
      </c>
      <c r="C290" s="5">
        <f t="shared" si="24"/>
        <v>0.76720594997585567</v>
      </c>
      <c r="D290" s="33">
        <f t="shared" si="25"/>
        <v>106321.18363557063</v>
      </c>
      <c r="E290" s="33">
        <f t="shared" si="26"/>
        <v>267805.48471300083</v>
      </c>
      <c r="F290" s="33">
        <f t="shared" si="27"/>
        <v>1179194.5152869993</v>
      </c>
      <c r="G290" s="33">
        <f t="shared" si="28"/>
        <v>12434.329181857218</v>
      </c>
      <c r="H290" s="33">
        <f t="shared" si="29"/>
        <v>53000</v>
      </c>
    </row>
    <row r="291" spans="2:8" x14ac:dyDescent="0.25">
      <c r="B291" s="5">
        <f>(291-25)/100</f>
        <v>2.66</v>
      </c>
      <c r="C291" s="5">
        <f t="shared" si="24"/>
        <v>0.76643912750101917</v>
      </c>
      <c r="D291" s="33">
        <f t="shared" si="25"/>
        <v>105790.90451992958</v>
      </c>
      <c r="E291" s="33">
        <f t="shared" si="26"/>
        <v>267930.98655698309</v>
      </c>
      <c r="F291" s="33">
        <f t="shared" si="27"/>
        <v>1178869.0134430169</v>
      </c>
      <c r="G291" s="33">
        <f t="shared" si="28"/>
        <v>12665.757065402468</v>
      </c>
      <c r="H291" s="33">
        <f t="shared" si="29"/>
        <v>53200</v>
      </c>
    </row>
    <row r="292" spans="2:8" x14ac:dyDescent="0.25">
      <c r="B292" s="5">
        <f>(292-25)/100</f>
        <v>2.67</v>
      </c>
      <c r="C292" s="5">
        <f t="shared" si="24"/>
        <v>0.76567307146537389</v>
      </c>
      <c r="D292" s="33">
        <f t="shared" si="25"/>
        <v>105263.27018241148</v>
      </c>
      <c r="E292" s="33">
        <f t="shared" si="26"/>
        <v>268058.79422075738</v>
      </c>
      <c r="F292" s="33">
        <f t="shared" si="27"/>
        <v>1178541.2057792426</v>
      </c>
      <c r="G292" s="33">
        <f t="shared" si="28"/>
        <v>12895.494881395993</v>
      </c>
      <c r="H292" s="33">
        <f t="shared" si="29"/>
        <v>53400</v>
      </c>
    </row>
    <row r="293" spans="2:8" x14ac:dyDescent="0.25">
      <c r="B293" s="5">
        <f>(293-25)/100</f>
        <v>2.68</v>
      </c>
      <c r="C293" s="5">
        <f t="shared" si="24"/>
        <v>0.76490778110286395</v>
      </c>
      <c r="D293" s="33">
        <f t="shared" si="25"/>
        <v>104738.26743213039</v>
      </c>
      <c r="E293" s="33">
        <f t="shared" si="26"/>
        <v>268188.89085577807</v>
      </c>
      <c r="F293" s="33">
        <f t="shared" si="27"/>
        <v>1178211.109144222</v>
      </c>
      <c r="G293" s="33">
        <f t="shared" si="28"/>
        <v>13123.553045387584</v>
      </c>
      <c r="H293" s="33">
        <f t="shared" si="29"/>
        <v>53600</v>
      </c>
    </row>
    <row r="294" spans="2:8" x14ac:dyDescent="0.25">
      <c r="B294" s="5">
        <f>(294-25)/100</f>
        <v>2.69</v>
      </c>
      <c r="C294" s="5">
        <f t="shared" si="24"/>
        <v>0.76414325564819896</v>
      </c>
      <c r="D294" s="33">
        <f t="shared" si="25"/>
        <v>104215.88314399024</v>
      </c>
      <c r="E294" s="33">
        <f t="shared" si="26"/>
        <v>268321.2597173418</v>
      </c>
      <c r="F294" s="33">
        <f t="shared" si="27"/>
        <v>1177878.7402826583</v>
      </c>
      <c r="G294" s="33">
        <f t="shared" si="28"/>
        <v>13349.941910315327</v>
      </c>
      <c r="H294" s="33">
        <f t="shared" si="29"/>
        <v>53800</v>
      </c>
    </row>
    <row r="295" spans="2:8" x14ac:dyDescent="0.25">
      <c r="B295" s="5">
        <f>(295-25)/100</f>
        <v>2.7</v>
      </c>
      <c r="C295" s="5">
        <f t="shared" si="24"/>
        <v>0.76337949433685315</v>
      </c>
      <c r="D295" s="33">
        <f t="shared" si="25"/>
        <v>103696.1042583566</v>
      </c>
      <c r="E295" s="33">
        <f t="shared" si="26"/>
        <v>268455.88416396338</v>
      </c>
      <c r="F295" s="33">
        <f t="shared" si="27"/>
        <v>1177544.1158360366</v>
      </c>
      <c r="G295" s="33">
        <f t="shared" si="28"/>
        <v>13574.67176688074</v>
      </c>
      <c r="H295" s="33">
        <f t="shared" si="29"/>
        <v>54000</v>
      </c>
    </row>
    <row r="296" spans="2:8" x14ac:dyDescent="0.25">
      <c r="B296" s="5">
        <f>(296-25)/100</f>
        <v>2.71</v>
      </c>
      <c r="C296" s="5">
        <f t="shared" si="24"/>
        <v>0.76261649640506535</v>
      </c>
      <c r="D296" s="33">
        <f t="shared" si="25"/>
        <v>103178.91778073028</v>
      </c>
      <c r="E296" s="33">
        <f t="shared" si="26"/>
        <v>268592.74765675457</v>
      </c>
      <c r="F296" s="33">
        <f t="shared" si="27"/>
        <v>1177207.2523432453</v>
      </c>
      <c r="G296" s="33">
        <f t="shared" si="28"/>
        <v>13797.752843921138</v>
      </c>
      <c r="H296" s="33">
        <f t="shared" si="29"/>
        <v>54200</v>
      </c>
    </row>
    <row r="297" spans="2:8" x14ac:dyDescent="0.25">
      <c r="B297" s="5">
        <f>(297-25)/100</f>
        <v>2.72</v>
      </c>
      <c r="C297" s="5">
        <f t="shared" si="24"/>
        <v>0.76185426108983756</v>
      </c>
      <c r="D297" s="33">
        <f t="shared" si="25"/>
        <v>102664.31078142235</v>
      </c>
      <c r="E297" s="33">
        <f t="shared" si="26"/>
        <v>268731.83375880792</v>
      </c>
      <c r="F297" s="33">
        <f t="shared" si="27"/>
        <v>1176868.166241192</v>
      </c>
      <c r="G297" s="33">
        <f t="shared" si="28"/>
        <v>14019.195308780225</v>
      </c>
      <c r="H297" s="33">
        <f t="shared" si="29"/>
        <v>54400.000000000007</v>
      </c>
    </row>
    <row r="298" spans="2:8" x14ac:dyDescent="0.25">
      <c r="B298" s="5">
        <f>(298-25)/100</f>
        <v>2.73</v>
      </c>
      <c r="C298" s="5">
        <f t="shared" si="24"/>
        <v>0.76109278762893429</v>
      </c>
      <c r="D298" s="33">
        <f t="shared" si="25"/>
        <v>102152.27039523107</v>
      </c>
      <c r="E298" s="33">
        <f t="shared" si="26"/>
        <v>268873.12613458367</v>
      </c>
      <c r="F298" s="33">
        <f t="shared" si="27"/>
        <v>1176526.8738654163</v>
      </c>
      <c r="G298" s="33">
        <f t="shared" si="28"/>
        <v>14239.009267676091</v>
      </c>
      <c r="H298" s="33">
        <f t="shared" si="29"/>
        <v>54600</v>
      </c>
    </row>
    <row r="299" spans="2:8" x14ac:dyDescent="0.25">
      <c r="B299" s="5">
        <f>(299-25)/100</f>
        <v>2.74</v>
      </c>
      <c r="C299" s="5">
        <f t="shared" si="24"/>
        <v>0.76033207526088209</v>
      </c>
      <c r="D299" s="33">
        <f t="shared" si="25"/>
        <v>101642.7838211201</v>
      </c>
      <c r="E299" s="33">
        <f t="shared" si="26"/>
        <v>269016.60854929977</v>
      </c>
      <c r="F299" s="33">
        <f t="shared" si="27"/>
        <v>1176183.3914507004</v>
      </c>
      <c r="G299" s="33">
        <f t="shared" si="28"/>
        <v>14457.204766067291</v>
      </c>
      <c r="H299" s="33">
        <f t="shared" si="29"/>
        <v>54800.000000000007</v>
      </c>
    </row>
    <row r="300" spans="2:8" x14ac:dyDescent="0.25">
      <c r="B300" s="5">
        <f>(300-25)/100</f>
        <v>2.75</v>
      </c>
      <c r="C300" s="5">
        <f t="shared" si="24"/>
        <v>0.75957212322496848</v>
      </c>
      <c r="D300" s="33">
        <f t="shared" si="25"/>
        <v>101135.83832189858</v>
      </c>
      <c r="E300" s="33">
        <f t="shared" si="26"/>
        <v>269162.26486832683</v>
      </c>
      <c r="F300" s="33">
        <f t="shared" si="27"/>
        <v>1175837.735131673</v>
      </c>
      <c r="G300" s="33">
        <f t="shared" si="28"/>
        <v>14673.791789016483</v>
      </c>
      <c r="H300" s="33">
        <f t="shared" si="29"/>
        <v>55000</v>
      </c>
    </row>
    <row r="301" spans="2:8" x14ac:dyDescent="0.25">
      <c r="B301" s="5">
        <f>(301-25)/100</f>
        <v>2.76</v>
      </c>
      <c r="C301" s="5">
        <f t="shared" si="24"/>
        <v>0.75881293076124146</v>
      </c>
      <c r="D301" s="33">
        <f t="shared" si="25"/>
        <v>100631.42122390261</v>
      </c>
      <c r="E301" s="33">
        <f t="shared" si="26"/>
        <v>269310.07905658538</v>
      </c>
      <c r="F301" s="33">
        <f t="shared" si="27"/>
        <v>1175489.9209434146</v>
      </c>
      <c r="G301" s="33">
        <f t="shared" si="28"/>
        <v>14888.780261552194</v>
      </c>
      <c r="H301" s="33">
        <f t="shared" si="29"/>
        <v>55199.999999999993</v>
      </c>
    </row>
    <row r="302" spans="2:8" x14ac:dyDescent="0.25">
      <c r="B302" s="5">
        <f>(302-25)/100</f>
        <v>2.77</v>
      </c>
      <c r="C302" s="5">
        <f t="shared" si="24"/>
        <v>0.75805449711050832</v>
      </c>
      <c r="D302" s="33">
        <f t="shared" si="25"/>
        <v>100129.51991667844</v>
      </c>
      <c r="E302" s="33">
        <f t="shared" si="26"/>
        <v>269460.03517794766</v>
      </c>
      <c r="F302" s="33">
        <f t="shared" si="27"/>
        <v>1175139.9648220523</v>
      </c>
      <c r="G302" s="33">
        <f t="shared" si="28"/>
        <v>15102.18004902808</v>
      </c>
      <c r="H302" s="33">
        <f t="shared" si="29"/>
        <v>55400</v>
      </c>
    </row>
    <row r="303" spans="2:8" x14ac:dyDescent="0.25">
      <c r="B303" s="5">
        <f>(303-25)/100</f>
        <v>2.78</v>
      </c>
      <c r="C303" s="5">
        <f t="shared" si="24"/>
        <v>0.75729682151433553</v>
      </c>
      <c r="D303" s="33">
        <f t="shared" si="25"/>
        <v>99630.121852667289</v>
      </c>
      <c r="E303" s="33">
        <f t="shared" si="26"/>
        <v>269612.11739464244</v>
      </c>
      <c r="F303" s="33">
        <f t="shared" si="27"/>
        <v>1174787.8826053576</v>
      </c>
      <c r="G303" s="33">
        <f t="shared" si="28"/>
        <v>15314.000957480312</v>
      </c>
      <c r="H303" s="33">
        <f t="shared" si="29"/>
        <v>55599.999999999993</v>
      </c>
    </row>
    <row r="304" spans="2:8" x14ac:dyDescent="0.25">
      <c r="B304" s="5">
        <f>(304-25)/100</f>
        <v>2.79</v>
      </c>
      <c r="C304" s="5">
        <f t="shared" si="24"/>
        <v>0.75653990321504738</v>
      </c>
      <c r="D304" s="33">
        <f t="shared" si="25"/>
        <v>99133.214546891497</v>
      </c>
      <c r="E304" s="33">
        <f t="shared" si="26"/>
        <v>269766.30996666395</v>
      </c>
      <c r="F304" s="33">
        <f t="shared" si="27"/>
        <v>1174433.6900333362</v>
      </c>
      <c r="G304" s="33">
        <f t="shared" si="28"/>
        <v>15524.252733982692</v>
      </c>
      <c r="H304" s="33">
        <f t="shared" si="29"/>
        <v>55800</v>
      </c>
    </row>
    <row r="305" spans="2:8" x14ac:dyDescent="0.25">
      <c r="B305" s="5">
        <f>(305-25)/100</f>
        <v>2.8</v>
      </c>
      <c r="C305" s="5">
        <f t="shared" si="24"/>
        <v>0.75578374145572547</v>
      </c>
      <c r="D305" s="33">
        <f t="shared" si="25"/>
        <v>98638.785576642593</v>
      </c>
      <c r="E305" s="33">
        <f t="shared" si="26"/>
        <v>269922.59725118359</v>
      </c>
      <c r="F305" s="33">
        <f t="shared" si="27"/>
        <v>1174077.4027488164</v>
      </c>
      <c r="G305" s="33">
        <f t="shared" si="28"/>
        <v>15732.945066999644</v>
      </c>
      <c r="H305" s="33">
        <f t="shared" si="29"/>
        <v>56000</v>
      </c>
    </row>
    <row r="306" spans="2:8" x14ac:dyDescent="0.25">
      <c r="B306" s="5">
        <f>(306-25)/100</f>
        <v>2.81</v>
      </c>
      <c r="C306" s="5">
        <f t="shared" si="24"/>
        <v>0.75502833548020798</v>
      </c>
      <c r="D306" s="33">
        <f t="shared" si="25"/>
        <v>98146.822581170534</v>
      </c>
      <c r="E306" s="33">
        <f t="shared" si="26"/>
        <v>270080.9637019661</v>
      </c>
      <c r="F306" s="33">
        <f t="shared" si="27"/>
        <v>1173719.0362980338</v>
      </c>
      <c r="G306" s="33">
        <f t="shared" si="28"/>
        <v>15940.087586737143</v>
      </c>
      <c r="H306" s="33">
        <f t="shared" si="29"/>
        <v>56200</v>
      </c>
    </row>
    <row r="307" spans="2:8" x14ac:dyDescent="0.25">
      <c r="B307" s="5">
        <f>(307-25)/100</f>
        <v>2.82</v>
      </c>
      <c r="C307" s="5">
        <f t="shared" si="24"/>
        <v>0.75427368453308896</v>
      </c>
      <c r="D307" s="33">
        <f t="shared" si="25"/>
        <v>97657.313261374846</v>
      </c>
      <c r="E307" s="33">
        <f t="shared" si="26"/>
        <v>270241.39386878815</v>
      </c>
      <c r="F307" s="33">
        <f t="shared" si="27"/>
        <v>1173358.6061312119</v>
      </c>
      <c r="G307" s="33">
        <f t="shared" si="28"/>
        <v>16145.689865491549</v>
      </c>
      <c r="H307" s="33">
        <f t="shared" si="29"/>
        <v>56400</v>
      </c>
    </row>
    <row r="308" spans="2:8" x14ac:dyDescent="0.25">
      <c r="B308" s="5">
        <f>(308-25)/100</f>
        <v>2.83</v>
      </c>
      <c r="C308" s="5">
        <f t="shared" si="24"/>
        <v>0.75351978785971718</v>
      </c>
      <c r="D308" s="33">
        <f t="shared" si="25"/>
        <v>97170.245379496977</v>
      </c>
      <c r="E308" s="33">
        <f t="shared" si="26"/>
        <v>270403.87239686149</v>
      </c>
      <c r="F308" s="33">
        <f t="shared" si="27"/>
        <v>1172996.1276031386</v>
      </c>
      <c r="G308" s="33">
        <f t="shared" si="28"/>
        <v>16349.761417996226</v>
      </c>
      <c r="H308" s="33">
        <f t="shared" si="29"/>
        <v>56600</v>
      </c>
    </row>
    <row r="309" spans="2:8" x14ac:dyDescent="0.25">
      <c r="B309" s="5">
        <f>(309-25)/100</f>
        <v>2.84</v>
      </c>
      <c r="C309" s="5">
        <f t="shared" si="24"/>
        <v>0.75276664470619625</v>
      </c>
      <c r="D309" s="33">
        <f t="shared" si="25"/>
        <v>96685.606758814582</v>
      </c>
      <c r="E309" s="33">
        <f t="shared" si="26"/>
        <v>270568.3840262586</v>
      </c>
      <c r="F309" s="33">
        <f t="shared" si="27"/>
        <v>1172631.6159737413</v>
      </c>
      <c r="G309" s="33">
        <f t="shared" si="28"/>
        <v>16552.311701766354</v>
      </c>
      <c r="H309" s="33">
        <f t="shared" si="29"/>
        <v>56800</v>
      </c>
    </row>
    <row r="310" spans="2:8" x14ac:dyDescent="0.25">
      <c r="B310" s="5">
        <f>(310-25)/100</f>
        <v>2.85</v>
      </c>
      <c r="C310" s="5">
        <f t="shared" si="24"/>
        <v>0.75201425431938262</v>
      </c>
      <c r="D310" s="33">
        <f t="shared" si="25"/>
        <v>96203.385283336844</v>
      </c>
      <c r="E310" s="33">
        <f t="shared" si="26"/>
        <v>270734.91359134275</v>
      </c>
      <c r="F310" s="33">
        <f t="shared" si="27"/>
        <v>1172265.0864086573</v>
      </c>
      <c r="G310" s="33">
        <f t="shared" si="28"/>
        <v>16753.350117441303</v>
      </c>
      <c r="H310" s="33">
        <f t="shared" si="29"/>
        <v>57000</v>
      </c>
    </row>
    <row r="311" spans="2:8" x14ac:dyDescent="0.25">
      <c r="B311" s="5">
        <f>(311-25)/100</f>
        <v>2.86</v>
      </c>
      <c r="C311" s="5">
        <f t="shared" si="24"/>
        <v>0.75126261594688604</v>
      </c>
      <c r="D311" s="33">
        <f t="shared" si="25"/>
        <v>95723.568897501827</v>
      </c>
      <c r="E311" s="33">
        <f t="shared" si="26"/>
        <v>270903.44602020038</v>
      </c>
      <c r="F311" s="33">
        <f t="shared" si="27"/>
        <v>1171896.5539797996</v>
      </c>
      <c r="G311" s="33">
        <f t="shared" si="28"/>
        <v>16952.886009125374</v>
      </c>
      <c r="H311" s="33">
        <f t="shared" si="29"/>
        <v>57200</v>
      </c>
    </row>
    <row r="312" spans="2:8" x14ac:dyDescent="0.25">
      <c r="B312" s="5">
        <f>(312-25)/100</f>
        <v>2.87</v>
      </c>
      <c r="C312" s="5">
        <f t="shared" si="24"/>
        <v>0.75051172883706796</v>
      </c>
      <c r="D312" s="33">
        <f t="shared" si="25"/>
        <v>95246.145605874815</v>
      </c>
      <c r="E312" s="33">
        <f t="shared" si="26"/>
        <v>271073.96633407782</v>
      </c>
      <c r="F312" s="33">
        <f t="shared" si="27"/>
        <v>1171526.0336659222</v>
      </c>
      <c r="G312" s="33">
        <f t="shared" si="28"/>
        <v>17150.928664726111</v>
      </c>
      <c r="H312" s="33">
        <f t="shared" si="29"/>
        <v>57400</v>
      </c>
    </row>
    <row r="313" spans="2:8" x14ac:dyDescent="0.25">
      <c r="B313" s="5">
        <f>(313-25)/100</f>
        <v>2.88</v>
      </c>
      <c r="C313" s="5">
        <f t="shared" si="24"/>
        <v>0.74976159223904126</v>
      </c>
      <c r="D313" s="33">
        <f t="shared" si="25"/>
        <v>94771.103472848699</v>
      </c>
      <c r="E313" s="33">
        <f t="shared" si="26"/>
        <v>271246.45964682096</v>
      </c>
      <c r="F313" s="33">
        <f t="shared" si="27"/>
        <v>1171153.540353179</v>
      </c>
      <c r="G313" s="33">
        <f t="shared" si="28"/>
        <v>17347.487316290913</v>
      </c>
      <c r="H313" s="33">
        <f t="shared" si="29"/>
        <v>57600</v>
      </c>
    </row>
    <row r="314" spans="2:8" x14ac:dyDescent="0.25">
      <c r="B314" s="5">
        <f>(314-25)/100</f>
        <v>2.89</v>
      </c>
      <c r="C314" s="5">
        <f t="shared" si="24"/>
        <v>0.74901220540266933</v>
      </c>
      <c r="D314" s="33">
        <f t="shared" si="25"/>
        <v>94298.430622345404</v>
      </c>
      <c r="E314" s="33">
        <f t="shared" si="26"/>
        <v>271420.91116431809</v>
      </c>
      <c r="F314" s="33">
        <f t="shared" si="27"/>
        <v>1170779.0888356818</v>
      </c>
      <c r="G314" s="33">
        <f t="shared" si="28"/>
        <v>17542.57114034141</v>
      </c>
      <c r="H314" s="33">
        <f t="shared" si="29"/>
        <v>57800</v>
      </c>
    </row>
    <row r="315" spans="2:8" x14ac:dyDescent="0.25">
      <c r="B315" s="5">
        <f>(315-25)/100</f>
        <v>2.9</v>
      </c>
      <c r="C315" s="5">
        <f t="shared" si="24"/>
        <v>0.74826356757856527</v>
      </c>
      <c r="D315" s="33">
        <f t="shared" si="25"/>
        <v>93828.115237519058</v>
      </c>
      <c r="E315" s="33">
        <f t="shared" si="26"/>
        <v>271597.30618394655</v>
      </c>
      <c r="F315" s="33">
        <f t="shared" si="27"/>
        <v>1170402.6938160534</v>
      </c>
      <c r="G315" s="33">
        <f t="shared" si="28"/>
        <v>17736.189258205974</v>
      </c>
      <c r="H315" s="33">
        <f t="shared" si="29"/>
        <v>58000</v>
      </c>
    </row>
    <row r="316" spans="2:8" x14ac:dyDescent="0.25">
      <c r="B316" s="5">
        <f>(316-25)/100</f>
        <v>2.91</v>
      </c>
      <c r="C316" s="5">
        <f t="shared" si="24"/>
        <v>0.74751567801809093</v>
      </c>
      <c r="D316" s="33">
        <f t="shared" si="25"/>
        <v>93360.145560460529</v>
      </c>
      <c r="E316" s="33">
        <f t="shared" si="26"/>
        <v>271775.63009402255</v>
      </c>
      <c r="F316" s="33">
        <f t="shared" si="27"/>
        <v>1170024.3699059775</v>
      </c>
      <c r="G316" s="33">
        <f t="shared" si="28"/>
        <v>17928.350736350083</v>
      </c>
      <c r="H316" s="33">
        <f t="shared" si="29"/>
        <v>58200</v>
      </c>
    </row>
    <row r="317" spans="2:8" x14ac:dyDescent="0.25">
      <c r="B317" s="5">
        <f>(317-25)/100</f>
        <v>2.92</v>
      </c>
      <c r="C317" s="5">
        <f t="shared" si="24"/>
        <v>0.74676853597335713</v>
      </c>
      <c r="D317" s="33">
        <f t="shared" si="25"/>
        <v>92894.509891903537</v>
      </c>
      <c r="E317" s="33">
        <f t="shared" si="26"/>
        <v>271955.86837325362</v>
      </c>
      <c r="F317" s="33">
        <f t="shared" si="27"/>
        <v>1169644.1316267464</v>
      </c>
      <c r="G317" s="33">
        <f t="shared" si="28"/>
        <v>18119.064586704961</v>
      </c>
      <c r="H317" s="33">
        <f t="shared" si="29"/>
        <v>58400</v>
      </c>
    </row>
    <row r="318" spans="2:8" x14ac:dyDescent="0.25">
      <c r="B318" s="5">
        <f>(318-25)/100</f>
        <v>2.93</v>
      </c>
      <c r="C318" s="5">
        <f t="shared" si="24"/>
        <v>0.74602214069722139</v>
      </c>
      <c r="D318" s="33">
        <f t="shared" si="25"/>
        <v>92431.196590932072</v>
      </c>
      <c r="E318" s="33">
        <f t="shared" si="26"/>
        <v>272138.0065901957</v>
      </c>
      <c r="F318" s="33">
        <f t="shared" si="27"/>
        <v>1169261.9934098043</v>
      </c>
      <c r="G318" s="33">
        <f t="shared" si="28"/>
        <v>18308.339766993988</v>
      </c>
      <c r="H318" s="33">
        <f t="shared" si="29"/>
        <v>58600</v>
      </c>
    </row>
    <row r="319" spans="2:8" x14ac:dyDescent="0.25">
      <c r="B319" s="5">
        <f>(319-25)/100</f>
        <v>2.94</v>
      </c>
      <c r="C319" s="5">
        <f t="shared" si="24"/>
        <v>0.74527649144328867</v>
      </c>
      <c r="D319" s="33">
        <f t="shared" si="25"/>
        <v>91970.194074689542</v>
      </c>
      <c r="E319" s="33">
        <f t="shared" si="26"/>
        <v>272322.03040271206</v>
      </c>
      <c r="F319" s="33">
        <f t="shared" si="27"/>
        <v>1168877.9695972879</v>
      </c>
      <c r="G319" s="33">
        <f t="shared" si="28"/>
        <v>18496.185181057328</v>
      </c>
      <c r="H319" s="33">
        <f t="shared" si="29"/>
        <v>58800</v>
      </c>
    </row>
    <row r="320" spans="2:8" x14ac:dyDescent="0.25">
      <c r="B320" s="5">
        <f>(320-25)/100</f>
        <v>2.95</v>
      </c>
      <c r="C320" s="5">
        <f t="shared" si="24"/>
        <v>0.74453158746590931</v>
      </c>
      <c r="D320" s="33">
        <f t="shared" si="25"/>
        <v>91511.490818088976</v>
      </c>
      <c r="E320" s="33">
        <f t="shared" si="26"/>
        <v>272507.92555743631</v>
      </c>
      <c r="F320" s="33">
        <f t="shared" si="27"/>
        <v>1168492.0744425636</v>
      </c>
      <c r="G320" s="33">
        <f t="shared" si="28"/>
        <v>18682.609679174486</v>
      </c>
      <c r="H320" s="33">
        <f t="shared" si="29"/>
        <v>59000</v>
      </c>
    </row>
    <row r="321" spans="2:8" x14ac:dyDescent="0.25">
      <c r="B321" s="5">
        <f>(321-25)/100</f>
        <v>2.96</v>
      </c>
      <c r="C321" s="5">
        <f t="shared" si="24"/>
        <v>0.74378742802017961</v>
      </c>
      <c r="D321" s="33">
        <f t="shared" si="25"/>
        <v>91055.075353525099</v>
      </c>
      <c r="E321" s="33">
        <f t="shared" si="26"/>
        <v>272695.6778892384</v>
      </c>
      <c r="F321" s="33">
        <f t="shared" si="27"/>
        <v>1168104.3221107617</v>
      </c>
      <c r="G321" s="33">
        <f t="shared" si="28"/>
        <v>18867.622058385125</v>
      </c>
      <c r="H321" s="33">
        <f t="shared" si="29"/>
        <v>59200</v>
      </c>
    </row>
    <row r="322" spans="2:8" x14ac:dyDescent="0.25">
      <c r="B322" s="5">
        <f>(322-25)/100</f>
        <v>2.97</v>
      </c>
      <c r="C322" s="5">
        <f t="shared" si="24"/>
        <v>0.74304401236193984</v>
      </c>
      <c r="D322" s="33">
        <f t="shared" si="25"/>
        <v>90600.936270587496</v>
      </c>
      <c r="E322" s="33">
        <f t="shared" si="26"/>
        <v>272885.27332069387</v>
      </c>
      <c r="F322" s="33">
        <f t="shared" si="27"/>
        <v>1167714.726679306</v>
      </c>
      <c r="G322" s="33">
        <f t="shared" si="28"/>
        <v>19051.231062807732</v>
      </c>
      <c r="H322" s="33">
        <f t="shared" si="29"/>
        <v>59400.000000000007</v>
      </c>
    </row>
    <row r="323" spans="2:8" x14ac:dyDescent="0.25">
      <c r="B323" s="5">
        <f>(323-25)/100</f>
        <v>2.98</v>
      </c>
      <c r="C323" s="5">
        <f t="shared" si="24"/>
        <v>0.74230133974777435</v>
      </c>
      <c r="D323" s="33">
        <f t="shared" si="25"/>
        <v>90149.062215775484</v>
      </c>
      <c r="E323" s="33">
        <f t="shared" si="26"/>
        <v>273076.69786155608</v>
      </c>
      <c r="F323" s="33">
        <f t="shared" si="27"/>
        <v>1167323.302138444</v>
      </c>
      <c r="G323" s="33">
        <f t="shared" si="28"/>
        <v>19233.445383956583</v>
      </c>
      <c r="H323" s="33">
        <f t="shared" si="29"/>
        <v>59600</v>
      </c>
    </row>
    <row r="324" spans="2:8" x14ac:dyDescent="0.25">
      <c r="B324" s="5">
        <f>(324-25)/100</f>
        <v>2.99</v>
      </c>
      <c r="C324" s="5">
        <f t="shared" si="24"/>
        <v>0.74155940943501042</v>
      </c>
      <c r="D324" s="33">
        <f t="shared" si="25"/>
        <v>89699.441892214134</v>
      </c>
      <c r="E324" s="33">
        <f t="shared" si="26"/>
        <v>273269.93760823202</v>
      </c>
      <c r="F324" s="33">
        <f t="shared" si="27"/>
        <v>1166930.062391768</v>
      </c>
      <c r="G324" s="33">
        <f t="shared" si="28"/>
        <v>19414.273661056628</v>
      </c>
      <c r="H324" s="33">
        <f t="shared" si="29"/>
        <v>59800.000000000007</v>
      </c>
    </row>
    <row r="325" spans="2:8" x14ac:dyDescent="0.25">
      <c r="B325" s="5">
        <f>(325-25)/100</f>
        <v>3</v>
      </c>
      <c r="C325" s="5">
        <f t="shared" si="24"/>
        <v>0.74081822068171788</v>
      </c>
      <c r="D325" s="33">
        <f t="shared" si="25"/>
        <v>89252.064059371929</v>
      </c>
      <c r="E325" s="33">
        <f t="shared" si="26"/>
        <v>273464.97874326032</v>
      </c>
      <c r="F325" s="33">
        <f t="shared" si="27"/>
        <v>1166535.0212567397</v>
      </c>
      <c r="G325" s="33">
        <f t="shared" si="28"/>
        <v>19593.724481356658</v>
      </c>
      <c r="H325" s="33">
        <f t="shared" si="29"/>
        <v>60000</v>
      </c>
    </row>
    <row r="326" spans="2:8" x14ac:dyDescent="0.25">
      <c r="B326" s="5">
        <f>(326-25)/100</f>
        <v>3.01</v>
      </c>
      <c r="C326" s="5">
        <f t="shared" si="24"/>
        <v>0.74007777274670761</v>
      </c>
      <c r="D326" s="33">
        <f t="shared" si="25"/>
        <v>88806.917532779771</v>
      </c>
      <c r="E326" s="33">
        <f t="shared" si="26"/>
        <v>273661.80753479409</v>
      </c>
      <c r="F326" s="33">
        <f t="shared" si="27"/>
        <v>1166138.1924652059</v>
      </c>
      <c r="G326" s="33">
        <f t="shared" si="28"/>
        <v>19771.806380440488</v>
      </c>
      <c r="H326" s="33">
        <f t="shared" si="29"/>
        <v>60199.999999999993</v>
      </c>
    </row>
    <row r="327" spans="2:8" x14ac:dyDescent="0.25">
      <c r="B327" s="5">
        <f>(327-25)/100</f>
        <v>3.02</v>
      </c>
      <c r="C327" s="5">
        <f t="shared" si="24"/>
        <v>0.7393380648895318</v>
      </c>
      <c r="D327" s="33">
        <f t="shared" si="25"/>
        <v>88363.991183751277</v>
      </c>
      <c r="E327" s="33">
        <f t="shared" si="26"/>
        <v>273860.4103360849</v>
      </c>
      <c r="F327" s="33">
        <f t="shared" si="27"/>
        <v>1165739.5896639151</v>
      </c>
      <c r="G327" s="33">
        <f t="shared" si="28"/>
        <v>19948.527842536343</v>
      </c>
      <c r="H327" s="33">
        <f t="shared" si="29"/>
        <v>60400</v>
      </c>
    </row>
    <row r="328" spans="2:8" x14ac:dyDescent="0.25">
      <c r="B328" s="5">
        <f>(328-25)/100</f>
        <v>3.03</v>
      </c>
      <c r="C328" s="5">
        <f t="shared" si="24"/>
        <v>0.7385990963704826</v>
      </c>
      <c r="D328" s="33">
        <f t="shared" si="25"/>
        <v>87923.273939104693</v>
      </c>
      <c r="E328" s="33">
        <f t="shared" si="26"/>
        <v>274060.77358497109</v>
      </c>
      <c r="F328" s="33">
        <f t="shared" si="27"/>
        <v>1165339.2264150288</v>
      </c>
      <c r="G328" s="33">
        <f t="shared" si="28"/>
        <v>20123.897300824327</v>
      </c>
      <c r="H328" s="33">
        <f t="shared" si="29"/>
        <v>60599.999999999993</v>
      </c>
    </row>
    <row r="329" spans="2:8" x14ac:dyDescent="0.25">
      <c r="B329" s="5">
        <f>(329-25)/100</f>
        <v>3.04</v>
      </c>
      <c r="C329" s="5">
        <f t="shared" si="24"/>
        <v>0.73786086645059112</v>
      </c>
      <c r="D329" s="33">
        <f t="shared" si="25"/>
        <v>87484.754780885894</v>
      </c>
      <c r="E329" s="33">
        <f t="shared" si="26"/>
        <v>274262.88380336907</v>
      </c>
      <c r="F329" s="33">
        <f t="shared" si="27"/>
        <v>1164937.116196631</v>
      </c>
      <c r="G329" s="33">
        <f t="shared" si="28"/>
        <v>20297.923137742102</v>
      </c>
      <c r="H329" s="33">
        <f t="shared" si="29"/>
        <v>60800</v>
      </c>
    </row>
    <row r="330" spans="2:8" x14ac:dyDescent="0.25">
      <c r="B330" s="5">
        <f>(330-25)/100</f>
        <v>3.05</v>
      </c>
      <c r="C330" s="5">
        <f t="shared" si="24"/>
        <v>0.73712337439162778</v>
      </c>
      <c r="D330" s="33">
        <f t="shared" si="25"/>
        <v>87048.422746093158</v>
      </c>
      <c r="E330" s="33">
        <f t="shared" si="26"/>
        <v>274466.7275967669</v>
      </c>
      <c r="F330" s="33">
        <f t="shared" si="27"/>
        <v>1164533.2724032332</v>
      </c>
      <c r="G330" s="33">
        <f t="shared" si="28"/>
        <v>20470.61368528875</v>
      </c>
      <c r="H330" s="33">
        <f t="shared" si="29"/>
        <v>61000</v>
      </c>
    </row>
    <row r="331" spans="2:8" x14ac:dyDescent="0.25">
      <c r="B331" s="5">
        <f>(331-25)/100</f>
        <v>3.06</v>
      </c>
      <c r="C331" s="5">
        <f t="shared" si="24"/>
        <v>0.73638661945610007</v>
      </c>
      <c r="D331" s="33">
        <f t="shared" si="25"/>
        <v>86614.266926402823</v>
      </c>
      <c r="E331" s="33">
        <f t="shared" si="26"/>
        <v>274672.29165372206</v>
      </c>
      <c r="F331" s="33">
        <f t="shared" si="27"/>
        <v>1164127.7083462779</v>
      </c>
      <c r="G331" s="33">
        <f t="shared" si="28"/>
        <v>20641.977225326758</v>
      </c>
      <c r="H331" s="33">
        <f t="shared" si="29"/>
        <v>61200</v>
      </c>
    </row>
    <row r="332" spans="2:8" x14ac:dyDescent="0.25">
      <c r="B332" s="5">
        <f>(332-25)/100</f>
        <v>3.07</v>
      </c>
      <c r="C332" s="5">
        <f t="shared" si="24"/>
        <v>0.73565060090725332</v>
      </c>
      <c r="D332" s="33">
        <f t="shared" si="25"/>
        <v>86182.276467896838</v>
      </c>
      <c r="E332" s="33">
        <f t="shared" si="26"/>
        <v>274879.56274536066</v>
      </c>
      <c r="F332" s="33">
        <f t="shared" si="27"/>
        <v>1163720.4372546393</v>
      </c>
      <c r="G332" s="33">
        <f t="shared" si="28"/>
        <v>20812.021989882254</v>
      </c>
      <c r="H332" s="33">
        <f t="shared" si="29"/>
        <v>61400</v>
      </c>
    </row>
    <row r="333" spans="2:8" x14ac:dyDescent="0.25">
      <c r="B333" s="5">
        <f>(333-25)/100</f>
        <v>3.08</v>
      </c>
      <c r="C333" s="5">
        <f t="shared" si="24"/>
        <v>0.73491531800906873</v>
      </c>
      <c r="D333" s="33">
        <f t="shared" si="25"/>
        <v>85752.440570791179</v>
      </c>
      <c r="E333" s="33">
        <f t="shared" si="26"/>
        <v>275088.52772488177</v>
      </c>
      <c r="F333" s="33">
        <f t="shared" si="27"/>
        <v>1163311.4722751183</v>
      </c>
      <c r="G333" s="33">
        <f t="shared" si="28"/>
        <v>20980.756161443431</v>
      </c>
      <c r="H333" s="33">
        <f t="shared" si="29"/>
        <v>61600</v>
      </c>
    </row>
    <row r="334" spans="2:8" x14ac:dyDescent="0.25">
      <c r="B334" s="5">
        <f>(334-25)/100</f>
        <v>3.09</v>
      </c>
      <c r="C334" s="5">
        <f t="shared" si="24"/>
        <v>0.73418077002626336</v>
      </c>
      <c r="D334" s="33">
        <f t="shared" si="25"/>
        <v>85324.748489166086</v>
      </c>
      <c r="E334" s="33">
        <f t="shared" si="26"/>
        <v>275299.17352706252</v>
      </c>
      <c r="F334" s="33">
        <f t="shared" si="27"/>
        <v>1162900.8264729376</v>
      </c>
      <c r="G334" s="33">
        <f t="shared" si="28"/>
        <v>21148.187873257128</v>
      </c>
      <c r="H334" s="33">
        <f t="shared" si="29"/>
        <v>61800</v>
      </c>
    </row>
    <row r="335" spans="2:8" x14ac:dyDescent="0.25">
      <c r="B335" s="5">
        <f>(335-25)/100</f>
        <v>3.1</v>
      </c>
      <c r="C335" s="5">
        <f t="shared" si="24"/>
        <v>0.73344695622428924</v>
      </c>
      <c r="D335" s="33">
        <f t="shared" si="25"/>
        <v>84899.189530697215</v>
      </c>
      <c r="E335" s="33">
        <f t="shared" si="26"/>
        <v>275511.48716776754</v>
      </c>
      <c r="F335" s="33">
        <f t="shared" si="27"/>
        <v>1162488.5128322325</v>
      </c>
      <c r="G335" s="33">
        <f t="shared" si="28"/>
        <v>21314.325209623777</v>
      </c>
      <c r="H335" s="33">
        <f t="shared" si="29"/>
        <v>62000</v>
      </c>
    </row>
    <row r="336" spans="2:8" x14ac:dyDescent="0.25">
      <c r="B336" s="5">
        <f>(336-25)/100</f>
        <v>3.11</v>
      </c>
      <c r="C336" s="5">
        <f t="shared" si="24"/>
        <v>0.73271387586933245</v>
      </c>
      <c r="D336" s="33">
        <f t="shared" si="25"/>
        <v>84475.753056388465</v>
      </c>
      <c r="E336" s="33">
        <f t="shared" si="26"/>
        <v>275725.45574346103</v>
      </c>
      <c r="F336" s="33">
        <f t="shared" si="27"/>
        <v>1162074.5442565391</v>
      </c>
      <c r="G336" s="33">
        <f t="shared" si="28"/>
        <v>21479.176206190386</v>
      </c>
      <c r="H336" s="33">
        <f t="shared" si="29"/>
        <v>62200</v>
      </c>
    </row>
    <row r="337" spans="2:8" x14ac:dyDescent="0.25">
      <c r="B337" s="5">
        <f>(337-25)/100</f>
        <v>3.12</v>
      </c>
      <c r="C337" s="5">
        <f t="shared" si="24"/>
        <v>0.73198152822831264</v>
      </c>
      <c r="D337" s="33">
        <f t="shared" si="25"/>
        <v>84054.428480305884</v>
      </c>
      <c r="E337" s="33">
        <f t="shared" si="26"/>
        <v>275941.06643072161</v>
      </c>
      <c r="F337" s="33">
        <f t="shared" si="27"/>
        <v>1161658.9335692783</v>
      </c>
      <c r="G337" s="33">
        <f t="shared" si="28"/>
        <v>21642.748850241973</v>
      </c>
      <c r="H337" s="33">
        <f t="shared" si="29"/>
        <v>62400</v>
      </c>
    </row>
    <row r="338" spans="2:8" x14ac:dyDescent="0.25">
      <c r="B338" s="5">
        <f>(338-25)/100</f>
        <v>3.13</v>
      </c>
      <c r="C338" s="5">
        <f t="shared" si="24"/>
        <v>0.73124991256888205</v>
      </c>
      <c r="D338" s="33">
        <f t="shared" si="25"/>
        <v>83635.20526931317</v>
      </c>
      <c r="E338" s="33">
        <f t="shared" si="26"/>
        <v>276158.30648576008</v>
      </c>
      <c r="F338" s="33">
        <f t="shared" si="27"/>
        <v>1161241.69351424</v>
      </c>
      <c r="G338" s="33">
        <f t="shared" si="28"/>
        <v>21805.051080991107</v>
      </c>
      <c r="H338" s="33">
        <f t="shared" si="29"/>
        <v>62600</v>
      </c>
    </row>
    <row r="339" spans="2:8" x14ac:dyDescent="0.25">
      <c r="B339" s="5">
        <f>(339-25)/100</f>
        <v>3.14</v>
      </c>
      <c r="C339" s="5">
        <f t="shared" si="24"/>
        <v>0.73051902815942482</v>
      </c>
      <c r="D339" s="33">
        <f t="shared" si="25"/>
        <v>83218.072942808183</v>
      </c>
      <c r="E339" s="33">
        <f t="shared" si="26"/>
        <v>276377.16324394051</v>
      </c>
      <c r="F339" s="33">
        <f t="shared" si="27"/>
        <v>1160822.8367560594</v>
      </c>
      <c r="G339" s="33">
        <f t="shared" si="28"/>
        <v>21966.090789865768</v>
      </c>
      <c r="H339" s="33">
        <f t="shared" si="29"/>
        <v>62800</v>
      </c>
    </row>
    <row r="340" spans="2:8" x14ac:dyDescent="0.25">
      <c r="B340" s="5">
        <f>(340-25)/100</f>
        <v>3.15</v>
      </c>
      <c r="C340" s="5">
        <f t="shared" si="24"/>
        <v>0.72978887426905681</v>
      </c>
      <c r="D340" s="33">
        <f t="shared" si="25"/>
        <v>82803.021072461052</v>
      </c>
      <c r="E340" s="33">
        <f t="shared" si="26"/>
        <v>276597.6241193029</v>
      </c>
      <c r="F340" s="33">
        <f t="shared" si="27"/>
        <v>1160402.375880697</v>
      </c>
      <c r="G340" s="33">
        <f t="shared" si="28"/>
        <v>22125.87582079554</v>
      </c>
      <c r="H340" s="33">
        <f t="shared" si="29"/>
        <v>63000</v>
      </c>
    </row>
    <row r="341" spans="2:8" x14ac:dyDescent="0.25">
      <c r="B341" s="5">
        <f>(341-25)/100</f>
        <v>3.16</v>
      </c>
      <c r="C341" s="5">
        <f t="shared" si="24"/>
        <v>0.72905945016762375</v>
      </c>
      <c r="D341" s="33">
        <f t="shared" si="25"/>
        <v>82390.039281953374</v>
      </c>
      <c r="E341" s="33">
        <f t="shared" si="26"/>
        <v>276819.67660409084</v>
      </c>
      <c r="F341" s="33">
        <f t="shared" si="27"/>
        <v>1159980.3233959093</v>
      </c>
      <c r="G341" s="33">
        <f t="shared" si="28"/>
        <v>22284.413970495974</v>
      </c>
      <c r="H341" s="33">
        <f t="shared" si="29"/>
        <v>63200</v>
      </c>
    </row>
    <row r="342" spans="2:8" x14ac:dyDescent="0.25">
      <c r="B342" s="5">
        <f>(342-25)/100</f>
        <v>3.17</v>
      </c>
      <c r="C342" s="5">
        <f t="shared" si="24"/>
        <v>0.72833075512570167</v>
      </c>
      <c r="D342" s="33">
        <f t="shared" si="25"/>
        <v>81979.117246718917</v>
      </c>
      <c r="E342" s="33">
        <f t="shared" si="26"/>
        <v>277043.30826827988</v>
      </c>
      <c r="F342" s="33">
        <f t="shared" si="27"/>
        <v>1159556.6917317202</v>
      </c>
      <c r="G342" s="33">
        <f t="shared" si="28"/>
        <v>22441.712988751395</v>
      </c>
      <c r="H342" s="33">
        <f t="shared" si="29"/>
        <v>63400</v>
      </c>
    </row>
    <row r="343" spans="2:8" x14ac:dyDescent="0.25">
      <c r="B343" s="5">
        <f>(343-25)/100</f>
        <v>3.18</v>
      </c>
      <c r="C343" s="5">
        <f t="shared" si="24"/>
        <v>0.72760278841459547</v>
      </c>
      <c r="D343" s="33">
        <f t="shared" si="25"/>
        <v>81570.244693685367</v>
      </c>
      <c r="E343" s="33">
        <f t="shared" si="26"/>
        <v>277268.50675910997</v>
      </c>
      <c r="F343" s="33">
        <f t="shared" si="27"/>
        <v>1159131.4932408901</v>
      </c>
      <c r="G343" s="33">
        <f t="shared" si="28"/>
        <v>22597.780578695834</v>
      </c>
      <c r="H343" s="33">
        <f t="shared" si="29"/>
        <v>63600</v>
      </c>
    </row>
    <row r="344" spans="2:8" x14ac:dyDescent="0.25">
      <c r="B344" s="5">
        <f>(344-25)/100</f>
        <v>3.19</v>
      </c>
      <c r="C344" s="5">
        <f t="shared" si="24"/>
        <v>0.72687554930633824</v>
      </c>
      <c r="D344" s="33">
        <f t="shared" si="25"/>
        <v>81163.411401017627</v>
      </c>
      <c r="E344" s="33">
        <f t="shared" si="26"/>
        <v>277495.25980062038</v>
      </c>
      <c r="F344" s="33">
        <f t="shared" si="27"/>
        <v>1158704.7401993796</v>
      </c>
      <c r="G344" s="33">
        <f t="shared" si="28"/>
        <v>22752.624397092455</v>
      </c>
      <c r="H344" s="33">
        <f t="shared" si="29"/>
        <v>63800</v>
      </c>
    </row>
    <row r="345" spans="2:8" x14ac:dyDescent="0.25">
      <c r="B345" s="5">
        <f>(345-25)/100</f>
        <v>3.2</v>
      </c>
      <c r="C345" s="5">
        <f t="shared" ref="C345:C408" si="30">EXP(-$C$10*B345)</f>
        <v>0.72614903707369083</v>
      </c>
      <c r="D345" s="33">
        <f t="shared" ref="D345:D408" si="31">$C$7*EXP(-$C$9*B345)</f>
        <v>80758.607197862148</v>
      </c>
      <c r="E345" s="33">
        <f t="shared" ref="E345:E408" si="32">C345*D345+(1-C345)*$C$8</f>
        <v>277723.55519318738</v>
      </c>
      <c r="F345" s="33">
        <f t="shared" ref="F345:F408" si="33">$C$12-E345-$C$11*B345</f>
        <v>1158276.4448068126</v>
      </c>
      <c r="G345" s="33">
        <f t="shared" ref="G345:G408" si="34">$C$10*$C$8*EXP(-$C$10*B345)-($C$9+$C$10)*$C$7*EXP(-($C$9+$C$10)*B345)</f>
        <v>22906.252054611228</v>
      </c>
      <c r="H345" s="33">
        <f t="shared" ref="H345:H408" si="35">$C$11*B345</f>
        <v>64000</v>
      </c>
    </row>
    <row r="346" spans="2:8" x14ac:dyDescent="0.25">
      <c r="B346" s="5">
        <f>(346-25)/100</f>
        <v>3.21</v>
      </c>
      <c r="C346" s="5">
        <f t="shared" si="30"/>
        <v>0.72542325099014116</v>
      </c>
      <c r="D346" s="33">
        <f t="shared" si="31"/>
        <v>80355.821964092829</v>
      </c>
      <c r="E346" s="33">
        <f t="shared" si="32"/>
        <v>277953.38081306429</v>
      </c>
      <c r="F346" s="33">
        <f t="shared" si="33"/>
        <v>1157846.6191869357</v>
      </c>
      <c r="G346" s="33">
        <f t="shared" si="34"/>
        <v>23058.671116104968</v>
      </c>
      <c r="H346" s="33">
        <f t="shared" si="35"/>
        <v>64200</v>
      </c>
    </row>
    <row r="347" spans="2:8" x14ac:dyDescent="0.25">
      <c r="B347" s="5">
        <f>(347-25)/100</f>
        <v>3.22</v>
      </c>
      <c r="C347" s="5">
        <f t="shared" si="30"/>
        <v>0.72469819032990279</v>
      </c>
      <c r="D347" s="33">
        <f t="shared" si="31"/>
        <v>79955.045630057793</v>
      </c>
      <c r="E347" s="33">
        <f t="shared" si="32"/>
        <v>278184.72461192543</v>
      </c>
      <c r="F347" s="33">
        <f t="shared" si="33"/>
        <v>1157415.2753880746</v>
      </c>
      <c r="G347" s="33">
        <f t="shared" si="34"/>
        <v>23209.8891008836</v>
      </c>
      <c r="H347" s="33">
        <f t="shared" si="35"/>
        <v>64400.000000000007</v>
      </c>
    </row>
    <row r="348" spans="2:8" x14ac:dyDescent="0.25">
      <c r="B348" s="5">
        <f>(348-25)/100</f>
        <v>3.23</v>
      </c>
      <c r="C348" s="5">
        <f t="shared" si="30"/>
        <v>0.72397385436791528</v>
      </c>
      <c r="D348" s="33">
        <f t="shared" si="31"/>
        <v>79556.268176327852</v>
      </c>
      <c r="E348" s="33">
        <f t="shared" si="32"/>
        <v>278417.57461641135</v>
      </c>
      <c r="F348" s="33">
        <f t="shared" si="33"/>
        <v>1156982.4253835888</v>
      </c>
      <c r="G348" s="33">
        <f t="shared" si="34"/>
        <v>23359.91348298706</v>
      </c>
      <c r="H348" s="33">
        <f t="shared" si="35"/>
        <v>64600</v>
      </c>
    </row>
    <row r="349" spans="2:8" x14ac:dyDescent="0.25">
      <c r="B349" s="5">
        <f>(349-25)/100</f>
        <v>3.24</v>
      </c>
      <c r="C349" s="5">
        <f t="shared" si="30"/>
        <v>0.72325024237984237</v>
      </c>
      <c r="D349" s="33">
        <f t="shared" si="31"/>
        <v>79159.479633445866</v>
      </c>
      <c r="E349" s="33">
        <f t="shared" si="32"/>
        <v>278651.91892767802</v>
      </c>
      <c r="F349" s="33">
        <f t="shared" si="33"/>
        <v>1156548.0810723221</v>
      </c>
      <c r="G349" s="33">
        <f t="shared" si="34"/>
        <v>23508.751691456229</v>
      </c>
      <c r="H349" s="33">
        <f t="shared" si="35"/>
        <v>64800.000000000007</v>
      </c>
    </row>
    <row r="350" spans="2:8" x14ac:dyDescent="0.25">
      <c r="B350" s="5">
        <f>(350-25)/100</f>
        <v>3.25</v>
      </c>
      <c r="C350" s="5">
        <f t="shared" si="30"/>
        <v>0.72252735364207221</v>
      </c>
      <c r="D350" s="33">
        <f t="shared" si="31"/>
        <v>78764.670081677628</v>
      </c>
      <c r="E350" s="33">
        <f t="shared" si="32"/>
        <v>278887.74572094769</v>
      </c>
      <c r="F350" s="33">
        <f t="shared" si="33"/>
        <v>1156112.2542790524</v>
      </c>
      <c r="G350" s="33">
        <f t="shared" si="34"/>
        <v>23656.411110602516</v>
      </c>
      <c r="H350" s="33">
        <f t="shared" si="35"/>
        <v>65000</v>
      </c>
    </row>
    <row r="351" spans="2:8" x14ac:dyDescent="0.25">
      <c r="B351" s="5">
        <f>(351-25)/100</f>
        <v>3.26</v>
      </c>
      <c r="C351" s="5">
        <f t="shared" si="30"/>
        <v>0.72180518743171584</v>
      </c>
      <c r="D351" s="33">
        <f t="shared" si="31"/>
        <v>78371.829650763742</v>
      </c>
      <c r="E351" s="33">
        <f t="shared" si="32"/>
        <v>279125.04324506334</v>
      </c>
      <c r="F351" s="33">
        <f t="shared" si="33"/>
        <v>1155674.9567549366</v>
      </c>
      <c r="G351" s="33">
        <f t="shared" si="34"/>
        <v>23802.899080275645</v>
      </c>
      <c r="H351" s="33">
        <f t="shared" si="35"/>
        <v>65199.999999999993</v>
      </c>
    </row>
    <row r="352" spans="2:8" x14ac:dyDescent="0.25">
      <c r="B352" s="5">
        <f>(352-25)/100</f>
        <v>3.27</v>
      </c>
      <c r="C352" s="5">
        <f t="shared" si="30"/>
        <v>0.72108374302660705</v>
      </c>
      <c r="D352" s="33">
        <f t="shared" si="31"/>
        <v>77980.948519672995</v>
      </c>
      <c r="E352" s="33">
        <f t="shared" si="32"/>
        <v>279363.79982204532</v>
      </c>
      <c r="F352" s="33">
        <f t="shared" si="33"/>
        <v>1155236.2001779547</v>
      </c>
      <c r="G352" s="33">
        <f t="shared" si="34"/>
        <v>23948.222896129984</v>
      </c>
      <c r="H352" s="33">
        <f t="shared" si="35"/>
        <v>65400</v>
      </c>
    </row>
    <row r="353" spans="2:8" x14ac:dyDescent="0.25">
      <c r="B353" s="5">
        <f>(353-25)/100</f>
        <v>3.28</v>
      </c>
      <c r="C353" s="5">
        <f t="shared" si="30"/>
        <v>0.72036301970530137</v>
      </c>
      <c r="D353" s="33">
        <f t="shared" si="31"/>
        <v>77592.016916356763</v>
      </c>
      <c r="E353" s="33">
        <f t="shared" si="32"/>
        <v>279604.00384665048</v>
      </c>
      <c r="F353" s="33">
        <f t="shared" si="33"/>
        <v>1154795.9961533495</v>
      </c>
      <c r="G353" s="33">
        <f t="shared" si="34"/>
        <v>24092.389809889159</v>
      </c>
      <c r="H353" s="33">
        <f t="shared" si="35"/>
        <v>65600</v>
      </c>
    </row>
    <row r="354" spans="2:8" x14ac:dyDescent="0.25">
      <c r="B354" s="5">
        <f>(354-25)/100</f>
        <v>3.29</v>
      </c>
      <c r="C354" s="5">
        <f t="shared" si="30"/>
        <v>0.71964301674707543</v>
      </c>
      <c r="D354" s="33">
        <f t="shared" si="31"/>
        <v>77205.025117504687</v>
      </c>
      <c r="E354" s="33">
        <f t="shared" si="32"/>
        <v>279845.64378593449</v>
      </c>
      <c r="F354" s="33">
        <f t="shared" si="33"/>
        <v>1154354.3562140656</v>
      </c>
      <c r="G354" s="33">
        <f t="shared" si="34"/>
        <v>24235.407029609152</v>
      </c>
      <c r="H354" s="33">
        <f t="shared" si="35"/>
        <v>65800</v>
      </c>
    </row>
    <row r="355" spans="2:8" x14ac:dyDescent="0.25">
      <c r="B355" s="5">
        <f>(355-25)/100</f>
        <v>3.3</v>
      </c>
      <c r="C355" s="5">
        <f t="shared" si="30"/>
        <v>0.71892373343192617</v>
      </c>
      <c r="D355" s="33">
        <f t="shared" si="31"/>
        <v>76819.963448301656</v>
      </c>
      <c r="E355" s="33">
        <f t="shared" si="32"/>
        <v>280088.70817881619</v>
      </c>
      <c r="F355" s="33">
        <f t="shared" si="33"/>
        <v>1153911.2918211839</v>
      </c>
      <c r="G355" s="33">
        <f t="shared" si="34"/>
        <v>24377.281719939812</v>
      </c>
      <c r="H355" s="33">
        <f t="shared" si="35"/>
        <v>66000</v>
      </c>
    </row>
    <row r="356" spans="2:8" x14ac:dyDescent="0.25">
      <c r="B356" s="5">
        <f>(356-25)/100</f>
        <v>3.31</v>
      </c>
      <c r="C356" s="5">
        <f t="shared" si="30"/>
        <v>0.7182051690405703</v>
      </c>
      <c r="D356" s="33">
        <f t="shared" si="31"/>
        <v>76436.822282185851</v>
      </c>
      <c r="E356" s="33">
        <f t="shared" si="32"/>
        <v>280333.18563564506</v>
      </c>
      <c r="F356" s="33">
        <f t="shared" si="33"/>
        <v>1153466.8143643551</v>
      </c>
      <c r="G356" s="33">
        <f t="shared" si="34"/>
        <v>24518.021002384827</v>
      </c>
      <c r="H356" s="33">
        <f t="shared" si="35"/>
        <v>66200</v>
      </c>
    </row>
    <row r="357" spans="2:8" x14ac:dyDescent="0.25">
      <c r="B357" s="5">
        <f>(357-25)/100</f>
        <v>3.32</v>
      </c>
      <c r="C357" s="5">
        <f t="shared" si="30"/>
        <v>0.71748732285444328</v>
      </c>
      <c r="D357" s="33">
        <f t="shared" si="31"/>
        <v>76055.592040608215</v>
      </c>
      <c r="E357" s="33">
        <f t="shared" si="32"/>
        <v>280579.06483777106</v>
      </c>
      <c r="F357" s="33">
        <f t="shared" si="33"/>
        <v>1153020.935162229</v>
      </c>
      <c r="G357" s="33">
        <f t="shared" si="34"/>
        <v>24657.631955560038</v>
      </c>
      <c r="H357" s="33">
        <f t="shared" si="35"/>
        <v>66400</v>
      </c>
    </row>
    <row r="358" spans="2:8" x14ac:dyDescent="0.25">
      <c r="B358" s="5">
        <f>(358-25)/100</f>
        <v>3.33</v>
      </c>
      <c r="C358" s="5">
        <f t="shared" si="30"/>
        <v>0.71677019415569898</v>
      </c>
      <c r="D358" s="33">
        <f t="shared" si="31"/>
        <v>75676.263192792816</v>
      </c>
      <c r="E358" s="33">
        <f t="shared" si="32"/>
        <v>280826.33453711669</v>
      </c>
      <c r="F358" s="33">
        <f t="shared" si="33"/>
        <v>1152573.6654628832</v>
      </c>
      <c r="G358" s="33">
        <f t="shared" si="34"/>
        <v>24796.121615450385</v>
      </c>
      <c r="H358" s="33">
        <f t="shared" si="35"/>
        <v>66600</v>
      </c>
    </row>
    <row r="359" spans="2:8" x14ac:dyDescent="0.25">
      <c r="B359" s="5">
        <f>(359-25)/100</f>
        <v>3.34</v>
      </c>
      <c r="C359" s="5">
        <f t="shared" si="30"/>
        <v>0.7160537822272085</v>
      </c>
      <c r="D359" s="33">
        <f t="shared" si="31"/>
        <v>75298.826255498716</v>
      </c>
      <c r="E359" s="33">
        <f t="shared" si="32"/>
        <v>281074.98355575249</v>
      </c>
      <c r="F359" s="33">
        <f t="shared" si="33"/>
        <v>1152125.0164442474</v>
      </c>
      <c r="G359" s="33">
        <f t="shared" si="34"/>
        <v>24933.496975665108</v>
      </c>
      <c r="H359" s="33">
        <f t="shared" si="35"/>
        <v>66800</v>
      </c>
    </row>
    <row r="360" spans="2:8" x14ac:dyDescent="0.25">
      <c r="B360" s="5">
        <f>(360-25)/100</f>
        <v>3.35</v>
      </c>
      <c r="C360" s="5">
        <f t="shared" si="30"/>
        <v>0.71533808635255991</v>
      </c>
      <c r="D360" s="33">
        <f t="shared" si="31"/>
        <v>74923.271792782805</v>
      </c>
      <c r="E360" s="33">
        <f t="shared" si="32"/>
        <v>281325.00078547408</v>
      </c>
      <c r="F360" s="33">
        <f t="shared" si="33"/>
        <v>1151674.9992145258</v>
      </c>
      <c r="G360" s="33">
        <f t="shared" si="34"/>
        <v>25069.764987691597</v>
      </c>
      <c r="H360" s="33">
        <f t="shared" si="35"/>
        <v>67000</v>
      </c>
    </row>
    <row r="361" spans="2:8" x14ac:dyDescent="0.25">
      <c r="B361" s="5">
        <f>(361-25)/100</f>
        <v>3.36</v>
      </c>
      <c r="C361" s="5">
        <f t="shared" si="30"/>
        <v>0.71462310581605726</v>
      </c>
      <c r="D361" s="33">
        <f t="shared" si="31"/>
        <v>74549.590415763989</v>
      </c>
      <c r="E361" s="33">
        <f t="shared" si="32"/>
        <v>281576.37518738245</v>
      </c>
      <c r="F361" s="33">
        <f t="shared" si="33"/>
        <v>1151223.6248126174</v>
      </c>
      <c r="G361" s="33">
        <f t="shared" si="34"/>
        <v>25204.932561147638</v>
      </c>
      <c r="H361" s="33">
        <f t="shared" si="35"/>
        <v>67200</v>
      </c>
    </row>
    <row r="362" spans="2:8" x14ac:dyDescent="0.25">
      <c r="B362" s="5">
        <f>(362-25)/100</f>
        <v>3.37</v>
      </c>
      <c r="C362" s="5">
        <f t="shared" si="30"/>
        <v>0.71390883990272003</v>
      </c>
      <c r="D362" s="33">
        <f t="shared" si="31"/>
        <v>74177.772782388347</v>
      </c>
      <c r="E362" s="33">
        <f t="shared" si="32"/>
        <v>281829.09579146642</v>
      </c>
      <c r="F362" s="33">
        <f t="shared" si="33"/>
        <v>1150770.9042085335</v>
      </c>
      <c r="G362" s="33">
        <f t="shared" si="34"/>
        <v>25339.006564032137</v>
      </c>
      <c r="H362" s="33">
        <f t="shared" si="35"/>
        <v>67400</v>
      </c>
    </row>
    <row r="363" spans="2:8" x14ac:dyDescent="0.25">
      <c r="B363" s="5">
        <f>(363-25)/100</f>
        <v>3.38</v>
      </c>
      <c r="C363" s="5">
        <f t="shared" si="30"/>
        <v>0.71319528789828224</v>
      </c>
      <c r="D363" s="33">
        <f t="shared" si="31"/>
        <v>73807.809597195708</v>
      </c>
      <c r="E363" s="33">
        <f t="shared" si="32"/>
        <v>282083.15169618779</v>
      </c>
      <c r="F363" s="33">
        <f t="shared" si="33"/>
        <v>1150316.8483038121</v>
      </c>
      <c r="G363" s="33">
        <f t="shared" si="34"/>
        <v>25471.993822974426</v>
      </c>
      <c r="H363" s="33">
        <f t="shared" si="35"/>
        <v>67600</v>
      </c>
    </row>
    <row r="364" spans="2:8" x14ac:dyDescent="0.25">
      <c r="B364" s="5">
        <f>(364-25)/100</f>
        <v>3.39</v>
      </c>
      <c r="C364" s="5">
        <f t="shared" si="30"/>
        <v>0.71248244908919178</v>
      </c>
      <c r="D364" s="33">
        <f t="shared" si="31"/>
        <v>73439.691611087139</v>
      </c>
      <c r="E364" s="33">
        <f t="shared" si="32"/>
        <v>282338.53206806892</v>
      </c>
      <c r="F364" s="33">
        <f t="shared" si="33"/>
        <v>1149861.4679319311</v>
      </c>
      <c r="G364" s="33">
        <f t="shared" si="34"/>
        <v>25603.90112348193</v>
      </c>
      <c r="H364" s="33">
        <f t="shared" si="35"/>
        <v>67800</v>
      </c>
    </row>
    <row r="365" spans="2:8" x14ac:dyDescent="0.25">
      <c r="B365" s="5">
        <f>(365-25)/100</f>
        <v>3.4</v>
      </c>
      <c r="C365" s="5">
        <f t="shared" si="30"/>
        <v>0.71177032276260965</v>
      </c>
      <c r="D365" s="33">
        <f t="shared" si="31"/>
        <v>73073.409621093859</v>
      </c>
      <c r="E365" s="33">
        <f t="shared" si="32"/>
        <v>282595.22614128265</v>
      </c>
      <c r="F365" s="33">
        <f t="shared" si="33"/>
        <v>1149404.7738587174</v>
      </c>
      <c r="G365" s="33">
        <f t="shared" si="34"/>
        <v>25734.735210186551</v>
      </c>
      <c r="H365" s="33">
        <f t="shared" si="35"/>
        <v>68000</v>
      </c>
    </row>
    <row r="366" spans="2:8" x14ac:dyDescent="0.25">
      <c r="B366" s="5">
        <f>(366-25)/100</f>
        <v>3.41</v>
      </c>
      <c r="C366" s="5">
        <f t="shared" si="30"/>
        <v>0.71105890820640971</v>
      </c>
      <c r="D366" s="33">
        <f t="shared" si="31"/>
        <v>72708.954470147</v>
      </c>
      <c r="E366" s="33">
        <f t="shared" si="32"/>
        <v>282853.22321724449</v>
      </c>
      <c r="F366" s="33">
        <f t="shared" si="33"/>
        <v>1148946.7767827555</v>
      </c>
      <c r="G366" s="33">
        <f t="shared" si="34"/>
        <v>25864.502787089401</v>
      </c>
      <c r="H366" s="33">
        <f t="shared" si="35"/>
        <v>68200</v>
      </c>
    </row>
    <row r="367" spans="2:8" x14ac:dyDescent="0.25">
      <c r="B367" s="5">
        <f>(367-25)/100</f>
        <v>3.42</v>
      </c>
      <c r="C367" s="5">
        <f t="shared" si="30"/>
        <v>0.71034820470917726</v>
      </c>
      <c r="D367" s="33">
        <f t="shared" si="31"/>
        <v>72346.317046848839</v>
      </c>
      <c r="E367" s="33">
        <f t="shared" si="32"/>
        <v>283112.51266420819</v>
      </c>
      <c r="F367" s="33">
        <f t="shared" si="33"/>
        <v>1148487.4873357918</v>
      </c>
      <c r="G367" s="33">
        <f t="shared" si="34"/>
        <v>25993.210517804178</v>
      </c>
      <c r="H367" s="33">
        <f t="shared" si="35"/>
        <v>68400</v>
      </c>
    </row>
    <row r="368" spans="2:8" x14ac:dyDescent="0.25">
      <c r="B368" s="5">
        <f>(368-25)/100</f>
        <v>3.43</v>
      </c>
      <c r="C368" s="5">
        <f t="shared" si="30"/>
        <v>0.70963821156020868</v>
      </c>
      <c r="D368" s="33">
        <f t="shared" si="31"/>
        <v>71985.488285244865</v>
      </c>
      <c r="E368" s="33">
        <f t="shared" si="32"/>
        <v>283373.08391686255</v>
      </c>
      <c r="F368" s="33">
        <f t="shared" si="33"/>
        <v>1148026.9160831375</v>
      </c>
      <c r="G368" s="33">
        <f t="shared" si="34"/>
        <v>26120.865025798976</v>
      </c>
      <c r="H368" s="33">
        <f t="shared" si="35"/>
        <v>68600</v>
      </c>
    </row>
    <row r="369" spans="2:8" x14ac:dyDescent="0.25">
      <c r="B369" s="5">
        <f>(369-25)/100</f>
        <v>3.44</v>
      </c>
      <c r="C369" s="5">
        <f t="shared" si="30"/>
        <v>0.70892892804951069</v>
      </c>
      <c r="D369" s="33">
        <f t="shared" si="31"/>
        <v>71626.459164597283</v>
      </c>
      <c r="E369" s="33">
        <f t="shared" si="32"/>
        <v>283634.92647593142</v>
      </c>
      <c r="F369" s="33">
        <f t="shared" si="33"/>
        <v>1147565.0735240686</v>
      </c>
      <c r="G369" s="33">
        <f t="shared" si="34"/>
        <v>26247.472894636852</v>
      </c>
      <c r="H369" s="33">
        <f t="shared" si="35"/>
        <v>68800</v>
      </c>
    </row>
    <row r="370" spans="2:8" x14ac:dyDescent="0.25">
      <c r="B370" s="5">
        <f>(370-25)/100</f>
        <v>3.45</v>
      </c>
      <c r="C370" s="5">
        <f t="shared" si="30"/>
        <v>0.70822035346779999</v>
      </c>
      <c r="D370" s="33">
        <f t="shared" si="31"/>
        <v>71269.220709159359</v>
      </c>
      <c r="E370" s="33">
        <f t="shared" si="32"/>
        <v>283898.02990777552</v>
      </c>
      <c r="F370" s="33">
        <f t="shared" si="33"/>
        <v>1147101.9700922244</v>
      </c>
      <c r="G370" s="33">
        <f t="shared" si="34"/>
        <v>26373.040668214697</v>
      </c>
      <c r="H370" s="33">
        <f t="shared" si="35"/>
        <v>69000</v>
      </c>
    </row>
    <row r="371" spans="2:8" x14ac:dyDescent="0.25">
      <c r="B371" s="5">
        <f>(371-25)/100</f>
        <v>3.46</v>
      </c>
      <c r="C371" s="5">
        <f t="shared" si="30"/>
        <v>0.70751248710650172</v>
      </c>
      <c r="D371" s="33">
        <f t="shared" si="31"/>
        <v>70913.763987951126</v>
      </c>
      <c r="E371" s="33">
        <f t="shared" si="32"/>
        <v>284162.38384399738</v>
      </c>
      <c r="F371" s="33">
        <f t="shared" si="33"/>
        <v>1146637.6161560025</v>
      </c>
      <c r="G371" s="33">
        <f t="shared" si="34"/>
        <v>26497.574851000878</v>
      </c>
      <c r="H371" s="33">
        <f t="shared" si="35"/>
        <v>69200</v>
      </c>
    </row>
    <row r="372" spans="2:8" x14ac:dyDescent="0.25">
      <c r="B372" s="5">
        <f>(372-25)/100</f>
        <v>3.47</v>
      </c>
      <c r="C372" s="5">
        <f t="shared" si="30"/>
        <v>0.70680532825774944</v>
      </c>
      <c r="D372" s="33">
        <f t="shared" si="31"/>
        <v>70560.080114535987</v>
      </c>
      <c r="E372" s="33">
        <f t="shared" si="32"/>
        <v>284427.97798104817</v>
      </c>
      <c r="F372" s="33">
        <f t="shared" si="33"/>
        <v>1146172.0220189518</v>
      </c>
      <c r="G372" s="33">
        <f t="shared" si="34"/>
        <v>26621.081908271321</v>
      </c>
      <c r="H372" s="33">
        <f t="shared" si="35"/>
        <v>69400</v>
      </c>
    </row>
    <row r="373" spans="2:8" x14ac:dyDescent="0.25">
      <c r="B373" s="5">
        <f>(373-25)/100</f>
        <v>3.48</v>
      </c>
      <c r="C373" s="5">
        <f t="shared" si="30"/>
        <v>0.70609887621438439</v>
      </c>
      <c r="D373" s="33">
        <f t="shared" si="31"/>
        <v>70208.16024679874</v>
      </c>
      <c r="E373" s="33">
        <f t="shared" si="32"/>
        <v>284694.80207983649</v>
      </c>
      <c r="F373" s="33">
        <f t="shared" si="33"/>
        <v>1145705.1979201636</v>
      </c>
      <c r="G373" s="33">
        <f t="shared" si="34"/>
        <v>26743.568266344344</v>
      </c>
      <c r="H373" s="33">
        <f t="shared" si="35"/>
        <v>69600</v>
      </c>
    </row>
    <row r="374" spans="2:8" x14ac:dyDescent="0.25">
      <c r="B374" s="5">
        <f>(374-25)/100</f>
        <v>3.49</v>
      </c>
      <c r="C374" s="5">
        <f t="shared" si="30"/>
        <v>0.70539313026995432</v>
      </c>
      <c r="D374" s="33">
        <f t="shared" si="31"/>
        <v>69857.995586724341</v>
      </c>
      <c r="E374" s="33">
        <f t="shared" si="32"/>
        <v>284962.84596534068</v>
      </c>
      <c r="F374" s="33">
        <f t="shared" si="33"/>
        <v>1145237.1540346593</v>
      </c>
      <c r="G374" s="33">
        <f t="shared" si="34"/>
        <v>26865.040312813853</v>
      </c>
      <c r="H374" s="33">
        <f t="shared" si="35"/>
        <v>69800</v>
      </c>
    </row>
    <row r="375" spans="2:8" x14ac:dyDescent="0.25">
      <c r="B375" s="5">
        <f>(375-25)/100</f>
        <v>3.5</v>
      </c>
      <c r="C375" s="5">
        <f t="shared" si="30"/>
        <v>0.70468808971871344</v>
      </c>
      <c r="D375" s="33">
        <f t="shared" si="31"/>
        <v>69509.57738017806</v>
      </c>
      <c r="E375" s="33">
        <f t="shared" si="32"/>
        <v>285232.09952622198</v>
      </c>
      <c r="F375" s="33">
        <f t="shared" si="33"/>
        <v>1144767.9004737781</v>
      </c>
      <c r="G375" s="33">
        <f t="shared" si="34"/>
        <v>26985.504396781416</v>
      </c>
      <c r="H375" s="33">
        <f t="shared" si="35"/>
        <v>70000</v>
      </c>
    </row>
    <row r="376" spans="2:8" x14ac:dyDescent="0.25">
      <c r="B376" s="5">
        <f>(376-25)/100</f>
        <v>3.51</v>
      </c>
      <c r="C376" s="5">
        <f t="shared" si="30"/>
        <v>0.70398375385562095</v>
      </c>
      <c r="D376" s="33">
        <f t="shared" si="31"/>
        <v>69162.896916686557</v>
      </c>
      <c r="E376" s="33">
        <f t="shared" si="32"/>
        <v>285502.55271444155</v>
      </c>
      <c r="F376" s="33">
        <f t="shared" si="33"/>
        <v>1144297.4472855586</v>
      </c>
      <c r="G376" s="33">
        <f t="shared" si="34"/>
        <v>27104.966829086661</v>
      </c>
      <c r="H376" s="33">
        <f t="shared" si="35"/>
        <v>70200</v>
      </c>
    </row>
    <row r="377" spans="2:8" x14ac:dyDescent="0.25">
      <c r="B377" s="5">
        <f>(377-25)/100</f>
        <v>3.52</v>
      </c>
      <c r="C377" s="5">
        <f t="shared" si="30"/>
        <v>0.70328012197634093</v>
      </c>
      <c r="D377" s="33">
        <f t="shared" si="31"/>
        <v>68817.945529220218</v>
      </c>
      <c r="E377" s="33">
        <f t="shared" si="32"/>
        <v>285774.19554487843</v>
      </c>
      <c r="F377" s="33">
        <f t="shared" si="33"/>
        <v>1143825.8044551215</v>
      </c>
      <c r="G377" s="33">
        <f t="shared" si="34"/>
        <v>27223.43388253657</v>
      </c>
      <c r="H377" s="33">
        <f t="shared" si="35"/>
        <v>70400</v>
      </c>
    </row>
    <row r="378" spans="2:8" x14ac:dyDescent="0.25">
      <c r="B378" s="5">
        <f>(378-25)/100</f>
        <v>3.53</v>
      </c>
      <c r="C378" s="5">
        <f t="shared" si="30"/>
        <v>0.70257719337724156</v>
      </c>
      <c r="D378" s="33">
        <f t="shared" si="31"/>
        <v>68474.714593976387</v>
      </c>
      <c r="E378" s="33">
        <f t="shared" si="32"/>
        <v>286047.0180949503</v>
      </c>
      <c r="F378" s="33">
        <f t="shared" si="33"/>
        <v>1143352.9819050496</v>
      </c>
      <c r="G378" s="33">
        <f t="shared" si="34"/>
        <v>27340.911792133185</v>
      </c>
      <c r="H378" s="33">
        <f t="shared" si="35"/>
        <v>70600</v>
      </c>
    </row>
    <row r="379" spans="2:8" x14ac:dyDescent="0.25">
      <c r="B379" s="5">
        <f>(379-25)/100</f>
        <v>3.54</v>
      </c>
      <c r="C379" s="5">
        <f t="shared" si="30"/>
        <v>0.70187496735539401</v>
      </c>
      <c r="D379" s="33">
        <f t="shared" si="31"/>
        <v>68133.195530163764</v>
      </c>
      <c r="E379" s="33">
        <f t="shared" si="32"/>
        <v>286321.01050423714</v>
      </c>
      <c r="F379" s="33">
        <f t="shared" si="33"/>
        <v>1142878.9894957629</v>
      </c>
      <c r="G379" s="33">
        <f t="shared" si="34"/>
        <v>27457.406755300093</v>
      </c>
      <c r="H379" s="33">
        <f t="shared" si="35"/>
        <v>70800</v>
      </c>
    </row>
    <row r="380" spans="2:8" x14ac:dyDescent="0.25">
      <c r="B380" s="5">
        <f>(380-25)/100</f>
        <v>3.55</v>
      </c>
      <c r="C380" s="5">
        <f t="shared" si="30"/>
        <v>0.70117344320857244</v>
      </c>
      <c r="D380" s="33">
        <f t="shared" si="31"/>
        <v>67793.379799788047</v>
      </c>
      <c r="E380" s="33">
        <f t="shared" si="32"/>
        <v>286596.16297410592</v>
      </c>
      <c r="F380" s="33">
        <f t="shared" si="33"/>
        <v>1142403.8370258941</v>
      </c>
      <c r="G380" s="33">
        <f t="shared" si="34"/>
        <v>27572.924932107479</v>
      </c>
      <c r="H380" s="33">
        <f t="shared" si="35"/>
        <v>71000</v>
      </c>
    </row>
    <row r="381" spans="2:8" x14ac:dyDescent="0.25">
      <c r="B381" s="5">
        <f>(381-25)/100</f>
        <v>3.56</v>
      </c>
      <c r="C381" s="5">
        <f t="shared" si="30"/>
        <v>0.70047262023525236</v>
      </c>
      <c r="D381" s="33">
        <f t="shared" si="31"/>
        <v>67455.258907438198</v>
      </c>
      <c r="E381" s="33">
        <f t="shared" si="32"/>
        <v>286872.4657673387</v>
      </c>
      <c r="F381" s="33">
        <f t="shared" si="33"/>
        <v>1141927.5342326614</v>
      </c>
      <c r="G381" s="33">
        <f t="shared" si="34"/>
        <v>27687.472445495841</v>
      </c>
      <c r="H381" s="33">
        <f t="shared" si="35"/>
        <v>71200</v>
      </c>
    </row>
    <row r="382" spans="2:8" x14ac:dyDescent="0.25">
      <c r="B382" s="5">
        <f>(382-25)/100</f>
        <v>3.57</v>
      </c>
      <c r="C382" s="5">
        <f t="shared" si="30"/>
        <v>0.69977249773461103</v>
      </c>
      <c r="D382" s="33">
        <f t="shared" si="31"/>
        <v>67118.824400074358</v>
      </c>
      <c r="E382" s="33">
        <f t="shared" si="32"/>
        <v>287149.90920776199</v>
      </c>
      <c r="F382" s="33">
        <f t="shared" si="33"/>
        <v>1141450.090792238</v>
      </c>
      <c r="G382" s="33">
        <f t="shared" si="34"/>
        <v>27801.055381498405</v>
      </c>
      <c r="H382" s="33">
        <f t="shared" si="35"/>
        <v>71400</v>
      </c>
    </row>
    <row r="383" spans="2:8" x14ac:dyDescent="0.25">
      <c r="B383" s="5">
        <f>(383-25)/100</f>
        <v>3.58</v>
      </c>
      <c r="C383" s="5">
        <f t="shared" si="30"/>
        <v>0.6990730750065256</v>
      </c>
      <c r="D383" s="33">
        <f t="shared" si="31"/>
        <v>66784.067866816273</v>
      </c>
      <c r="E383" s="33">
        <f t="shared" si="32"/>
        <v>287428.48367987928</v>
      </c>
      <c r="F383" s="33">
        <f t="shared" si="33"/>
        <v>1140971.5163201208</v>
      </c>
      <c r="G383" s="33">
        <f t="shared" si="34"/>
        <v>27913.679789462196</v>
      </c>
      <c r="H383" s="33">
        <f t="shared" si="35"/>
        <v>71600</v>
      </c>
    </row>
    <row r="384" spans="2:8" x14ac:dyDescent="0.25">
      <c r="B384" s="5">
        <f>(384-25)/100</f>
        <v>3.59</v>
      </c>
      <c r="C384" s="5">
        <f t="shared" si="30"/>
        <v>0.69837435135157355</v>
      </c>
      <c r="D384" s="33">
        <f t="shared" si="31"/>
        <v>66450.980938733235</v>
      </c>
      <c r="E384" s="33">
        <f t="shared" si="32"/>
        <v>287708.17962850473</v>
      </c>
      <c r="F384" s="33">
        <f t="shared" si="33"/>
        <v>1140491.8203714953</v>
      </c>
      <c r="G384" s="33">
        <f t="shared" si="34"/>
        <v>28025.351682267727</v>
      </c>
      <c r="H384" s="33">
        <f t="shared" si="35"/>
        <v>71800</v>
      </c>
    </row>
    <row r="385" spans="2:8" x14ac:dyDescent="0.25">
      <c r="B385" s="5">
        <f>(385-25)/100</f>
        <v>3.6</v>
      </c>
      <c r="C385" s="5">
        <f t="shared" si="30"/>
        <v>0.69767632607103103</v>
      </c>
      <c r="D385" s="33">
        <f t="shared" si="31"/>
        <v>66119.555288634612</v>
      </c>
      <c r="E385" s="33">
        <f t="shared" si="32"/>
        <v>287988.9875584002</v>
      </c>
      <c r="F385" s="33">
        <f t="shared" si="33"/>
        <v>1140011.0124415997</v>
      </c>
      <c r="G385" s="33">
        <f t="shared" si="34"/>
        <v>28136.077036547482</v>
      </c>
      <c r="H385" s="33">
        <f t="shared" si="35"/>
        <v>72000</v>
      </c>
    </row>
    <row r="386" spans="2:8" x14ac:dyDescent="0.25">
      <c r="B386" s="5">
        <f>(386-25)/100</f>
        <v>3.61</v>
      </c>
      <c r="C386" s="5">
        <f t="shared" si="30"/>
        <v>0.69697899846687272</v>
      </c>
      <c r="D386" s="33">
        <f t="shared" si="31"/>
        <v>65789.782630861955</v>
      </c>
      <c r="E386" s="33">
        <f t="shared" si="32"/>
        <v>288270.89803391322</v>
      </c>
      <c r="F386" s="33">
        <f t="shared" si="33"/>
        <v>1139529.1019660868</v>
      </c>
      <c r="G386" s="33">
        <f t="shared" si="34"/>
        <v>28245.861792902957</v>
      </c>
      <c r="H386" s="33">
        <f t="shared" si="35"/>
        <v>72200</v>
      </c>
    </row>
    <row r="387" spans="2:8" x14ac:dyDescent="0.25">
      <c r="B387" s="5">
        <f>(387-25)/100</f>
        <v>3.62</v>
      </c>
      <c r="C387" s="5">
        <f t="shared" si="30"/>
        <v>0.69628236784177089</v>
      </c>
      <c r="D387" s="33">
        <f t="shared" si="31"/>
        <v>65461.654721081621</v>
      </c>
      <c r="E387" s="33">
        <f t="shared" si="32"/>
        <v>288553.90167861845</v>
      </c>
      <c r="F387" s="33">
        <f t="shared" si="33"/>
        <v>1139046.0983213815</v>
      </c>
      <c r="G387" s="33">
        <f t="shared" si="34"/>
        <v>28354.711856120579</v>
      </c>
      <c r="H387" s="33">
        <f t="shared" si="35"/>
        <v>72400</v>
      </c>
    </row>
    <row r="388" spans="2:8" x14ac:dyDescent="0.25">
      <c r="B388" s="5">
        <f>(388-25)/100</f>
        <v>3.63</v>
      </c>
      <c r="C388" s="5">
        <f t="shared" si="30"/>
        <v>0.6955864334990951</v>
      </c>
      <c r="D388" s="33">
        <f t="shared" si="31"/>
        <v>65135.163356078781</v>
      </c>
      <c r="E388" s="33">
        <f t="shared" si="32"/>
        <v>288837.98917495972</v>
      </c>
      <c r="F388" s="33">
        <f t="shared" si="33"/>
        <v>1138562.0108250403</v>
      </c>
      <c r="G388" s="33">
        <f t="shared" si="34"/>
        <v>28462.633095386132</v>
      </c>
      <c r="H388" s="33">
        <f t="shared" si="35"/>
        <v>72600</v>
      </c>
    </row>
    <row r="389" spans="2:8" x14ac:dyDescent="0.25">
      <c r="B389" s="5">
        <f>(389-25)/100</f>
        <v>3.64</v>
      </c>
      <c r="C389" s="5">
        <f t="shared" si="30"/>
        <v>0.69489119474291061</v>
      </c>
      <c r="D389" s="33">
        <f t="shared" si="31"/>
        <v>64810.300373552302</v>
      </c>
      <c r="E389" s="33">
        <f t="shared" si="32"/>
        <v>289123.15126389614</v>
      </c>
      <c r="F389" s="33">
        <f t="shared" si="33"/>
        <v>1138076.8487361039</v>
      </c>
      <c r="G389" s="33">
        <f t="shared" si="34"/>
        <v>28569.631344498055</v>
      </c>
      <c r="H389" s="33">
        <f t="shared" si="35"/>
        <v>72800</v>
      </c>
    </row>
    <row r="390" spans="2:8" x14ac:dyDescent="0.25">
      <c r="B390" s="5">
        <f>(390-25)/100</f>
        <v>3.65</v>
      </c>
      <c r="C390" s="5">
        <f t="shared" si="30"/>
        <v>0.69419665087797888</v>
      </c>
      <c r="D390" s="33">
        <f t="shared" si="31"/>
        <v>64487.057651910705</v>
      </c>
      <c r="E390" s="33">
        <f t="shared" si="32"/>
        <v>289409.37874454842</v>
      </c>
      <c r="F390" s="33">
        <f t="shared" si="33"/>
        <v>1137590.6212554516</v>
      </c>
      <c r="G390" s="33">
        <f t="shared" si="34"/>
        <v>28675.712402079378</v>
      </c>
      <c r="H390" s="33">
        <f t="shared" si="35"/>
        <v>73000</v>
      </c>
    </row>
    <row r="391" spans="2:8" x14ac:dyDescent="0.25">
      <c r="B391" s="5">
        <f>(391-25)/100</f>
        <v>3.66</v>
      </c>
      <c r="C391" s="5">
        <f t="shared" si="30"/>
        <v>0.69350280120975571</v>
      </c>
      <c r="D391" s="33">
        <f t="shared" si="31"/>
        <v>64165.427110069097</v>
      </c>
      <c r="E391" s="33">
        <f t="shared" si="32"/>
        <v>289696.66247384873</v>
      </c>
      <c r="F391" s="33">
        <f t="shared" si="33"/>
        <v>1137103.3375261512</v>
      </c>
      <c r="G391" s="33">
        <f t="shared" si="34"/>
        <v>28780.88203178846</v>
      </c>
      <c r="H391" s="33">
        <f t="shared" si="35"/>
        <v>73200</v>
      </c>
    </row>
    <row r="392" spans="2:8" x14ac:dyDescent="0.25">
      <c r="B392" s="5">
        <f>(392-25)/100</f>
        <v>3.67</v>
      </c>
      <c r="C392" s="5">
        <f t="shared" si="30"/>
        <v>0.69280964504439169</v>
      </c>
      <c r="D392" s="33">
        <f t="shared" si="31"/>
        <v>63845.400707247216</v>
      </c>
      <c r="E392" s="33">
        <f t="shared" si="32"/>
        <v>289984.99336619151</v>
      </c>
      <c r="F392" s="33">
        <f t="shared" si="33"/>
        <v>1136615.0066338084</v>
      </c>
      <c r="G392" s="33">
        <f t="shared" si="34"/>
        <v>28885.145962528401</v>
      </c>
      <c r="H392" s="33">
        <f t="shared" si="35"/>
        <v>73400</v>
      </c>
    </row>
    <row r="393" spans="2:8" x14ac:dyDescent="0.25">
      <c r="B393" s="5">
        <f>(393-25)/100</f>
        <v>3.68</v>
      </c>
      <c r="C393" s="5">
        <f t="shared" si="30"/>
        <v>0.69211718168873038</v>
      </c>
      <c r="D393" s="33">
        <f t="shared" si="31"/>
        <v>63526.970442768274</v>
      </c>
      <c r="E393" s="33">
        <f t="shared" si="32"/>
        <v>290274.36239308777</v>
      </c>
      <c r="F393" s="33">
        <f t="shared" si="33"/>
        <v>1136125.6376069123</v>
      </c>
      <c r="G393" s="33">
        <f t="shared" si="34"/>
        <v>28988.509888655204</v>
      </c>
      <c r="H393" s="33">
        <f t="shared" si="35"/>
        <v>73600</v>
      </c>
    </row>
    <row r="394" spans="2:8" x14ac:dyDescent="0.25">
      <c r="B394" s="5">
        <f>(394-25)/100</f>
        <v>3.69</v>
      </c>
      <c r="C394" s="5">
        <f t="shared" si="30"/>
        <v>0.69142541045030848</v>
      </c>
      <c r="D394" s="33">
        <f t="shared" si="31"/>
        <v>63210.128355859117</v>
      </c>
      <c r="E394" s="33">
        <f t="shared" si="32"/>
        <v>290564.76058281981</v>
      </c>
      <c r="F394" s="33">
        <f t="shared" si="33"/>
        <v>1135635.2394171802</v>
      </c>
      <c r="G394" s="33">
        <f t="shared" si="34"/>
        <v>29090.979470184735</v>
      </c>
      <c r="H394" s="33">
        <f t="shared" si="35"/>
        <v>73800</v>
      </c>
    </row>
    <row r="395" spans="2:8" x14ac:dyDescent="0.25">
      <c r="B395" s="5">
        <f>(395-25)/100</f>
        <v>3.7</v>
      </c>
      <c r="C395" s="5">
        <f t="shared" si="30"/>
        <v>0.69073433063735468</v>
      </c>
      <c r="D395" s="33">
        <f t="shared" si="31"/>
        <v>62894.866525451042</v>
      </c>
      <c r="E395" s="33">
        <f t="shared" si="32"/>
        <v>290856.17902009946</v>
      </c>
      <c r="F395" s="33">
        <f t="shared" si="33"/>
        <v>1135143.8209799007</v>
      </c>
      <c r="G395" s="33">
        <f t="shared" si="34"/>
        <v>29192.560332998462</v>
      </c>
      <c r="H395" s="33">
        <f t="shared" si="35"/>
        <v>74000</v>
      </c>
    </row>
    <row r="396" spans="2:8" x14ac:dyDescent="0.25">
      <c r="B396" s="5">
        <f>(396-25)/100</f>
        <v>3.71</v>
      </c>
      <c r="C396" s="5">
        <f t="shared" si="30"/>
        <v>0.69004394155878901</v>
      </c>
      <c r="D396" s="33">
        <f t="shared" si="31"/>
        <v>62581.177069981895</v>
      </c>
      <c r="E396" s="33">
        <f t="shared" si="32"/>
        <v>291148.60884572763</v>
      </c>
      <c r="F396" s="33">
        <f t="shared" si="33"/>
        <v>1134651.3911542725</v>
      </c>
      <c r="G396" s="33">
        <f t="shared" si="34"/>
        <v>29293.258069047835</v>
      </c>
      <c r="H396" s="33">
        <f t="shared" si="35"/>
        <v>74200</v>
      </c>
    </row>
    <row r="397" spans="2:8" x14ac:dyDescent="0.25">
      <c r="B397" s="5">
        <f>(397-25)/100</f>
        <v>3.72</v>
      </c>
      <c r="C397" s="5">
        <f t="shared" si="30"/>
        <v>0.68935424252422239</v>
      </c>
      <c r="D397" s="33">
        <f t="shared" si="31"/>
        <v>62269.05214719892</v>
      </c>
      <c r="E397" s="33">
        <f t="shared" si="32"/>
        <v>291442.0412562557</v>
      </c>
      <c r="F397" s="33">
        <f t="shared" si="33"/>
        <v>1134157.9587437443</v>
      </c>
      <c r="G397" s="33">
        <f t="shared" si="34"/>
        <v>29393.078236557623</v>
      </c>
      <c r="H397" s="33">
        <f t="shared" si="35"/>
        <v>74400</v>
      </c>
    </row>
    <row r="398" spans="2:8" x14ac:dyDescent="0.25">
      <c r="B398" s="5">
        <f>(398-25)/100</f>
        <v>3.73</v>
      </c>
      <c r="C398" s="5">
        <f t="shared" si="30"/>
        <v>0.68866523284395575</v>
      </c>
      <c r="D398" s="33">
        <f t="shared" si="31"/>
        <v>61958.483953962816</v>
      </c>
      <c r="E398" s="33">
        <f t="shared" si="32"/>
        <v>291736.46750364971</v>
      </c>
      <c r="F398" s="33">
        <f t="shared" si="33"/>
        <v>1133663.5324963504</v>
      </c>
      <c r="G398" s="33">
        <f t="shared" si="34"/>
        <v>29492.026360227876</v>
      </c>
      <c r="H398" s="33">
        <f t="shared" si="35"/>
        <v>74600</v>
      </c>
    </row>
    <row r="399" spans="2:8" x14ac:dyDescent="0.25">
      <c r="B399" s="5">
        <f>(399-25)/100</f>
        <v>3.74</v>
      </c>
      <c r="C399" s="5">
        <f t="shared" si="30"/>
        <v>0.68797691182897935</v>
      </c>
      <c r="D399" s="33">
        <f t="shared" si="31"/>
        <v>61649.46472605256</v>
      </c>
      <c r="E399" s="33">
        <f t="shared" si="32"/>
        <v>292031.87889495573</v>
      </c>
      <c r="F399" s="33">
        <f t="shared" si="33"/>
        <v>1133168.1211050441</v>
      </c>
      <c r="G399" s="33">
        <f t="shared" si="34"/>
        <v>29590.107931434806</v>
      </c>
      <c r="H399" s="33">
        <f t="shared" si="35"/>
        <v>74800</v>
      </c>
    </row>
    <row r="400" spans="2:8" x14ac:dyDescent="0.25">
      <c r="B400" s="5">
        <f>(400-25)/100</f>
        <v>3.75</v>
      </c>
      <c r="C400" s="5">
        <f t="shared" si="30"/>
        <v>0.68728927879097224</v>
      </c>
      <c r="D400" s="33">
        <f t="shared" si="31"/>
        <v>61341.986737971391</v>
      </c>
      <c r="E400" s="33">
        <f t="shared" si="32"/>
        <v>292328.26679196797</v>
      </c>
      <c r="F400" s="33">
        <f t="shared" si="33"/>
        <v>1132671.7332080321</v>
      </c>
      <c r="G400" s="33">
        <f t="shared" si="34"/>
        <v>29687.328408430341</v>
      </c>
      <c r="H400" s="33">
        <f t="shared" si="35"/>
        <v>75000</v>
      </c>
    </row>
    <row r="401" spans="2:8" x14ac:dyDescent="0.25">
      <c r="B401" s="5">
        <f>(401-25)/100</f>
        <v>3.76</v>
      </c>
      <c r="C401" s="5">
        <f t="shared" si="30"/>
        <v>0.68660233304230101</v>
      </c>
      <c r="D401" s="33">
        <f t="shared" si="31"/>
        <v>61036.042302753558</v>
      </c>
      <c r="E401" s="33">
        <f t="shared" si="32"/>
        <v>292625.6226108984</v>
      </c>
      <c r="F401" s="33">
        <f t="shared" si="33"/>
        <v>1132174.3773891015</v>
      </c>
      <c r="G401" s="33">
        <f t="shared" si="34"/>
        <v>29783.693216540571</v>
      </c>
      <c r="H401" s="33">
        <f t="shared" si="35"/>
        <v>75200</v>
      </c>
    </row>
    <row r="402" spans="2:8" x14ac:dyDescent="0.25">
      <c r="B402" s="5">
        <f>(402-25)/100</f>
        <v>3.77</v>
      </c>
      <c r="C402" s="5">
        <f t="shared" si="30"/>
        <v>0.68591607389602016</v>
      </c>
      <c r="D402" s="33">
        <f t="shared" si="31"/>
        <v>60731.62377177224</v>
      </c>
      <c r="E402" s="33">
        <f t="shared" si="32"/>
        <v>292923.93782204809</v>
      </c>
      <c r="F402" s="33">
        <f t="shared" si="33"/>
        <v>1131676.0621779519</v>
      </c>
      <c r="G402" s="33">
        <f t="shared" si="34"/>
        <v>29879.207748363078</v>
      </c>
      <c r="H402" s="33">
        <f t="shared" si="35"/>
        <v>75400</v>
      </c>
    </row>
    <row r="403" spans="2:8" x14ac:dyDescent="0.25">
      <c r="B403" s="5">
        <f>(403-25)/100</f>
        <v>3.78</v>
      </c>
      <c r="C403" s="5">
        <f t="shared" si="30"/>
        <v>0.68523050066587032</v>
      </c>
      <c r="D403" s="33">
        <f t="shared" si="31"/>
        <v>60428.723534548342</v>
      </c>
      <c r="E403" s="33">
        <f t="shared" si="32"/>
        <v>293223.20394948177</v>
      </c>
      <c r="F403" s="33">
        <f t="shared" si="33"/>
        <v>1131176.7960505183</v>
      </c>
      <c r="G403" s="33">
        <f t="shared" si="34"/>
        <v>29973.877363962809</v>
      </c>
      <c r="H403" s="33">
        <f t="shared" si="35"/>
        <v>75600</v>
      </c>
    </row>
    <row r="404" spans="2:8" x14ac:dyDescent="0.25">
      <c r="B404" s="5">
        <f>(404-25)/100</f>
        <v>3.79</v>
      </c>
      <c r="C404" s="5">
        <f t="shared" si="30"/>
        <v>0.68454561266627822</v>
      </c>
      <c r="D404" s="33">
        <f t="shared" si="31"/>
        <v>60127.334018560134</v>
      </c>
      <c r="E404" s="33">
        <f t="shared" si="32"/>
        <v>293523.41257070261</v>
      </c>
      <c r="F404" s="33">
        <f t="shared" si="33"/>
        <v>1130676.5874292974</v>
      </c>
      <c r="G404" s="33">
        <f t="shared" si="34"/>
        <v>30067.707391067142</v>
      </c>
      <c r="H404" s="33">
        <f t="shared" si="35"/>
        <v>75800</v>
      </c>
    </row>
    <row r="405" spans="2:8" x14ac:dyDescent="0.25">
      <c r="B405" s="5">
        <f>(405-25)/100</f>
        <v>3.8</v>
      </c>
      <c r="C405" s="5">
        <f t="shared" si="30"/>
        <v>0.68386140921235583</v>
      </c>
      <c r="D405" s="33">
        <f t="shared" si="31"/>
        <v>59827.447689054025</v>
      </c>
      <c r="E405" s="33">
        <f t="shared" si="32"/>
        <v>293824.55531633034</v>
      </c>
      <c r="F405" s="33">
        <f t="shared" si="33"/>
        <v>1130175.4446836696</v>
      </c>
      <c r="G405" s="33">
        <f t="shared" si="34"/>
        <v>30160.703125259472</v>
      </c>
      <c r="H405" s="33">
        <f t="shared" si="35"/>
        <v>76000</v>
      </c>
    </row>
    <row r="406" spans="2:8" x14ac:dyDescent="0.25">
      <c r="B406" s="5">
        <f>(406-25)/100</f>
        <v>3.81</v>
      </c>
      <c r="C406" s="5">
        <f t="shared" si="30"/>
        <v>0.68317788961989967</v>
      </c>
      <c r="D406" s="33">
        <f t="shared" si="31"/>
        <v>59529.05704885615</v>
      </c>
      <c r="E406" s="33">
        <f t="shared" si="32"/>
        <v>294126.62386978045</v>
      </c>
      <c r="F406" s="33">
        <f t="shared" si="33"/>
        <v>1129673.3761302195</v>
      </c>
      <c r="G406" s="33">
        <f t="shared" si="34"/>
        <v>30252.869830171876</v>
      </c>
      <c r="H406" s="33">
        <f t="shared" si="35"/>
        <v>76200</v>
      </c>
    </row>
    <row r="407" spans="2:8" x14ac:dyDescent="0.25">
      <c r="B407" s="5">
        <f>(407-25)/100</f>
        <v>3.82</v>
      </c>
      <c r="C407" s="5">
        <f t="shared" si="30"/>
        <v>0.68249505320539006</v>
      </c>
      <c r="D407" s="33">
        <f t="shared" si="31"/>
        <v>59232.154638184984</v>
      </c>
      <c r="E407" s="33">
        <f t="shared" si="32"/>
        <v>294429.60996694589</v>
      </c>
      <c r="F407" s="33">
        <f t="shared" si="33"/>
        <v>1129170.3900330542</v>
      </c>
      <c r="G407" s="33">
        <f t="shared" si="34"/>
        <v>30344.212737676426</v>
      </c>
      <c r="H407" s="33">
        <f t="shared" si="35"/>
        <v>76400</v>
      </c>
    </row>
    <row r="408" spans="2:8" x14ac:dyDescent="0.25">
      <c r="B408" s="5">
        <f>(408-25)/100</f>
        <v>3.83</v>
      </c>
      <c r="C408" s="5">
        <f t="shared" si="30"/>
        <v>0.68181289928599054</v>
      </c>
      <c r="D408" s="33">
        <f t="shared" si="31"/>
        <v>58936.733034464771</v>
      </c>
      <c r="E408" s="33">
        <f t="shared" si="32"/>
        <v>294733.50539588043</v>
      </c>
      <c r="F408" s="33">
        <f t="shared" si="33"/>
        <v>1128666.4946041196</v>
      </c>
      <c r="G408" s="33">
        <f t="shared" si="34"/>
        <v>30434.737048075538</v>
      </c>
      <c r="H408" s="33">
        <f t="shared" si="35"/>
        <v>76600</v>
      </c>
    </row>
    <row r="409" spans="2:8" x14ac:dyDescent="0.25">
      <c r="B409" s="5">
        <f>(409-25)/100</f>
        <v>3.84</v>
      </c>
      <c r="C409" s="5">
        <f t="shared" ref="C409:C472" si="36">EXP(-$C$10*B409)</f>
        <v>0.68113142717954711</v>
      </c>
      <c r="D409" s="33">
        <f t="shared" ref="D409:D472" si="37">$C$7*EXP(-$C$9*B409)</f>
        <v>58642.784852140059</v>
      </c>
      <c r="E409" s="33">
        <f t="shared" ref="E409:E472" si="38">C409*D409+(1-C409)*$C$8</f>
        <v>295038.30199648358</v>
      </c>
      <c r="F409" s="33">
        <f t="shared" ref="F409:F472" si="39">$C$12-E409-$C$11*B409</f>
        <v>1128161.6980035165</v>
      </c>
      <c r="G409" s="33">
        <f t="shared" ref="G409:G472" si="40">$C$10*$C$8*EXP(-$C$10*B409)-($C$9+$C$10)*$C$7*EXP(-($C$9+$C$10)*B409)</f>
        <v>30524.447930290997</v>
      </c>
      <c r="H409" s="33">
        <f t="shared" ref="H409:H472" si="41">$C$11*B409</f>
        <v>76800</v>
      </c>
    </row>
    <row r="410" spans="2:8" x14ac:dyDescent="0.25">
      <c r="B410" s="5">
        <f>(410-25)/100</f>
        <v>3.85</v>
      </c>
      <c r="C410" s="5">
        <f t="shared" si="36"/>
        <v>0.68045063620458768</v>
      </c>
      <c r="D410" s="33">
        <f t="shared" si="37"/>
        <v>58350.302742490945</v>
      </c>
      <c r="E410" s="33">
        <f t="shared" si="38"/>
        <v>295343.99166018813</v>
      </c>
      <c r="F410" s="33">
        <f t="shared" si="39"/>
        <v>1127656.0083398118</v>
      </c>
      <c r="G410" s="33">
        <f t="shared" si="40"/>
        <v>30613.350522052056</v>
      </c>
      <c r="H410" s="33">
        <f t="shared" si="41"/>
        <v>77000</v>
      </c>
    </row>
    <row r="411" spans="2:8" x14ac:dyDescent="0.25">
      <c r="B411" s="5">
        <f>(411-25)/100</f>
        <v>3.86</v>
      </c>
      <c r="C411" s="5">
        <f t="shared" si="36"/>
        <v>0.67977052568032104</v>
      </c>
      <c r="D411" s="33">
        <f t="shared" si="37"/>
        <v>58059.279393449491</v>
      </c>
      <c r="E411" s="33">
        <f t="shared" si="38"/>
        <v>295650.56632964895</v>
      </c>
      <c r="F411" s="33">
        <f t="shared" si="39"/>
        <v>1127149.433670351</v>
      </c>
      <c r="G411" s="33">
        <f t="shared" si="40"/>
        <v>30701.449930082203</v>
      </c>
      <c r="H411" s="33">
        <f t="shared" si="41"/>
        <v>77200</v>
      </c>
    </row>
    <row r="412" spans="2:8" x14ac:dyDescent="0.25">
      <c r="B412" s="5">
        <f>(412-25)/100</f>
        <v>3.87</v>
      </c>
      <c r="C412" s="5">
        <f t="shared" si="36"/>
        <v>0.67909109492663677</v>
      </c>
      <c r="D412" s="33">
        <f t="shared" si="37"/>
        <v>57769.707529416788</v>
      </c>
      <c r="E412" s="33">
        <f t="shared" si="38"/>
        <v>295958.01799843379</v>
      </c>
      <c r="F412" s="33">
        <f t="shared" si="39"/>
        <v>1126641.9820015663</v>
      </c>
      <c r="G412" s="33">
        <f t="shared" si="40"/>
        <v>30788.751230285005</v>
      </c>
      <c r="H412" s="33">
        <f t="shared" si="41"/>
        <v>77400</v>
      </c>
    </row>
    <row r="413" spans="2:8" x14ac:dyDescent="0.25">
      <c r="B413" s="5">
        <f>(413-25)/100</f>
        <v>3.88</v>
      </c>
      <c r="C413" s="5">
        <f t="shared" si="36"/>
        <v>0.67841234326410405</v>
      </c>
      <c r="D413" s="33">
        <f t="shared" si="37"/>
        <v>57481.579911081171</v>
      </c>
      <c r="E413" s="33">
        <f t="shared" si="38"/>
        <v>296266.33871071617</v>
      </c>
      <c r="F413" s="33">
        <f t="shared" si="39"/>
        <v>1126133.6612892838</v>
      </c>
      <c r="G413" s="33">
        <f t="shared" si="40"/>
        <v>30875.259467928663</v>
      </c>
      <c r="H413" s="33">
        <f t="shared" si="41"/>
        <v>77600</v>
      </c>
    </row>
    <row r="414" spans="2:8" x14ac:dyDescent="0.25">
      <c r="B414" s="5">
        <f>(414-25)/100</f>
        <v>3.89</v>
      </c>
      <c r="C414" s="5">
        <f t="shared" si="36"/>
        <v>0.67773427001397113</v>
      </c>
      <c r="D414" s="33">
        <f t="shared" si="37"/>
        <v>57194.889335237152</v>
      </c>
      <c r="E414" s="33">
        <f t="shared" si="38"/>
        <v>296575.52056096989</v>
      </c>
      <c r="F414" s="33">
        <f t="shared" si="39"/>
        <v>1125624.4794390302</v>
      </c>
      <c r="G414" s="33">
        <f t="shared" si="40"/>
        <v>30960.979657829601</v>
      </c>
      <c r="H414" s="33">
        <f t="shared" si="41"/>
        <v>77800</v>
      </c>
    </row>
    <row r="415" spans="2:8" x14ac:dyDescent="0.25">
      <c r="B415" s="5">
        <f>(415-25)/100</f>
        <v>3.9</v>
      </c>
      <c r="C415" s="5">
        <f t="shared" si="36"/>
        <v>0.67705687449816465</v>
      </c>
      <c r="D415" s="33">
        <f t="shared" si="37"/>
        <v>56909.628634605433</v>
      </c>
      <c r="E415" s="33">
        <f t="shared" si="38"/>
        <v>296885.55569366546</v>
      </c>
      <c r="F415" s="33">
        <f t="shared" si="39"/>
        <v>1125114.4443063345</v>
      </c>
      <c r="G415" s="33">
        <f t="shared" si="40"/>
        <v>31045.916784534846</v>
      </c>
      <c r="H415" s="33">
        <f t="shared" si="41"/>
        <v>78000</v>
      </c>
    </row>
    <row r="416" spans="2:8" x14ac:dyDescent="0.25">
      <c r="B416" s="5">
        <f>(416-25)/100</f>
        <v>3.91</v>
      </c>
      <c r="C416" s="5">
        <f t="shared" si="36"/>
        <v>0.67638015603928914</v>
      </c>
      <c r="D416" s="33">
        <f t="shared" si="37"/>
        <v>56625.790677653611</v>
      </c>
      <c r="E416" s="33">
        <f t="shared" si="38"/>
        <v>297196.43630296818</v>
      </c>
      <c r="F416" s="33">
        <f t="shared" si="39"/>
        <v>1124603.5636970317</v>
      </c>
      <c r="G416" s="33">
        <f t="shared" si="40"/>
        <v>31130.075802503448</v>
      </c>
      <c r="H416" s="33">
        <f t="shared" si="41"/>
        <v>78200</v>
      </c>
    </row>
    <row r="417" spans="2:8" x14ac:dyDescent="0.25">
      <c r="B417" s="5">
        <f>(417-25)/100</f>
        <v>3.92</v>
      </c>
      <c r="C417" s="5">
        <f t="shared" si="36"/>
        <v>0.67570411396062602</v>
      </c>
      <c r="D417" s="33">
        <f t="shared" si="37"/>
        <v>56343.368368418</v>
      </c>
      <c r="E417" s="33">
        <f t="shared" si="38"/>
        <v>297508.15463243821</v>
      </c>
      <c r="F417" s="33">
        <f t="shared" si="39"/>
        <v>1124091.8453675618</v>
      </c>
      <c r="G417" s="33">
        <f t="shared" si="40"/>
        <v>31213.461636286647</v>
      </c>
      <c r="H417" s="33">
        <f t="shared" si="41"/>
        <v>78400</v>
      </c>
    </row>
    <row r="418" spans="2:8" x14ac:dyDescent="0.25">
      <c r="B418" s="5">
        <f>(418-25)/100</f>
        <v>3.93</v>
      </c>
      <c r="C418" s="5">
        <f t="shared" si="36"/>
        <v>0.67502874758613318</v>
      </c>
      <c r="D418" s="33">
        <f t="shared" si="37"/>
        <v>56062.354646326137</v>
      </c>
      <c r="E418" s="33">
        <f t="shared" si="38"/>
        <v>297820.70297473262</v>
      </c>
      <c r="F418" s="33">
        <f t="shared" si="39"/>
        <v>1123579.2970252675</v>
      </c>
      <c r="G418" s="33">
        <f t="shared" si="40"/>
        <v>31296.079180707151</v>
      </c>
      <c r="H418" s="33">
        <f t="shared" si="41"/>
        <v>78600</v>
      </c>
    </row>
    <row r="419" spans="2:8" x14ac:dyDescent="0.25">
      <c r="B419" s="5">
        <f>(419-25)/100</f>
        <v>3.94</v>
      </c>
      <c r="C419" s="5">
        <f t="shared" si="36"/>
        <v>0.6743540562404442</v>
      </c>
      <c r="D419" s="33">
        <f t="shared" si="37"/>
        <v>55782.742486020376</v>
      </c>
      <c r="E419" s="33">
        <f t="shared" si="38"/>
        <v>298134.07367130864</v>
      </c>
      <c r="F419" s="33">
        <f t="shared" si="39"/>
        <v>1123065.9263286914</v>
      </c>
      <c r="G419" s="33">
        <f t="shared" si="40"/>
        <v>31377.933301037137</v>
      </c>
      <c r="H419" s="33">
        <f t="shared" si="41"/>
        <v>78800</v>
      </c>
    </row>
    <row r="420" spans="2:8" x14ac:dyDescent="0.25">
      <c r="B420" s="5">
        <f>(420-25)/100</f>
        <v>3.95</v>
      </c>
      <c r="C420" s="5">
        <f t="shared" si="36"/>
        <v>0.67368003924886766</v>
      </c>
      <c r="D420" s="33">
        <f t="shared" si="37"/>
        <v>55504.524897182098</v>
      </c>
      <c r="E420" s="33">
        <f t="shared" si="38"/>
        <v>298448.25911212928</v>
      </c>
      <c r="F420" s="33">
        <f t="shared" si="39"/>
        <v>1122551.7408878708</v>
      </c>
      <c r="G420" s="33">
        <f t="shared" si="40"/>
        <v>31459.028833175376</v>
      </c>
      <c r="H420" s="33">
        <f t="shared" si="41"/>
        <v>79000</v>
      </c>
    </row>
    <row r="421" spans="2:8" x14ac:dyDescent="0.25">
      <c r="B421" s="5">
        <f>(421-25)/100</f>
        <v>3.96</v>
      </c>
      <c r="C421" s="5">
        <f t="shared" si="36"/>
        <v>0.67300669593738638</v>
      </c>
      <c r="D421" s="33">
        <f t="shared" si="37"/>
        <v>55227.694924357129</v>
      </c>
      <c r="E421" s="33">
        <f t="shared" si="38"/>
        <v>298763.25173537043</v>
      </c>
      <c r="F421" s="33">
        <f t="shared" si="39"/>
        <v>1122036.7482646296</v>
      </c>
      <c r="G421" s="33">
        <f t="shared" si="40"/>
        <v>31539.370583823176</v>
      </c>
      <c r="H421" s="33">
        <f t="shared" si="41"/>
        <v>79200</v>
      </c>
    </row>
    <row r="422" spans="2:8" x14ac:dyDescent="0.25">
      <c r="B422" s="5">
        <f>(422-25)/100</f>
        <v>3.97</v>
      </c>
      <c r="C422" s="5">
        <f t="shared" si="36"/>
        <v>0.67233402563265721</v>
      </c>
      <c r="D422" s="33">
        <f t="shared" si="37"/>
        <v>54952.245646781696</v>
      </c>
      <c r="E422" s="33">
        <f t="shared" si="38"/>
        <v>299079.04402712965</v>
      </c>
      <c r="F422" s="33">
        <f t="shared" si="39"/>
        <v>1121520.9559728703</v>
      </c>
      <c r="G422" s="33">
        <f t="shared" si="40"/>
        <v>31618.963330659331</v>
      </c>
      <c r="H422" s="33">
        <f t="shared" si="41"/>
        <v>79400</v>
      </c>
    </row>
    <row r="423" spans="2:8" x14ac:dyDescent="0.25">
      <c r="B423" s="5">
        <f>(423-25)/100</f>
        <v>3.98</v>
      </c>
      <c r="C423" s="5">
        <f t="shared" si="36"/>
        <v>0.67166202766200978</v>
      </c>
      <c r="D423" s="33">
        <f t="shared" si="37"/>
        <v>54678.170178209541</v>
      </c>
      <c r="E423" s="33">
        <f t="shared" si="38"/>
        <v>299395.62852113682</v>
      </c>
      <c r="F423" s="33">
        <f t="shared" si="39"/>
        <v>1121004.3714788631</v>
      </c>
      <c r="G423" s="33">
        <f t="shared" si="40"/>
        <v>31697.811822513984</v>
      </c>
      <c r="H423" s="33">
        <f t="shared" si="41"/>
        <v>79600</v>
      </c>
    </row>
    <row r="424" spans="2:8" x14ac:dyDescent="0.25">
      <c r="B424" s="5">
        <f>(424-25)/100</f>
        <v>3.99</v>
      </c>
      <c r="C424" s="5">
        <f t="shared" si="36"/>
        <v>0.67099070135344585</v>
      </c>
      <c r="D424" s="33">
        <f t="shared" si="37"/>
        <v>54405.461666739662</v>
      </c>
      <c r="E424" s="33">
        <f t="shared" si="38"/>
        <v>299712.997798467</v>
      </c>
      <c r="F424" s="33">
        <f t="shared" si="39"/>
        <v>1120487.0022015329</v>
      </c>
      <c r="G424" s="33">
        <f t="shared" si="40"/>
        <v>31775.92077954147</v>
      </c>
      <c r="H424" s="33">
        <f t="shared" si="41"/>
        <v>79800</v>
      </c>
    </row>
    <row r="425" spans="2:8" x14ac:dyDescent="0.25">
      <c r="B425" s="5">
        <f>(425-25)/100</f>
        <v>4</v>
      </c>
      <c r="C425" s="5">
        <f t="shared" si="36"/>
        <v>0.67032004603563933</v>
      </c>
      <c r="D425" s="33">
        <f t="shared" si="37"/>
        <v>54134.113294645082</v>
      </c>
      <c r="E425" s="33">
        <f t="shared" si="38"/>
        <v>300031.14448725356</v>
      </c>
      <c r="F425" s="33">
        <f t="shared" si="39"/>
        <v>1119968.8555127464</v>
      </c>
      <c r="G425" s="33">
        <f t="shared" si="40"/>
        <v>31853.294893392147</v>
      </c>
      <c r="H425" s="33">
        <f t="shared" si="41"/>
        <v>80000</v>
      </c>
    </row>
    <row r="426" spans="2:8" x14ac:dyDescent="0.25">
      <c r="B426" s="5">
        <f>(426-25)/100</f>
        <v>4.01</v>
      </c>
      <c r="C426" s="5">
        <f t="shared" si="36"/>
        <v>0.66965006103793456</v>
      </c>
      <c r="D426" s="33">
        <f t="shared" si="37"/>
        <v>53864.118278202346</v>
      </c>
      <c r="E426" s="33">
        <f t="shared" si="38"/>
        <v>300350.06126240507</v>
      </c>
      <c r="F426" s="33">
        <f t="shared" si="39"/>
        <v>1119449.938737595</v>
      </c>
      <c r="G426" s="33">
        <f t="shared" si="40"/>
        <v>31929.938827383125</v>
      </c>
      <c r="H426" s="33">
        <f t="shared" si="41"/>
        <v>80200</v>
      </c>
    </row>
    <row r="427" spans="2:8" x14ac:dyDescent="0.25">
      <c r="B427" s="5">
        <f>(427-25)/100</f>
        <v>4.0199999999999996</v>
      </c>
      <c r="C427" s="5">
        <f t="shared" si="36"/>
        <v>0.66898074569034671</v>
      </c>
      <c r="D427" s="33">
        <f t="shared" si="37"/>
        <v>53595.469867521992</v>
      </c>
      <c r="E427" s="33">
        <f t="shared" si="38"/>
        <v>300669.74084532197</v>
      </c>
      <c r="F427" s="33">
        <f t="shared" si="39"/>
        <v>1118930.2591546781</v>
      </c>
      <c r="G427" s="33">
        <f t="shared" si="40"/>
        <v>32005.857216668104</v>
      </c>
      <c r="H427" s="33">
        <f t="shared" si="41"/>
        <v>80399.999999999985</v>
      </c>
    </row>
    <row r="428" spans="2:8" x14ac:dyDescent="0.25">
      <c r="B428" s="5">
        <f>(428-25)/100</f>
        <v>4.03</v>
      </c>
      <c r="C428" s="5">
        <f t="shared" si="36"/>
        <v>0.66831209932356028</v>
      </c>
      <c r="D428" s="33">
        <f t="shared" si="37"/>
        <v>53328.16134637974</v>
      </c>
      <c r="E428" s="33">
        <f t="shared" si="38"/>
        <v>300990.17600361636</v>
      </c>
      <c r="F428" s="33">
        <f t="shared" si="39"/>
        <v>1118409.8239963837</v>
      </c>
      <c r="G428" s="33">
        <f t="shared" si="40"/>
        <v>32081.054668406076</v>
      </c>
      <c r="H428" s="33">
        <f t="shared" si="41"/>
        <v>80600</v>
      </c>
    </row>
    <row r="429" spans="2:8" x14ac:dyDescent="0.25">
      <c r="B429" s="5">
        <f>(429-25)/100</f>
        <v>4.04</v>
      </c>
      <c r="C429" s="5">
        <f t="shared" si="36"/>
        <v>0.66764412126892891</v>
      </c>
      <c r="D429" s="33">
        <f t="shared" si="37"/>
        <v>53062.186032048689</v>
      </c>
      <c r="E429" s="33">
        <f t="shared" si="38"/>
        <v>301311.35955083242</v>
      </c>
      <c r="F429" s="33">
        <f t="shared" si="39"/>
        <v>1117888.6404491677</v>
      </c>
      <c r="G429" s="33">
        <f t="shared" si="40"/>
        <v>32155.535761928964</v>
      </c>
      <c r="H429" s="33">
        <f t="shared" si="41"/>
        <v>80800</v>
      </c>
    </row>
    <row r="430" spans="2:8" x14ac:dyDescent="0.25">
      <c r="B430" s="5">
        <f>(430-25)/100</f>
        <v>4.05</v>
      </c>
      <c r="C430" s="5">
        <f t="shared" si="36"/>
        <v>0.66697681085847438</v>
      </c>
      <c r="D430" s="33">
        <f t="shared" si="37"/>
        <v>52797.53727513209</v>
      </c>
      <c r="E430" s="33">
        <f t="shared" si="38"/>
        <v>301633.28434616956</v>
      </c>
      <c r="F430" s="33">
        <f t="shared" si="39"/>
        <v>1117366.7156538304</v>
      </c>
      <c r="G430" s="33">
        <f t="shared" si="40"/>
        <v>32229.305048908525</v>
      </c>
      <c r="H430" s="33">
        <f t="shared" si="41"/>
        <v>81000</v>
      </c>
    </row>
    <row r="431" spans="2:8" x14ac:dyDescent="0.25">
      <c r="B431" s="5">
        <f>(431-25)/100</f>
        <v>4.0599999999999996</v>
      </c>
      <c r="C431" s="5">
        <f t="shared" si="36"/>
        <v>0.66631016742488636</v>
      </c>
      <c r="D431" s="33">
        <f t="shared" si="37"/>
        <v>52534.208459397247</v>
      </c>
      <c r="E431" s="33">
        <f t="shared" si="38"/>
        <v>301955.94329420576</v>
      </c>
      <c r="F431" s="33">
        <f t="shared" si="39"/>
        <v>1116844.0567057943</v>
      </c>
      <c r="G431" s="33">
        <f t="shared" si="40"/>
        <v>32302.36705352199</v>
      </c>
      <c r="H431" s="33">
        <f t="shared" si="41"/>
        <v>81199.999999999985</v>
      </c>
    </row>
    <row r="432" spans="2:8" x14ac:dyDescent="0.25">
      <c r="B432" s="5">
        <f>(432-25)/100</f>
        <v>4.07</v>
      </c>
      <c r="C432" s="5">
        <f t="shared" si="36"/>
        <v>0.66564419030152122</v>
      </c>
      <c r="D432" s="33">
        <f t="shared" si="37"/>
        <v>52272.193001610009</v>
      </c>
      <c r="E432" s="33">
        <f t="shared" si="38"/>
        <v>302279.32934462454</v>
      </c>
      <c r="F432" s="33">
        <f t="shared" si="39"/>
        <v>1116320.6706553753</v>
      </c>
      <c r="G432" s="33">
        <f t="shared" si="40"/>
        <v>32374.726272616772</v>
      </c>
      <c r="H432" s="33">
        <f t="shared" si="41"/>
        <v>81400</v>
      </c>
    </row>
    <row r="433" spans="2:8" x14ac:dyDescent="0.25">
      <c r="B433" s="5">
        <f>(433-25)/100</f>
        <v>4.08</v>
      </c>
      <c r="C433" s="5">
        <f t="shared" si="36"/>
        <v>0.66497887882240192</v>
      </c>
      <c r="D433" s="33">
        <f t="shared" si="37"/>
        <v>52011.48435137036</v>
      </c>
      <c r="E433" s="33">
        <f t="shared" si="38"/>
        <v>302603.43549194164</v>
      </c>
      <c r="F433" s="33">
        <f t="shared" si="39"/>
        <v>1115796.5645080584</v>
      </c>
      <c r="G433" s="33">
        <f t="shared" si="40"/>
        <v>32446.387175874253</v>
      </c>
      <c r="H433" s="33">
        <f t="shared" si="41"/>
        <v>81600</v>
      </c>
    </row>
    <row r="434" spans="2:8" x14ac:dyDescent="0.25">
      <c r="B434" s="5">
        <f>(434-25)/100</f>
        <v>4.09</v>
      </c>
      <c r="C434" s="5">
        <f t="shared" si="36"/>
        <v>0.66431423232221676</v>
      </c>
      <c r="D434" s="33">
        <f t="shared" si="37"/>
        <v>51752.075990948433</v>
      </c>
      <c r="E434" s="33">
        <f t="shared" si="38"/>
        <v>302928.2547752345</v>
      </c>
      <c r="F434" s="33">
        <f t="shared" si="39"/>
        <v>1115271.7452247655</v>
      </c>
      <c r="G434" s="33">
        <f t="shared" si="40"/>
        <v>32517.354205972577</v>
      </c>
      <c r="H434" s="33">
        <f t="shared" si="41"/>
        <v>81800</v>
      </c>
    </row>
    <row r="435" spans="2:8" x14ac:dyDescent="0.25">
      <c r="B435" s="5">
        <f>(435-25)/100</f>
        <v>4.0999999999999996</v>
      </c>
      <c r="C435" s="5">
        <f t="shared" si="36"/>
        <v>0.6636502501363194</v>
      </c>
      <c r="D435" s="33">
        <f t="shared" si="37"/>
        <v>51493.961435121695</v>
      </c>
      <c r="E435" s="33">
        <f t="shared" si="38"/>
        <v>303253.78027787298</v>
      </c>
      <c r="F435" s="33">
        <f t="shared" si="39"/>
        <v>1114746.2197221271</v>
      </c>
      <c r="G435" s="33">
        <f t="shared" si="40"/>
        <v>32587.631778748444</v>
      </c>
      <c r="H435" s="33">
        <f t="shared" si="41"/>
        <v>82000</v>
      </c>
    </row>
    <row r="436" spans="2:8" x14ac:dyDescent="0.25">
      <c r="B436" s="5">
        <f>(436-25)/100</f>
        <v>4.1100000000000003</v>
      </c>
      <c r="C436" s="5">
        <f t="shared" si="36"/>
        <v>0.66298693160072741</v>
      </c>
      <c r="D436" s="33">
        <f t="shared" si="37"/>
        <v>51237.134231012795</v>
      </c>
      <c r="E436" s="33">
        <f t="shared" si="38"/>
        <v>303580.00512725185</v>
      </c>
      <c r="F436" s="33">
        <f t="shared" si="39"/>
        <v>1114219.9948727482</v>
      </c>
      <c r="G436" s="33">
        <f t="shared" si="40"/>
        <v>32657.224283357937</v>
      </c>
      <c r="H436" s="33">
        <f t="shared" si="41"/>
        <v>82200</v>
      </c>
    </row>
    <row r="437" spans="2:8" x14ac:dyDescent="0.25">
      <c r="B437" s="5">
        <f>(437-25)/100</f>
        <v>4.12</v>
      </c>
      <c r="C437" s="5">
        <f t="shared" si="36"/>
        <v>0.66232427605212219</v>
      </c>
      <c r="D437" s="33">
        <f t="shared" si="37"/>
        <v>50981.587957928299</v>
      </c>
      <c r="E437" s="33">
        <f t="shared" si="38"/>
        <v>303906.92249452474</v>
      </c>
      <c r="F437" s="33">
        <f t="shared" si="39"/>
        <v>1113693.0775054754</v>
      </c>
      <c r="G437" s="33">
        <f t="shared" si="40"/>
        <v>32726.1360824363</v>
      </c>
      <c r="H437" s="33">
        <f t="shared" si="41"/>
        <v>82400</v>
      </c>
    </row>
    <row r="438" spans="2:8" x14ac:dyDescent="0.25">
      <c r="B438" s="5">
        <f>(438-25)/100</f>
        <v>4.13</v>
      </c>
      <c r="C438" s="5">
        <f t="shared" si="36"/>
        <v>0.66166228282784834</v>
      </c>
      <c r="D438" s="33">
        <f t="shared" si="37"/>
        <v>50727.31622719804</v>
      </c>
      <c r="E438" s="33">
        <f t="shared" si="38"/>
        <v>304234.52559433936</v>
      </c>
      <c r="F438" s="33">
        <f t="shared" si="39"/>
        <v>1113165.4744056608</v>
      </c>
      <c r="G438" s="33">
        <f t="shared" si="40"/>
        <v>32794.371512257057</v>
      </c>
      <c r="H438" s="33">
        <f t="shared" si="41"/>
        <v>82600</v>
      </c>
    </row>
    <row r="439" spans="2:8" x14ac:dyDescent="0.25">
      <c r="B439" s="5">
        <f>(439-25)/100</f>
        <v>4.1399999999999997</v>
      </c>
      <c r="C439" s="5">
        <f t="shared" si="36"/>
        <v>0.66100095126591252</v>
      </c>
      <c r="D439" s="33">
        <f t="shared" si="37"/>
        <v>50474.312682015508</v>
      </c>
      <c r="E439" s="33">
        <f t="shared" si="38"/>
        <v>304562.80768457532</v>
      </c>
      <c r="F439" s="33">
        <f t="shared" si="39"/>
        <v>1112637.1923154248</v>
      </c>
      <c r="G439" s="33">
        <f t="shared" si="40"/>
        <v>32861.934882889778</v>
      </c>
      <c r="H439" s="33">
        <f t="shared" si="41"/>
        <v>82800</v>
      </c>
    </row>
    <row r="440" spans="2:8" x14ac:dyDescent="0.25">
      <c r="B440" s="5">
        <f>(440-25)/100</f>
        <v>4.1500000000000004</v>
      </c>
      <c r="C440" s="5">
        <f t="shared" si="36"/>
        <v>0.66034028070498285</v>
      </c>
      <c r="D440" s="33">
        <f t="shared" si="37"/>
        <v>50222.570997278883</v>
      </c>
      <c r="E440" s="33">
        <f t="shared" si="38"/>
        <v>304891.7620660828</v>
      </c>
      <c r="F440" s="33">
        <f t="shared" si="39"/>
        <v>1112108.2379339172</v>
      </c>
      <c r="G440" s="33">
        <f t="shared" si="40"/>
        <v>32928.830478357195</v>
      </c>
      <c r="H440" s="33">
        <f t="shared" si="41"/>
        <v>83000</v>
      </c>
    </row>
    <row r="441" spans="2:8" x14ac:dyDescent="0.25">
      <c r="B441" s="5">
        <f>(441-25)/100</f>
        <v>4.16</v>
      </c>
      <c r="C441" s="5">
        <f t="shared" si="36"/>
        <v>0.65968027048438904</v>
      </c>
      <c r="D441" s="33">
        <f t="shared" si="37"/>
        <v>49972.084879432965</v>
      </c>
      <c r="E441" s="33">
        <f t="shared" si="38"/>
        <v>305221.38208242197</v>
      </c>
      <c r="F441" s="33">
        <f t="shared" si="39"/>
        <v>1111578.617917578</v>
      </c>
      <c r="G441" s="33">
        <f t="shared" si="40"/>
        <v>32995.062556791214</v>
      </c>
      <c r="H441" s="33">
        <f t="shared" si="41"/>
        <v>83200</v>
      </c>
    </row>
    <row r="442" spans="2:8" x14ac:dyDescent="0.25">
      <c r="B442" s="5">
        <f>(442-25)/100</f>
        <v>4.17</v>
      </c>
      <c r="C442" s="5">
        <f t="shared" si="36"/>
        <v>0.6590209199441206</v>
      </c>
      <c r="D442" s="33">
        <f t="shared" si="37"/>
        <v>49722.848066311752</v>
      </c>
      <c r="E442" s="33">
        <f t="shared" si="38"/>
        <v>305551.661119606</v>
      </c>
      <c r="F442" s="33">
        <f t="shared" si="39"/>
        <v>1111048.3388803941</v>
      </c>
      <c r="G442" s="33">
        <f t="shared" si="40"/>
        <v>33060.635350588134</v>
      </c>
      <c r="H442" s="33">
        <f t="shared" si="41"/>
        <v>83400</v>
      </c>
    </row>
    <row r="443" spans="2:8" x14ac:dyDescent="0.25">
      <c r="B443" s="5">
        <f>(443-25)/100</f>
        <v>4.18</v>
      </c>
      <c r="C443" s="5">
        <f t="shared" si="36"/>
        <v>0.65836222842482717</v>
      </c>
      <c r="D443" s="33">
        <f t="shared" si="37"/>
        <v>49474.854326981935</v>
      </c>
      <c r="E443" s="33">
        <f t="shared" si="38"/>
        <v>305882.59260584379</v>
      </c>
      <c r="F443" s="33">
        <f t="shared" si="39"/>
        <v>1110517.4073941563</v>
      </c>
      <c r="G443" s="33">
        <f t="shared" si="40"/>
        <v>33125.553066562854</v>
      </c>
      <c r="H443" s="33">
        <f t="shared" si="41"/>
        <v>83600</v>
      </c>
    </row>
    <row r="444" spans="2:8" x14ac:dyDescent="0.25">
      <c r="B444" s="5">
        <f>(444-25)/100</f>
        <v>4.1900000000000004</v>
      </c>
      <c r="C444" s="5">
        <f t="shared" si="36"/>
        <v>0.65770419526781687</v>
      </c>
      <c r="D444" s="33">
        <f t="shared" si="37"/>
        <v>49228.09746158708</v>
      </c>
      <c r="E444" s="33">
        <f t="shared" si="38"/>
        <v>306214.17001128528</v>
      </c>
      <c r="F444" s="33">
        <f t="shared" si="39"/>
        <v>1109985.8299887148</v>
      </c>
      <c r="G444" s="33">
        <f t="shared" si="40"/>
        <v>33189.819886102079</v>
      </c>
      <c r="H444" s="33">
        <f t="shared" si="41"/>
        <v>83800.000000000015</v>
      </c>
    </row>
    <row r="445" spans="2:8" x14ac:dyDescent="0.25">
      <c r="B445" s="5">
        <f>(445-25)/100</f>
        <v>4.2</v>
      </c>
      <c r="C445" s="5">
        <f t="shared" si="36"/>
        <v>0.65704681981505675</v>
      </c>
      <c r="D445" s="33">
        <f t="shared" si="37"/>
        <v>48982.571301192766</v>
      </c>
      <c r="E445" s="33">
        <f t="shared" si="38"/>
        <v>306546.38684776757</v>
      </c>
      <c r="F445" s="33">
        <f t="shared" si="39"/>
        <v>1109453.6131522325</v>
      </c>
      <c r="G445" s="33">
        <f t="shared" si="40"/>
        <v>33253.439965316749</v>
      </c>
      <c r="H445" s="33">
        <f t="shared" si="41"/>
        <v>84000</v>
      </c>
    </row>
    <row r="446" spans="2:8" x14ac:dyDescent="0.25">
      <c r="B446" s="5">
        <f>(446-25)/100</f>
        <v>4.21</v>
      </c>
      <c r="C446" s="5">
        <f t="shared" si="36"/>
        <v>0.6563901014091712</v>
      </c>
      <c r="D446" s="33">
        <f t="shared" si="37"/>
        <v>48738.269707632142</v>
      </c>
      <c r="E446" s="33">
        <f t="shared" si="38"/>
        <v>306879.23666856327</v>
      </c>
      <c r="F446" s="33">
        <f t="shared" si="39"/>
        <v>1108920.7633314368</v>
      </c>
      <c r="G446" s="33">
        <f t="shared" si="40"/>
        <v>33316.417435193573</v>
      </c>
      <c r="H446" s="33">
        <f t="shared" si="41"/>
        <v>84200</v>
      </c>
    </row>
    <row r="447" spans="2:8" x14ac:dyDescent="0.25">
      <c r="B447" s="5">
        <f>(447-25)/100</f>
        <v>4.22</v>
      </c>
      <c r="C447" s="5">
        <f t="shared" si="36"/>
        <v>0.65573403939344177</v>
      </c>
      <c r="D447" s="33">
        <f t="shared" si="37"/>
        <v>48495.186573352672</v>
      </c>
      <c r="E447" s="33">
        <f t="shared" si="38"/>
        <v>307212.71306812973</v>
      </c>
      <c r="F447" s="33">
        <f t="shared" si="39"/>
        <v>1108387.2869318703</v>
      </c>
      <c r="G447" s="33">
        <f t="shared" si="40"/>
        <v>33378.75640174545</v>
      </c>
      <c r="H447" s="33">
        <f t="shared" si="41"/>
        <v>84400</v>
      </c>
    </row>
    <row r="448" spans="2:8" x14ac:dyDescent="0.25">
      <c r="B448" s="5">
        <f>(448-25)/100</f>
        <v>4.2300000000000004</v>
      </c>
      <c r="C448" s="5">
        <f t="shared" si="36"/>
        <v>0.65507863311180625</v>
      </c>
      <c r="D448" s="33">
        <f t="shared" si="37"/>
        <v>48253.315821263306</v>
      </c>
      <c r="E448" s="33">
        <f t="shared" si="38"/>
        <v>307546.80968186044</v>
      </c>
      <c r="F448" s="33">
        <f t="shared" si="39"/>
        <v>1107853.1903181395</v>
      </c>
      <c r="G448" s="33">
        <f t="shared" si="40"/>
        <v>33440.460946161227</v>
      </c>
      <c r="H448" s="33">
        <f t="shared" si="41"/>
        <v>84600.000000000015</v>
      </c>
    </row>
    <row r="449" spans="2:8" x14ac:dyDescent="0.25">
      <c r="B449" s="5">
        <f>(449-25)/100</f>
        <v>4.24</v>
      </c>
      <c r="C449" s="5">
        <f t="shared" si="36"/>
        <v>0.65442388190885858</v>
      </c>
      <c r="D449" s="33">
        <f t="shared" si="37"/>
        <v>48012.651404582692</v>
      </c>
      <c r="E449" s="33">
        <f t="shared" si="38"/>
        <v>307881.52018583694</v>
      </c>
      <c r="F449" s="33">
        <f t="shared" si="39"/>
        <v>1107318.4798141629</v>
      </c>
      <c r="G449" s="33">
        <f t="shared" si="40"/>
        <v>33501.535124954396</v>
      </c>
      <c r="H449" s="33">
        <f t="shared" si="41"/>
        <v>84800</v>
      </c>
    </row>
    <row r="450" spans="2:8" x14ac:dyDescent="0.25">
      <c r="B450" s="5">
        <f>(450-25)/100</f>
        <v>4.25</v>
      </c>
      <c r="C450" s="5">
        <f t="shared" si="36"/>
        <v>0.65376978512984729</v>
      </c>
      <c r="D450" s="33">
        <f t="shared" si="37"/>
        <v>47773.187306687847</v>
      </c>
      <c r="E450" s="33">
        <f t="shared" si="38"/>
        <v>308216.83829658345</v>
      </c>
      <c r="F450" s="33">
        <f t="shared" si="39"/>
        <v>1106783.1617034166</v>
      </c>
      <c r="G450" s="33">
        <f t="shared" si="40"/>
        <v>33561.982970111028</v>
      </c>
      <c r="H450" s="33">
        <f t="shared" si="41"/>
        <v>85000</v>
      </c>
    </row>
    <row r="451" spans="2:8" x14ac:dyDescent="0.25">
      <c r="B451" s="5">
        <f>(451-25)/100</f>
        <v>4.26</v>
      </c>
      <c r="C451" s="5">
        <f t="shared" si="36"/>
        <v>0.6531163421206756</v>
      </c>
      <c r="D451" s="33">
        <f t="shared" si="37"/>
        <v>47534.917540963863</v>
      </c>
      <c r="E451" s="33">
        <f t="shared" si="38"/>
        <v>308552.75777082174</v>
      </c>
      <c r="F451" s="33">
        <f t="shared" si="39"/>
        <v>1106247.2422291783</v>
      </c>
      <c r="G451" s="33">
        <f t="shared" si="40"/>
        <v>33621.80848923669</v>
      </c>
      <c r="H451" s="33">
        <f t="shared" si="41"/>
        <v>85200</v>
      </c>
    </row>
    <row r="452" spans="2:8" x14ac:dyDescent="0.25">
      <c r="B452" s="5">
        <f>(452-25)/100</f>
        <v>4.2699999999999996</v>
      </c>
      <c r="C452" s="5">
        <f t="shared" si="36"/>
        <v>0.65246355222790042</v>
      </c>
      <c r="D452" s="33">
        <f t="shared" si="37"/>
        <v>47297.836150654177</v>
      </c>
      <c r="E452" s="33">
        <f t="shared" si="38"/>
        <v>308889.27240522869</v>
      </c>
      <c r="F452" s="33">
        <f t="shared" si="39"/>
        <v>1105710.7275947714</v>
      </c>
      <c r="G452" s="33">
        <f t="shared" si="40"/>
        <v>33681.015665702616</v>
      </c>
      <c r="H452" s="33">
        <f t="shared" si="41"/>
        <v>85399.999999999985</v>
      </c>
    </row>
    <row r="453" spans="2:8" x14ac:dyDescent="0.25">
      <c r="B453" s="5">
        <f>(453-25)/100</f>
        <v>4.28</v>
      </c>
      <c r="C453" s="5">
        <f t="shared" si="36"/>
        <v>0.65181141479873195</v>
      </c>
      <c r="D453" s="33">
        <f t="shared" si="37"/>
        <v>47061.937208711672</v>
      </c>
      <c r="E453" s="33">
        <f t="shared" si="38"/>
        <v>309226.37603619392</v>
      </c>
      <c r="F453" s="33">
        <f t="shared" si="39"/>
        <v>1105173.6239638061</v>
      </c>
      <c r="G453" s="33">
        <f t="shared" si="40"/>
        <v>33739.608458790892</v>
      </c>
      <c r="H453" s="33">
        <f t="shared" si="41"/>
        <v>85600</v>
      </c>
    </row>
    <row r="454" spans="2:8" x14ac:dyDescent="0.25">
      <c r="B454" s="5">
        <f>(454-25)/100</f>
        <v>4.29</v>
      </c>
      <c r="C454" s="5">
        <f t="shared" si="36"/>
        <v>0.65115992918103249</v>
      </c>
      <c r="D454" s="33">
        <f t="shared" si="37"/>
        <v>46827.214817650551</v>
      </c>
      <c r="E454" s="33">
        <f t="shared" si="38"/>
        <v>309564.06253958034</v>
      </c>
      <c r="F454" s="33">
        <f t="shared" si="39"/>
        <v>1104635.9374604197</v>
      </c>
      <c r="G454" s="33">
        <f t="shared" si="40"/>
        <v>33797.590803838801</v>
      </c>
      <c r="H454" s="33">
        <f t="shared" si="41"/>
        <v>85800</v>
      </c>
    </row>
    <row r="455" spans="2:8" x14ac:dyDescent="0.25">
      <c r="B455" s="5">
        <f>(455-25)/100</f>
        <v>4.3</v>
      </c>
      <c r="C455" s="5">
        <f t="shared" si="36"/>
        <v>0.65050909472331653</v>
      </c>
      <c r="D455" s="33">
        <f t="shared" si="37"/>
        <v>46593.663109398789</v>
      </c>
      <c r="E455" s="33">
        <f t="shared" si="38"/>
        <v>309902.32583048497</v>
      </c>
      <c r="F455" s="33">
        <f t="shared" si="39"/>
        <v>1104097.674169515</v>
      </c>
      <c r="G455" s="33">
        <f t="shared" si="40"/>
        <v>33854.966612382399</v>
      </c>
      <c r="H455" s="33">
        <f t="shared" si="41"/>
        <v>86000</v>
      </c>
    </row>
    <row r="456" spans="2:8" x14ac:dyDescent="0.25">
      <c r="B456" s="5">
        <f>(456-25)/100</f>
        <v>4.3099999999999996</v>
      </c>
      <c r="C456" s="5">
        <f t="shared" si="36"/>
        <v>0.64985891077474955</v>
      </c>
      <c r="D456" s="33">
        <f t="shared" si="37"/>
        <v>46361.276245151515</v>
      </c>
      <c r="E456" s="33">
        <f t="shared" si="38"/>
        <v>310241.15986300178</v>
      </c>
      <c r="F456" s="33">
        <f t="shared" si="39"/>
        <v>1103558.8401369983</v>
      </c>
      <c r="G456" s="33">
        <f t="shared" si="40"/>
        <v>33911.739772299101</v>
      </c>
      <c r="H456" s="33">
        <f t="shared" si="41"/>
        <v>86199.999999999985</v>
      </c>
    </row>
    <row r="457" spans="2:8" x14ac:dyDescent="0.25">
      <c r="B457" s="5">
        <f>(457-25)/100</f>
        <v>4.32</v>
      </c>
      <c r="C457" s="5">
        <f t="shared" si="36"/>
        <v>0.64920937668514733</v>
      </c>
      <c r="D457" s="33">
        <f t="shared" si="37"/>
        <v>46130.048415225006</v>
      </c>
      <c r="E457" s="33">
        <f t="shared" si="38"/>
        <v>310580.55862998602</v>
      </c>
      <c r="F457" s="33">
        <f t="shared" si="39"/>
        <v>1103019.4413700141</v>
      </c>
      <c r="G457" s="33">
        <f t="shared" si="40"/>
        <v>33967.91414794945</v>
      </c>
      <c r="H457" s="33">
        <f t="shared" si="41"/>
        <v>86400</v>
      </c>
    </row>
    <row r="458" spans="2:8" x14ac:dyDescent="0.25">
      <c r="B458" s="5">
        <f>(458-25)/100</f>
        <v>4.33</v>
      </c>
      <c r="C458" s="5">
        <f t="shared" si="36"/>
        <v>0.64856049180497599</v>
      </c>
      <c r="D458" s="33">
        <f t="shared" si="37"/>
        <v>45899.973838911501</v>
      </c>
      <c r="E458" s="33">
        <f t="shared" si="38"/>
        <v>310920.51616281917</v>
      </c>
      <c r="F458" s="33">
        <f t="shared" si="39"/>
        <v>1102479.4838371808</v>
      </c>
      <c r="G458" s="33">
        <f t="shared" si="40"/>
        <v>34023.493580318092</v>
      </c>
      <c r="H458" s="33">
        <f t="shared" si="41"/>
        <v>86600</v>
      </c>
    </row>
    <row r="459" spans="2:8" x14ac:dyDescent="0.25">
      <c r="B459" s="5">
        <f>(459-25)/100</f>
        <v>4.34</v>
      </c>
      <c r="C459" s="5">
        <f t="shared" si="36"/>
        <v>0.64791225548535059</v>
      </c>
      <c r="D459" s="33">
        <f t="shared" si="37"/>
        <v>45671.046764334598</v>
      </c>
      <c r="E459" s="33">
        <f t="shared" si="38"/>
        <v>311261.02653117647</v>
      </c>
      <c r="F459" s="33">
        <f t="shared" si="39"/>
        <v>1101938.9734688236</v>
      </c>
      <c r="G459" s="33">
        <f t="shared" si="40"/>
        <v>34078.481887153874</v>
      </c>
      <c r="H459" s="33">
        <f t="shared" si="41"/>
        <v>86800</v>
      </c>
    </row>
    <row r="460" spans="2:8" x14ac:dyDescent="0.25">
      <c r="B460" s="5">
        <f>(460-25)/100</f>
        <v>4.3499999999999996</v>
      </c>
      <c r="C460" s="5">
        <f t="shared" si="36"/>
        <v>0.64726466707803465</v>
      </c>
      <c r="D460" s="33">
        <f t="shared" si="37"/>
        <v>45443.261468305507</v>
      </c>
      <c r="E460" s="33">
        <f t="shared" si="38"/>
        <v>311602.08384279517</v>
      </c>
      <c r="F460" s="33">
        <f t="shared" si="39"/>
        <v>1101397.9161572049</v>
      </c>
      <c r="G460" s="33">
        <f t="shared" si="40"/>
        <v>34132.882863109073</v>
      </c>
      <c r="H460" s="33">
        <f t="shared" si="41"/>
        <v>87000</v>
      </c>
    </row>
    <row r="461" spans="2:8" x14ac:dyDescent="0.25">
      <c r="B461" s="5">
        <f>(461-25)/100</f>
        <v>4.3600000000000003</v>
      </c>
      <c r="C461" s="5">
        <f t="shared" si="36"/>
        <v>0.64661772593543965</v>
      </c>
      <c r="D461" s="33">
        <f t="shared" si="37"/>
        <v>45216.612256179942</v>
      </c>
      <c r="E461" s="33">
        <f t="shared" si="38"/>
        <v>311943.68224324385</v>
      </c>
      <c r="F461" s="33">
        <f t="shared" si="39"/>
        <v>1100856.3177567562</v>
      </c>
      <c r="G461" s="33">
        <f t="shared" si="40"/>
        <v>34186.700279877812</v>
      </c>
      <c r="H461" s="33">
        <f t="shared" si="41"/>
        <v>87200</v>
      </c>
    </row>
    <row r="462" spans="2:8" x14ac:dyDescent="0.25">
      <c r="B462" s="5">
        <f>(462-25)/100</f>
        <v>4.37</v>
      </c>
      <c r="C462" s="5">
        <f t="shared" si="36"/>
        <v>0.64597143141062441</v>
      </c>
      <c r="D462" s="33">
        <f t="shared" si="37"/>
        <v>44991.093461715827</v>
      </c>
      <c r="E462" s="33">
        <f t="shared" si="38"/>
        <v>312285.81591569423</v>
      </c>
      <c r="F462" s="33">
        <f t="shared" si="39"/>
        <v>1100314.1840843058</v>
      </c>
      <c r="G462" s="33">
        <f t="shared" si="40"/>
        <v>34239.93788633369</v>
      </c>
      <c r="H462" s="33">
        <f t="shared" si="41"/>
        <v>87400</v>
      </c>
    </row>
    <row r="463" spans="2:8" x14ac:dyDescent="0.25">
      <c r="B463" s="5">
        <f>(463-25)/100</f>
        <v>4.38</v>
      </c>
      <c r="C463" s="5">
        <f t="shared" si="36"/>
        <v>0.64532578285729458</v>
      </c>
      <c r="D463" s="33">
        <f t="shared" si="37"/>
        <v>44766.699446931554</v>
      </c>
      <c r="E463" s="33">
        <f t="shared" si="38"/>
        <v>312628.47908069263</v>
      </c>
      <c r="F463" s="33">
        <f t="shared" si="39"/>
        <v>1099771.5209193074</v>
      </c>
      <c r="G463" s="33">
        <f t="shared" si="40"/>
        <v>34292.599408666574</v>
      </c>
      <c r="H463" s="33">
        <f t="shared" si="41"/>
        <v>87600</v>
      </c>
    </row>
    <row r="464" spans="2:8" x14ac:dyDescent="0.25">
      <c r="B464" s="5">
        <f>(464-25)/100</f>
        <v>4.3899999999999997</v>
      </c>
      <c r="C464" s="5">
        <f t="shared" si="36"/>
        <v>0.6446807796298013</v>
      </c>
      <c r="D464" s="33">
        <f t="shared" si="37"/>
        <v>44543.424601965045</v>
      </c>
      <c r="E464" s="33">
        <f t="shared" si="38"/>
        <v>312971.66599593504</v>
      </c>
      <c r="F464" s="33">
        <f t="shared" si="39"/>
        <v>1099228.334004065</v>
      </c>
      <c r="G464" s="33">
        <f t="shared" si="40"/>
        <v>34344.688550518447</v>
      </c>
      <c r="H464" s="33">
        <f t="shared" si="41"/>
        <v>87800</v>
      </c>
    </row>
    <row r="465" spans="2:8" x14ac:dyDescent="0.25">
      <c r="B465" s="5">
        <f>(465-25)/100</f>
        <v>4.4000000000000004</v>
      </c>
      <c r="C465" s="5">
        <f t="shared" si="36"/>
        <v>0.6440364210831413</v>
      </c>
      <c r="D465" s="33">
        <f t="shared" si="37"/>
        <v>44321.263344933548</v>
      </c>
      <c r="E465" s="33">
        <f t="shared" si="38"/>
        <v>313315.37095604138</v>
      </c>
      <c r="F465" s="33">
        <f t="shared" si="39"/>
        <v>1098684.6290439586</v>
      </c>
      <c r="G465" s="33">
        <f t="shared" si="40"/>
        <v>34396.208993118649</v>
      </c>
      <c r="H465" s="33">
        <f t="shared" si="41"/>
        <v>88000</v>
      </c>
    </row>
    <row r="466" spans="2:8" x14ac:dyDescent="0.25">
      <c r="B466" s="5">
        <f>(466-25)/100</f>
        <v>4.41</v>
      </c>
      <c r="C466" s="5">
        <f t="shared" si="36"/>
        <v>0.64339270657295611</v>
      </c>
      <c r="D466" s="33">
        <f t="shared" si="37"/>
        <v>44100.210121794087</v>
      </c>
      <c r="E466" s="33">
        <f t="shared" si="38"/>
        <v>313659.58829233231</v>
      </c>
      <c r="F466" s="33">
        <f t="shared" si="39"/>
        <v>1098140.4117076676</v>
      </c>
      <c r="G466" s="33">
        <f t="shared" si="40"/>
        <v>34447.164395418178</v>
      </c>
      <c r="H466" s="33">
        <f t="shared" si="41"/>
        <v>88200</v>
      </c>
    </row>
    <row r="467" spans="2:8" x14ac:dyDescent="0.25">
      <c r="B467" s="5">
        <f>(467-25)/100</f>
        <v>4.42</v>
      </c>
      <c r="C467" s="5">
        <f t="shared" si="36"/>
        <v>0.64274963545553121</v>
      </c>
      <c r="D467" s="33">
        <f t="shared" si="37"/>
        <v>43880.259406204561</v>
      </c>
      <c r="E467" s="33">
        <f t="shared" si="38"/>
        <v>314004.31237260712</v>
      </c>
      <c r="F467" s="33">
        <f t="shared" si="39"/>
        <v>1097595.6876273928</v>
      </c>
      <c r="G467" s="33">
        <f t="shared" si="40"/>
        <v>34497.558394223219</v>
      </c>
      <c r="H467" s="33">
        <f t="shared" si="41"/>
        <v>88400</v>
      </c>
    </row>
    <row r="468" spans="2:8" x14ac:dyDescent="0.25">
      <c r="B468" s="5">
        <f>(468-25)/100</f>
        <v>4.43</v>
      </c>
      <c r="C468" s="5">
        <f t="shared" si="36"/>
        <v>0.64210720708779523</v>
      </c>
      <c r="D468" s="33">
        <f t="shared" si="37"/>
        <v>43661.405699385628</v>
      </c>
      <c r="E468" s="33">
        <f t="shared" si="38"/>
        <v>314349.53760092345</v>
      </c>
      <c r="F468" s="33">
        <f t="shared" si="39"/>
        <v>1097050.4623990767</v>
      </c>
      <c r="G468" s="33">
        <f t="shared" si="40"/>
        <v>34547.394604327834</v>
      </c>
      <c r="H468" s="33">
        <f t="shared" si="41"/>
        <v>88600</v>
      </c>
    </row>
    <row r="469" spans="2:8" x14ac:dyDescent="0.25">
      <c r="B469" s="5">
        <f>(469-25)/100</f>
        <v>4.4400000000000004</v>
      </c>
      <c r="C469" s="5">
        <f t="shared" si="36"/>
        <v>0.64146542082731983</v>
      </c>
      <c r="D469" s="33">
        <f t="shared" si="37"/>
        <v>43443.643529983186</v>
      </c>
      <c r="E469" s="33">
        <f t="shared" si="38"/>
        <v>314695.2584173769</v>
      </c>
      <c r="F469" s="33">
        <f t="shared" si="39"/>
        <v>1096504.7415826232</v>
      </c>
      <c r="G469" s="33">
        <f t="shared" si="40"/>
        <v>34596.676618645943</v>
      </c>
      <c r="H469" s="33">
        <f t="shared" si="41"/>
        <v>88800.000000000015</v>
      </c>
    </row>
    <row r="470" spans="2:8" x14ac:dyDescent="0.25">
      <c r="B470" s="5">
        <f>(470-25)/100</f>
        <v>4.45</v>
      </c>
      <c r="C470" s="5">
        <f t="shared" si="36"/>
        <v>0.64082427603231873</v>
      </c>
      <c r="D470" s="33">
        <f t="shared" si="37"/>
        <v>43226.967453931706</v>
      </c>
      <c r="E470" s="33">
        <f t="shared" si="38"/>
        <v>315041.46929788339</v>
      </c>
      <c r="F470" s="33">
        <f t="shared" si="39"/>
        <v>1095958.5307021167</v>
      </c>
      <c r="G470" s="33">
        <f t="shared" si="40"/>
        <v>34645.408008342463</v>
      </c>
      <c r="H470" s="33">
        <f t="shared" si="41"/>
        <v>89000</v>
      </c>
    </row>
    <row r="471" spans="2:8" x14ac:dyDescent="0.25">
      <c r="B471" s="5">
        <f>(471-25)/100</f>
        <v>4.46</v>
      </c>
      <c r="C471" s="5">
        <f t="shared" si="36"/>
        <v>0.64018377206164712</v>
      </c>
      <c r="D471" s="33">
        <f t="shared" si="37"/>
        <v>43011.372054317981</v>
      </c>
      <c r="E471" s="33">
        <f t="shared" si="38"/>
        <v>315388.16475396254</v>
      </c>
      <c r="F471" s="33">
        <f t="shared" si="39"/>
        <v>1095411.8352460375</v>
      </c>
      <c r="G471" s="33">
        <f t="shared" si="40"/>
        <v>34693.592322963646</v>
      </c>
      <c r="H471" s="33">
        <f t="shared" si="41"/>
        <v>89200</v>
      </c>
    </row>
    <row r="472" spans="2:8" x14ac:dyDescent="0.25">
      <c r="B472" s="5">
        <f>(472-25)/100</f>
        <v>4.47</v>
      </c>
      <c r="C472" s="5">
        <f t="shared" si="36"/>
        <v>0.6395439082748009</v>
      </c>
      <c r="D472" s="33">
        <f t="shared" si="37"/>
        <v>42796.851941245797</v>
      </c>
      <c r="E472" s="33">
        <f t="shared" si="38"/>
        <v>315735.3393325216</v>
      </c>
      <c r="F472" s="33">
        <f t="shared" si="39"/>
        <v>1094864.6606674783</v>
      </c>
      <c r="G472" s="33">
        <f t="shared" si="40"/>
        <v>34741.233090566675</v>
      </c>
      <c r="H472" s="33">
        <f t="shared" si="41"/>
        <v>89400</v>
      </c>
    </row>
    <row r="473" spans="2:8" x14ac:dyDescent="0.25">
      <c r="B473" s="5">
        <f>(473-25)/100</f>
        <v>4.4800000000000004</v>
      </c>
      <c r="C473" s="5">
        <f t="shared" ref="C473:C536" si="42">EXP(-$C$10*B473)</f>
        <v>0.63890468403191614</v>
      </c>
      <c r="D473" s="33">
        <f t="shared" ref="D473:D536" si="43">$C$7*EXP(-$C$9*B473)</f>
        <v>42583.401751701123</v>
      </c>
      <c r="E473" s="33">
        <f t="shared" ref="E473:E536" si="44">C473*D473+(1-C473)*$C$8</f>
        <v>316082.98761564185</v>
      </c>
      <c r="F473" s="33">
        <f t="shared" ref="F473:F536" si="45">$C$12-E473-$C$11*B473</f>
        <v>1094317.0123843581</v>
      </c>
      <c r="G473" s="33">
        <f t="shared" ref="G473:G536" si="46">$C$10*$C$8*EXP(-$C$10*B473)-($C$9+$C$10)*$C$7*EXP(-($C$9+$C$10)*B473)</f>
        <v>34788.333817848441</v>
      </c>
      <c r="H473" s="33">
        <f t="shared" ref="H473:H536" si="47">$C$11*B473</f>
        <v>89600.000000000015</v>
      </c>
    </row>
    <row r="474" spans="2:8" x14ac:dyDescent="0.25">
      <c r="B474" s="5">
        <f>(474-25)/100</f>
        <v>4.49</v>
      </c>
      <c r="C474" s="5">
        <f t="shared" si="42"/>
        <v>0.63826609869376871</v>
      </c>
      <c r="D474" s="33">
        <f t="shared" si="43"/>
        <v>42371.016149418145</v>
      </c>
      <c r="E474" s="33">
        <f t="shared" si="44"/>
        <v>316431.10422036482</v>
      </c>
      <c r="F474" s="33">
        <f t="shared" si="45"/>
        <v>1093768.8957796353</v>
      </c>
      <c r="G474" s="33">
        <f t="shared" si="46"/>
        <v>34834.897990273617</v>
      </c>
      <c r="H474" s="33">
        <f t="shared" si="47"/>
        <v>89800</v>
      </c>
    </row>
    <row r="475" spans="2:8" x14ac:dyDescent="0.25">
      <c r="B475" s="5">
        <f>(475-25)/100</f>
        <v>4.5</v>
      </c>
      <c r="C475" s="5">
        <f t="shared" si="42"/>
        <v>0.63762815162177333</v>
      </c>
      <c r="D475" s="33">
        <f t="shared" si="43"/>
        <v>42159.689824745736</v>
      </c>
      <c r="E475" s="33">
        <f t="shared" si="44"/>
        <v>316779.68379848124</v>
      </c>
      <c r="F475" s="33">
        <f t="shared" si="45"/>
        <v>1093220.3162015188</v>
      </c>
      <c r="G475" s="33">
        <f t="shared" si="46"/>
        <v>34880.929072201914</v>
      </c>
      <c r="H475" s="33">
        <f t="shared" si="47"/>
        <v>90000</v>
      </c>
    </row>
    <row r="476" spans="2:8" x14ac:dyDescent="0.25">
      <c r="B476" s="5">
        <f>(476-25)/100</f>
        <v>4.51</v>
      </c>
      <c r="C476" s="5">
        <f t="shared" si="42"/>
        <v>0.63699084217798252</v>
      </c>
      <c r="D476" s="33">
        <f t="shared" si="43"/>
        <v>41949.417494514761</v>
      </c>
      <c r="E476" s="33">
        <f t="shared" si="44"/>
        <v>317128.72103632079</v>
      </c>
      <c r="F476" s="33">
        <f t="shared" si="45"/>
        <v>1092671.2789636792</v>
      </c>
      <c r="G476" s="33">
        <f t="shared" si="46"/>
        <v>34926.430507014556</v>
      </c>
      <c r="H476" s="33">
        <f t="shared" si="47"/>
        <v>90200</v>
      </c>
    </row>
    <row r="477" spans="2:8" x14ac:dyDescent="0.25">
      <c r="B477" s="5">
        <f>(477-25)/100</f>
        <v>4.5199999999999996</v>
      </c>
      <c r="C477" s="5">
        <f t="shared" si="42"/>
        <v>0.63635416972508707</v>
      </c>
      <c r="D477" s="33">
        <f t="shared" si="43"/>
        <v>41740.193901906016</v>
      </c>
      <c r="E477" s="33">
        <f t="shared" si="44"/>
        <v>317478.21065454191</v>
      </c>
      <c r="F477" s="33">
        <f t="shared" si="45"/>
        <v>1092121.7893454581</v>
      </c>
      <c r="G477" s="33">
        <f t="shared" si="46"/>
        <v>34971.405717240043</v>
      </c>
      <c r="H477" s="33">
        <f t="shared" si="47"/>
        <v>90399.999999999985</v>
      </c>
    </row>
    <row r="478" spans="2:8" x14ac:dyDescent="0.25">
      <c r="B478" s="5">
        <f>(478-25)/100</f>
        <v>4.53</v>
      </c>
      <c r="C478" s="5">
        <f t="shared" si="42"/>
        <v>0.63571813362641427</v>
      </c>
      <c r="D478" s="33">
        <f t="shared" si="43"/>
        <v>41532.013816318766</v>
      </c>
      <c r="E478" s="33">
        <f t="shared" si="44"/>
        <v>317828.14740792522</v>
      </c>
      <c r="F478" s="33">
        <f t="shared" si="45"/>
        <v>1091571.8525920748</v>
      </c>
      <c r="G478" s="33">
        <f t="shared" si="46"/>
        <v>35015.858104679166</v>
      </c>
      <c r="H478" s="33">
        <f t="shared" si="47"/>
        <v>90600</v>
      </c>
    </row>
    <row r="479" spans="2:8" x14ac:dyDescent="0.25">
      <c r="B479" s="5">
        <f>(479-25)/100</f>
        <v>4.54</v>
      </c>
      <c r="C479" s="5">
        <f t="shared" si="42"/>
        <v>0.63508273324592812</v>
      </c>
      <c r="D479" s="33">
        <f t="shared" si="43"/>
        <v>41324.872033240077</v>
      </c>
      <c r="E479" s="33">
        <f t="shared" si="44"/>
        <v>318178.52608516585</v>
      </c>
      <c r="F479" s="33">
        <f t="shared" si="45"/>
        <v>1091021.4739148342</v>
      </c>
      <c r="G479" s="33">
        <f t="shared" si="46"/>
        <v>35059.791050529246</v>
      </c>
      <c r="H479" s="33">
        <f t="shared" si="47"/>
        <v>90800</v>
      </c>
    </row>
    <row r="480" spans="2:8" x14ac:dyDescent="0.25">
      <c r="B480" s="5">
        <f>(480-25)/100</f>
        <v>4.55</v>
      </c>
      <c r="C480" s="5">
        <f t="shared" si="42"/>
        <v>0.63444796794822822</v>
      </c>
      <c r="D480" s="33">
        <f t="shared" si="43"/>
        <v>41118.763374114562</v>
      </c>
      <c r="E480" s="33">
        <f t="shared" si="44"/>
        <v>318529.34150866844</v>
      </c>
      <c r="F480" s="33">
        <f t="shared" si="45"/>
        <v>1090470.6584913316</v>
      </c>
      <c r="G480" s="33">
        <f t="shared" si="46"/>
        <v>35103.20791550765</v>
      </c>
      <c r="H480" s="33">
        <f t="shared" si="47"/>
        <v>91000</v>
      </c>
    </row>
    <row r="481" spans="2:8" x14ac:dyDescent="0.25">
      <c r="B481" s="5">
        <f>(481-25)/100</f>
        <v>4.5599999999999996</v>
      </c>
      <c r="C481" s="5">
        <f t="shared" si="42"/>
        <v>0.6338138370985491</v>
      </c>
      <c r="D481" s="33">
        <f t="shared" si="43"/>
        <v>40913.68268621499</v>
      </c>
      <c r="E481" s="33">
        <f t="shared" si="44"/>
        <v>318880.58853434311</v>
      </c>
      <c r="F481" s="33">
        <f t="shared" si="45"/>
        <v>1089919.4114656569</v>
      </c>
      <c r="G481" s="33">
        <f t="shared" si="46"/>
        <v>35146.11203997449</v>
      </c>
      <c r="H481" s="33">
        <f t="shared" si="47"/>
        <v>91199.999999999985</v>
      </c>
    </row>
    <row r="482" spans="2:8" x14ac:dyDescent="0.25">
      <c r="B482" s="5">
        <f>(482-25)/100</f>
        <v>4.57</v>
      </c>
      <c r="C482" s="5">
        <f t="shared" si="42"/>
        <v>0.63318034006275969</v>
      </c>
      <c r="D482" s="33">
        <f t="shared" si="43"/>
        <v>40709.624842513484</v>
      </c>
      <c r="E482" s="33">
        <f t="shared" si="44"/>
        <v>319232.2620514023</v>
      </c>
      <c r="F482" s="33">
        <f t="shared" si="45"/>
        <v>1089367.7379485976</v>
      </c>
      <c r="G482" s="33">
        <f t="shared" si="46"/>
        <v>35188.506744054728</v>
      </c>
      <c r="H482" s="33">
        <f t="shared" si="47"/>
        <v>91400</v>
      </c>
    </row>
    <row r="483" spans="2:8" x14ac:dyDescent="0.25">
      <c r="B483" s="5">
        <f>(483-25)/100</f>
        <v>4.58</v>
      </c>
      <c r="C483" s="5">
        <f t="shared" si="42"/>
        <v>0.6325474762073634</v>
      </c>
      <c r="D483" s="33">
        <f t="shared" si="43"/>
        <v>40506.584741553357</v>
      </c>
      <c r="E483" s="33">
        <f t="shared" si="44"/>
        <v>319584.3569821585</v>
      </c>
      <c r="F483" s="33">
        <f t="shared" si="45"/>
        <v>1088815.6430178415</v>
      </c>
      <c r="G483" s="33">
        <f t="shared" si="46"/>
        <v>35230.395327759506</v>
      </c>
      <c r="H483" s="33">
        <f t="shared" si="47"/>
        <v>91600</v>
      </c>
    </row>
    <row r="484" spans="2:8" x14ac:dyDescent="0.25">
      <c r="B484" s="5">
        <f>(484-25)/100</f>
        <v>4.59</v>
      </c>
      <c r="C484" s="5">
        <f t="shared" si="42"/>
        <v>0.63191524489949591</v>
      </c>
      <c r="D484" s="33">
        <f t="shared" si="43"/>
        <v>40304.557307321491</v>
      </c>
      <c r="E484" s="33">
        <f t="shared" si="44"/>
        <v>319936.8682818251</v>
      </c>
      <c r="F484" s="33">
        <f t="shared" si="45"/>
        <v>1088263.131718175</v>
      </c>
      <c r="G484" s="33">
        <f t="shared" si="46"/>
        <v>35271.781071106576</v>
      </c>
      <c r="H484" s="33">
        <f t="shared" si="47"/>
        <v>91800</v>
      </c>
    </row>
    <row r="485" spans="2:8" x14ac:dyDescent="0.25">
      <c r="B485" s="5">
        <f>(485-25)/100</f>
        <v>4.5999999999999996</v>
      </c>
      <c r="C485" s="5">
        <f t="shared" si="42"/>
        <v>0.63128364550692595</v>
      </c>
      <c r="D485" s="33">
        <f t="shared" si="43"/>
        <v>40103.537489121496</v>
      </c>
      <c r="E485" s="33">
        <f t="shared" si="44"/>
        <v>320289.79093831551</v>
      </c>
      <c r="F485" s="33">
        <f t="shared" si="45"/>
        <v>1087710.2090616846</v>
      </c>
      <c r="G485" s="33">
        <f t="shared" si="46"/>
        <v>35312.667234240304</v>
      </c>
      <c r="H485" s="33">
        <f t="shared" si="47"/>
        <v>92000</v>
      </c>
    </row>
    <row r="486" spans="2:8" x14ac:dyDescent="0.25">
      <c r="B486" s="5">
        <f>(486-25)/100</f>
        <v>4.6100000000000003</v>
      </c>
      <c r="C486" s="5">
        <f t="shared" si="42"/>
        <v>0.63065267739805408</v>
      </c>
      <c r="D486" s="33">
        <f t="shared" si="43"/>
        <v>39903.520261447447</v>
      </c>
      <c r="E486" s="33">
        <f t="shared" si="44"/>
        <v>320643.11997204606</v>
      </c>
      <c r="F486" s="33">
        <f t="shared" si="45"/>
        <v>1087156.880027954</v>
      </c>
      <c r="G486" s="33">
        <f t="shared" si="46"/>
        <v>35353.05705755073</v>
      </c>
      <c r="H486" s="33">
        <f t="shared" si="47"/>
        <v>92200</v>
      </c>
    </row>
    <row r="487" spans="2:8" x14ac:dyDescent="0.25">
      <c r="B487" s="5">
        <f>(487-25)/100</f>
        <v>4.62</v>
      </c>
      <c r="C487" s="5">
        <f t="shared" si="42"/>
        <v>0.63002233994191226</v>
      </c>
      <c r="D487" s="33">
        <f t="shared" si="43"/>
        <v>39704.500623858265</v>
      </c>
      <c r="E487" s="33">
        <f t="shared" si="44"/>
        <v>320996.85043573845</v>
      </c>
      <c r="F487" s="33">
        <f t="shared" si="45"/>
        <v>1086603.1495642615</v>
      </c>
      <c r="G487" s="33">
        <f t="shared" si="46"/>
        <v>35392.953761792</v>
      </c>
      <c r="H487" s="33">
        <f t="shared" si="47"/>
        <v>92400</v>
      </c>
    </row>
    <row r="488" spans="2:8" x14ac:dyDescent="0.25">
      <c r="B488" s="5">
        <f>(488-25)/100</f>
        <v>4.63</v>
      </c>
      <c r="C488" s="5">
        <f t="shared" si="42"/>
        <v>0.62939263250816291</v>
      </c>
      <c r="D488" s="33">
        <f t="shared" si="43"/>
        <v>39506.473600852616</v>
      </c>
      <c r="E488" s="33">
        <f t="shared" si="44"/>
        <v>321350.97741422453</v>
      </c>
      <c r="F488" s="33">
        <f t="shared" si="45"/>
        <v>1086049.0225857755</v>
      </c>
      <c r="G488" s="33">
        <f t="shared" si="46"/>
        <v>35432.360548200115</v>
      </c>
      <c r="H488" s="33">
        <f t="shared" si="47"/>
        <v>92600</v>
      </c>
    </row>
    <row r="489" spans="2:8" x14ac:dyDescent="0.25">
      <c r="B489" s="5">
        <f>(489-25)/100</f>
        <v>4.6399999999999997</v>
      </c>
      <c r="C489" s="5">
        <f t="shared" si="42"/>
        <v>0.62876355446709842</v>
      </c>
      <c r="D489" s="33">
        <f t="shared" si="43"/>
        <v>39309.434241744617</v>
      </c>
      <c r="E489" s="33">
        <f t="shared" si="44"/>
        <v>321705.49602425128</v>
      </c>
      <c r="F489" s="33">
        <f t="shared" si="45"/>
        <v>1085494.5039757488</v>
      </c>
      <c r="G489" s="33">
        <f t="shared" si="46"/>
        <v>35471.280598609861</v>
      </c>
      <c r="H489" s="33">
        <f t="shared" si="47"/>
        <v>92800</v>
      </c>
    </row>
    <row r="490" spans="2:8" x14ac:dyDescent="0.25">
      <c r="B490" s="5">
        <f>(490-25)/100</f>
        <v>4.6500000000000004</v>
      </c>
      <c r="C490" s="5">
        <f t="shared" si="42"/>
        <v>0.62813510518964077</v>
      </c>
      <c r="D490" s="33">
        <f t="shared" si="43"/>
        <v>39113.377620540021</v>
      </c>
      <c r="E490" s="33">
        <f t="shared" si="44"/>
        <v>322060.40141428745</v>
      </c>
      <c r="F490" s="33">
        <f t="shared" si="45"/>
        <v>1084939.5985857125</v>
      </c>
      <c r="G490" s="33">
        <f t="shared" si="46"/>
        <v>35509.717075571229</v>
      </c>
      <c r="H490" s="33">
        <f t="shared" si="47"/>
        <v>93000</v>
      </c>
    </row>
    <row r="491" spans="2:8" x14ac:dyDescent="0.25">
      <c r="B491" s="5">
        <f>(491-25)/100</f>
        <v>4.66</v>
      </c>
      <c r="C491" s="5">
        <f t="shared" si="42"/>
        <v>0.62750728404734069</v>
      </c>
      <c r="D491" s="33">
        <f t="shared" si="43"/>
        <v>38918.298835813104</v>
      </c>
      <c r="E491" s="33">
        <f t="shared" si="44"/>
        <v>322415.68876433134</v>
      </c>
      <c r="F491" s="33">
        <f t="shared" si="45"/>
        <v>1084384.3112356686</v>
      </c>
      <c r="G491" s="33">
        <f t="shared" si="46"/>
        <v>35547.673122464934</v>
      </c>
      <c r="H491" s="33">
        <f t="shared" si="47"/>
        <v>93200</v>
      </c>
    </row>
    <row r="492" spans="2:8" x14ac:dyDescent="0.25">
      <c r="B492" s="5">
        <f>(492-25)/100</f>
        <v>4.67</v>
      </c>
      <c r="C492" s="5">
        <f t="shared" si="42"/>
        <v>0.62688009041237702</v>
      </c>
      <c r="D492" s="33">
        <f t="shared" si="43"/>
        <v>38724.193010584087</v>
      </c>
      <c r="E492" s="33">
        <f t="shared" si="44"/>
        <v>322771.35328571964</v>
      </c>
      <c r="F492" s="33">
        <f t="shared" si="45"/>
        <v>1083828.6467142804</v>
      </c>
      <c r="G492" s="33">
        <f t="shared" si="46"/>
        <v>35585.151863617386</v>
      </c>
      <c r="H492" s="33">
        <f t="shared" si="47"/>
        <v>93400</v>
      </c>
    </row>
    <row r="493" spans="2:8" x14ac:dyDescent="0.25">
      <c r="B493" s="5">
        <f>(493-25)/100</f>
        <v>4.68</v>
      </c>
      <c r="C493" s="5">
        <f t="shared" si="42"/>
        <v>0.62625352365755593</v>
      </c>
      <c r="D493" s="33">
        <f t="shared" si="43"/>
        <v>38531.055292197212</v>
      </c>
      <c r="E493" s="33">
        <f t="shared" si="44"/>
        <v>323127.3902209379</v>
      </c>
      <c r="F493" s="33">
        <f t="shared" si="45"/>
        <v>1083272.6097790622</v>
      </c>
      <c r="G493" s="33">
        <f t="shared" si="46"/>
        <v>35622.156404414898</v>
      </c>
      <c r="H493" s="33">
        <f t="shared" si="47"/>
        <v>93600</v>
      </c>
    </row>
    <row r="494" spans="2:8" x14ac:dyDescent="0.25">
      <c r="B494" s="5">
        <f>(494-25)/100</f>
        <v>4.6900000000000004</v>
      </c>
      <c r="C494" s="5">
        <f t="shared" si="42"/>
        <v>0.62562758315631073</v>
      </c>
      <c r="D494" s="33">
        <f t="shared" si="43"/>
        <v>38338.880852199458</v>
      </c>
      <c r="E494" s="33">
        <f t="shared" si="44"/>
        <v>323483.79484343075</v>
      </c>
      <c r="F494" s="33">
        <f t="shared" si="45"/>
        <v>1082716.2051565694</v>
      </c>
      <c r="G494" s="33">
        <f t="shared" si="46"/>
        <v>35658.689831417272</v>
      </c>
      <c r="H494" s="33">
        <f t="shared" si="47"/>
        <v>93800.000000000015</v>
      </c>
    </row>
    <row r="495" spans="2:8" x14ac:dyDescent="0.25">
      <c r="B495" s="5">
        <f>(495-25)/100</f>
        <v>4.7</v>
      </c>
      <c r="C495" s="5">
        <f t="shared" si="42"/>
        <v>0.62500226828270078</v>
      </c>
      <c r="D495" s="33">
        <f t="shared" si="43"/>
        <v>38147.664886219842</v>
      </c>
      <c r="E495" s="33">
        <f t="shared" si="44"/>
        <v>323840.56245741516</v>
      </c>
      <c r="F495" s="33">
        <f t="shared" si="45"/>
        <v>1082159.4375425847</v>
      </c>
      <c r="G495" s="33">
        <f t="shared" si="46"/>
        <v>35694.755212470613</v>
      </c>
      <c r="H495" s="33">
        <f t="shared" si="47"/>
        <v>94000</v>
      </c>
    </row>
    <row r="496" spans="2:8" x14ac:dyDescent="0.25">
      <c r="B496" s="5">
        <f>(496-25)/100</f>
        <v>4.71</v>
      </c>
      <c r="C496" s="5">
        <f t="shared" si="42"/>
        <v>0.62437757841141117</v>
      </c>
      <c r="D496" s="33">
        <f t="shared" si="43"/>
        <v>37957.402613849248</v>
      </c>
      <c r="E496" s="33">
        <f t="shared" si="44"/>
        <v>324197.68839769321</v>
      </c>
      <c r="F496" s="33">
        <f t="shared" si="45"/>
        <v>1081602.3116023068</v>
      </c>
      <c r="G496" s="33">
        <f t="shared" si="46"/>
        <v>35730.355596819601</v>
      </c>
      <c r="H496" s="33">
        <f t="shared" si="47"/>
        <v>94200</v>
      </c>
    </row>
    <row r="497" spans="2:8" x14ac:dyDescent="0.25">
      <c r="B497" s="5">
        <f>(497-25)/100</f>
        <v>4.72</v>
      </c>
      <c r="C497" s="5">
        <f t="shared" si="42"/>
        <v>0.62375351291775216</v>
      </c>
      <c r="D497" s="33">
        <f t="shared" si="43"/>
        <v>37768.089278520936</v>
      </c>
      <c r="E497" s="33">
        <f t="shared" si="44"/>
        <v>324555.16802946699</v>
      </c>
      <c r="F497" s="33">
        <f t="shared" si="45"/>
        <v>1081044.8319705329</v>
      </c>
      <c r="G497" s="33">
        <f t="shared" si="46"/>
        <v>35765.494015218937</v>
      </c>
      <c r="H497" s="33">
        <f t="shared" si="47"/>
        <v>94400</v>
      </c>
    </row>
    <row r="498" spans="2:8" x14ac:dyDescent="0.25">
      <c r="B498" s="5">
        <f>(498-25)/100</f>
        <v>4.7300000000000004</v>
      </c>
      <c r="C498" s="5">
        <f t="shared" si="42"/>
        <v>0.62313007117765784</v>
      </c>
      <c r="D498" s="33">
        <f t="shared" si="43"/>
        <v>37579.720147391672</v>
      </c>
      <c r="E498" s="33">
        <f t="shared" si="44"/>
        <v>324912.9967481544</v>
      </c>
      <c r="F498" s="33">
        <f t="shared" si="45"/>
        <v>1080487.0032518455</v>
      </c>
      <c r="G498" s="33">
        <f t="shared" si="46"/>
        <v>35800.173480044243</v>
      </c>
      <c r="H498" s="33">
        <f t="shared" si="47"/>
        <v>94600.000000000015</v>
      </c>
    </row>
    <row r="499" spans="2:8" x14ac:dyDescent="0.25">
      <c r="B499" s="5">
        <f>(499-25)/100</f>
        <v>4.74</v>
      </c>
      <c r="C499" s="5">
        <f t="shared" si="42"/>
        <v>0.62250725256768669</v>
      </c>
      <c r="D499" s="33">
        <f t="shared" si="43"/>
        <v>37392.290511223386</v>
      </c>
      <c r="E499" s="33">
        <f t="shared" si="44"/>
        <v>325271.16997920512</v>
      </c>
      <c r="F499" s="33">
        <f t="shared" si="45"/>
        <v>1079928.8300207949</v>
      </c>
      <c r="G499" s="33">
        <f t="shared" si="46"/>
        <v>35834.396985402258</v>
      </c>
      <c r="H499" s="33">
        <f t="shared" si="47"/>
        <v>94800</v>
      </c>
    </row>
    <row r="500" spans="2:8" x14ac:dyDescent="0.25">
      <c r="B500" s="5">
        <f>(500-25)/100</f>
        <v>4.75</v>
      </c>
      <c r="C500" s="5">
        <f t="shared" si="42"/>
        <v>0.62188505646502001</v>
      </c>
      <c r="D500" s="33">
        <f t="shared" si="43"/>
        <v>37205.795684265395</v>
      </c>
      <c r="E500" s="33">
        <f t="shared" si="44"/>
        <v>325629.68317791936</v>
      </c>
      <c r="F500" s="33">
        <f t="shared" si="45"/>
        <v>1079370.3168220806</v>
      </c>
      <c r="G500" s="33">
        <f t="shared" si="46"/>
        <v>35868.167507240374</v>
      </c>
      <c r="H500" s="33">
        <f t="shared" si="47"/>
        <v>95000</v>
      </c>
    </row>
    <row r="501" spans="2:8" x14ac:dyDescent="0.25">
      <c r="B501" s="5">
        <f>(501-25)/100</f>
        <v>4.76</v>
      </c>
      <c r="C501" s="5">
        <f t="shared" si="42"/>
        <v>0.62126348224746175</v>
      </c>
      <c r="D501" s="33">
        <f t="shared" si="43"/>
        <v>37020.231004137313</v>
      </c>
      <c r="E501" s="33">
        <f t="shared" si="44"/>
        <v>325988.5318292664</v>
      </c>
      <c r="F501" s="33">
        <f t="shared" si="45"/>
        <v>1078811.4681707337</v>
      </c>
      <c r="G501" s="33">
        <f t="shared" si="46"/>
        <v>35901.488003455459</v>
      </c>
      <c r="H501" s="33">
        <f t="shared" si="47"/>
        <v>95200</v>
      </c>
    </row>
    <row r="502" spans="2:8" x14ac:dyDescent="0.25">
      <c r="B502" s="5">
        <f>(502-25)/100</f>
        <v>4.7699999999999996</v>
      </c>
      <c r="C502" s="5">
        <f t="shared" si="42"/>
        <v>0.62064252929343733</v>
      </c>
      <c r="D502" s="33">
        <f t="shared" si="43"/>
        <v>36835.591831712474</v>
      </c>
      <c r="E502" s="33">
        <f t="shared" si="44"/>
        <v>326347.71144770487</v>
      </c>
      <c r="F502" s="33">
        <f t="shared" si="45"/>
        <v>1078252.2885522952</v>
      </c>
      <c r="G502" s="33">
        <f t="shared" si="46"/>
        <v>35934.361414002153</v>
      </c>
      <c r="H502" s="33">
        <f t="shared" si="47"/>
        <v>95399.999999999985</v>
      </c>
    </row>
    <row r="503" spans="2:8" x14ac:dyDescent="0.25">
      <c r="B503" s="5">
        <f>(503-25)/100</f>
        <v>4.78</v>
      </c>
      <c r="C503" s="5">
        <f t="shared" si="42"/>
        <v>0.6200221969819939</v>
      </c>
      <c r="D503" s="33">
        <f t="shared" si="43"/>
        <v>36651.873551001932</v>
      </c>
      <c r="E503" s="33">
        <f t="shared" si="44"/>
        <v>326707.21757700335</v>
      </c>
      <c r="F503" s="33">
        <f t="shared" si="45"/>
        <v>1077692.7824229966</v>
      </c>
      <c r="G503" s="33">
        <f t="shared" si="46"/>
        <v>35966.790661000428</v>
      </c>
      <c r="H503" s="33">
        <f t="shared" si="47"/>
        <v>95600</v>
      </c>
    </row>
    <row r="504" spans="2:8" x14ac:dyDescent="0.25">
      <c r="B504" s="5">
        <f>(504-25)/100</f>
        <v>4.79</v>
      </c>
      <c r="C504" s="5">
        <f t="shared" si="42"/>
        <v>0.61940248469279924</v>
      </c>
      <c r="D504" s="33">
        <f t="shared" si="43"/>
        <v>36469.071569039144</v>
      </c>
      <c r="E504" s="33">
        <f t="shared" si="44"/>
        <v>327067.04579006298</v>
      </c>
      <c r="F504" s="33">
        <f t="shared" si="45"/>
        <v>1077132.954209937</v>
      </c>
      <c r="G504" s="33">
        <f t="shared" si="46"/>
        <v>35998.778648842519</v>
      </c>
      <c r="H504" s="33">
        <f t="shared" si="47"/>
        <v>95800</v>
      </c>
    </row>
    <row r="505" spans="2:8" x14ac:dyDescent="0.25">
      <c r="B505" s="5">
        <f>(505-25)/100</f>
        <v>4.8</v>
      </c>
      <c r="C505" s="5">
        <f t="shared" si="42"/>
        <v>0.61878339180614084</v>
      </c>
      <c r="D505" s="33">
        <f t="shared" si="43"/>
        <v>36287.181315765003</v>
      </c>
      <c r="E505" s="33">
        <f t="shared" si="44"/>
        <v>327427.1916887408</v>
      </c>
      <c r="F505" s="33">
        <f t="shared" si="45"/>
        <v>1076572.8083112591</v>
      </c>
      <c r="G505" s="33">
        <f t="shared" si="46"/>
        <v>36030.328264299169</v>
      </c>
      <c r="H505" s="33">
        <f t="shared" si="47"/>
        <v>96000</v>
      </c>
    </row>
    <row r="506" spans="2:8" x14ac:dyDescent="0.25">
      <c r="B506" s="5">
        <f>(506-25)/100</f>
        <v>4.8099999999999996</v>
      </c>
      <c r="C506" s="5">
        <f t="shared" si="42"/>
        <v>0.61816491770292581</v>
      </c>
      <c r="D506" s="33">
        <f t="shared" si="43"/>
        <v>36106.198243913721</v>
      </c>
      <c r="E506" s="33">
        <f t="shared" si="44"/>
        <v>327787.65090367378</v>
      </c>
      <c r="F506" s="33">
        <f t="shared" si="45"/>
        <v>1076012.3490963262</v>
      </c>
      <c r="G506" s="33">
        <f t="shared" si="46"/>
        <v>36061.442376625389</v>
      </c>
      <c r="H506" s="33">
        <f t="shared" si="47"/>
        <v>96199.999999999985</v>
      </c>
    </row>
    <row r="507" spans="2:8" x14ac:dyDescent="0.25">
      <c r="B507" s="5">
        <f>(507-25)/100</f>
        <v>4.82</v>
      </c>
      <c r="C507" s="5">
        <f t="shared" si="42"/>
        <v>0.61754706176467999</v>
      </c>
      <c r="D507" s="33">
        <f t="shared" si="43"/>
        <v>35926.117828899049</v>
      </c>
      <c r="E507" s="33">
        <f t="shared" si="44"/>
        <v>328148.41909410432</v>
      </c>
      <c r="F507" s="33">
        <f t="shared" si="45"/>
        <v>1075451.5809058957</v>
      </c>
      <c r="G507" s="33">
        <f t="shared" si="46"/>
        <v>36092.123837665422</v>
      </c>
      <c r="H507" s="33">
        <f t="shared" si="47"/>
        <v>96400</v>
      </c>
    </row>
    <row r="508" spans="2:8" x14ac:dyDescent="0.25">
      <c r="B508" s="5">
        <f>(508-25)/100</f>
        <v>4.83</v>
      </c>
      <c r="C508" s="5">
        <f t="shared" si="42"/>
        <v>0.6169298233735474</v>
      </c>
      <c r="D508" s="33">
        <f t="shared" si="43"/>
        <v>35746.935568701279</v>
      </c>
      <c r="E508" s="33">
        <f t="shared" si="44"/>
        <v>328509.49194770656</v>
      </c>
      <c r="F508" s="33">
        <f t="shared" si="45"/>
        <v>1074890.5080522934</v>
      </c>
      <c r="G508" s="33">
        <f t="shared" si="46"/>
        <v>36122.375481957119</v>
      </c>
      <c r="H508" s="33">
        <f t="shared" si="47"/>
        <v>96600</v>
      </c>
    </row>
    <row r="509" spans="2:8" x14ac:dyDescent="0.25">
      <c r="B509" s="5">
        <f>(509-25)/100</f>
        <v>4.84</v>
      </c>
      <c r="C509" s="5">
        <f t="shared" si="42"/>
        <v>0.61631320191228967</v>
      </c>
      <c r="D509" s="33">
        <f t="shared" si="43"/>
        <v>35568.646983754537</v>
      </c>
      <c r="E509" s="33">
        <f t="shared" si="44"/>
        <v>328870.86518041394</v>
      </c>
      <c r="F509" s="33">
        <f t="shared" si="45"/>
        <v>1074329.1348195861</v>
      </c>
      <c r="G509" s="33">
        <f t="shared" si="46"/>
        <v>36152.200126835778</v>
      </c>
      <c r="H509" s="33">
        <f t="shared" si="47"/>
        <v>96800</v>
      </c>
    </row>
    <row r="510" spans="2:8" x14ac:dyDescent="0.25">
      <c r="B510" s="5">
        <f>(510-25)/100</f>
        <v>4.8499999999999996</v>
      </c>
      <c r="C510" s="5">
        <f t="shared" si="42"/>
        <v>0.61569719676428514</v>
      </c>
      <c r="D510" s="33">
        <f t="shared" si="43"/>
        <v>35391.247616834924</v>
      </c>
      <c r="E510" s="33">
        <f t="shared" si="44"/>
        <v>329232.53453624784</v>
      </c>
      <c r="F510" s="33">
        <f t="shared" si="45"/>
        <v>1073767.4654637522</v>
      </c>
      <c r="G510" s="33">
        <f t="shared" si="46"/>
        <v>36181.600572537238</v>
      </c>
      <c r="H510" s="33">
        <f t="shared" si="47"/>
        <v>97000</v>
      </c>
    </row>
    <row r="511" spans="2:8" x14ac:dyDescent="0.25">
      <c r="B511" s="5">
        <f>(511-25)/100</f>
        <v>4.8600000000000003</v>
      </c>
      <c r="C511" s="5">
        <f t="shared" si="42"/>
        <v>0.61508180731352868</v>
      </c>
      <c r="D511" s="33">
        <f t="shared" si="43"/>
        <v>35214.733032949021</v>
      </c>
      <c r="E511" s="33">
        <f t="shared" si="44"/>
        <v>329594.49578714673</v>
      </c>
      <c r="F511" s="33">
        <f t="shared" si="45"/>
        <v>1073205.5042128533</v>
      </c>
      <c r="G511" s="33">
        <f t="shared" si="46"/>
        <v>36210.579602300466</v>
      </c>
      <c r="H511" s="33">
        <f t="shared" si="47"/>
        <v>97200</v>
      </c>
    </row>
    <row r="512" spans="2:8" x14ac:dyDescent="0.25">
      <c r="B512" s="5">
        <f>(512-25)/100</f>
        <v>4.87</v>
      </c>
      <c r="C512" s="5">
        <f t="shared" si="42"/>
        <v>0.61446703294463079</v>
      </c>
      <c r="D512" s="33">
        <f t="shared" si="43"/>
        <v>35039.098819223051</v>
      </c>
      <c r="E512" s="33">
        <f t="shared" si="44"/>
        <v>329956.74473279709</v>
      </c>
      <c r="F512" s="33">
        <f t="shared" si="45"/>
        <v>1072643.2552672029</v>
      </c>
      <c r="G512" s="33">
        <f t="shared" si="46"/>
        <v>36239.139982469438</v>
      </c>
      <c r="H512" s="33">
        <f t="shared" si="47"/>
        <v>97400</v>
      </c>
    </row>
    <row r="513" spans="2:8" x14ac:dyDescent="0.25">
      <c r="B513" s="5">
        <f>(513-25)/100</f>
        <v>4.88</v>
      </c>
      <c r="C513" s="5">
        <f t="shared" si="42"/>
        <v>0.6138528730428171</v>
      </c>
      <c r="D513" s="33">
        <f t="shared" si="43"/>
        <v>34864.340584792517</v>
      </c>
      <c r="E513" s="33">
        <f t="shared" si="44"/>
        <v>330319.27720046451</v>
      </c>
      <c r="F513" s="33">
        <f t="shared" si="45"/>
        <v>1072080.7227995354</v>
      </c>
      <c r="G513" s="33">
        <f t="shared" si="46"/>
        <v>36267.284462594464</v>
      </c>
      <c r="H513" s="33">
        <f t="shared" si="47"/>
        <v>97600</v>
      </c>
    </row>
    <row r="514" spans="2:8" x14ac:dyDescent="0.25">
      <c r="B514" s="5">
        <f>(514-25)/100</f>
        <v>4.8899999999999997</v>
      </c>
      <c r="C514" s="5">
        <f t="shared" si="42"/>
        <v>0.61323932699392747</v>
      </c>
      <c r="D514" s="33">
        <f t="shared" si="43"/>
        <v>34690.453960692459</v>
      </c>
      <c r="E514" s="33">
        <f t="shared" si="44"/>
        <v>330682.08904482692</v>
      </c>
      <c r="F514" s="33">
        <f t="shared" si="45"/>
        <v>1071517.910955173</v>
      </c>
      <c r="G514" s="33">
        <f t="shared" si="46"/>
        <v>36295.015775532869</v>
      </c>
      <c r="H514" s="33">
        <f t="shared" si="47"/>
        <v>97800</v>
      </c>
    </row>
    <row r="515" spans="2:8" x14ac:dyDescent="0.25">
      <c r="B515" s="5">
        <f>(515-25)/100</f>
        <v>4.9000000000000004</v>
      </c>
      <c r="C515" s="5">
        <f t="shared" si="42"/>
        <v>0.612626394184416</v>
      </c>
      <c r="D515" s="33">
        <f t="shared" si="43"/>
        <v>34517.434599748201</v>
      </c>
      <c r="E515" s="33">
        <f t="shared" si="44"/>
        <v>331045.17614780733</v>
      </c>
      <c r="F515" s="33">
        <f t="shared" si="45"/>
        <v>1070954.8238521926</v>
      </c>
      <c r="G515" s="33">
        <f t="shared" si="46"/>
        <v>36322.336637549197</v>
      </c>
      <c r="H515" s="33">
        <f t="shared" si="47"/>
        <v>98000</v>
      </c>
    </row>
    <row r="516" spans="2:8" x14ac:dyDescent="0.25">
      <c r="B516" s="5">
        <f>(516-25)/100</f>
        <v>4.91</v>
      </c>
      <c r="C516" s="5">
        <f t="shared" si="42"/>
        <v>0.61201407400134988</v>
      </c>
      <c r="D516" s="33">
        <f t="shared" si="43"/>
        <v>34345.278176466731</v>
      </c>
      <c r="E516" s="33">
        <f t="shared" si="44"/>
        <v>331408.53441840917</v>
      </c>
      <c r="F516" s="33">
        <f t="shared" si="45"/>
        <v>1070391.4655815908</v>
      </c>
      <c r="G516" s="33">
        <f t="shared" si="46"/>
        <v>36349.249748414557</v>
      </c>
      <c r="H516" s="33">
        <f t="shared" si="47"/>
        <v>98200</v>
      </c>
    </row>
    <row r="517" spans="2:8" x14ac:dyDescent="0.25">
      <c r="B517" s="5">
        <f>(517-25)/100</f>
        <v>4.92</v>
      </c>
      <c r="C517" s="5">
        <f t="shared" si="42"/>
        <v>0.6114023658324087</v>
      </c>
      <c r="D517" s="33">
        <f t="shared" si="43"/>
        <v>34173.980386928495</v>
      </c>
      <c r="E517" s="33">
        <f t="shared" si="44"/>
        <v>331772.15979255148</v>
      </c>
      <c r="F517" s="33">
        <f t="shared" si="45"/>
        <v>1069827.8402074485</v>
      </c>
      <c r="G517" s="33">
        <f t="shared" si="46"/>
        <v>36375.757791505646</v>
      </c>
      <c r="H517" s="33">
        <f t="shared" si="47"/>
        <v>98400</v>
      </c>
    </row>
    <row r="518" spans="2:8" x14ac:dyDescent="0.25">
      <c r="B518" s="5">
        <f>(518-25)/100</f>
        <v>4.93</v>
      </c>
      <c r="C518" s="5">
        <f t="shared" si="42"/>
        <v>0.61079126906588421</v>
      </c>
      <c r="D518" s="33">
        <f t="shared" si="43"/>
        <v>34003.536948679823</v>
      </c>
      <c r="E518" s="33">
        <f t="shared" si="44"/>
        <v>332136.04823290551</v>
      </c>
      <c r="F518" s="33">
        <f t="shared" si="45"/>
        <v>1069263.9517670944</v>
      </c>
      <c r="G518" s="33">
        <f t="shared" si="46"/>
        <v>36401.863433903032</v>
      </c>
      <c r="H518" s="33">
        <f t="shared" si="47"/>
        <v>98600</v>
      </c>
    </row>
    <row r="519" spans="2:8" x14ac:dyDescent="0.25">
      <c r="B519" s="5">
        <f>(519-25)/100</f>
        <v>4.9400000000000004</v>
      </c>
      <c r="C519" s="5">
        <f t="shared" si="42"/>
        <v>0.6101807830906798</v>
      </c>
      <c r="D519" s="33">
        <f t="shared" si="43"/>
        <v>33833.943600625877</v>
      </c>
      <c r="E519" s="33">
        <f t="shared" si="44"/>
        <v>332500.19572873192</v>
      </c>
      <c r="F519" s="33">
        <f t="shared" si="45"/>
        <v>1068699.8042712682</v>
      </c>
      <c r="G519" s="33">
        <f t="shared" si="46"/>
        <v>36427.569326488905</v>
      </c>
      <c r="H519" s="33">
        <f t="shared" si="47"/>
        <v>98800.000000000015</v>
      </c>
    </row>
    <row r="520" spans="2:8" x14ac:dyDescent="0.25">
      <c r="B520" s="5">
        <f>(520-25)/100</f>
        <v>4.95</v>
      </c>
      <c r="C520" s="5">
        <f t="shared" si="42"/>
        <v>0.60957090729630925</v>
      </c>
      <c r="D520" s="33">
        <f t="shared" si="43"/>
        <v>33665.196102924143</v>
      </c>
      <c r="E520" s="33">
        <f t="shared" si="44"/>
        <v>332864.59829572024</v>
      </c>
      <c r="F520" s="33">
        <f t="shared" si="45"/>
        <v>1068135.4017042797</v>
      </c>
      <c r="G520" s="33">
        <f t="shared" si="46"/>
        <v>36452.878104044154</v>
      </c>
      <c r="H520" s="33">
        <f t="shared" si="47"/>
        <v>99000</v>
      </c>
    </row>
    <row r="521" spans="2:8" x14ac:dyDescent="0.25">
      <c r="B521" s="5">
        <f>(521-25)/100</f>
        <v>4.96</v>
      </c>
      <c r="C521" s="5">
        <f t="shared" si="42"/>
        <v>0.60896164107289685</v>
      </c>
      <c r="D521" s="33">
        <f t="shared" si="43"/>
        <v>33497.290236878383</v>
      </c>
      <c r="E521" s="33">
        <f t="shared" si="44"/>
        <v>333229.25197582715</v>
      </c>
      <c r="F521" s="33">
        <f t="shared" si="45"/>
        <v>1067570.7480241728</v>
      </c>
      <c r="G521" s="33">
        <f t="shared" si="46"/>
        <v>36477.792385344997</v>
      </c>
      <c r="H521" s="33">
        <f t="shared" si="47"/>
        <v>99200</v>
      </c>
    </row>
    <row r="522" spans="2:8" x14ac:dyDescent="0.25">
      <c r="B522" s="5">
        <f>(522-25)/100</f>
        <v>4.97</v>
      </c>
      <c r="C522" s="5">
        <f t="shared" si="42"/>
        <v>0.60835298381117631</v>
      </c>
      <c r="D522" s="33">
        <f t="shared" si="43"/>
        <v>33330.2218048332</v>
      </c>
      <c r="E522" s="33">
        <f t="shared" si="44"/>
        <v>333594.15283711755</v>
      </c>
      <c r="F522" s="33">
        <f t="shared" si="45"/>
        <v>1067005.8471628823</v>
      </c>
      <c r="G522" s="33">
        <f t="shared" si="46"/>
        <v>36502.314773258942</v>
      </c>
      <c r="H522" s="33">
        <f t="shared" si="47"/>
        <v>99400</v>
      </c>
    </row>
    <row r="523" spans="2:8" x14ac:dyDescent="0.25">
      <c r="B523" s="5">
        <f>(523-25)/100</f>
        <v>4.9800000000000004</v>
      </c>
      <c r="C523" s="5">
        <f t="shared" si="42"/>
        <v>0.60774493490249015</v>
      </c>
      <c r="D523" s="33">
        <f t="shared" si="43"/>
        <v>33163.986630069063</v>
      </c>
      <c r="E523" s="33">
        <f t="shared" si="44"/>
        <v>333959.29697360628</v>
      </c>
      <c r="F523" s="33">
        <f t="shared" si="45"/>
        <v>1066440.7030263937</v>
      </c>
      <c r="G523" s="33">
        <f t="shared" si="46"/>
        <v>36526.447854840182</v>
      </c>
      <c r="H523" s="33">
        <f t="shared" si="47"/>
        <v>99600.000000000015</v>
      </c>
    </row>
    <row r="524" spans="2:8" x14ac:dyDescent="0.25">
      <c r="B524" s="5">
        <f>(524-25)/100</f>
        <v>4.99</v>
      </c>
      <c r="C524" s="5">
        <f t="shared" si="42"/>
        <v>0.60713749373878956</v>
      </c>
      <c r="D524" s="33">
        <f t="shared" si="43"/>
        <v>32998.580556697991</v>
      </c>
      <c r="E524" s="33">
        <f t="shared" si="44"/>
        <v>334324.68050509953</v>
      </c>
      <c r="F524" s="33">
        <f t="shared" si="45"/>
        <v>1065875.3194949005</v>
      </c>
      <c r="G524" s="33">
        <f t="shared" si="46"/>
        <v>36550.194201424463</v>
      </c>
      <c r="H524" s="33">
        <f t="shared" si="47"/>
        <v>99800</v>
      </c>
    </row>
    <row r="525" spans="2:8" x14ac:dyDescent="0.25">
      <c r="B525" s="5">
        <f>(525-25)/100</f>
        <v>5</v>
      </c>
      <c r="C525" s="5">
        <f t="shared" si="42"/>
        <v>0.60653065971263342</v>
      </c>
      <c r="D525" s="33">
        <f t="shared" si="43"/>
        <v>32833.999449559517</v>
      </c>
      <c r="E525" s="33">
        <f t="shared" si="44"/>
        <v>334690.29957703885</v>
      </c>
      <c r="F525" s="33">
        <f t="shared" si="45"/>
        <v>1065309.7004229613</v>
      </c>
      <c r="G525" s="33">
        <f t="shared" si="46"/>
        <v>36573.556368723323</v>
      </c>
      <c r="H525" s="33">
        <f t="shared" si="47"/>
        <v>100000</v>
      </c>
    </row>
    <row r="526" spans="2:8" x14ac:dyDescent="0.25">
      <c r="B526" s="5">
        <f>(526-25)/100</f>
        <v>5.01</v>
      </c>
      <c r="C526" s="5">
        <f t="shared" si="42"/>
        <v>0.6059244322171875</v>
      </c>
      <c r="D526" s="33">
        <f t="shared" si="43"/>
        <v>32670.239194117385</v>
      </c>
      <c r="E526" s="33">
        <f t="shared" si="44"/>
        <v>335056.15036034526</v>
      </c>
      <c r="F526" s="33">
        <f t="shared" si="45"/>
        <v>1064743.8496396546</v>
      </c>
      <c r="G526" s="33">
        <f t="shared" si="46"/>
        <v>36596.536896917831</v>
      </c>
      <c r="H526" s="33">
        <f t="shared" si="47"/>
        <v>100200</v>
      </c>
    </row>
    <row r="527" spans="2:8" x14ac:dyDescent="0.25">
      <c r="B527" s="5">
        <f>(527-25)/100</f>
        <v>5.0199999999999996</v>
      </c>
      <c r="C527" s="5">
        <f t="shared" si="42"/>
        <v>0.60531881064622428</v>
      </c>
      <c r="D527" s="33">
        <f t="shared" si="43"/>
        <v>32507.295696356679</v>
      </c>
      <c r="E527" s="33">
        <f t="shared" si="44"/>
        <v>335422.22905126429</v>
      </c>
      <c r="F527" s="33">
        <f t="shared" si="45"/>
        <v>1064177.7709487358</v>
      </c>
      <c r="G527" s="33">
        <f t="shared" si="46"/>
        <v>36619.138310751689</v>
      </c>
      <c r="H527" s="33">
        <f t="shared" si="47"/>
        <v>100399.99999999999</v>
      </c>
    </row>
    <row r="528" spans="2:8" x14ac:dyDescent="0.25">
      <c r="B528" s="5">
        <f>(528-25)/100</f>
        <v>5.03</v>
      </c>
      <c r="C528" s="5">
        <f t="shared" si="42"/>
        <v>0.60471379439412209</v>
      </c>
      <c r="D528" s="33">
        <f t="shared" si="43"/>
        <v>32345.164882681463</v>
      </c>
      <c r="E528" s="33">
        <f t="shared" si="44"/>
        <v>335788.53187121212</v>
      </c>
      <c r="F528" s="33">
        <f t="shared" si="45"/>
        <v>1063611.4681287878</v>
      </c>
      <c r="G528" s="33">
        <f t="shared" si="46"/>
        <v>36641.363119623878</v>
      </c>
      <c r="H528" s="33">
        <f t="shared" si="47"/>
        <v>100600</v>
      </c>
    </row>
    <row r="529" spans="2:8" x14ac:dyDescent="0.25">
      <c r="B529" s="5">
        <f>(529-25)/100</f>
        <v>5.04</v>
      </c>
      <c r="C529" s="5">
        <f t="shared" si="42"/>
        <v>0.60410938285586468</v>
      </c>
      <c r="D529" s="33">
        <f t="shared" si="43"/>
        <v>32183.842699812976</v>
      </c>
      <c r="E529" s="33">
        <f t="shared" si="44"/>
        <v>336155.0550666225</v>
      </c>
      <c r="F529" s="33">
        <f t="shared" si="45"/>
        <v>1063044.9449333774</v>
      </c>
      <c r="G529" s="33">
        <f t="shared" si="46"/>
        <v>36663.213817680633</v>
      </c>
      <c r="H529" s="33">
        <f t="shared" si="47"/>
        <v>100800</v>
      </c>
    </row>
    <row r="530" spans="2:8" x14ac:dyDescent="0.25">
      <c r="B530" s="5">
        <f>(530-25)/100</f>
        <v>5.05</v>
      </c>
      <c r="C530" s="5">
        <f t="shared" si="42"/>
        <v>0.60350557542704053</v>
      </c>
      <c r="D530" s="33">
        <f t="shared" si="43"/>
        <v>32023.325114688218</v>
      </c>
      <c r="E530" s="33">
        <f t="shared" si="44"/>
        <v>336521.79490879469</v>
      </c>
      <c r="F530" s="33">
        <f t="shared" si="45"/>
        <v>1062478.2050912054</v>
      </c>
      <c r="G530" s="33">
        <f t="shared" si="46"/>
        <v>36684.692883906973</v>
      </c>
      <c r="H530" s="33">
        <f t="shared" si="47"/>
        <v>101000</v>
      </c>
    </row>
    <row r="531" spans="2:8" x14ac:dyDescent="0.25">
      <c r="B531" s="5">
        <f>(531-25)/100</f>
        <v>5.0599999999999996</v>
      </c>
      <c r="C531" s="5">
        <f t="shared" si="42"/>
        <v>0.60290237150384207</v>
      </c>
      <c r="D531" s="33">
        <f t="shared" si="43"/>
        <v>31863.608114359216</v>
      </c>
      <c r="E531" s="33">
        <f t="shared" si="44"/>
        <v>336888.74769374257</v>
      </c>
      <c r="F531" s="33">
        <f t="shared" si="45"/>
        <v>1061911.2523062574</v>
      </c>
      <c r="G531" s="33">
        <f t="shared" si="46"/>
        <v>36705.802782217623</v>
      </c>
      <c r="H531" s="33">
        <f t="shared" si="47"/>
        <v>101199.99999999999</v>
      </c>
    </row>
    <row r="532" spans="2:8" x14ac:dyDescent="0.25">
      <c r="B532" s="5">
        <f>(532-25)/100</f>
        <v>5.07</v>
      </c>
      <c r="C532" s="5">
        <f t="shared" si="42"/>
        <v>0.60229977048306538</v>
      </c>
      <c r="D532" s="33">
        <f t="shared" si="43"/>
        <v>31704.687705892618</v>
      </c>
      <c r="E532" s="33">
        <f t="shared" si="44"/>
        <v>337255.90974204411</v>
      </c>
      <c r="F532" s="33">
        <f t="shared" si="45"/>
        <v>1061344.0902579559</v>
      </c>
      <c r="G532" s="33">
        <f t="shared" si="46"/>
        <v>36726.545961547396</v>
      </c>
      <c r="H532" s="33">
        <f t="shared" si="47"/>
        <v>101400</v>
      </c>
    </row>
    <row r="533" spans="2:8" x14ac:dyDescent="0.25">
      <c r="B533" s="5">
        <f>(533-25)/100</f>
        <v>5.08</v>
      </c>
      <c r="C533" s="5">
        <f t="shared" si="42"/>
        <v>0.60169777176210937</v>
      </c>
      <c r="D533" s="33">
        <f t="shared" si="43"/>
        <v>31546.55991626998</v>
      </c>
      <c r="E533" s="33">
        <f t="shared" si="44"/>
        <v>337623.27739869204</v>
      </c>
      <c r="F533" s="33">
        <f t="shared" si="45"/>
        <v>1060776.722601308</v>
      </c>
      <c r="G533" s="33">
        <f t="shared" si="46"/>
        <v>36746.924855941033</v>
      </c>
      <c r="H533" s="33">
        <f t="shared" si="47"/>
        <v>101600</v>
      </c>
    </row>
    <row r="534" spans="2:8" x14ac:dyDescent="0.25">
      <c r="B534" s="5">
        <f>(534-25)/100</f>
        <v>5.09</v>
      </c>
      <c r="C534" s="5">
        <f t="shared" si="42"/>
        <v>0.60109637473897526</v>
      </c>
      <c r="D534" s="33">
        <f t="shared" si="43"/>
        <v>31389.220792288292</v>
      </c>
      <c r="E534" s="33">
        <f t="shared" si="44"/>
        <v>337990.84703294554</v>
      </c>
      <c r="F534" s="33">
        <f t="shared" si="45"/>
        <v>1060209.1529670544</v>
      </c>
      <c r="G534" s="33">
        <f t="shared" si="46"/>
        <v>36766.941884642569</v>
      </c>
      <c r="H534" s="33">
        <f t="shared" si="47"/>
        <v>101800</v>
      </c>
    </row>
    <row r="535" spans="2:8" x14ac:dyDescent="0.25">
      <c r="B535" s="5">
        <f>(535-25)/100</f>
        <v>5.0999999999999996</v>
      </c>
      <c r="C535" s="5">
        <f t="shared" si="42"/>
        <v>0.6004955788122659</v>
      </c>
      <c r="D535" s="33">
        <f t="shared" si="43"/>
        <v>31232.666400461268</v>
      </c>
      <c r="E535" s="33">
        <f t="shared" si="44"/>
        <v>338358.6150381827</v>
      </c>
      <c r="F535" s="33">
        <f t="shared" si="45"/>
        <v>1059641.3849618174</v>
      </c>
      <c r="G535" s="33">
        <f t="shared" si="46"/>
        <v>36786.599452184033</v>
      </c>
      <c r="H535" s="33">
        <f t="shared" si="47"/>
        <v>102000</v>
      </c>
    </row>
    <row r="536" spans="2:8" x14ac:dyDescent="0.25">
      <c r="B536" s="5">
        <f>(536-25)/100</f>
        <v>5.1100000000000003</v>
      </c>
      <c r="C536" s="5">
        <f t="shared" si="42"/>
        <v>0.59989538338118553</v>
      </c>
      <c r="D536" s="33">
        <f t="shared" si="43"/>
        <v>31076.892826920943</v>
      </c>
      <c r="E536" s="33">
        <f t="shared" si="44"/>
        <v>338726.57783175335</v>
      </c>
      <c r="F536" s="33">
        <f t="shared" si="45"/>
        <v>1059073.4221682467</v>
      </c>
      <c r="G536" s="33">
        <f t="shared" si="46"/>
        <v>36805.899948473794</v>
      </c>
      <c r="H536" s="33">
        <f t="shared" si="47"/>
        <v>102200</v>
      </c>
    </row>
    <row r="537" spans="2:8" x14ac:dyDescent="0.25">
      <c r="B537" s="5">
        <f>(537-25)/100</f>
        <v>5.12</v>
      </c>
      <c r="C537" s="5">
        <f t="shared" ref="C537:C600" si="48">EXP(-$C$10*B537)</f>
        <v>0.59929578784553839</v>
      </c>
      <c r="D537" s="33">
        <f t="shared" ref="D537:D600" si="49">$C$7*EXP(-$C$9*B537)</f>
        <v>30921.896177319897</v>
      </c>
      <c r="E537" s="33">
        <f t="shared" ref="E537:E600" si="50">C537*D537+(1-C537)*$C$8</f>
        <v>339094.73185483419</v>
      </c>
      <c r="F537" s="33">
        <f t="shared" ref="F537:F600" si="51">$C$12-E537-$C$11*B537</f>
        <v>1058505.2681451659</v>
      </c>
      <c r="G537" s="33">
        <f t="shared" ref="G537:G600" si="52">$C$10*$C$8*EXP(-$C$10*B537)-($C$9+$C$10)*$C$7*EXP(-($C$9+$C$10)*B537)</f>
        <v>36824.845748884152</v>
      </c>
      <c r="H537" s="33">
        <f t="shared" ref="H537:H600" si="53">$C$11*B537</f>
        <v>102400</v>
      </c>
    </row>
    <row r="538" spans="2:8" x14ac:dyDescent="0.25">
      <c r="B538" s="5">
        <f>(538-25)/100</f>
        <v>5.13</v>
      </c>
      <c r="C538" s="5">
        <f t="shared" si="48"/>
        <v>0.59869679160572919</v>
      </c>
      <c r="D538" s="33">
        <f t="shared" si="49"/>
        <v>30767.672576733799</v>
      </c>
      <c r="E538" s="33">
        <f t="shared" si="50"/>
        <v>339463.0735722828</v>
      </c>
      <c r="F538" s="33">
        <f t="shared" si="51"/>
        <v>1057936.9264277173</v>
      </c>
      <c r="G538" s="33">
        <f t="shared" si="52"/>
        <v>36843.439214338672</v>
      </c>
      <c r="H538" s="33">
        <f t="shared" si="53"/>
        <v>102600</v>
      </c>
    </row>
    <row r="539" spans="2:8" x14ac:dyDescent="0.25">
      <c r="B539" s="5">
        <f>(539-25)/100</f>
        <v>5.14</v>
      </c>
      <c r="C539" s="5">
        <f t="shared" si="48"/>
        <v>0.59809839406276133</v>
      </c>
      <c r="D539" s="33">
        <f t="shared" si="49"/>
        <v>30614.218169564607</v>
      </c>
      <c r="E539" s="33">
        <f t="shared" si="50"/>
        <v>339831.5994724945</v>
      </c>
      <c r="F539" s="33">
        <f t="shared" si="51"/>
        <v>1057368.4005275054</v>
      </c>
      <c r="G539" s="33">
        <f t="shared" si="52"/>
        <v>36861.682691398746</v>
      </c>
      <c r="H539" s="33">
        <f t="shared" si="53"/>
        <v>102800</v>
      </c>
    </row>
    <row r="540" spans="2:8" x14ac:dyDescent="0.25">
      <c r="B540" s="5">
        <f>(540-25)/100</f>
        <v>5.15</v>
      </c>
      <c r="C540" s="5">
        <f t="shared" si="48"/>
        <v>0.59750059461823746</v>
      </c>
      <c r="D540" s="33">
        <f t="shared" si="49"/>
        <v>30461.529119444131</v>
      </c>
      <c r="E540" s="33">
        <f t="shared" si="50"/>
        <v>340200.30606725864</v>
      </c>
      <c r="F540" s="33">
        <f t="shared" si="51"/>
        <v>1056799.6939327414</v>
      </c>
      <c r="G540" s="33">
        <f t="shared" si="52"/>
        <v>36879.578512349828</v>
      </c>
      <c r="H540" s="33">
        <f t="shared" si="53"/>
        <v>103000</v>
      </c>
    </row>
    <row r="541" spans="2:8" x14ac:dyDescent="0.25">
      <c r="B541" s="5">
        <f>(541-25)/100</f>
        <v>5.16</v>
      </c>
      <c r="C541" s="5">
        <f t="shared" si="48"/>
        <v>0.59690339267435799</v>
      </c>
      <c r="D541" s="33">
        <f t="shared" si="49"/>
        <v>30309.601609138193</v>
      </c>
      <c r="E541" s="33">
        <f t="shared" si="50"/>
        <v>340569.18989161641</v>
      </c>
      <c r="F541" s="33">
        <f t="shared" si="51"/>
        <v>1056230.8101083837</v>
      </c>
      <c r="G541" s="33">
        <f t="shared" si="52"/>
        <v>36897.128995286985</v>
      </c>
      <c r="H541" s="33">
        <f t="shared" si="53"/>
        <v>103200</v>
      </c>
    </row>
    <row r="542" spans="2:8" x14ac:dyDescent="0.25">
      <c r="B542" s="5">
        <f>(542-25)/100</f>
        <v>5.17</v>
      </c>
      <c r="C542" s="5">
        <f t="shared" si="48"/>
        <v>0.59630678763392098</v>
      </c>
      <c r="D542" s="33">
        <f t="shared" si="49"/>
        <v>30158.431840451107</v>
      </c>
      <c r="E542" s="33">
        <f t="shared" si="50"/>
        <v>340938.24750371918</v>
      </c>
      <c r="F542" s="33">
        <f t="shared" si="51"/>
        <v>1055661.7524962807</v>
      </c>
      <c r="G542" s="33">
        <f t="shared" si="52"/>
        <v>36914.336444200104</v>
      </c>
      <c r="H542" s="33">
        <f t="shared" si="53"/>
        <v>103400</v>
      </c>
    </row>
    <row r="543" spans="2:8" x14ac:dyDescent="0.25">
      <c r="B543" s="5">
        <f>(543-25)/100</f>
        <v>5.18</v>
      </c>
      <c r="C543" s="5">
        <f t="shared" si="48"/>
        <v>0.5957107789003212</v>
      </c>
      <c r="D543" s="33">
        <f t="shared" si="49"/>
        <v>30008.016034130793</v>
      </c>
      <c r="E543" s="33">
        <f t="shared" si="50"/>
        <v>341307.47548468842</v>
      </c>
      <c r="F543" s="33">
        <f t="shared" si="51"/>
        <v>1055092.5245153117</v>
      </c>
      <c r="G543" s="33">
        <f t="shared" si="52"/>
        <v>36931.203149058463</v>
      </c>
      <c r="H543" s="33">
        <f t="shared" si="53"/>
        <v>103600</v>
      </c>
    </row>
    <row r="544" spans="2:8" x14ac:dyDescent="0.25">
      <c r="B544" s="5">
        <f>(544-25)/100</f>
        <v>5.19</v>
      </c>
      <c r="C544" s="5">
        <f t="shared" si="48"/>
        <v>0.5951153658775501</v>
      </c>
      <c r="D544" s="33">
        <f t="shared" si="49"/>
        <v>29858.350429774229</v>
      </c>
      <c r="E544" s="33">
        <f t="shared" si="50"/>
        <v>341676.87043847516</v>
      </c>
      <c r="F544" s="33">
        <f t="shared" si="51"/>
        <v>1054523.1295615248</v>
      </c>
      <c r="G544" s="33">
        <f t="shared" si="52"/>
        <v>36947.731385894891</v>
      </c>
      <c r="H544" s="33">
        <f t="shared" si="53"/>
        <v>103800.00000000001</v>
      </c>
    </row>
    <row r="545" spans="2:8" x14ac:dyDescent="0.25">
      <c r="B545" s="5">
        <f>(545-25)/100</f>
        <v>5.2</v>
      </c>
      <c r="C545" s="5">
        <f t="shared" si="48"/>
        <v>0.59452054797019438</v>
      </c>
      <c r="D545" s="33">
        <f t="shared" si="49"/>
        <v>29709.43128573355</v>
      </c>
      <c r="E545" s="33">
        <f t="shared" si="50"/>
        <v>342046.42899172165</v>
      </c>
      <c r="F545" s="33">
        <f t="shared" si="51"/>
        <v>1053953.5710082783</v>
      </c>
      <c r="G545" s="33">
        <f t="shared" si="52"/>
        <v>36963.923416889265</v>
      </c>
      <c r="H545" s="33">
        <f t="shared" si="53"/>
        <v>104000</v>
      </c>
    </row>
    <row r="546" spans="2:8" x14ac:dyDescent="0.25">
      <c r="B546" s="5">
        <f>(546-25)/100</f>
        <v>5.21</v>
      </c>
      <c r="C546" s="5">
        <f t="shared" si="48"/>
        <v>0.59392632458343608</v>
      </c>
      <c r="D546" s="33">
        <f t="shared" si="49"/>
        <v>29561.254879022381</v>
      </c>
      <c r="E546" s="33">
        <f t="shared" si="50"/>
        <v>342416.14779362309</v>
      </c>
      <c r="F546" s="33">
        <f t="shared" si="51"/>
        <v>1053383.8522063768</v>
      </c>
      <c r="G546" s="33">
        <f t="shared" si="52"/>
        <v>36979.781490451722</v>
      </c>
      <c r="H546" s="33">
        <f t="shared" si="53"/>
        <v>104200</v>
      </c>
    </row>
    <row r="547" spans="2:8" x14ac:dyDescent="0.25">
      <c r="B547" s="5">
        <f>(547-25)/100</f>
        <v>5.22</v>
      </c>
      <c r="C547" s="5">
        <f t="shared" si="48"/>
        <v>0.59333269512305198</v>
      </c>
      <c r="D547" s="33">
        <f t="shared" si="49"/>
        <v>29413.81750522284</v>
      </c>
      <c r="E547" s="33">
        <f t="shared" si="50"/>
        <v>342786.02351578989</v>
      </c>
      <c r="F547" s="33">
        <f t="shared" si="51"/>
        <v>1052813.9764842102</v>
      </c>
      <c r="G547" s="33">
        <f t="shared" si="52"/>
        <v>36995.307841305272</v>
      </c>
      <c r="H547" s="33">
        <f t="shared" si="53"/>
        <v>104400</v>
      </c>
    </row>
    <row r="548" spans="2:8" x14ac:dyDescent="0.25">
      <c r="B548" s="5">
        <f>(548-25)/100</f>
        <v>5.23</v>
      </c>
      <c r="C548" s="5">
        <f t="shared" si="48"/>
        <v>0.59273965899541248</v>
      </c>
      <c r="D548" s="33">
        <f t="shared" si="49"/>
        <v>29267.115478392887</v>
      </c>
      <c r="E548" s="33">
        <f t="shared" si="50"/>
        <v>343156.05285211198</v>
      </c>
      <c r="F548" s="33">
        <f t="shared" si="51"/>
        <v>1052243.9471478881</v>
      </c>
      <c r="G548" s="33">
        <f t="shared" si="52"/>
        <v>37010.504690567825</v>
      </c>
      <c r="H548" s="33">
        <f t="shared" si="53"/>
        <v>104600.00000000001</v>
      </c>
    </row>
    <row r="549" spans="2:8" x14ac:dyDescent="0.25">
      <c r="B549" s="5">
        <f>(549-25)/100</f>
        <v>5.24</v>
      </c>
      <c r="C549" s="5">
        <f t="shared" si="48"/>
        <v>0.59214721560748129</v>
      </c>
      <c r="D549" s="33">
        <f t="shared" si="49"/>
        <v>29121.145130974237</v>
      </c>
      <c r="E549" s="33">
        <f t="shared" si="50"/>
        <v>343526.23251862277</v>
      </c>
      <c r="F549" s="33">
        <f t="shared" si="51"/>
        <v>1051673.7674813773</v>
      </c>
      <c r="G549" s="33">
        <f t="shared" si="52"/>
        <v>37025.374245833853</v>
      </c>
      <c r="H549" s="33">
        <f t="shared" si="53"/>
        <v>104800</v>
      </c>
    </row>
    <row r="550" spans="2:8" x14ac:dyDescent="0.25">
      <c r="B550" s="5">
        <f>(550-25)/100</f>
        <v>5.25</v>
      </c>
      <c r="C550" s="5">
        <f t="shared" si="48"/>
        <v>0.59155536436681511</v>
      </c>
      <c r="D550" s="33">
        <f t="shared" si="49"/>
        <v>28975.902813700581</v>
      </c>
      <c r="E550" s="33">
        <f t="shared" si="50"/>
        <v>343896.55925336399</v>
      </c>
      <c r="F550" s="33">
        <f t="shared" si="51"/>
        <v>1051103.4407466361</v>
      </c>
      <c r="G550" s="33">
        <f t="shared" si="52"/>
        <v>37039.918701255563</v>
      </c>
      <c r="H550" s="33">
        <f t="shared" si="53"/>
        <v>105000</v>
      </c>
    </row>
    <row r="551" spans="2:8" x14ac:dyDescent="0.25">
      <c r="B551" s="5">
        <f>(551-25)/100</f>
        <v>5.26</v>
      </c>
      <c r="C551" s="5">
        <f t="shared" si="48"/>
        <v>0.59096410468156257</v>
      </c>
      <c r="D551" s="33">
        <f t="shared" si="49"/>
        <v>28831.384895506439</v>
      </c>
      <c r="E551" s="33">
        <f t="shared" si="50"/>
        <v>344267.02981625241</v>
      </c>
      <c r="F551" s="33">
        <f t="shared" si="51"/>
        <v>1050532.9701837476</v>
      </c>
      <c r="G551" s="33">
        <f t="shared" si="52"/>
        <v>37054.140237623506</v>
      </c>
      <c r="H551" s="33">
        <f t="shared" si="53"/>
        <v>105200</v>
      </c>
    </row>
    <row r="552" spans="2:8" x14ac:dyDescent="0.25">
      <c r="B552" s="5">
        <f>(552-25)/100</f>
        <v>5.27</v>
      </c>
      <c r="C552" s="5">
        <f t="shared" si="48"/>
        <v>0.59037343596046388</v>
      </c>
      <c r="D552" s="33">
        <f t="shared" si="49"/>
        <v>28687.587763436324</v>
      </c>
      <c r="E552" s="33">
        <f t="shared" si="50"/>
        <v>344637.64098894614</v>
      </c>
      <c r="F552" s="33">
        <f t="shared" si="51"/>
        <v>1049962.3590110538</v>
      </c>
      <c r="G552" s="33">
        <f t="shared" si="52"/>
        <v>37068.041022446749</v>
      </c>
      <c r="H552" s="33">
        <f t="shared" si="53"/>
        <v>105399.99999999999</v>
      </c>
    </row>
    <row r="553" spans="2:8" x14ac:dyDescent="0.25">
      <c r="B553" s="5">
        <f>(553-25)/100</f>
        <v>5.28</v>
      </c>
      <c r="C553" s="5">
        <f t="shared" si="48"/>
        <v>0.58978335761285039</v>
      </c>
      <c r="D553" s="33">
        <f t="shared" si="49"/>
        <v>28544.50782255442</v>
      </c>
      <c r="E553" s="33">
        <f t="shared" si="50"/>
        <v>345008.38957471214</v>
      </c>
      <c r="F553" s="33">
        <f t="shared" si="51"/>
        <v>1049391.6104252879</v>
      </c>
      <c r="G553" s="33">
        <f t="shared" si="52"/>
        <v>37081.62321003258</v>
      </c>
      <c r="H553" s="33">
        <f t="shared" si="53"/>
        <v>105600</v>
      </c>
    </row>
    <row r="554" spans="2:8" x14ac:dyDescent="0.25">
      <c r="B554" s="5">
        <f>(554-25)/100</f>
        <v>5.29</v>
      </c>
      <c r="C554" s="5">
        <f t="shared" si="48"/>
        <v>0.58919386904864368</v>
      </c>
      <c r="D554" s="33">
        <f t="shared" si="49"/>
        <v>28402.141495854794</v>
      </c>
      <c r="E554" s="33">
        <f t="shared" si="50"/>
        <v>345379.27239829476</v>
      </c>
      <c r="F554" s="33">
        <f t="shared" si="51"/>
        <v>1048820.7276017051</v>
      </c>
      <c r="G554" s="33">
        <f t="shared" si="52"/>
        <v>37094.888941565659</v>
      </c>
      <c r="H554" s="33">
        <f t="shared" si="53"/>
        <v>105800</v>
      </c>
    </row>
    <row r="555" spans="2:8" x14ac:dyDescent="0.25">
      <c r="B555" s="5">
        <f>(555-25)/100</f>
        <v>5.3</v>
      </c>
      <c r="C555" s="5">
        <f t="shared" si="48"/>
        <v>0.58860496967835518</v>
      </c>
      <c r="D555" s="33">
        <f t="shared" si="49"/>
        <v>28260.48522417184</v>
      </c>
      <c r="E555" s="33">
        <f t="shared" si="50"/>
        <v>345750.28630578512</v>
      </c>
      <c r="F555" s="33">
        <f t="shared" si="51"/>
        <v>1048249.7136942148</v>
      </c>
      <c r="G555" s="33">
        <f t="shared" si="52"/>
        <v>37107.840345186851</v>
      </c>
      <c r="H555" s="33">
        <f t="shared" si="53"/>
        <v>106000</v>
      </c>
    </row>
    <row r="556" spans="2:8" x14ac:dyDescent="0.25">
      <c r="B556" s="5">
        <f>(556-25)/100</f>
        <v>5.31</v>
      </c>
      <c r="C556" s="5">
        <f t="shared" si="48"/>
        <v>0.58801665891308541</v>
      </c>
      <c r="D556" s="33">
        <f t="shared" si="49"/>
        <v>28119.535466091387</v>
      </c>
      <c r="E556" s="33">
        <f t="shared" si="50"/>
        <v>346121.42816449073</v>
      </c>
      <c r="F556" s="33">
        <f t="shared" si="51"/>
        <v>1047678.5718355093</v>
      </c>
      <c r="G556" s="33">
        <f t="shared" si="52"/>
        <v>37120.479536071391</v>
      </c>
      <c r="H556" s="33">
        <f t="shared" si="53"/>
        <v>106199.99999999999</v>
      </c>
    </row>
    <row r="557" spans="2:8" x14ac:dyDescent="0.25">
      <c r="B557" s="5">
        <f>(557-25)/100</f>
        <v>5.32</v>
      </c>
      <c r="C557" s="5">
        <f t="shared" si="48"/>
        <v>0.58742893616452341</v>
      </c>
      <c r="D557" s="33">
        <f t="shared" si="49"/>
        <v>27979.288697862143</v>
      </c>
      <c r="E557" s="33">
        <f t="shared" si="50"/>
        <v>346492.69486280653</v>
      </c>
      <c r="F557" s="33">
        <f t="shared" si="51"/>
        <v>1047107.3051371935</v>
      </c>
      <c r="G557" s="33">
        <f t="shared" si="52"/>
        <v>37132.808616506736</v>
      </c>
      <c r="H557" s="33">
        <f t="shared" si="53"/>
        <v>106400</v>
      </c>
    </row>
    <row r="558" spans="2:8" x14ac:dyDescent="0.25">
      <c r="B558" s="5">
        <f>(558-25)/100</f>
        <v>5.33</v>
      </c>
      <c r="C558" s="5">
        <f t="shared" si="48"/>
        <v>0.58684180084494664</v>
      </c>
      <c r="D558" s="33">
        <f t="shared" si="49"/>
        <v>27839.741413307605</v>
      </c>
      <c r="E558" s="33">
        <f t="shared" si="50"/>
        <v>346864.08331008576</v>
      </c>
      <c r="F558" s="33">
        <f t="shared" si="51"/>
        <v>1046535.9166899142</v>
      </c>
      <c r="G558" s="33">
        <f t="shared" si="52"/>
        <v>37144.829675969886</v>
      </c>
      <c r="H558" s="33">
        <f t="shared" si="53"/>
        <v>106600</v>
      </c>
    </row>
    <row r="559" spans="2:8" x14ac:dyDescent="0.25">
      <c r="B559" s="5">
        <f>(559-25)/100</f>
        <v>5.34</v>
      </c>
      <c r="C559" s="5">
        <f t="shared" si="48"/>
        <v>0.58625525236721965</v>
      </c>
      <c r="D559" s="33">
        <f t="shared" si="49"/>
        <v>27700.890123738398</v>
      </c>
      <c r="E559" s="33">
        <f t="shared" si="50"/>
        <v>347235.59043651313</v>
      </c>
      <c r="F559" s="33">
        <f t="shared" si="51"/>
        <v>1045964.4095634869</v>
      </c>
      <c r="G559" s="33">
        <f t="shared" si="52"/>
        <v>37156.544791204251</v>
      </c>
      <c r="H559" s="33">
        <f t="shared" si="53"/>
        <v>106800</v>
      </c>
    </row>
    <row r="560" spans="2:8" x14ac:dyDescent="0.25">
      <c r="B560" s="5">
        <f>(560-25)/100</f>
        <v>5.35</v>
      </c>
      <c r="C560" s="5">
        <f t="shared" si="48"/>
        <v>0.58566929014479374</v>
      </c>
      <c r="D560" s="33">
        <f t="shared" si="49"/>
        <v>27562.731357865032</v>
      </c>
      <c r="E560" s="33">
        <f t="shared" si="50"/>
        <v>347607.21319297742</v>
      </c>
      <c r="F560" s="33">
        <f t="shared" si="51"/>
        <v>1045392.7868070225</v>
      </c>
      <c r="G560" s="33">
        <f t="shared" si="52"/>
        <v>37167.956026296015</v>
      </c>
      <c r="H560" s="33">
        <f t="shared" si="53"/>
        <v>107000</v>
      </c>
    </row>
    <row r="561" spans="2:8" x14ac:dyDescent="0.25">
      <c r="B561" s="5">
        <f>(561-25)/100</f>
        <v>5.36</v>
      </c>
      <c r="C561" s="5">
        <f t="shared" si="48"/>
        <v>0.58508391359170686</v>
      </c>
      <c r="D561" s="33">
        <f t="shared" si="49"/>
        <v>27425.261661711163</v>
      </c>
      <c r="E561" s="33">
        <f t="shared" si="50"/>
        <v>347978.94855094509</v>
      </c>
      <c r="F561" s="33">
        <f t="shared" si="51"/>
        <v>1044821.0514490549</v>
      </c>
      <c r="G561" s="33">
        <f t="shared" si="52"/>
        <v>37179.065432750205</v>
      </c>
      <c r="H561" s="33">
        <f t="shared" si="53"/>
        <v>107200</v>
      </c>
    </row>
    <row r="562" spans="2:8" x14ac:dyDescent="0.25">
      <c r="B562" s="5">
        <f>(562-25)/100</f>
        <v>5.37</v>
      </c>
      <c r="C562" s="5">
        <f t="shared" si="48"/>
        <v>0.58449912212258237</v>
      </c>
      <c r="D562" s="33">
        <f t="shared" si="49"/>
        <v>27288.47759852725</v>
      </c>
      <c r="E562" s="33">
        <f t="shared" si="50"/>
        <v>348350.79350233509</v>
      </c>
      <c r="F562" s="33">
        <f t="shared" si="51"/>
        <v>1044249.206497665</v>
      </c>
      <c r="G562" s="33">
        <f t="shared" si="52"/>
        <v>37189.875049566035</v>
      </c>
      <c r="H562" s="33">
        <f t="shared" si="53"/>
        <v>107400</v>
      </c>
    </row>
    <row r="563" spans="2:8" x14ac:dyDescent="0.25">
      <c r="B563" s="5">
        <f>(563-25)/100</f>
        <v>5.38</v>
      </c>
      <c r="C563" s="5">
        <f t="shared" si="48"/>
        <v>0.58391491515262872</v>
      </c>
      <c r="D563" s="33">
        <f t="shared" si="49"/>
        <v>27152.375748704577</v>
      </c>
      <c r="E563" s="33">
        <f t="shared" si="50"/>
        <v>348722.7450593941</v>
      </c>
      <c r="F563" s="33">
        <f t="shared" si="51"/>
        <v>1043677.254940606</v>
      </c>
      <c r="G563" s="33">
        <f t="shared" si="52"/>
        <v>37200.386903312014</v>
      </c>
      <c r="H563" s="33">
        <f t="shared" si="53"/>
        <v>107600</v>
      </c>
    </row>
    <row r="564" spans="2:8" x14ac:dyDescent="0.25">
      <c r="B564" s="5">
        <f>(564-25)/100</f>
        <v>5.39</v>
      </c>
      <c r="C564" s="5">
        <f t="shared" si="48"/>
        <v>0.58333129209763879</v>
      </c>
      <c r="D564" s="33">
        <f t="shared" si="49"/>
        <v>27016.952709689805</v>
      </c>
      <c r="E564" s="33">
        <f t="shared" si="50"/>
        <v>349094.80025457311</v>
      </c>
      <c r="F564" s="33">
        <f t="shared" si="51"/>
        <v>1043105.1997454269</v>
      </c>
      <c r="G564" s="33">
        <f t="shared" si="52"/>
        <v>37210.603008200604</v>
      </c>
      <c r="H564" s="33">
        <f t="shared" si="53"/>
        <v>107800</v>
      </c>
    </row>
    <row r="565" spans="2:8" x14ac:dyDescent="0.25">
      <c r="B565" s="5">
        <f>(565-25)/100</f>
        <v>5.4</v>
      </c>
      <c r="C565" s="5">
        <f t="shared" si="48"/>
        <v>0.58274825237398964</v>
      </c>
      <c r="D565" s="33">
        <f t="shared" si="49"/>
        <v>26882.205095899903</v>
      </c>
      <c r="E565" s="33">
        <f t="shared" si="50"/>
        <v>349466.95614040311</v>
      </c>
      <c r="F565" s="33">
        <f t="shared" si="51"/>
        <v>1042533.0438595968</v>
      </c>
      <c r="G565" s="33">
        <f t="shared" si="52"/>
        <v>37220.525366162277</v>
      </c>
      <c r="H565" s="33">
        <f t="shared" si="53"/>
        <v>108000</v>
      </c>
    </row>
    <row r="566" spans="2:8" x14ac:dyDescent="0.25">
      <c r="B566" s="5">
        <f>(566-25)/100</f>
        <v>5.41</v>
      </c>
      <c r="C566" s="5">
        <f t="shared" si="48"/>
        <v>0.58216579539864144</v>
      </c>
      <c r="D566" s="33">
        <f t="shared" si="49"/>
        <v>26748.12953863752</v>
      </c>
      <c r="E566" s="33">
        <f t="shared" si="50"/>
        <v>349839.20978937368</v>
      </c>
      <c r="F566" s="33">
        <f t="shared" si="51"/>
        <v>1041960.7902106263</v>
      </c>
      <c r="G566" s="33">
        <f t="shared" si="52"/>
        <v>37230.155966919228</v>
      </c>
      <c r="H566" s="33">
        <f t="shared" si="53"/>
        <v>108200</v>
      </c>
    </row>
    <row r="567" spans="2:8" x14ac:dyDescent="0.25">
      <c r="B567" s="5">
        <f>(567-25)/100</f>
        <v>5.42</v>
      </c>
      <c r="C567" s="5">
        <f t="shared" si="48"/>
        <v>0.5815839205891371</v>
      </c>
      <c r="D567" s="33">
        <f t="shared" si="49"/>
        <v>26614.722686006742</v>
      </c>
      <c r="E567" s="33">
        <f t="shared" si="50"/>
        <v>350211.55829381075</v>
      </c>
      <c r="F567" s="33">
        <f t="shared" si="51"/>
        <v>1041388.4417061892</v>
      </c>
      <c r="G567" s="33">
        <f t="shared" si="52"/>
        <v>37239.496788058699</v>
      </c>
      <c r="H567" s="33">
        <f t="shared" si="53"/>
        <v>108400</v>
      </c>
    </row>
    <row r="568" spans="2:8" x14ac:dyDescent="0.25">
      <c r="B568" s="5">
        <f>(568-25)/100</f>
        <v>5.43</v>
      </c>
      <c r="C568" s="5">
        <f t="shared" si="48"/>
        <v>0.58100262736360186</v>
      </c>
      <c r="D568" s="33">
        <f t="shared" si="49"/>
        <v>26481.981202829298</v>
      </c>
      <c r="E568" s="33">
        <f t="shared" si="50"/>
        <v>350583.99876575585</v>
      </c>
      <c r="F568" s="33">
        <f t="shared" si="51"/>
        <v>1040816.0012342441</v>
      </c>
      <c r="G568" s="33">
        <f t="shared" si="52"/>
        <v>37248.54979510574</v>
      </c>
      <c r="H568" s="33">
        <f t="shared" si="53"/>
        <v>108600</v>
      </c>
    </row>
    <row r="569" spans="2:8" x14ac:dyDescent="0.25">
      <c r="B569" s="5">
        <f>(569-25)/100</f>
        <v>5.44</v>
      </c>
      <c r="C569" s="5">
        <f t="shared" si="48"/>
        <v>0.58042191514074237</v>
      </c>
      <c r="D569" s="33">
        <f t="shared" si="49"/>
        <v>26349.90177056118</v>
      </c>
      <c r="E569" s="33">
        <f t="shared" si="50"/>
        <v>350956.52833684569</v>
      </c>
      <c r="F569" s="33">
        <f t="shared" si="51"/>
        <v>1040243.4716631542</v>
      </c>
      <c r="G569" s="33">
        <f t="shared" si="52"/>
        <v>37257.316941595658</v>
      </c>
      <c r="H569" s="33">
        <f t="shared" si="53"/>
        <v>108800.00000000001</v>
      </c>
    </row>
    <row r="570" spans="2:8" x14ac:dyDescent="0.25">
      <c r="B570" s="5">
        <f>(570-25)/100</f>
        <v>5.45</v>
      </c>
      <c r="C570" s="5">
        <f t="shared" si="48"/>
        <v>0.57984178333984637</v>
      </c>
      <c r="D570" s="33">
        <f t="shared" si="49"/>
        <v>26218.481087209733</v>
      </c>
      <c r="E570" s="33">
        <f t="shared" si="50"/>
        <v>351329.14415819262</v>
      </c>
      <c r="F570" s="33">
        <f t="shared" si="51"/>
        <v>1039670.8558418073</v>
      </c>
      <c r="G570" s="33">
        <f t="shared" si="52"/>
        <v>37265.800169145878</v>
      </c>
      <c r="H570" s="33">
        <f t="shared" si="53"/>
        <v>109000</v>
      </c>
    </row>
    <row r="571" spans="2:8" x14ac:dyDescent="0.25">
      <c r="B571" s="5">
        <f>(571-25)/100</f>
        <v>5.46</v>
      </c>
      <c r="C571" s="5">
        <f t="shared" si="48"/>
        <v>0.57926223138078203</v>
      </c>
      <c r="D571" s="33">
        <f t="shared" si="49"/>
        <v>26087.715867251009</v>
      </c>
      <c r="E571" s="33">
        <f t="shared" si="50"/>
        <v>351701.84340026602</v>
      </c>
      <c r="F571" s="33">
        <f t="shared" si="51"/>
        <v>1039098.156599734</v>
      </c>
      <c r="G571" s="33">
        <f t="shared" si="52"/>
        <v>37274.001407527569</v>
      </c>
      <c r="H571" s="33">
        <f t="shared" si="53"/>
        <v>109200</v>
      </c>
    </row>
    <row r="572" spans="2:8" x14ac:dyDescent="0.25">
      <c r="B572" s="5">
        <f>(572-25)/100</f>
        <v>5.47</v>
      </c>
      <c r="C572" s="5">
        <f t="shared" si="48"/>
        <v>0.57868325868399739</v>
      </c>
      <c r="D572" s="33">
        <f t="shared" si="49"/>
        <v>25957.602841547705</v>
      </c>
      <c r="E572" s="33">
        <f t="shared" si="50"/>
        <v>352074.62325277389</v>
      </c>
      <c r="F572" s="33">
        <f t="shared" si="51"/>
        <v>1038525.3767472261</v>
      </c>
      <c r="G572" s="33">
        <f t="shared" si="52"/>
        <v>37281.922574736702</v>
      </c>
      <c r="H572" s="33">
        <f t="shared" si="53"/>
        <v>109400</v>
      </c>
    </row>
    <row r="573" spans="2:8" x14ac:dyDescent="0.25">
      <c r="B573" s="5">
        <f>(573-25)/100</f>
        <v>5.48</v>
      </c>
      <c r="C573" s="5">
        <f t="shared" si="48"/>
        <v>0.57810486467051958</v>
      </c>
      <c r="D573" s="33">
        <f t="shared" si="49"/>
        <v>25828.138757267388</v>
      </c>
      <c r="E573" s="33">
        <f t="shared" si="50"/>
        <v>352447.48092454579</v>
      </c>
      <c r="F573" s="33">
        <f t="shared" si="51"/>
        <v>1037952.5190754542</v>
      </c>
      <c r="G573" s="33">
        <f t="shared" si="52"/>
        <v>37289.565577064684</v>
      </c>
      <c r="H573" s="33">
        <f t="shared" si="53"/>
        <v>109600.00000000001</v>
      </c>
    </row>
    <row r="574" spans="2:8" x14ac:dyDescent="0.25">
      <c r="B574" s="5">
        <f>(574-25)/100</f>
        <v>5.49</v>
      </c>
      <c r="C574" s="5">
        <f t="shared" si="48"/>
        <v>0.57752704876195471</v>
      </c>
      <c r="D574" s="33">
        <f t="shared" si="49"/>
        <v>25699.320377801232</v>
      </c>
      <c r="E574" s="33">
        <f t="shared" si="50"/>
        <v>352820.41364341573</v>
      </c>
      <c r="F574" s="33">
        <f t="shared" si="51"/>
        <v>1037379.5863565842</v>
      </c>
      <c r="G574" s="33">
        <f t="shared" si="52"/>
        <v>37296.932309168667</v>
      </c>
      <c r="H574" s="33">
        <f t="shared" si="53"/>
        <v>109800</v>
      </c>
    </row>
    <row r="575" spans="2:8" x14ac:dyDescent="0.25">
      <c r="B575" s="5">
        <f>(575-25)/100</f>
        <v>5.5</v>
      </c>
      <c r="C575" s="5">
        <f t="shared" si="48"/>
        <v>0.57694981038048665</v>
      </c>
      <c r="D575" s="33">
        <f t="shared" si="49"/>
        <v>25571.144482683027</v>
      </c>
      <c r="E575" s="33">
        <f t="shared" si="50"/>
        <v>353193.41865610669</v>
      </c>
      <c r="F575" s="33">
        <f t="shared" si="51"/>
        <v>1036806.5813438934</v>
      </c>
      <c r="G575" s="33">
        <f t="shared" si="52"/>
        <v>37304.024654141329</v>
      </c>
      <c r="H575" s="33">
        <f t="shared" si="53"/>
        <v>110000</v>
      </c>
    </row>
    <row r="576" spans="2:8" x14ac:dyDescent="0.25">
      <c r="B576" s="5">
        <f>(576-25)/100</f>
        <v>5.51</v>
      </c>
      <c r="C576" s="5">
        <f t="shared" si="48"/>
        <v>0.57637314894887715</v>
      </c>
      <c r="D576" s="33">
        <f t="shared" si="49"/>
        <v>25443.607867508723</v>
      </c>
      <c r="E576" s="33">
        <f t="shared" si="50"/>
        <v>353566.49322811473</v>
      </c>
      <c r="F576" s="33">
        <f t="shared" si="51"/>
        <v>1036233.5067718853</v>
      </c>
      <c r="G576" s="33">
        <f t="shared" si="52"/>
        <v>37310.844483580309</v>
      </c>
      <c r="H576" s="33">
        <f t="shared" si="53"/>
        <v>110200</v>
      </c>
    </row>
    <row r="577" spans="2:8" x14ac:dyDescent="0.25">
      <c r="B577" s="5">
        <f>(577-25)/100</f>
        <v>5.52</v>
      </c>
      <c r="C577" s="5">
        <f t="shared" si="48"/>
        <v>0.57579706389046459</v>
      </c>
      <c r="D577" s="33">
        <f t="shared" si="49"/>
        <v>25316.707343856291</v>
      </c>
      <c r="E577" s="33">
        <f t="shared" si="50"/>
        <v>353939.63464359497</v>
      </c>
      <c r="F577" s="33">
        <f t="shared" si="51"/>
        <v>1035660.365356405</v>
      </c>
      <c r="G577" s="33">
        <f t="shared" si="52"/>
        <v>37317.393657657201</v>
      </c>
      <c r="H577" s="33">
        <f t="shared" si="53"/>
        <v>110399.99999999999</v>
      </c>
    </row>
    <row r="578" spans="2:8" x14ac:dyDescent="0.25">
      <c r="B578" s="5">
        <f>(578-25)/100</f>
        <v>5.53</v>
      </c>
      <c r="C578" s="5">
        <f t="shared" si="48"/>
        <v>0.5752215546291638</v>
      </c>
      <c r="D578" s="33">
        <f t="shared" si="49"/>
        <v>25190.439739206027</v>
      </c>
      <c r="E578" s="33">
        <f t="shared" si="50"/>
        <v>354312.84020524734</v>
      </c>
      <c r="F578" s="33">
        <f t="shared" si="51"/>
        <v>1035087.1597947527</v>
      </c>
      <c r="G578" s="33">
        <f t="shared" si="52"/>
        <v>37323.67402518609</v>
      </c>
      <c r="H578" s="33">
        <f t="shared" si="53"/>
        <v>110600</v>
      </c>
    </row>
    <row r="579" spans="2:8" x14ac:dyDescent="0.25">
      <c r="B579" s="5">
        <f>(579-25)/100</f>
        <v>5.54</v>
      </c>
      <c r="C579" s="5">
        <f t="shared" si="48"/>
        <v>0.5746466205894657</v>
      </c>
      <c r="D579" s="33">
        <f t="shared" si="49"/>
        <v>25064.80189686126</v>
      </c>
      <c r="E579" s="33">
        <f t="shared" si="50"/>
        <v>354686.1072342032</v>
      </c>
      <c r="F579" s="33">
        <f t="shared" si="51"/>
        <v>1034513.8927657967</v>
      </c>
      <c r="G579" s="33">
        <f t="shared" si="52"/>
        <v>37329.687423691801</v>
      </c>
      <c r="H579" s="33">
        <f t="shared" si="53"/>
        <v>110800</v>
      </c>
    </row>
    <row r="580" spans="2:8" x14ac:dyDescent="0.25">
      <c r="B580" s="5">
        <f>(580-25)/100</f>
        <v>5.55</v>
      </c>
      <c r="C580" s="5">
        <f t="shared" si="48"/>
        <v>0.57407226119643595</v>
      </c>
      <c r="D580" s="33">
        <f t="shared" si="49"/>
        <v>24939.790675869372</v>
      </c>
      <c r="E580" s="33">
        <f t="shared" si="50"/>
        <v>355059.43306991336</v>
      </c>
      <c r="F580" s="33">
        <f t="shared" si="51"/>
        <v>1033940.5669300866</v>
      </c>
      <c r="G580" s="33">
        <f t="shared" si="52"/>
        <v>37335.435679477596</v>
      </c>
      <c r="H580" s="33">
        <f t="shared" si="53"/>
        <v>111000</v>
      </c>
    </row>
    <row r="581" spans="2:8" x14ac:dyDescent="0.25">
      <c r="B581" s="5">
        <f>(581-25)/100</f>
        <v>5.56</v>
      </c>
      <c r="C581" s="5">
        <f t="shared" si="48"/>
        <v>0.57349847587571545</v>
      </c>
      <c r="D581" s="33">
        <f t="shared" si="49"/>
        <v>24815.402950943328</v>
      </c>
      <c r="E581" s="33">
        <f t="shared" si="50"/>
        <v>355432.81507003534</v>
      </c>
      <c r="F581" s="33">
        <f t="shared" si="51"/>
        <v>1033367.1849299646</v>
      </c>
      <c r="G581" s="33">
        <f t="shared" si="52"/>
        <v>37340.920607692606</v>
      </c>
      <c r="H581" s="33">
        <f t="shared" si="53"/>
        <v>111199.99999999999</v>
      </c>
    </row>
    <row r="582" spans="2:8" x14ac:dyDescent="0.25">
      <c r="B582" s="5">
        <f>(582-25)/100</f>
        <v>5.57</v>
      </c>
      <c r="C582" s="5">
        <f t="shared" si="48"/>
        <v>0.5729252640535184</v>
      </c>
      <c r="D582" s="33">
        <f t="shared" si="49"/>
        <v>24691.635612383518</v>
      </c>
      <c r="E582" s="33">
        <f t="shared" si="50"/>
        <v>355806.25061032339</v>
      </c>
      <c r="F582" s="33">
        <f t="shared" si="51"/>
        <v>1032793.7493896766</v>
      </c>
      <c r="G582" s="33">
        <f t="shared" si="52"/>
        <v>37346.144012398618</v>
      </c>
      <c r="H582" s="33">
        <f t="shared" si="53"/>
        <v>111400</v>
      </c>
    </row>
    <row r="583" spans="2:8" x14ac:dyDescent="0.25">
      <c r="B583" s="5">
        <f>(583-25)/100</f>
        <v>5.58</v>
      </c>
      <c r="C583" s="5">
        <f t="shared" si="48"/>
        <v>0.57235262515663321</v>
      </c>
      <c r="D583" s="33">
        <f t="shared" si="49"/>
        <v>24568.48556600005</v>
      </c>
      <c r="E583" s="33">
        <f t="shared" si="50"/>
        <v>356179.73708451638</v>
      </c>
      <c r="F583" s="33">
        <f t="shared" si="51"/>
        <v>1032220.2629154837</v>
      </c>
      <c r="G583" s="33">
        <f t="shared" si="52"/>
        <v>37351.107686636868</v>
      </c>
      <c r="H583" s="33">
        <f t="shared" si="53"/>
        <v>111600</v>
      </c>
    </row>
    <row r="584" spans="2:8" x14ac:dyDescent="0.25">
      <c r="B584" s="5">
        <f>(584-25)/100</f>
        <v>5.59</v>
      </c>
      <c r="C584" s="5">
        <f t="shared" si="48"/>
        <v>0.57178055861242094</v>
      </c>
      <c r="D584" s="33">
        <f t="shared" si="49"/>
        <v>24445.949733035344</v>
      </c>
      <c r="E584" s="33">
        <f t="shared" si="50"/>
        <v>356553.27190422936</v>
      </c>
      <c r="F584" s="33">
        <f t="shared" si="51"/>
        <v>1031646.7280957706</v>
      </c>
      <c r="G584" s="33">
        <f t="shared" si="52"/>
        <v>37355.813412494004</v>
      </c>
      <c r="H584" s="33">
        <f t="shared" si="53"/>
        <v>111800</v>
      </c>
    </row>
    <row r="585" spans="2:8" x14ac:dyDescent="0.25">
      <c r="B585" s="5">
        <f>(585-25)/100</f>
        <v>5.6</v>
      </c>
      <c r="C585" s="5">
        <f t="shared" si="48"/>
        <v>0.57120906384881487</v>
      </c>
      <c r="D585" s="33">
        <f t="shared" si="49"/>
        <v>24324.025050087188</v>
      </c>
      <c r="E585" s="33">
        <f t="shared" si="50"/>
        <v>356926.85249884357</v>
      </c>
      <c r="F585" s="33">
        <f t="shared" si="51"/>
        <v>1031073.1475011564</v>
      </c>
      <c r="G585" s="33">
        <f t="shared" si="52"/>
        <v>37360.262961167937</v>
      </c>
      <c r="H585" s="33">
        <f t="shared" si="53"/>
        <v>112000</v>
      </c>
    </row>
    <row r="586" spans="2:8" x14ac:dyDescent="0.25">
      <c r="B586" s="5">
        <f>(586-25)/100</f>
        <v>5.61</v>
      </c>
      <c r="C586" s="5">
        <f t="shared" si="48"/>
        <v>0.57063814029432025</v>
      </c>
      <c r="D586" s="33">
        <f t="shared" si="49"/>
        <v>24202.708469032157</v>
      </c>
      <c r="E586" s="33">
        <f t="shared" si="50"/>
        <v>357300.47631539789</v>
      </c>
      <c r="F586" s="33">
        <f t="shared" si="51"/>
        <v>1030499.5236846022</v>
      </c>
      <c r="G586" s="33">
        <f t="shared" si="52"/>
        <v>37364.458093033158</v>
      </c>
      <c r="H586" s="33">
        <f t="shared" si="53"/>
        <v>112200</v>
      </c>
    </row>
    <row r="587" spans="2:8" x14ac:dyDescent="0.25">
      <c r="B587" s="5">
        <f>(587-25)/100</f>
        <v>5.62</v>
      </c>
      <c r="C587" s="5">
        <f t="shared" si="48"/>
        <v>0.57006778737801345</v>
      </c>
      <c r="D587" s="33">
        <f t="shared" si="49"/>
        <v>24081.996956949417</v>
      </c>
      <c r="E587" s="33">
        <f t="shared" si="50"/>
        <v>357674.14081848145</v>
      </c>
      <c r="F587" s="33">
        <f t="shared" si="51"/>
        <v>1029925.8591815187</v>
      </c>
      <c r="G587" s="33">
        <f t="shared" si="52"/>
        <v>37368.400557705747</v>
      </c>
      <c r="H587" s="33">
        <f t="shared" si="53"/>
        <v>112400</v>
      </c>
    </row>
    <row r="588" spans="2:8" x14ac:dyDescent="0.25">
      <c r="B588" s="5">
        <f>(588-25)/100</f>
        <v>5.63</v>
      </c>
      <c r="C588" s="5">
        <f t="shared" si="48"/>
        <v>0.56949800452954158</v>
      </c>
      <c r="D588" s="33">
        <f t="shared" si="49"/>
        <v>23961.887496044874</v>
      </c>
      <c r="E588" s="33">
        <f t="shared" si="50"/>
        <v>358047.84349012567</v>
      </c>
      <c r="F588" s="33">
        <f t="shared" si="51"/>
        <v>1029352.1565098744</v>
      </c>
      <c r="G588" s="33">
        <f t="shared" si="52"/>
        <v>37372.092094107968</v>
      </c>
      <c r="H588" s="33">
        <f t="shared" si="53"/>
        <v>112600</v>
      </c>
    </row>
    <row r="589" spans="2:8" x14ac:dyDescent="0.25">
      <c r="B589" s="5">
        <f>(589-25)/100</f>
        <v>5.64</v>
      </c>
      <c r="C589" s="5">
        <f t="shared" si="48"/>
        <v>0.56892879117912176</v>
      </c>
      <c r="D589" s="33">
        <f t="shared" si="49"/>
        <v>23842.377083575746</v>
      </c>
      <c r="E589" s="33">
        <f t="shared" si="50"/>
        <v>358421.58182969812</v>
      </c>
      <c r="F589" s="33">
        <f t="shared" si="51"/>
        <v>1028778.4181703019</v>
      </c>
      <c r="G589" s="33">
        <f t="shared" si="52"/>
        <v>37375.534430532418</v>
      </c>
      <c r="H589" s="33">
        <f t="shared" si="53"/>
        <v>112800</v>
      </c>
    </row>
    <row r="590" spans="2:8" x14ac:dyDescent="0.25">
      <c r="B590" s="5">
        <f>(590-25)/100</f>
        <v>5.65</v>
      </c>
      <c r="C590" s="5">
        <f t="shared" si="48"/>
        <v>0.56836014675754043</v>
      </c>
      <c r="D590" s="33">
        <f t="shared" si="49"/>
        <v>23723.462731775489</v>
      </c>
      <c r="E590" s="33">
        <f t="shared" si="50"/>
        <v>358795.35335379664</v>
      </c>
      <c r="F590" s="33">
        <f t="shared" si="51"/>
        <v>1028204.6466462035</v>
      </c>
      <c r="G590" s="33">
        <f t="shared" si="52"/>
        <v>37378.729284705856</v>
      </c>
      <c r="H590" s="33">
        <f t="shared" si="53"/>
        <v>113000</v>
      </c>
    </row>
    <row r="591" spans="2:8" x14ac:dyDescent="0.25">
      <c r="B591" s="5">
        <f>(591-25)/100</f>
        <v>5.66</v>
      </c>
      <c r="C591" s="5">
        <f t="shared" si="48"/>
        <v>0.56779207069615323</v>
      </c>
      <c r="D591" s="33">
        <f t="shared" si="49"/>
        <v>23605.141467779136</v>
      </c>
      <c r="E591" s="33">
        <f t="shared" si="50"/>
        <v>359169.15559614333</v>
      </c>
      <c r="F591" s="33">
        <f t="shared" si="51"/>
        <v>1027630.8444038567</v>
      </c>
      <c r="G591" s="33">
        <f t="shared" si="52"/>
        <v>37381.678363852683</v>
      </c>
      <c r="H591" s="33">
        <f t="shared" si="53"/>
        <v>113200</v>
      </c>
    </row>
    <row r="592" spans="2:8" x14ac:dyDescent="0.25">
      <c r="B592" s="5">
        <f>(592-25)/100</f>
        <v>5.67</v>
      </c>
      <c r="C592" s="5">
        <f t="shared" si="48"/>
        <v>0.56722456242688413</v>
      </c>
      <c r="D592" s="33">
        <f t="shared" si="49"/>
        <v>23487.410333548913</v>
      </c>
      <c r="E592" s="33">
        <f t="shared" si="50"/>
        <v>359542.98610748065</v>
      </c>
      <c r="F592" s="33">
        <f t="shared" si="51"/>
        <v>1027057.0138925193</v>
      </c>
      <c r="G592" s="33">
        <f t="shared" si="52"/>
        <v>37384.383364757952</v>
      </c>
      <c r="H592" s="33">
        <f t="shared" si="53"/>
        <v>113400</v>
      </c>
    </row>
    <row r="593" spans="2:8" x14ac:dyDescent="0.25">
      <c r="B593" s="5">
        <f>(593-25)/100</f>
        <v>5.68</v>
      </c>
      <c r="C593" s="5">
        <f t="shared" si="48"/>
        <v>0.56665762138222464</v>
      </c>
      <c r="D593" s="33">
        <f t="shared" si="49"/>
        <v>23370.266385800333</v>
      </c>
      <c r="E593" s="33">
        <f t="shared" si="50"/>
        <v>359916.84245546692</v>
      </c>
      <c r="F593" s="33">
        <f t="shared" si="51"/>
        <v>1026483.157544533</v>
      </c>
      <c r="G593" s="33">
        <f t="shared" si="52"/>
        <v>37386.845973830023</v>
      </c>
      <c r="H593" s="33">
        <f t="shared" si="53"/>
        <v>113600</v>
      </c>
    </row>
    <row r="594" spans="2:8" x14ac:dyDescent="0.25">
      <c r="B594" s="5">
        <f>(594-25)/100</f>
        <v>5.69</v>
      </c>
      <c r="C594" s="5">
        <f t="shared" si="48"/>
        <v>0.56609124699523372</v>
      </c>
      <c r="D594" s="33">
        <f t="shared" si="49"/>
        <v>23253.706695928588</v>
      </c>
      <c r="E594" s="33">
        <f t="shared" si="50"/>
        <v>360290.72222457262</v>
      </c>
      <c r="F594" s="33">
        <f t="shared" si="51"/>
        <v>1025909.2777754273</v>
      </c>
      <c r="G594" s="33">
        <f t="shared" si="52"/>
        <v>37389.067867162921</v>
      </c>
      <c r="H594" s="33">
        <f t="shared" si="53"/>
        <v>113800.00000000001</v>
      </c>
    </row>
    <row r="595" spans="2:8" x14ac:dyDescent="0.25">
      <c r="B595" s="5">
        <f>(595-25)/100</f>
        <v>5.7</v>
      </c>
      <c r="C595" s="5">
        <f t="shared" si="48"/>
        <v>0.56552543869953709</v>
      </c>
      <c r="D595" s="33">
        <f t="shared" si="49"/>
        <v>23137.728349935383</v>
      </c>
      <c r="E595" s="33">
        <f t="shared" si="50"/>
        <v>360664.62301597826</v>
      </c>
      <c r="F595" s="33">
        <f t="shared" si="51"/>
        <v>1025335.3769840216</v>
      </c>
      <c r="G595" s="33">
        <f t="shared" si="52"/>
        <v>37391.050710598211</v>
      </c>
      <c r="H595" s="33">
        <f t="shared" si="53"/>
        <v>114000</v>
      </c>
    </row>
    <row r="596" spans="2:8" x14ac:dyDescent="0.25">
      <c r="B596" s="5">
        <f>(596-25)/100</f>
        <v>5.71</v>
      </c>
      <c r="C596" s="5">
        <f t="shared" si="48"/>
        <v>0.56496019592932623</v>
      </c>
      <c r="D596" s="33">
        <f t="shared" si="49"/>
        <v>23022.32844835602</v>
      </c>
      <c r="E596" s="33">
        <f t="shared" si="50"/>
        <v>361038.54244747153</v>
      </c>
      <c r="F596" s="33">
        <f t="shared" si="51"/>
        <v>1024761.4575525285</v>
      </c>
      <c r="G596" s="33">
        <f t="shared" si="52"/>
        <v>37392.796159786587</v>
      </c>
      <c r="H596" s="33">
        <f t="shared" si="53"/>
        <v>114200</v>
      </c>
    </row>
    <row r="597" spans="2:8" x14ac:dyDescent="0.25">
      <c r="B597" s="5">
        <f>(597-25)/100</f>
        <v>5.72</v>
      </c>
      <c r="C597" s="5">
        <f t="shared" si="48"/>
        <v>0.5643955181193584</v>
      </c>
      <c r="D597" s="33">
        <f t="shared" si="49"/>
        <v>22907.504106186945</v>
      </c>
      <c r="E597" s="33">
        <f t="shared" si="50"/>
        <v>361412.47815334599</v>
      </c>
      <c r="F597" s="33">
        <f t="shared" si="51"/>
        <v>1024187.5218466539</v>
      </c>
      <c r="G597" s="33">
        <f t="shared" si="52"/>
        <v>37394.305860249049</v>
      </c>
      <c r="H597" s="33">
        <f t="shared" si="53"/>
        <v>114400</v>
      </c>
    </row>
    <row r="598" spans="2:8" x14ac:dyDescent="0.25">
      <c r="B598" s="5">
        <f>(598-25)/100</f>
        <v>5.73</v>
      </c>
      <c r="C598" s="5">
        <f t="shared" si="48"/>
        <v>0.56383140470495563</v>
      </c>
      <c r="D598" s="33">
        <f t="shared" si="49"/>
        <v>22793.252452813613</v>
      </c>
      <c r="E598" s="33">
        <f t="shared" si="50"/>
        <v>361786.42778430006</v>
      </c>
      <c r="F598" s="33">
        <f t="shared" si="51"/>
        <v>1023613.5722157001</v>
      </c>
      <c r="G598" s="33">
        <f t="shared" si="52"/>
        <v>37395.581447437704</v>
      </c>
      <c r="H598" s="33">
        <f t="shared" si="53"/>
        <v>114600.00000000001</v>
      </c>
    </row>
    <row r="599" spans="2:8" x14ac:dyDescent="0.25">
      <c r="B599" s="5">
        <f>(599-25)/100</f>
        <v>5.74</v>
      </c>
      <c r="C599" s="5">
        <f t="shared" si="48"/>
        <v>0.56326785512200461</v>
      </c>
      <c r="D599" s="33">
        <f t="shared" si="49"/>
        <v>22679.570631938761</v>
      </c>
      <c r="E599" s="33">
        <f t="shared" si="50"/>
        <v>362160.38900733646</v>
      </c>
      <c r="F599" s="33">
        <f t="shared" si="51"/>
        <v>1023039.6109926635</v>
      </c>
      <c r="G599" s="33">
        <f t="shared" si="52"/>
        <v>37396.624546796273</v>
      </c>
      <c r="H599" s="33">
        <f t="shared" si="53"/>
        <v>114800</v>
      </c>
    </row>
    <row r="600" spans="2:8" x14ac:dyDescent="0.25">
      <c r="B600" s="5">
        <f>(600-25)/100</f>
        <v>5.75</v>
      </c>
      <c r="C600" s="5">
        <f t="shared" si="48"/>
        <v>0.56270486880695569</v>
      </c>
      <c r="D600" s="33">
        <f t="shared" si="49"/>
        <v>22566.45580151094</v>
      </c>
      <c r="E600" s="33">
        <f t="shared" si="50"/>
        <v>362534.35950566264</v>
      </c>
      <c r="F600" s="33">
        <f t="shared" si="51"/>
        <v>1022465.6404943373</v>
      </c>
      <c r="G600" s="33">
        <f t="shared" si="52"/>
        <v>37397.436773820147</v>
      </c>
      <c r="H600" s="33">
        <f t="shared" si="53"/>
        <v>115000</v>
      </c>
    </row>
    <row r="601" spans="2:8" x14ac:dyDescent="0.25">
      <c r="B601" s="5">
        <f>(601-25)/100</f>
        <v>5.76</v>
      </c>
      <c r="C601" s="5">
        <f t="shared" ref="C601:C664" si="54">EXP(-$C$10*B601)</f>
        <v>0.56214244519682244</v>
      </c>
      <c r="D601" s="33">
        <f t="shared" ref="D601:D664" si="55">$C$7*EXP(-$C$9*B601)</f>
        <v>22453.90513365349</v>
      </c>
      <c r="E601" s="33">
        <f t="shared" ref="E601:E664" si="56">C601*D601+(1-C601)*$C$8</f>
        <v>362908.33697859151</v>
      </c>
      <c r="F601" s="33">
        <f t="shared" ref="F601:F664" si="57">$C$12-E601-$C$11*B601</f>
        <v>1021891.6630214085</v>
      </c>
      <c r="G601" s="33">
        <f t="shared" ref="G601:G664" si="58">$C$10*$C$8*EXP(-$C$10*B601)-($C$9+$C$10)*$C$7*EXP(-($C$9+$C$10)*B601)</f>
        <v>37398.019734116118</v>
      </c>
      <c r="H601" s="33">
        <f t="shared" ref="H601:H664" si="59">$C$11*B601</f>
        <v>115200</v>
      </c>
    </row>
    <row r="602" spans="2:8" x14ac:dyDescent="0.25">
      <c r="B602" s="5">
        <f>(602-25)/100</f>
        <v>5.77</v>
      </c>
      <c r="C602" s="5">
        <f t="shared" si="54"/>
        <v>0.56158058372918129</v>
      </c>
      <c r="D602" s="33">
        <f t="shared" si="55"/>
        <v>22341.91581459386</v>
      </c>
      <c r="E602" s="33">
        <f t="shared" si="56"/>
        <v>363282.31914144277</v>
      </c>
      <c r="F602" s="33">
        <f t="shared" si="57"/>
        <v>1021317.6808585571</v>
      </c>
      <c r="G602" s="33">
        <f t="shared" si="58"/>
        <v>37398.375023461798</v>
      </c>
      <c r="H602" s="33">
        <f t="shared" si="59"/>
        <v>115399.99999999999</v>
      </c>
    </row>
    <row r="603" spans="2:8" x14ac:dyDescent="0.25">
      <c r="B603" s="5">
        <f>(603-25)/100</f>
        <v>5.78</v>
      </c>
      <c r="C603" s="5">
        <f t="shared" si="54"/>
        <v>0.56101928384217048</v>
      </c>
      <c r="D603" s="33">
        <f t="shared" si="55"/>
        <v>22230.485044593224</v>
      </c>
      <c r="E603" s="33">
        <f t="shared" si="56"/>
        <v>363656.30372544541</v>
      </c>
      <c r="F603" s="33">
        <f t="shared" si="57"/>
        <v>1020743.6962745546</v>
      </c>
      <c r="G603" s="33">
        <f t="shared" si="58"/>
        <v>37398.504227864571</v>
      </c>
      <c r="H603" s="33">
        <f t="shared" si="59"/>
        <v>115600</v>
      </c>
    </row>
    <row r="604" spans="2:8" x14ac:dyDescent="0.25">
      <c r="B604" s="5">
        <f>(604-25)/100</f>
        <v>5.79</v>
      </c>
      <c r="C604" s="5">
        <f t="shared" si="54"/>
        <v>0.56045854497449044</v>
      </c>
      <c r="D604" s="33">
        <f t="shared" si="55"/>
        <v>22119.610037876551</v>
      </c>
      <c r="E604" s="33">
        <f t="shared" si="56"/>
        <v>364030.28847763909</v>
      </c>
      <c r="F604" s="33">
        <f t="shared" si="57"/>
        <v>1020169.7115223608</v>
      </c>
      <c r="G604" s="33">
        <f t="shared" si="58"/>
        <v>37398.40892362038</v>
      </c>
      <c r="H604" s="33">
        <f t="shared" si="59"/>
        <v>115800</v>
      </c>
    </row>
    <row r="605" spans="2:8" x14ac:dyDescent="0.25">
      <c r="B605" s="5">
        <f>(605-25)/100</f>
        <v>5.8</v>
      </c>
      <c r="C605" s="5">
        <f t="shared" si="54"/>
        <v>0.55989836656540204</v>
      </c>
      <c r="D605" s="33">
        <f t="shared" si="55"/>
        <v>22009.288022562891</v>
      </c>
      <c r="E605" s="33">
        <f t="shared" si="56"/>
        <v>364404.27116077882</v>
      </c>
      <c r="F605" s="33">
        <f t="shared" si="57"/>
        <v>1019595.7288392212</v>
      </c>
      <c r="G605" s="33">
        <f t="shared" si="58"/>
        <v>37398.090677371903</v>
      </c>
      <c r="H605" s="33">
        <f t="shared" si="59"/>
        <v>116000</v>
      </c>
    </row>
    <row r="606" spans="2:8" x14ac:dyDescent="0.25">
      <c r="B606" s="5">
        <f>(606-25)/100</f>
        <v>5.81</v>
      </c>
      <c r="C606" s="5">
        <f t="shared" si="54"/>
        <v>0.55933874805472683</v>
      </c>
      <c r="D606" s="33">
        <f t="shared" si="55"/>
        <v>21899.516240596116</v>
      </c>
      <c r="E606" s="33">
        <f t="shared" si="56"/>
        <v>364778.24955323775</v>
      </c>
      <c r="F606" s="33">
        <f t="shared" si="57"/>
        <v>1019021.7504467622</v>
      </c>
      <c r="G606" s="33">
        <f t="shared" si="58"/>
        <v>37397.551046166634</v>
      </c>
      <c r="H606" s="33">
        <f t="shared" si="59"/>
        <v>116199.99999999999</v>
      </c>
    </row>
    <row r="607" spans="2:8" x14ac:dyDescent="0.25">
      <c r="B607" s="5">
        <f>(607-25)/100</f>
        <v>5.82</v>
      </c>
      <c r="C607" s="5">
        <f t="shared" si="54"/>
        <v>0.55877968888284624</v>
      </c>
      <c r="D607" s="33">
        <f t="shared" si="55"/>
        <v>21790.291947675945</v>
      </c>
      <c r="E607" s="33">
        <f t="shared" si="56"/>
        <v>365152.22144891176</v>
      </c>
      <c r="F607" s="33">
        <f t="shared" si="57"/>
        <v>1018447.7785510882</v>
      </c>
      <c r="G607" s="33">
        <f t="shared" si="58"/>
        <v>37396.791577514443</v>
      </c>
      <c r="H607" s="33">
        <f t="shared" si="59"/>
        <v>116400</v>
      </c>
    </row>
    <row r="608" spans="2:8" x14ac:dyDescent="0.25">
      <c r="B608" s="5">
        <f>(608-25)/100</f>
        <v>5.83</v>
      </c>
      <c r="C608" s="5">
        <f t="shared" si="54"/>
        <v>0.55822118849070124</v>
      </c>
      <c r="D608" s="33">
        <f t="shared" si="55"/>
        <v>21681.612413189385</v>
      </c>
      <c r="E608" s="33">
        <f t="shared" si="56"/>
        <v>365526.18465712434</v>
      </c>
      <c r="F608" s="33">
        <f t="shared" si="57"/>
        <v>1017873.8153428757</v>
      </c>
      <c r="G608" s="33">
        <f t="shared" si="58"/>
        <v>37395.813809444902</v>
      </c>
      <c r="H608" s="33">
        <f t="shared" si="59"/>
        <v>116600</v>
      </c>
    </row>
    <row r="609" spans="2:8" x14ac:dyDescent="0.25">
      <c r="B609" s="5">
        <f>(609-25)/100</f>
        <v>5.84</v>
      </c>
      <c r="C609" s="5">
        <f t="shared" si="54"/>
        <v>0.55766324631979125</v>
      </c>
      <c r="D609" s="33">
        <f t="shared" si="55"/>
        <v>21573.474920142409</v>
      </c>
      <c r="E609" s="33">
        <f t="shared" si="56"/>
        <v>365900.13700253225</v>
      </c>
      <c r="F609" s="33">
        <f t="shared" si="57"/>
        <v>1017299.8629974676</v>
      </c>
      <c r="G609" s="33">
        <f t="shared" si="58"/>
        <v>37394.619270564173</v>
      </c>
      <c r="H609" s="33">
        <f t="shared" si="59"/>
        <v>116800</v>
      </c>
    </row>
    <row r="610" spans="2:8" x14ac:dyDescent="0.25">
      <c r="B610" s="5">
        <f>(610-25)/100</f>
        <v>5.85</v>
      </c>
      <c r="C610" s="5">
        <f t="shared" si="54"/>
        <v>0.55710586181217392</v>
      </c>
      <c r="D610" s="33">
        <f t="shared" si="55"/>
        <v>21465.876765092053</v>
      </c>
      <c r="E610" s="33">
        <f t="shared" si="56"/>
        <v>366274.0763250314</v>
      </c>
      <c r="F610" s="33">
        <f t="shared" si="57"/>
        <v>1016725.9236749685</v>
      </c>
      <c r="G610" s="33">
        <f t="shared" si="58"/>
        <v>37393.209480111596</v>
      </c>
      <c r="H610" s="33">
        <f t="shared" si="59"/>
        <v>117000</v>
      </c>
    </row>
    <row r="611" spans="2:8" x14ac:dyDescent="0.25">
      <c r="B611" s="5">
        <f>(611-25)/100</f>
        <v>5.86</v>
      </c>
      <c r="C611" s="5">
        <f t="shared" si="54"/>
        <v>0.55654903441046477</v>
      </c>
      <c r="D611" s="33">
        <f t="shared" si="55"/>
        <v>21358.815258078834</v>
      </c>
      <c r="E611" s="33">
        <f t="shared" si="56"/>
        <v>366648.00047966349</v>
      </c>
      <c r="F611" s="33">
        <f t="shared" si="57"/>
        <v>1016151.9995203365</v>
      </c>
      <c r="G611" s="33">
        <f t="shared" si="58"/>
        <v>37391.585948016014</v>
      </c>
      <c r="H611" s="33">
        <f t="shared" si="59"/>
        <v>117200</v>
      </c>
    </row>
    <row r="612" spans="2:8" x14ac:dyDescent="0.25">
      <c r="B612" s="5">
        <f>(612-25)/100</f>
        <v>5.87</v>
      </c>
      <c r="C612" s="5">
        <f t="shared" si="54"/>
        <v>0.55599276355783656</v>
      </c>
      <c r="D612" s="33">
        <f t="shared" si="55"/>
        <v>21252.287722559511</v>
      </c>
      <c r="E612" s="33">
        <f t="shared" si="56"/>
        <v>367021.90733652288</v>
      </c>
      <c r="F612" s="33">
        <f t="shared" si="57"/>
        <v>1015578.0926634772</v>
      </c>
      <c r="G612" s="33">
        <f t="shared" si="58"/>
        <v>37389.750174951638</v>
      </c>
      <c r="H612" s="33">
        <f t="shared" si="59"/>
        <v>117400</v>
      </c>
    </row>
    <row r="613" spans="2:8" x14ac:dyDescent="0.25">
      <c r="B613" s="5">
        <f>(613-25)/100</f>
        <v>5.88</v>
      </c>
      <c r="C613" s="5">
        <f t="shared" si="54"/>
        <v>0.55543704869801824</v>
      </c>
      <c r="D613" s="33">
        <f t="shared" si="55"/>
        <v>21146.291495340149</v>
      </c>
      <c r="E613" s="33">
        <f t="shared" si="56"/>
        <v>367395.79478066514</v>
      </c>
      <c r="F613" s="33">
        <f t="shared" si="57"/>
        <v>1015004.2052193349</v>
      </c>
      <c r="G613" s="33">
        <f t="shared" si="58"/>
        <v>37387.703652393619</v>
      </c>
      <c r="H613" s="33">
        <f t="shared" si="59"/>
        <v>117600</v>
      </c>
    </row>
    <row r="614" spans="2:8" x14ac:dyDescent="0.25">
      <c r="B614" s="5">
        <f>(614-25)/100</f>
        <v>5.89</v>
      </c>
      <c r="C614" s="5">
        <f t="shared" si="54"/>
        <v>0.55488188927529492</v>
      </c>
      <c r="D614" s="33">
        <f t="shared" si="55"/>
        <v>21040.823926509536</v>
      </c>
      <c r="E614" s="33">
        <f t="shared" si="56"/>
        <v>367769.66071201453</v>
      </c>
      <c r="F614" s="33">
        <f t="shared" si="57"/>
        <v>1014430.3392879856</v>
      </c>
      <c r="G614" s="33">
        <f t="shared" si="58"/>
        <v>37385.447862673333</v>
      </c>
      <c r="H614" s="33">
        <f t="shared" si="59"/>
        <v>117800</v>
      </c>
    </row>
    <row r="615" spans="2:8" x14ac:dyDescent="0.25">
      <c r="B615" s="5">
        <f>(615-25)/100</f>
        <v>5.9</v>
      </c>
      <c r="C615" s="5">
        <f t="shared" si="54"/>
        <v>0.55432728473450699</v>
      </c>
      <c r="D615" s="33">
        <f t="shared" si="55"/>
        <v>20935.882379372953</v>
      </c>
      <c r="E615" s="33">
        <f t="shared" si="56"/>
        <v>368143.50304527325</v>
      </c>
      <c r="F615" s="33">
        <f t="shared" si="57"/>
        <v>1013856.4969547268</v>
      </c>
      <c r="G615" s="33">
        <f t="shared" si="58"/>
        <v>37382.984279033262</v>
      </c>
      <c r="H615" s="33">
        <f t="shared" si="59"/>
        <v>118000</v>
      </c>
    </row>
    <row r="616" spans="2:8" x14ac:dyDescent="0.25">
      <c r="B616" s="5">
        <f>(616-25)/100</f>
        <v>5.91</v>
      </c>
      <c r="C616" s="5">
        <f t="shared" si="54"/>
        <v>0.5537732345210501</v>
      </c>
      <c r="D616" s="33">
        <f t="shared" si="55"/>
        <v>20831.464230386275</v>
      </c>
      <c r="E616" s="33">
        <f t="shared" si="56"/>
        <v>368517.31970983045</v>
      </c>
      <c r="F616" s="33">
        <f t="shared" si="57"/>
        <v>1013282.6802901695</v>
      </c>
      <c r="G616" s="33">
        <f t="shared" si="58"/>
        <v>37380.314365681668</v>
      </c>
      <c r="H616" s="33">
        <f t="shared" si="59"/>
        <v>118200</v>
      </c>
    </row>
    <row r="617" spans="2:8" x14ac:dyDescent="0.25">
      <c r="B617" s="5">
        <f>(617-25)/100</f>
        <v>5.92</v>
      </c>
      <c r="C617" s="5">
        <f t="shared" si="54"/>
        <v>0.55321973808087388</v>
      </c>
      <c r="D617" s="33">
        <f t="shared" si="55"/>
        <v>20727.566869090333</v>
      </c>
      <c r="E617" s="33">
        <f t="shared" si="56"/>
        <v>368891.10864967288</v>
      </c>
      <c r="F617" s="33">
        <f t="shared" si="57"/>
        <v>1012708.8913503271</v>
      </c>
      <c r="G617" s="33">
        <f t="shared" si="58"/>
        <v>37377.439577846737</v>
      </c>
      <c r="H617" s="33">
        <f t="shared" si="59"/>
        <v>118400</v>
      </c>
    </row>
    <row r="618" spans="2:8" x14ac:dyDescent="0.25">
      <c r="B618" s="5">
        <f>(618-25)/100</f>
        <v>5.93</v>
      </c>
      <c r="C618" s="5">
        <f t="shared" si="54"/>
        <v>0.55266679486048176</v>
      </c>
      <c r="D618" s="33">
        <f t="shared" si="55"/>
        <v>20624.18769804568</v>
      </c>
      <c r="E618" s="33">
        <f t="shared" si="56"/>
        <v>369264.86782329448</v>
      </c>
      <c r="F618" s="33">
        <f t="shared" si="57"/>
        <v>1012135.1321767056</v>
      </c>
      <c r="G618" s="33">
        <f t="shared" si="58"/>
        <v>37374.361361830612</v>
      </c>
      <c r="H618" s="33">
        <f t="shared" si="59"/>
        <v>118600</v>
      </c>
    </row>
    <row r="619" spans="2:8" x14ac:dyDescent="0.25">
      <c r="B619" s="5">
        <f>(619-25)/100</f>
        <v>5.94</v>
      </c>
      <c r="C619" s="5">
        <f t="shared" si="54"/>
        <v>0.5521144043069306</v>
      </c>
      <c r="D619" s="33">
        <f t="shared" si="55"/>
        <v>20521.324132767644</v>
      </c>
      <c r="E619" s="33">
        <f t="shared" si="56"/>
        <v>369638.59520360798</v>
      </c>
      <c r="F619" s="33">
        <f t="shared" si="57"/>
        <v>1011561.404796392</v>
      </c>
      <c r="G619" s="33">
        <f t="shared" si="58"/>
        <v>37371.081155062973</v>
      </c>
      <c r="H619" s="33">
        <f t="shared" si="59"/>
        <v>118800.00000000001</v>
      </c>
    </row>
    <row r="620" spans="2:8" x14ac:dyDescent="0.25">
      <c r="B620" s="5">
        <f>(620-25)/100</f>
        <v>5.95</v>
      </c>
      <c r="C620" s="5">
        <f t="shared" si="54"/>
        <v>0.5515625658678297</v>
      </c>
      <c r="D620" s="33">
        <f t="shared" si="55"/>
        <v>20418.973601661757</v>
      </c>
      <c r="E620" s="33">
        <f t="shared" si="56"/>
        <v>370012.28877785627</v>
      </c>
      <c r="F620" s="33">
        <f t="shared" si="57"/>
        <v>1010987.7112221438</v>
      </c>
      <c r="G620" s="33">
        <f t="shared" si="58"/>
        <v>37367.600386154358</v>
      </c>
      <c r="H620" s="33">
        <f t="shared" si="59"/>
        <v>119000</v>
      </c>
    </row>
    <row r="621" spans="2:8" x14ac:dyDescent="0.25">
      <c r="B621" s="5">
        <f>(621-25)/100</f>
        <v>5.96</v>
      </c>
      <c r="C621" s="5">
        <f t="shared" si="54"/>
        <v>0.55101127899134072</v>
      </c>
      <c r="D621" s="33">
        <f t="shared" si="55"/>
        <v>20317.133545959401</v>
      </c>
      <c r="E621" s="33">
        <f t="shared" si="56"/>
        <v>370385.94654752436</v>
      </c>
      <c r="F621" s="33">
        <f t="shared" si="57"/>
        <v>1010414.0534524757</v>
      </c>
      <c r="G621" s="33">
        <f t="shared" si="58"/>
        <v>37363.920474949082</v>
      </c>
      <c r="H621" s="33">
        <f t="shared" si="59"/>
        <v>119200</v>
      </c>
    </row>
    <row r="622" spans="2:8" x14ac:dyDescent="0.25">
      <c r="B622" s="5">
        <f>(622-25)/100</f>
        <v>5.97</v>
      </c>
      <c r="C622" s="5">
        <f t="shared" si="54"/>
        <v>0.55046054312617665</v>
      </c>
      <c r="D622" s="33">
        <f t="shared" si="55"/>
        <v>20215.801419653879</v>
      </c>
      <c r="E622" s="33">
        <f t="shared" si="56"/>
        <v>370759.56652825233</v>
      </c>
      <c r="F622" s="33">
        <f t="shared" si="57"/>
        <v>1009840.4334717477</v>
      </c>
      <c r="G622" s="33">
        <f t="shared" si="58"/>
        <v>37360.042832577965</v>
      </c>
      <c r="H622" s="33">
        <f t="shared" si="59"/>
        <v>119400</v>
      </c>
    </row>
    <row r="623" spans="2:8" x14ac:dyDescent="0.25">
      <c r="B623" s="5">
        <f>(623-25)/100</f>
        <v>5.98</v>
      </c>
      <c r="C623" s="5">
        <f t="shared" si="54"/>
        <v>0.54991035772160146</v>
      </c>
      <c r="D623" s="33">
        <f t="shared" si="55"/>
        <v>20114.974689436745</v>
      </c>
      <c r="E623" s="33">
        <f t="shared" si="56"/>
        <v>371133.14674974792</v>
      </c>
      <c r="F623" s="33">
        <f t="shared" si="57"/>
        <v>1009266.8532502521</v>
      </c>
      <c r="G623" s="33">
        <f t="shared" si="58"/>
        <v>37355.968861510642</v>
      </c>
      <c r="H623" s="33">
        <f t="shared" si="59"/>
        <v>119600.00000000001</v>
      </c>
    </row>
    <row r="624" spans="2:8" x14ac:dyDescent="0.25">
      <c r="B624" s="5">
        <f>(624-25)/100</f>
        <v>5.99</v>
      </c>
      <c r="C624" s="5">
        <f t="shared" si="54"/>
        <v>0.54936072222742993</v>
      </c>
      <c r="D624" s="33">
        <f t="shared" si="55"/>
        <v>20014.650834634511</v>
      </c>
      <c r="E624" s="33">
        <f t="shared" si="56"/>
        <v>371506.68525570072</v>
      </c>
      <c r="F624" s="33">
        <f t="shared" si="57"/>
        <v>1008693.3147442993</v>
      </c>
      <c r="G624" s="33">
        <f t="shared" si="58"/>
        <v>37351.699955607604</v>
      </c>
      <c r="H624" s="33">
        <f t="shared" si="59"/>
        <v>119800</v>
      </c>
    </row>
    <row r="625" spans="2:8" x14ac:dyDescent="0.25">
      <c r="B625" s="5">
        <f>(625-25)/100</f>
        <v>6</v>
      </c>
      <c r="C625" s="5">
        <f t="shared" si="54"/>
        <v>0.54881163609402639</v>
      </c>
      <c r="D625" s="33">
        <f t="shared" si="55"/>
        <v>19914.82734714558</v>
      </c>
      <c r="E625" s="33">
        <f t="shared" si="56"/>
        <v>371880.18010369589</v>
      </c>
      <c r="F625" s="33">
        <f t="shared" si="57"/>
        <v>1008119.819896304</v>
      </c>
      <c r="G625" s="33">
        <f t="shared" si="58"/>
        <v>37347.23750017189</v>
      </c>
      <c r="H625" s="33">
        <f t="shared" si="59"/>
        <v>120000</v>
      </c>
    </row>
    <row r="626" spans="2:8" x14ac:dyDescent="0.25">
      <c r="B626" s="5">
        <f>(626-25)/100</f>
        <v>6.01</v>
      </c>
      <c r="C626" s="5">
        <f t="shared" si="54"/>
        <v>0.54826309877230472</v>
      </c>
      <c r="D626" s="33">
        <f t="shared" si="55"/>
        <v>19815.501731377553</v>
      </c>
      <c r="E626" s="33">
        <f t="shared" si="56"/>
        <v>372253.62936512922</v>
      </c>
      <c r="F626" s="33">
        <f t="shared" si="57"/>
        <v>1007546.3706348708</v>
      </c>
      <c r="G626" s="33">
        <f t="shared" si="58"/>
        <v>37342.582872000559</v>
      </c>
      <c r="H626" s="33">
        <f t="shared" si="59"/>
        <v>120200</v>
      </c>
    </row>
    <row r="627" spans="2:8" x14ac:dyDescent="0.25">
      <c r="B627" s="5">
        <f>(627-25)/100</f>
        <v>6.02</v>
      </c>
      <c r="C627" s="5">
        <f t="shared" si="54"/>
        <v>0.5477151097137275</v>
      </c>
      <c r="D627" s="33">
        <f t="shared" si="55"/>
        <v>19716.671504184869</v>
      </c>
      <c r="E627" s="33">
        <f t="shared" si="56"/>
        <v>372627.03112512216</v>
      </c>
      <c r="F627" s="33">
        <f t="shared" si="57"/>
        <v>1006972.9688748778</v>
      </c>
      <c r="G627" s="33">
        <f t="shared" si="58"/>
        <v>37337.737439435718</v>
      </c>
      <c r="H627" s="33">
        <f t="shared" si="59"/>
        <v>120399.99999999999</v>
      </c>
    </row>
    <row r="628" spans="2:8" x14ac:dyDescent="0.25">
      <c r="B628" s="5">
        <f>(628-25)/100</f>
        <v>6.03</v>
      </c>
      <c r="C628" s="5">
        <f t="shared" si="54"/>
        <v>0.5471676683703055</v>
      </c>
      <c r="D628" s="33">
        <f t="shared" si="55"/>
        <v>19618.334194806692</v>
      </c>
      <c r="E628" s="33">
        <f t="shared" si="56"/>
        <v>373000.38348243741</v>
      </c>
      <c r="F628" s="33">
        <f t="shared" si="57"/>
        <v>1006399.6165175627</v>
      </c>
      <c r="G628" s="33">
        <f t="shared" si="58"/>
        <v>37332.702562415354</v>
      </c>
      <c r="H628" s="33">
        <f t="shared" si="59"/>
        <v>120600</v>
      </c>
    </row>
    <row r="629" spans="2:8" x14ac:dyDescent="0.25">
      <c r="B629" s="5">
        <f>(629-25)/100</f>
        <v>6.04</v>
      </c>
      <c r="C629" s="5">
        <f t="shared" si="54"/>
        <v>0.54662077419459754</v>
      </c>
      <c r="D629" s="33">
        <f t="shared" si="55"/>
        <v>19520.487344805184</v>
      </c>
      <c r="E629" s="33">
        <f t="shared" si="56"/>
        <v>373373.68454939523</v>
      </c>
      <c r="F629" s="33">
        <f t="shared" si="57"/>
        <v>1005826.3154506048</v>
      </c>
      <c r="G629" s="33">
        <f t="shared" si="58"/>
        <v>37327.47959252385</v>
      </c>
      <c r="H629" s="33">
        <f t="shared" si="59"/>
        <v>120800</v>
      </c>
    </row>
    <row r="630" spans="2:8" x14ac:dyDescent="0.25">
      <c r="B630" s="5">
        <f>(630-25)/100</f>
        <v>6.05</v>
      </c>
      <c r="C630" s="5">
        <f t="shared" si="54"/>
        <v>0.5460744266397094</v>
      </c>
      <c r="D630" s="33">
        <f t="shared" si="55"/>
        <v>19423.128508003989</v>
      </c>
      <c r="E630" s="33">
        <f t="shared" si="56"/>
        <v>373746.93245179014</v>
      </c>
      <c r="F630" s="33">
        <f t="shared" si="57"/>
        <v>1005253.0675482098</v>
      </c>
      <c r="G630" s="33">
        <f t="shared" si="58"/>
        <v>37322.06987304215</v>
      </c>
      <c r="H630" s="33">
        <f t="shared" si="59"/>
        <v>121000</v>
      </c>
    </row>
    <row r="631" spans="2:8" x14ac:dyDescent="0.25">
      <c r="B631" s="5">
        <f>(631-25)/100</f>
        <v>6.06</v>
      </c>
      <c r="C631" s="5">
        <f t="shared" si="54"/>
        <v>0.54552862515929335</v>
      </c>
      <c r="D631" s="33">
        <f t="shared" si="55"/>
        <v>19326.255250427115</v>
      </c>
      <c r="E631" s="33">
        <f t="shared" si="56"/>
        <v>374120.12532880838</v>
      </c>
      <c r="F631" s="33">
        <f t="shared" si="57"/>
        <v>1004679.8746711917</v>
      </c>
      <c r="G631" s="33">
        <f t="shared" si="58"/>
        <v>37316.474738997626</v>
      </c>
      <c r="H631" s="33">
        <f t="shared" si="59"/>
        <v>121199.99999999999</v>
      </c>
    </row>
    <row r="632" spans="2:8" x14ac:dyDescent="0.25">
      <c r="B632" s="5">
        <f>(632-25)/100</f>
        <v>6.07</v>
      </c>
      <c r="C632" s="5">
        <f t="shared" si="54"/>
        <v>0.54498336920754786</v>
      </c>
      <c r="D632" s="33">
        <f t="shared" si="55"/>
        <v>19229.865150238071</v>
      </c>
      <c r="E632" s="33">
        <f t="shared" si="56"/>
        <v>374493.26133294526</v>
      </c>
      <c r="F632" s="33">
        <f t="shared" si="57"/>
        <v>1004106.7386670548</v>
      </c>
      <c r="G632" s="33">
        <f t="shared" si="58"/>
        <v>37310.695517213695</v>
      </c>
      <c r="H632" s="33">
        <f t="shared" si="59"/>
        <v>121400</v>
      </c>
    </row>
    <row r="633" spans="2:8" x14ac:dyDescent="0.25">
      <c r="B633" s="5">
        <f>(633-25)/100</f>
        <v>6.08</v>
      </c>
      <c r="C633" s="5">
        <f t="shared" si="54"/>
        <v>0.54443865823921711</v>
      </c>
      <c r="D633" s="33">
        <f t="shared" si="55"/>
        <v>19133.955797679348</v>
      </c>
      <c r="E633" s="33">
        <f t="shared" si="56"/>
        <v>374866.33862992335</v>
      </c>
      <c r="F633" s="33">
        <f t="shared" si="57"/>
        <v>1003533.6613700767</v>
      </c>
      <c r="G633" s="33">
        <f t="shared" si="58"/>
        <v>37304.733526359152</v>
      </c>
      <c r="H633" s="33">
        <f t="shared" si="59"/>
        <v>121600</v>
      </c>
    </row>
    <row r="634" spans="2:8" x14ac:dyDescent="0.25">
      <c r="B634" s="5">
        <f>(634-25)/100</f>
        <v>6.09</v>
      </c>
      <c r="C634" s="5">
        <f t="shared" si="54"/>
        <v>0.54389449170958992</v>
      </c>
      <c r="D634" s="33">
        <f t="shared" si="55"/>
        <v>19038.524795012127</v>
      </c>
      <c r="E634" s="33">
        <f t="shared" si="56"/>
        <v>375239.35539861163</v>
      </c>
      <c r="F634" s="33">
        <f t="shared" si="57"/>
        <v>1002960.6446013884</v>
      </c>
      <c r="G634" s="33">
        <f t="shared" si="58"/>
        <v>37298.590076997069</v>
      </c>
      <c r="H634" s="33">
        <f t="shared" si="59"/>
        <v>121800</v>
      </c>
    </row>
    <row r="635" spans="2:8" x14ac:dyDescent="0.25">
      <c r="B635" s="5">
        <f>(635-25)/100</f>
        <v>6.1</v>
      </c>
      <c r="C635" s="5">
        <f t="shared" si="54"/>
        <v>0.54335086907449981</v>
      </c>
      <c r="D635" s="33">
        <f t="shared" si="55"/>
        <v>18943.569756456371</v>
      </c>
      <c r="E635" s="33">
        <f t="shared" si="56"/>
        <v>375612.30983094417</v>
      </c>
      <c r="F635" s="33">
        <f t="shared" si="57"/>
        <v>1002387.6901690559</v>
      </c>
      <c r="G635" s="33">
        <f t="shared" si="58"/>
        <v>37292.266471633593</v>
      </c>
      <c r="H635" s="33">
        <f t="shared" si="59"/>
        <v>122000</v>
      </c>
    </row>
    <row r="636" spans="2:8" x14ac:dyDescent="0.25">
      <c r="B636" s="5">
        <f>(636-25)/100</f>
        <v>6.11</v>
      </c>
      <c r="C636" s="5">
        <f t="shared" si="54"/>
        <v>0.54280778979032396</v>
      </c>
      <c r="D636" s="33">
        <f t="shared" si="55"/>
        <v>18849.088308131166</v>
      </c>
      <c r="E636" s="33">
        <f t="shared" si="56"/>
        <v>375985.20013184013</v>
      </c>
      <c r="F636" s="33">
        <f t="shared" si="57"/>
        <v>1001814.7998681599</v>
      </c>
      <c r="G636" s="33">
        <f t="shared" si="58"/>
        <v>37285.764004766323</v>
      </c>
      <c r="H636" s="33">
        <f t="shared" si="59"/>
        <v>122200</v>
      </c>
    </row>
    <row r="637" spans="2:8" x14ac:dyDescent="0.25">
      <c r="B637" s="5">
        <f>(637-25)/100</f>
        <v>6.12</v>
      </c>
      <c r="C637" s="5">
        <f t="shared" si="54"/>
        <v>0.54226525331398312</v>
      </c>
      <c r="D637" s="33">
        <f t="shared" si="55"/>
        <v>18755.078087995393</v>
      </c>
      <c r="E637" s="33">
        <f t="shared" si="56"/>
        <v>376358.02451912384</v>
      </c>
      <c r="F637" s="33">
        <f t="shared" si="57"/>
        <v>1001241.9754808762</v>
      </c>
      <c r="G637" s="33">
        <f t="shared" si="58"/>
        <v>37279.083962932433</v>
      </c>
      <c r="H637" s="33">
        <f t="shared" si="59"/>
        <v>122400</v>
      </c>
    </row>
    <row r="638" spans="2:8" x14ac:dyDescent="0.25">
      <c r="B638" s="5">
        <f>(638-25)/100</f>
        <v>6.13</v>
      </c>
      <c r="C638" s="5">
        <f t="shared" si="54"/>
        <v>0.54172325910294095</v>
      </c>
      <c r="D638" s="33">
        <f t="shared" si="55"/>
        <v>18661.53674578865</v>
      </c>
      <c r="E638" s="33">
        <f t="shared" si="56"/>
        <v>376730.78122344514</v>
      </c>
      <c r="F638" s="33">
        <f t="shared" si="57"/>
        <v>1000669.2187765548</v>
      </c>
      <c r="G638" s="33">
        <f t="shared" si="58"/>
        <v>37272.227624756524</v>
      </c>
      <c r="H638" s="33">
        <f t="shared" si="59"/>
        <v>122600</v>
      </c>
    </row>
    <row r="639" spans="2:8" x14ac:dyDescent="0.25">
      <c r="B639" s="5">
        <f>(639-25)/100</f>
        <v>6.14</v>
      </c>
      <c r="C639" s="5">
        <f t="shared" si="54"/>
        <v>0.54118180661520288</v>
      </c>
      <c r="D639" s="33">
        <f t="shared" si="55"/>
        <v>18568.46194297251</v>
      </c>
      <c r="E639" s="33">
        <f t="shared" si="56"/>
        <v>377103.46848820121</v>
      </c>
      <c r="F639" s="33">
        <f t="shared" si="57"/>
        <v>1000096.5315117987</v>
      </c>
      <c r="G639" s="33">
        <f t="shared" si="58"/>
        <v>37265.196260998127</v>
      </c>
      <c r="H639" s="33">
        <f t="shared" si="59"/>
        <v>122800</v>
      </c>
    </row>
    <row r="640" spans="2:8" x14ac:dyDescent="0.25">
      <c r="B640" s="5">
        <f>(640-25)/100</f>
        <v>6.15</v>
      </c>
      <c r="C640" s="5">
        <f t="shared" si="54"/>
        <v>0.54064089530931647</v>
      </c>
      <c r="D640" s="33">
        <f t="shared" si="55"/>
        <v>18475.851352672042</v>
      </c>
      <c r="E640" s="33">
        <f t="shared" si="56"/>
        <v>377476.08456945728</v>
      </c>
      <c r="F640" s="33">
        <f t="shared" si="57"/>
        <v>999523.91543054278</v>
      </c>
      <c r="G640" s="33">
        <f t="shared" si="58"/>
        <v>37257.99113459904</v>
      </c>
      <c r="H640" s="33">
        <f t="shared" si="59"/>
        <v>123000</v>
      </c>
    </row>
    <row r="641" spans="2:8" x14ac:dyDescent="0.25">
      <c r="B641" s="5">
        <f>(641-25)/100</f>
        <v>6.16</v>
      </c>
      <c r="C641" s="5">
        <f t="shared" si="54"/>
        <v>0.54010052464437053</v>
      </c>
      <c r="D641" s="33">
        <f t="shared" si="55"/>
        <v>18383.70265961768</v>
      </c>
      <c r="E641" s="33">
        <f t="shared" si="56"/>
        <v>377848.6277358692</v>
      </c>
      <c r="F641" s="33">
        <f t="shared" si="57"/>
        <v>998951.37226413074</v>
      </c>
      <c r="G641" s="33">
        <f t="shared" si="58"/>
        <v>37250.613500730266</v>
      </c>
      <c r="H641" s="33">
        <f t="shared" si="59"/>
        <v>123200</v>
      </c>
    </row>
    <row r="642" spans="2:8" x14ac:dyDescent="0.25">
      <c r="B642" s="5">
        <f>(642-25)/100</f>
        <v>6.17</v>
      </c>
      <c r="C642" s="5">
        <f t="shared" si="54"/>
        <v>0.5395606940799943</v>
      </c>
      <c r="D642" s="33">
        <f t="shared" si="55"/>
        <v>18292.0135600873</v>
      </c>
      <c r="E642" s="33">
        <f t="shared" si="56"/>
        <v>378221.09626860596</v>
      </c>
      <c r="F642" s="33">
        <f t="shared" si="57"/>
        <v>998378.90373139409</v>
      </c>
      <c r="G642" s="33">
        <f t="shared" si="58"/>
        <v>37243.064606838721</v>
      </c>
      <c r="H642" s="33">
        <f t="shared" si="59"/>
        <v>123400</v>
      </c>
    </row>
    <row r="643" spans="2:8" x14ac:dyDescent="0.25">
      <c r="B643" s="5">
        <f>(643-25)/100</f>
        <v>6.18</v>
      </c>
      <c r="C643" s="5">
        <f t="shared" si="54"/>
        <v>0.53902140307635704</v>
      </c>
      <c r="D643" s="33">
        <f t="shared" si="55"/>
        <v>18200.781761848626</v>
      </c>
      <c r="E643" s="33">
        <f t="shared" si="56"/>
        <v>378593.48846127262</v>
      </c>
      <c r="F643" s="33">
        <f t="shared" si="57"/>
        <v>997806.51153872744</v>
      </c>
      <c r="G643" s="33">
        <f t="shared" si="58"/>
        <v>37235.345692693627</v>
      </c>
      <c r="H643" s="33">
        <f t="shared" si="59"/>
        <v>123600</v>
      </c>
    </row>
    <row r="644" spans="2:8" x14ac:dyDescent="0.25">
      <c r="B644" s="5">
        <f>(644-25)/100</f>
        <v>6.19</v>
      </c>
      <c r="C644" s="5">
        <f t="shared" si="54"/>
        <v>0.53848265109416771</v>
      </c>
      <c r="D644" s="33">
        <f t="shared" si="55"/>
        <v>18110.004984101954</v>
      </c>
      <c r="E644" s="33">
        <f t="shared" si="56"/>
        <v>378965.80261983362</v>
      </c>
      <c r="F644" s="33">
        <f t="shared" si="57"/>
        <v>997234.1973801665</v>
      </c>
      <c r="G644" s="33">
        <f t="shared" si="58"/>
        <v>37227.457990432726</v>
      </c>
      <c r="H644" s="33">
        <f t="shared" si="59"/>
        <v>123800.00000000001</v>
      </c>
    </row>
    <row r="645" spans="2:8" x14ac:dyDescent="0.25">
      <c r="B645" s="5">
        <f>(645-25)/100</f>
        <v>6.2</v>
      </c>
      <c r="C645" s="5">
        <f t="shared" si="54"/>
        <v>0.53794443759467447</v>
      </c>
      <c r="D645" s="33">
        <f t="shared" si="55"/>
        <v>18019.680957423119</v>
      </c>
      <c r="E645" s="33">
        <f t="shared" si="56"/>
        <v>379338.03706253687</v>
      </c>
      <c r="F645" s="33">
        <f t="shared" si="57"/>
        <v>996661.96293746307</v>
      </c>
      <c r="G645" s="33">
        <f t="shared" si="58"/>
        <v>37219.402724608088</v>
      </c>
      <c r="H645" s="33">
        <f t="shared" si="59"/>
        <v>124000</v>
      </c>
    </row>
    <row r="646" spans="2:8" x14ac:dyDescent="0.25">
      <c r="B646" s="5">
        <f>(646-25)/100</f>
        <v>6.21</v>
      </c>
      <c r="C646" s="5">
        <f t="shared" si="54"/>
        <v>0.53740676203966364</v>
      </c>
      <c r="D646" s="33">
        <f t="shared" si="55"/>
        <v>17929.807423706749</v>
      </c>
      <c r="E646" s="33">
        <f t="shared" si="56"/>
        <v>379710.19011983805</v>
      </c>
      <c r="F646" s="33">
        <f t="shared" si="57"/>
        <v>996089.80988016189</v>
      </c>
      <c r="G646" s="33">
        <f t="shared" si="58"/>
        <v>37211.181112231716</v>
      </c>
      <c r="H646" s="33">
        <f t="shared" si="59"/>
        <v>124200</v>
      </c>
    </row>
    <row r="647" spans="2:8" x14ac:dyDescent="0.25">
      <c r="B647" s="5">
        <f>(647-25)/100</f>
        <v>6.22</v>
      </c>
      <c r="C647" s="5">
        <f t="shared" si="54"/>
        <v>0.53686962389145954</v>
      </c>
      <c r="D647" s="33">
        <f t="shared" si="55"/>
        <v>17840.382136109813</v>
      </c>
      <c r="E647" s="33">
        <f t="shared" si="56"/>
        <v>380082.26013432554</v>
      </c>
      <c r="F647" s="33">
        <f t="shared" si="57"/>
        <v>995517.7398656744</v>
      </c>
      <c r="G647" s="33">
        <f t="shared" si="58"/>
        <v>37202.794362820852</v>
      </c>
      <c r="H647" s="33">
        <f t="shared" si="59"/>
        <v>124400</v>
      </c>
    </row>
    <row r="648" spans="2:8" x14ac:dyDescent="0.25">
      <c r="B648" s="5">
        <f>(648-25)/100</f>
        <v>6.23</v>
      </c>
      <c r="C648" s="5">
        <f t="shared" si="54"/>
        <v>0.53633302261292404</v>
      </c>
      <c r="D648" s="33">
        <f t="shared" si="55"/>
        <v>17751.402858995461</v>
      </c>
      <c r="E648" s="33">
        <f t="shared" si="56"/>
        <v>380454.24546064553</v>
      </c>
      <c r="F648" s="33">
        <f t="shared" si="57"/>
        <v>994945.75453935447</v>
      </c>
      <c r="G648" s="33">
        <f t="shared" si="58"/>
        <v>37194.243678443076</v>
      </c>
      <c r="H648" s="33">
        <f t="shared" si="59"/>
        <v>124600.00000000001</v>
      </c>
    </row>
    <row r="649" spans="2:8" x14ac:dyDescent="0.25">
      <c r="B649" s="5">
        <f>(649-25)/100</f>
        <v>6.24</v>
      </c>
      <c r="C649" s="5">
        <f t="shared" si="54"/>
        <v>0.53579695766745594</v>
      </c>
      <c r="D649" s="33">
        <f t="shared" si="55"/>
        <v>17662.867367877145</v>
      </c>
      <c r="E649" s="33">
        <f t="shared" si="56"/>
        <v>380826.14446542761</v>
      </c>
      <c r="F649" s="33">
        <f t="shared" si="57"/>
        <v>994373.85553457239</v>
      </c>
      <c r="G649" s="33">
        <f t="shared" si="58"/>
        <v>37185.530253761055</v>
      </c>
      <c r="H649" s="33">
        <f t="shared" si="59"/>
        <v>124800</v>
      </c>
    </row>
    <row r="650" spans="2:8" x14ac:dyDescent="0.25">
      <c r="B650" s="5">
        <f>(650-25)/100</f>
        <v>6.25</v>
      </c>
      <c r="C650" s="5">
        <f t="shared" si="54"/>
        <v>0.53526142851899028</v>
      </c>
      <c r="D650" s="33">
        <f t="shared" si="55"/>
        <v>17574.773449362969</v>
      </c>
      <c r="E650" s="33">
        <f t="shared" si="56"/>
        <v>381197.95552721142</v>
      </c>
      <c r="F650" s="33">
        <f t="shared" si="57"/>
        <v>993802.04447278846</v>
      </c>
      <c r="G650" s="33">
        <f t="shared" si="58"/>
        <v>37176.655276077043</v>
      </c>
      <c r="H650" s="33">
        <f t="shared" si="59"/>
        <v>125000</v>
      </c>
    </row>
    <row r="651" spans="2:8" x14ac:dyDescent="0.25">
      <c r="B651" s="5">
        <f>(651-25)/100</f>
        <v>6.26</v>
      </c>
      <c r="C651" s="5">
        <f t="shared" si="54"/>
        <v>0.53472643463199754</v>
      </c>
      <c r="D651" s="33">
        <f t="shared" si="55"/>
        <v>17487.118901100377</v>
      </c>
      <c r="E651" s="33">
        <f t="shared" si="56"/>
        <v>381569.67703637318</v>
      </c>
      <c r="F651" s="33">
        <f t="shared" si="57"/>
        <v>993230.32296362682</v>
      </c>
      <c r="G651" s="33">
        <f t="shared" si="58"/>
        <v>37167.619925377076</v>
      </c>
      <c r="H651" s="33">
        <f t="shared" si="59"/>
        <v>125200</v>
      </c>
    </row>
    <row r="652" spans="2:8" x14ac:dyDescent="0.25">
      <c r="B652" s="5">
        <f>(652-25)/100</f>
        <v>6.27</v>
      </c>
      <c r="C652" s="5">
        <f t="shared" si="54"/>
        <v>0.53419197547148412</v>
      </c>
      <c r="D652" s="33">
        <f t="shared" si="55"/>
        <v>17399.901531721101</v>
      </c>
      <c r="E652" s="33">
        <f t="shared" si="56"/>
        <v>381941.30739505211</v>
      </c>
      <c r="F652" s="33">
        <f t="shared" si="57"/>
        <v>992658.69260494784</v>
      </c>
      <c r="G652" s="33">
        <f t="shared" si="58"/>
        <v>37158.425374375089</v>
      </c>
      <c r="H652" s="33">
        <f t="shared" si="59"/>
        <v>125399.99999999999</v>
      </c>
    </row>
    <row r="653" spans="2:8" x14ac:dyDescent="0.25">
      <c r="B653" s="5">
        <f>(653-25)/100</f>
        <v>6.28</v>
      </c>
      <c r="C653" s="5">
        <f t="shared" si="54"/>
        <v>0.53365805050299053</v>
      </c>
      <c r="D653" s="33">
        <f t="shared" si="55"/>
        <v>17313.119160786358</v>
      </c>
      <c r="E653" s="33">
        <f t="shared" si="56"/>
        <v>382312.8450170788</v>
      </c>
      <c r="F653" s="33">
        <f t="shared" si="57"/>
        <v>992087.1549829212</v>
      </c>
      <c r="G653" s="33">
        <f t="shared" si="58"/>
        <v>37149.072788556507</v>
      </c>
      <c r="H653" s="33">
        <f t="shared" si="59"/>
        <v>125600</v>
      </c>
    </row>
    <row r="654" spans="2:8" x14ac:dyDescent="0.25">
      <c r="B654" s="5">
        <f>(654-25)/100</f>
        <v>6.29</v>
      </c>
      <c r="C654" s="5">
        <f t="shared" si="54"/>
        <v>0.53312465919259211</v>
      </c>
      <c r="D654" s="33">
        <f t="shared" si="55"/>
        <v>17226.769618732367</v>
      </c>
      <c r="E654" s="33">
        <f t="shared" si="56"/>
        <v>382684.28832790232</v>
      </c>
      <c r="F654" s="33">
        <f t="shared" si="57"/>
        <v>991515.71167209768</v>
      </c>
      <c r="G654" s="33">
        <f t="shared" si="58"/>
        <v>37139.563326221774</v>
      </c>
      <c r="H654" s="33">
        <f t="shared" si="59"/>
        <v>125800</v>
      </c>
    </row>
    <row r="655" spans="2:8" x14ac:dyDescent="0.25">
      <c r="B655" s="5">
        <f>(655-25)/100</f>
        <v>6.3</v>
      </c>
      <c r="C655" s="5">
        <f t="shared" si="54"/>
        <v>0.53259180100689718</v>
      </c>
      <c r="D655" s="33">
        <f t="shared" si="55"/>
        <v>17140.850746816075</v>
      </c>
      <c r="E655" s="33">
        <f t="shared" si="56"/>
        <v>383055.63576451945</v>
      </c>
      <c r="F655" s="33">
        <f t="shared" si="57"/>
        <v>990944.36423548055</v>
      </c>
      <c r="G655" s="33">
        <f t="shared" si="58"/>
        <v>37129.898138529461</v>
      </c>
      <c r="H655" s="33">
        <f t="shared" si="59"/>
        <v>126000</v>
      </c>
    </row>
    <row r="656" spans="2:8" x14ac:dyDescent="0.25">
      <c r="B656" s="5">
        <f>(656-25)/100</f>
        <v>6.31</v>
      </c>
      <c r="C656" s="5">
        <f t="shared" si="54"/>
        <v>0.53205947541304766</v>
      </c>
      <c r="D656" s="33">
        <f t="shared" si="55"/>
        <v>17055.360397061202</v>
      </c>
      <c r="E656" s="33">
        <f t="shared" si="56"/>
        <v>383426.88577540277</v>
      </c>
      <c r="F656" s="33">
        <f t="shared" si="57"/>
        <v>990373.11422459735</v>
      </c>
      <c r="G656" s="33">
        <f t="shared" si="58"/>
        <v>37120.078369539304</v>
      </c>
      <c r="H656" s="33">
        <f t="shared" si="59"/>
        <v>126199.99999999999</v>
      </c>
    </row>
    <row r="657" spans="2:8" x14ac:dyDescent="0.25">
      <c r="B657" s="5">
        <f>(657-25)/100</f>
        <v>6.32</v>
      </c>
      <c r="C657" s="5">
        <f t="shared" si="54"/>
        <v>0.53152768187871791</v>
      </c>
      <c r="D657" s="33">
        <f t="shared" si="55"/>
        <v>16970.296432204555</v>
      </c>
      <c r="E657" s="33">
        <f t="shared" si="56"/>
        <v>383798.03682043002</v>
      </c>
      <c r="F657" s="33">
        <f t="shared" si="57"/>
        <v>989801.96317956992</v>
      </c>
      <c r="G657" s="33">
        <f t="shared" si="58"/>
        <v>37110.105156254809</v>
      </c>
      <c r="H657" s="33">
        <f t="shared" si="59"/>
        <v>126400</v>
      </c>
    </row>
    <row r="658" spans="2:8" x14ac:dyDescent="0.25">
      <c r="B658" s="5">
        <f>(658-25)/100</f>
        <v>6.33</v>
      </c>
      <c r="C658" s="5">
        <f t="shared" si="54"/>
        <v>0.53099641987211432</v>
      </c>
      <c r="D658" s="33">
        <f t="shared" si="55"/>
        <v>16885.656725642588</v>
      </c>
      <c r="E658" s="33">
        <f t="shared" si="56"/>
        <v>384169.08737081423</v>
      </c>
      <c r="F658" s="33">
        <f t="shared" si="57"/>
        <v>989230.91262918571</v>
      </c>
      <c r="G658" s="33">
        <f t="shared" si="58"/>
        <v>37099.979628665729</v>
      </c>
      <c r="H658" s="33">
        <f t="shared" si="59"/>
        <v>126600</v>
      </c>
    </row>
    <row r="659" spans="2:8" x14ac:dyDescent="0.25">
      <c r="B659" s="5">
        <f>(659-25)/100</f>
        <v>6.34</v>
      </c>
      <c r="C659" s="5">
        <f t="shared" si="54"/>
        <v>0.53046568886197487</v>
      </c>
      <c r="D659" s="33">
        <f t="shared" si="55"/>
        <v>16801.439161378221</v>
      </c>
      <c r="E659" s="33">
        <f t="shared" si="56"/>
        <v>384540.03590903321</v>
      </c>
      <c r="F659" s="33">
        <f t="shared" si="57"/>
        <v>988659.96409096685</v>
      </c>
      <c r="G659" s="33">
        <f t="shared" si="58"/>
        <v>37089.702909790154</v>
      </c>
      <c r="H659" s="33">
        <f t="shared" si="59"/>
        <v>126800</v>
      </c>
    </row>
    <row r="660" spans="2:8" x14ac:dyDescent="0.25">
      <c r="B660" s="5">
        <f>(660-25)/100</f>
        <v>6.35</v>
      </c>
      <c r="C660" s="5">
        <f t="shared" si="54"/>
        <v>0.52993548831756854</v>
      </c>
      <c r="D660" s="33">
        <f t="shared" si="55"/>
        <v>16717.641633967967</v>
      </c>
      <c r="E660" s="33">
        <f t="shared" si="56"/>
        <v>384910.8809287601</v>
      </c>
      <c r="F660" s="33">
        <f t="shared" si="57"/>
        <v>988089.11907123984</v>
      </c>
      <c r="G660" s="33">
        <f t="shared" si="58"/>
        <v>37079.276115716522</v>
      </c>
      <c r="H660" s="33">
        <f t="shared" si="59"/>
        <v>127000</v>
      </c>
    </row>
    <row r="661" spans="2:8" x14ac:dyDescent="0.25">
      <c r="B661" s="5">
        <f>(661-25)/100</f>
        <v>6.36</v>
      </c>
      <c r="C661" s="5">
        <f t="shared" si="54"/>
        <v>0.52940581770869455</v>
      </c>
      <c r="D661" s="33">
        <f t="shared" si="55"/>
        <v>16634.262048469263</v>
      </c>
      <c r="E661" s="33">
        <f t="shared" si="56"/>
        <v>385281.62093479495</v>
      </c>
      <c r="F661" s="33">
        <f t="shared" si="57"/>
        <v>987518.37906520511</v>
      </c>
      <c r="G661" s="33">
        <f t="shared" si="58"/>
        <v>37068.700355645218</v>
      </c>
      <c r="H661" s="33">
        <f t="shared" si="59"/>
        <v>127200</v>
      </c>
    </row>
    <row r="662" spans="2:8" x14ac:dyDescent="0.25">
      <c r="B662" s="5">
        <f>(662-25)/100</f>
        <v>6.37</v>
      </c>
      <c r="C662" s="5">
        <f t="shared" si="54"/>
        <v>0.52887667650568249</v>
      </c>
      <c r="D662" s="33">
        <f t="shared" si="55"/>
        <v>16551.298320388152</v>
      </c>
      <c r="E662" s="33">
        <f t="shared" si="56"/>
        <v>385652.25444299501</v>
      </c>
      <c r="F662" s="33">
        <f t="shared" si="57"/>
        <v>986947.74555700505</v>
      </c>
      <c r="G662" s="33">
        <f t="shared" si="58"/>
        <v>37057.976731930015</v>
      </c>
      <c r="H662" s="33">
        <f t="shared" si="59"/>
        <v>127400</v>
      </c>
    </row>
    <row r="663" spans="2:8" x14ac:dyDescent="0.25">
      <c r="B663" s="5">
        <f>(663-25)/100</f>
        <v>6.38</v>
      </c>
      <c r="C663" s="5">
        <f t="shared" si="54"/>
        <v>0.52834806417939095</v>
      </c>
      <c r="D663" s="33">
        <f t="shared" si="55"/>
        <v>16468.748375627096</v>
      </c>
      <c r="E663" s="33">
        <f t="shared" si="56"/>
        <v>386022.77998020733</v>
      </c>
      <c r="F663" s="33">
        <f t="shared" si="57"/>
        <v>986377.22001979267</v>
      </c>
      <c r="G663" s="33">
        <f t="shared" si="58"/>
        <v>37047.106340119237</v>
      </c>
      <c r="H663" s="33">
        <f t="shared" si="59"/>
        <v>127600</v>
      </c>
    </row>
    <row r="664" spans="2:8" x14ac:dyDescent="0.25">
      <c r="B664" s="5">
        <f>(664-25)/100</f>
        <v>6.39</v>
      </c>
      <c r="C664" s="5">
        <f t="shared" si="54"/>
        <v>0.52781998020120768</v>
      </c>
      <c r="D664" s="33">
        <f t="shared" si="55"/>
        <v>16386.610150433178</v>
      </c>
      <c r="E664" s="33">
        <f t="shared" si="56"/>
        <v>386393.1960842004</v>
      </c>
      <c r="F664" s="33">
        <f t="shared" si="57"/>
        <v>985806.8039157996</v>
      </c>
      <c r="G664" s="33">
        <f t="shared" si="58"/>
        <v>37036.09026899669</v>
      </c>
      <c r="H664" s="33">
        <f t="shared" si="59"/>
        <v>127800</v>
      </c>
    </row>
    <row r="665" spans="2:8" x14ac:dyDescent="0.25">
      <c r="B665" s="5">
        <f>(665-25)/100</f>
        <v>6.4</v>
      </c>
      <c r="C665" s="5">
        <f t="shared" ref="C665:C728" si="60">EXP(-$C$10*B665)</f>
        <v>0.52729242404304855</v>
      </c>
      <c r="D665" s="33">
        <f t="shared" ref="D665:D728" si="61">$C$7*EXP(-$C$9*B665)</f>
        <v>16304.881591346484</v>
      </c>
      <c r="E665" s="33">
        <f t="shared" ref="E665:E728" si="62">C665*D665+(1-C665)*$C$8</f>
        <v>386763.50130359712</v>
      </c>
      <c r="F665" s="33">
        <f t="shared" ref="F665:F728" si="63">$C$12-E665-$C$11*B665</f>
        <v>985236.49869640288</v>
      </c>
      <c r="G665" s="33">
        <f t="shared" ref="G665:G728" si="64">$C$10*$C$8*EXP(-$C$10*B665)-($C$9+$C$10)*$C$7*EXP(-($C$9+$C$10)*B665)</f>
        <v>37024.929600622301</v>
      </c>
      <c r="H665" s="33">
        <f t="shared" ref="H665:H728" si="65">$C$11*B665</f>
        <v>128000</v>
      </c>
    </row>
    <row r="666" spans="2:8" x14ac:dyDescent="0.25">
      <c r="B666" s="5">
        <f>(666-25)/100</f>
        <v>6.41</v>
      </c>
      <c r="C666" s="5">
        <f t="shared" si="60"/>
        <v>0.52676539517735743</v>
      </c>
      <c r="D666" s="33">
        <f t="shared" si="61"/>
        <v>16223.560655148794</v>
      </c>
      <c r="E666" s="33">
        <f t="shared" si="62"/>
        <v>387133.69419780734</v>
      </c>
      <c r="F666" s="33">
        <f t="shared" si="63"/>
        <v>984666.30580219254</v>
      </c>
      <c r="G666" s="33">
        <f t="shared" si="64"/>
        <v>37013.625410372624</v>
      </c>
      <c r="H666" s="33">
        <f t="shared" si="65"/>
        <v>128200</v>
      </c>
    </row>
    <row r="667" spans="2:8" x14ac:dyDescent="0.25">
      <c r="B667" s="5">
        <f>(667-25)/100</f>
        <v>6.42</v>
      </c>
      <c r="C667" s="5">
        <f t="shared" si="60"/>
        <v>0.52623889307710536</v>
      </c>
      <c r="D667" s="33">
        <f t="shared" si="61"/>
        <v>16142.645308812458</v>
      </c>
      <c r="E667" s="33">
        <f t="shared" si="62"/>
        <v>387503.77333696152</v>
      </c>
      <c r="F667" s="33">
        <f t="shared" si="63"/>
        <v>984096.2266630386</v>
      </c>
      <c r="G667" s="33">
        <f t="shared" si="64"/>
        <v>37002.178766980949</v>
      </c>
      <c r="H667" s="33">
        <f t="shared" si="65"/>
        <v>128400</v>
      </c>
    </row>
    <row r="668" spans="2:8" x14ac:dyDescent="0.25">
      <c r="B668" s="5">
        <f>(668-25)/100</f>
        <v>6.43</v>
      </c>
      <c r="C668" s="5">
        <f t="shared" si="60"/>
        <v>0.52571291721579028</v>
      </c>
      <c r="D668" s="33">
        <f t="shared" si="61"/>
        <v>16062.133529449609</v>
      </c>
      <c r="E668" s="33">
        <f t="shared" si="62"/>
        <v>387873.73730184429</v>
      </c>
      <c r="F668" s="33">
        <f t="shared" si="63"/>
        <v>983526.26269815583</v>
      </c>
      <c r="G668" s="33">
        <f t="shared" si="64"/>
        <v>36990.590732577315</v>
      </c>
      <c r="H668" s="33">
        <f t="shared" si="65"/>
        <v>128600</v>
      </c>
    </row>
    <row r="669" spans="2:8" x14ac:dyDescent="0.25">
      <c r="B669" s="5">
        <f>(669-25)/100</f>
        <v>6.44</v>
      </c>
      <c r="C669" s="5">
        <f t="shared" si="60"/>
        <v>0.52518746706743602</v>
      </c>
      <c r="D669" s="33">
        <f t="shared" si="61"/>
        <v>15982.023304261558</v>
      </c>
      <c r="E669" s="33">
        <f t="shared" si="62"/>
        <v>388243.58468382905</v>
      </c>
      <c r="F669" s="33">
        <f t="shared" si="63"/>
        <v>982956.41531617101</v>
      </c>
      <c r="G669" s="33">
        <f t="shared" si="64"/>
        <v>36978.862362728163</v>
      </c>
      <c r="H669" s="33">
        <f t="shared" si="65"/>
        <v>128800.00000000001</v>
      </c>
    </row>
    <row r="670" spans="2:8" x14ac:dyDescent="0.25">
      <c r="B670" s="5">
        <f>(670-25)/100</f>
        <v>6.45</v>
      </c>
      <c r="C670" s="5">
        <f t="shared" si="60"/>
        <v>0.52466254210659291</v>
      </c>
      <c r="D670" s="33">
        <f t="shared" si="61"/>
        <v>15902.312630488521</v>
      </c>
      <c r="E670" s="33">
        <f t="shared" si="62"/>
        <v>388613.3140848116</v>
      </c>
      <c r="F670" s="33">
        <f t="shared" si="63"/>
        <v>982386.6859151884</v>
      </c>
      <c r="G670" s="33">
        <f t="shared" si="64"/>
        <v>36966.994706475904</v>
      </c>
      <c r="H670" s="33">
        <f t="shared" si="65"/>
        <v>129000</v>
      </c>
    </row>
    <row r="671" spans="2:8" x14ac:dyDescent="0.25">
      <c r="B671" s="5">
        <f>(671-25)/100</f>
        <v>6.46</v>
      </c>
      <c r="C671" s="5">
        <f t="shared" si="60"/>
        <v>0.5241381418083354</v>
      </c>
      <c r="D671" s="33">
        <f t="shared" si="61"/>
        <v>15822.99951535949</v>
      </c>
      <c r="E671" s="33">
        <f t="shared" si="62"/>
        <v>388982.92411714635</v>
      </c>
      <c r="F671" s="33">
        <f t="shared" si="63"/>
        <v>981817.07588285371</v>
      </c>
      <c r="G671" s="33">
        <f t="shared" si="64"/>
        <v>36954.988806378002</v>
      </c>
      <c r="H671" s="33">
        <f t="shared" si="65"/>
        <v>129200</v>
      </c>
    </row>
    <row r="672" spans="2:8" x14ac:dyDescent="0.25">
      <c r="B672" s="5">
        <f>(672-25)/100</f>
        <v>6.47</v>
      </c>
      <c r="C672" s="5">
        <f t="shared" si="60"/>
        <v>0.52361426564826352</v>
      </c>
      <c r="D672" s="33">
        <f t="shared" si="61"/>
        <v>15744.08197604246</v>
      </c>
      <c r="E672" s="33">
        <f t="shared" si="62"/>
        <v>389352.41340358072</v>
      </c>
      <c r="F672" s="33">
        <f t="shared" si="63"/>
        <v>981247.58659641934</v>
      </c>
      <c r="G672" s="33">
        <f t="shared" si="64"/>
        <v>36942.84569854616</v>
      </c>
      <c r="H672" s="33">
        <f t="shared" si="65"/>
        <v>129400</v>
      </c>
    </row>
    <row r="673" spans="2:8" x14ac:dyDescent="0.25">
      <c r="B673" s="5">
        <f>(673-25)/100</f>
        <v>6.48</v>
      </c>
      <c r="C673" s="5">
        <f t="shared" si="60"/>
        <v>0.52309091310250078</v>
      </c>
      <c r="D673" s="33">
        <f t="shared" si="61"/>
        <v>15665.558039594825</v>
      </c>
      <c r="E673" s="33">
        <f t="shared" si="62"/>
        <v>389721.78057719127</v>
      </c>
      <c r="F673" s="33">
        <f t="shared" si="63"/>
        <v>980678.21942280885</v>
      </c>
      <c r="G673" s="33">
        <f t="shared" si="64"/>
        <v>36930.56641268493</v>
      </c>
      <c r="H673" s="33">
        <f t="shared" si="65"/>
        <v>129600.00000000001</v>
      </c>
    </row>
    <row r="674" spans="2:8" x14ac:dyDescent="0.25">
      <c r="B674" s="5">
        <f>(674-25)/100</f>
        <v>6.49</v>
      </c>
      <c r="C674" s="5">
        <f t="shared" si="60"/>
        <v>0.5225680836476948</v>
      </c>
      <c r="D674" s="33">
        <f t="shared" si="61"/>
        <v>15587.425742914105</v>
      </c>
      <c r="E674" s="33">
        <f t="shared" si="62"/>
        <v>390091.02428131952</v>
      </c>
      <c r="F674" s="33">
        <f t="shared" si="63"/>
        <v>980108.97571868054</v>
      </c>
      <c r="G674" s="33">
        <f t="shared" si="64"/>
        <v>36918.151972130363</v>
      </c>
      <c r="H674" s="33">
        <f t="shared" si="65"/>
        <v>129800</v>
      </c>
    </row>
    <row r="675" spans="2:8" x14ac:dyDescent="0.25">
      <c r="B675" s="5">
        <f>(675-25)/100</f>
        <v>6.5</v>
      </c>
      <c r="C675" s="5">
        <f t="shared" si="60"/>
        <v>0.52204577676101604</v>
      </c>
      <c r="D675" s="33">
        <f t="shared" si="61"/>
        <v>15509.683132688804</v>
      </c>
      <c r="E675" s="33">
        <f t="shared" si="62"/>
        <v>390460.14316950896</v>
      </c>
      <c r="F675" s="33">
        <f t="shared" si="63"/>
        <v>979539.85683049099</v>
      </c>
      <c r="G675" s="33">
        <f t="shared" si="64"/>
        <v>36905.603393888232</v>
      </c>
      <c r="H675" s="33">
        <f t="shared" si="65"/>
        <v>130000</v>
      </c>
    </row>
    <row r="676" spans="2:8" x14ac:dyDescent="0.25">
      <c r="B676" s="5">
        <f>(676-25)/100</f>
        <v>6.51</v>
      </c>
      <c r="C676" s="5">
        <f t="shared" si="60"/>
        <v>0.52152399192015753</v>
      </c>
      <c r="D676" s="33">
        <f t="shared" si="61"/>
        <v>15432.328265349615</v>
      </c>
      <c r="E676" s="33">
        <f t="shared" si="62"/>
        <v>390829.13590544142</v>
      </c>
      <c r="F676" s="33">
        <f t="shared" si="63"/>
        <v>978970.86409455864</v>
      </c>
      <c r="G676" s="33">
        <f t="shared" si="64"/>
        <v>36892.921688672155</v>
      </c>
      <c r="H676" s="33">
        <f t="shared" si="65"/>
        <v>130200</v>
      </c>
    </row>
    <row r="677" spans="2:8" x14ac:dyDescent="0.25">
      <c r="B677" s="5">
        <f>(677-25)/100</f>
        <v>6.52</v>
      </c>
      <c r="C677" s="5">
        <f t="shared" si="60"/>
        <v>0.52100272860333441</v>
      </c>
      <c r="D677" s="33">
        <f t="shared" si="61"/>
        <v>15355.359207020831</v>
      </c>
      <c r="E677" s="33">
        <f t="shared" si="62"/>
        <v>391198.00116287469</v>
      </c>
      <c r="F677" s="33">
        <f t="shared" si="63"/>
        <v>978401.99883712525</v>
      </c>
      <c r="G677" s="33">
        <f t="shared" si="64"/>
        <v>36880.10786094144</v>
      </c>
      <c r="H677" s="33">
        <f t="shared" si="65"/>
        <v>130399.99999999999</v>
      </c>
    </row>
    <row r="678" spans="2:8" x14ac:dyDescent="0.25">
      <c r="B678" s="5">
        <f>(678-25)/100</f>
        <v>6.53</v>
      </c>
      <c r="C678" s="5">
        <f t="shared" si="60"/>
        <v>0.52048198628928322</v>
      </c>
      <c r="D678" s="33">
        <f t="shared" si="61"/>
        <v>15278.774033471971</v>
      </c>
      <c r="E678" s="33">
        <f t="shared" si="62"/>
        <v>391566.73762558005</v>
      </c>
      <c r="F678" s="33">
        <f t="shared" si="63"/>
        <v>977833.26237441995</v>
      </c>
      <c r="G678" s="33">
        <f t="shared" si="64"/>
        <v>36867.162908938684</v>
      </c>
      <c r="H678" s="33">
        <f t="shared" si="65"/>
        <v>130600</v>
      </c>
    </row>
    <row r="679" spans="2:8" x14ac:dyDescent="0.25">
      <c r="B679" s="5">
        <f>(679-25)/100</f>
        <v>6.54</v>
      </c>
      <c r="C679" s="5">
        <f t="shared" si="60"/>
        <v>0.51996176445726183</v>
      </c>
      <c r="D679" s="33">
        <f t="shared" si="61"/>
        <v>15202.570830069726</v>
      </c>
      <c r="E679" s="33">
        <f t="shared" si="62"/>
        <v>391935.3439872801</v>
      </c>
      <c r="F679" s="33">
        <f t="shared" si="63"/>
        <v>977264.65601271996</v>
      </c>
      <c r="G679" s="33">
        <f t="shared" si="64"/>
        <v>36854.087824727219</v>
      </c>
      <c r="H679" s="33">
        <f t="shared" si="65"/>
        <v>130800</v>
      </c>
    </row>
    <row r="680" spans="2:8" x14ac:dyDescent="0.25">
      <c r="B680" s="5">
        <f>(680-25)/100</f>
        <v>6.55</v>
      </c>
      <c r="C680" s="5">
        <f t="shared" si="60"/>
        <v>0.51944206258704817</v>
      </c>
      <c r="D680" s="33">
        <f t="shared" si="61"/>
        <v>15126.747691730034</v>
      </c>
      <c r="E680" s="33">
        <f t="shared" si="62"/>
        <v>392303.81895158754</v>
      </c>
      <c r="F680" s="33">
        <f t="shared" si="63"/>
        <v>976696.18104841234</v>
      </c>
      <c r="G680" s="33">
        <f t="shared" si="64"/>
        <v>36840.88359422818</v>
      </c>
      <c r="H680" s="33">
        <f t="shared" si="65"/>
        <v>131000</v>
      </c>
    </row>
    <row r="681" spans="2:8" x14ac:dyDescent="0.25">
      <c r="B681" s="5">
        <f>(681-25)/100</f>
        <v>6.56</v>
      </c>
      <c r="C681" s="5">
        <f t="shared" si="60"/>
        <v>0.51892288015894039</v>
      </c>
      <c r="D681" s="33">
        <f t="shared" si="61"/>
        <v>15051.302722870489</v>
      </c>
      <c r="E681" s="33">
        <f t="shared" si="62"/>
        <v>392672.16123194376</v>
      </c>
      <c r="F681" s="33">
        <f t="shared" si="63"/>
        <v>976127.83876805613</v>
      </c>
      <c r="G681" s="33">
        <f t="shared" si="64"/>
        <v>36827.551197257599</v>
      </c>
      <c r="H681" s="33">
        <f t="shared" si="65"/>
        <v>131200</v>
      </c>
    </row>
    <row r="682" spans="2:8" x14ac:dyDescent="0.25">
      <c r="B682" s="5">
        <f>(682-25)/100</f>
        <v>6.57</v>
      </c>
      <c r="C682" s="5">
        <f t="shared" si="60"/>
        <v>0.51840421665375591</v>
      </c>
      <c r="D682" s="33">
        <f t="shared" si="61"/>
        <v>14976.234037362929</v>
      </c>
      <c r="E682" s="33">
        <f t="shared" si="62"/>
        <v>393040.3695515577</v>
      </c>
      <c r="F682" s="33">
        <f t="shared" si="63"/>
        <v>975559.63044844242</v>
      </c>
      <c r="G682" s="33">
        <f t="shared" si="64"/>
        <v>36814.091607563001</v>
      </c>
      <c r="H682" s="33">
        <f t="shared" si="65"/>
        <v>131400</v>
      </c>
    </row>
    <row r="683" spans="2:8" x14ac:dyDescent="0.25">
      <c r="B683" s="5">
        <f>(683-25)/100</f>
        <v>6.58</v>
      </c>
      <c r="C683" s="5">
        <f t="shared" si="60"/>
        <v>0.5178860715528314</v>
      </c>
      <c r="D683" s="33">
        <f t="shared" si="61"/>
        <v>14901.539758486324</v>
      </c>
      <c r="E683" s="33">
        <f t="shared" si="62"/>
        <v>393408.44264334568</v>
      </c>
      <c r="F683" s="33">
        <f t="shared" si="63"/>
        <v>974991.5573566542</v>
      </c>
      <c r="G683" s="33">
        <f t="shared" si="64"/>
        <v>36800.505792860029</v>
      </c>
      <c r="H683" s="33">
        <f t="shared" si="65"/>
        <v>131600</v>
      </c>
    </row>
    <row r="684" spans="2:8" x14ac:dyDescent="0.25">
      <c r="B684" s="5">
        <f>(684-25)/100</f>
        <v>6.59</v>
      </c>
      <c r="C684" s="5">
        <f t="shared" si="60"/>
        <v>0.51736844433802165</v>
      </c>
      <c r="D684" s="33">
        <f t="shared" si="61"/>
        <v>14827.218018879801</v>
      </c>
      <c r="E684" s="33">
        <f t="shared" si="62"/>
        <v>393776.37924987118</v>
      </c>
      <c r="F684" s="33">
        <f t="shared" si="63"/>
        <v>974423.62075012876</v>
      </c>
      <c r="G684" s="33">
        <f t="shared" si="64"/>
        <v>36786.794714868614</v>
      </c>
      <c r="H684" s="33">
        <f t="shared" si="65"/>
        <v>131800</v>
      </c>
    </row>
    <row r="685" spans="2:8" x14ac:dyDescent="0.25">
      <c r="B685" s="5">
        <f>(685-25)/100</f>
        <v>6.6</v>
      </c>
      <c r="C685" s="5">
        <f t="shared" si="60"/>
        <v>0.51685133449169918</v>
      </c>
      <c r="D685" s="33">
        <f t="shared" si="61"/>
        <v>14753.266960496007</v>
      </c>
      <c r="E685" s="33">
        <f t="shared" si="62"/>
        <v>394144.17812328535</v>
      </c>
      <c r="F685" s="33">
        <f t="shared" si="63"/>
        <v>973855.8218767147</v>
      </c>
      <c r="G685" s="33">
        <f t="shared" si="64"/>
        <v>36772.959329349142</v>
      </c>
      <c r="H685" s="33">
        <f t="shared" si="65"/>
        <v>132000</v>
      </c>
    </row>
    <row r="686" spans="2:8" x14ac:dyDescent="0.25">
      <c r="B686" s="5">
        <f>(686-25)/100</f>
        <v>6.61</v>
      </c>
      <c r="C686" s="5">
        <f t="shared" si="60"/>
        <v>0.5163347414967544</v>
      </c>
      <c r="D686" s="33">
        <f t="shared" si="61"/>
        <v>14679.684734554612</v>
      </c>
      <c r="E686" s="33">
        <f t="shared" si="62"/>
        <v>394511.83802526654</v>
      </c>
      <c r="F686" s="33">
        <f t="shared" si="63"/>
        <v>973288.16197473346</v>
      </c>
      <c r="G686" s="33">
        <f t="shared" si="64"/>
        <v>36759.000586138289</v>
      </c>
      <c r="H686" s="33">
        <f t="shared" si="65"/>
        <v>132200</v>
      </c>
    </row>
    <row r="687" spans="2:8" x14ac:dyDescent="0.25">
      <c r="B687" s="5">
        <f>(687-25)/100</f>
        <v>6.62</v>
      </c>
      <c r="C687" s="5">
        <f t="shared" si="60"/>
        <v>0.51581866483659411</v>
      </c>
      <c r="D687" s="33">
        <f t="shared" si="61"/>
        <v>14606.469501496162</v>
      </c>
      <c r="E687" s="33">
        <f t="shared" si="62"/>
        <v>394879.35772696289</v>
      </c>
      <c r="F687" s="33">
        <f t="shared" si="63"/>
        <v>972720.64227303723</v>
      </c>
      <c r="G687" s="33">
        <f t="shared" si="64"/>
        <v>36744.919429184622</v>
      </c>
      <c r="H687" s="33">
        <f t="shared" si="65"/>
        <v>132400</v>
      </c>
    </row>
    <row r="688" spans="2:8" x14ac:dyDescent="0.25">
      <c r="B688" s="5">
        <f>(688-25)/100</f>
        <v>6.63</v>
      </c>
      <c r="C688" s="5">
        <f t="shared" si="60"/>
        <v>0.51530310399514168</v>
      </c>
      <c r="D688" s="33">
        <f t="shared" si="61"/>
        <v>14533.619430935998</v>
      </c>
      <c r="E688" s="33">
        <f t="shared" si="62"/>
        <v>395246.73600893212</v>
      </c>
      <c r="F688" s="33">
        <f t="shared" si="63"/>
        <v>972153.26399106788</v>
      </c>
      <c r="G688" s="33">
        <f t="shared" si="64"/>
        <v>36730.716796584078</v>
      </c>
      <c r="H688" s="33">
        <f t="shared" si="65"/>
        <v>132600</v>
      </c>
    </row>
    <row r="689" spans="2:8" x14ac:dyDescent="0.25">
      <c r="B689" s="5">
        <f>(689-25)/100</f>
        <v>6.64</v>
      </c>
      <c r="C689" s="5">
        <f t="shared" si="60"/>
        <v>0.51478805845683617</v>
      </c>
      <c r="D689" s="33">
        <f t="shared" si="61"/>
        <v>14461.13270161857</v>
      </c>
      <c r="E689" s="33">
        <f t="shared" si="62"/>
        <v>395613.97166108398</v>
      </c>
      <c r="F689" s="33">
        <f t="shared" si="63"/>
        <v>971586.02833891613</v>
      </c>
      <c r="G689" s="33">
        <f t="shared" si="64"/>
        <v>36716.393620615163</v>
      </c>
      <c r="H689" s="33">
        <f t="shared" si="65"/>
        <v>132800</v>
      </c>
    </row>
    <row r="690" spans="2:8" x14ac:dyDescent="0.25">
      <c r="B690" s="5">
        <f>(690-25)/100</f>
        <v>6.65</v>
      </c>
      <c r="C690" s="5">
        <f t="shared" si="60"/>
        <v>0.51427352770663193</v>
      </c>
      <c r="D690" s="33">
        <f t="shared" si="61"/>
        <v>14389.007501371862</v>
      </c>
      <c r="E690" s="33">
        <f t="shared" si="62"/>
        <v>395981.06348262215</v>
      </c>
      <c r="F690" s="33">
        <f t="shared" si="63"/>
        <v>971018.93651737785</v>
      </c>
      <c r="G690" s="33">
        <f t="shared" si="64"/>
        <v>36701.950827773937</v>
      </c>
      <c r="H690" s="33">
        <f t="shared" si="65"/>
        <v>133000</v>
      </c>
    </row>
    <row r="691" spans="2:8" x14ac:dyDescent="0.25">
      <c r="B691" s="5">
        <f>(691-25)/100</f>
        <v>6.66</v>
      </c>
      <c r="C691" s="5">
        <f t="shared" si="60"/>
        <v>0.5137595112299983</v>
      </c>
      <c r="D691" s="33">
        <f t="shared" si="61"/>
        <v>14317.242027062119</v>
      </c>
      <c r="E691" s="33">
        <f t="shared" si="62"/>
        <v>396348.01028198638</v>
      </c>
      <c r="F691" s="33">
        <f t="shared" si="63"/>
        <v>970451.98971801368</v>
      </c>
      <c r="G691" s="33">
        <f t="shared" si="64"/>
        <v>36687.389338808847</v>
      </c>
      <c r="H691" s="33">
        <f t="shared" si="65"/>
        <v>133200</v>
      </c>
    </row>
    <row r="692" spans="2:8" x14ac:dyDescent="0.25">
      <c r="B692" s="5">
        <f>(692-25)/100</f>
        <v>6.67</v>
      </c>
      <c r="C692" s="5">
        <f t="shared" si="60"/>
        <v>0.51324600851291879</v>
      </c>
      <c r="D692" s="33">
        <f t="shared" si="61"/>
        <v>14245.834484548745</v>
      </c>
      <c r="E692" s="33">
        <f t="shared" si="62"/>
        <v>396714.81087679532</v>
      </c>
      <c r="F692" s="33">
        <f t="shared" si="63"/>
        <v>969885.18912320468</v>
      </c>
      <c r="G692" s="33">
        <f t="shared" si="64"/>
        <v>36672.710068755303</v>
      </c>
      <c r="H692" s="33">
        <f t="shared" si="65"/>
        <v>133400</v>
      </c>
    </row>
    <row r="693" spans="2:8" x14ac:dyDescent="0.25">
      <c r="B693" s="5">
        <f>(693-25)/100</f>
        <v>6.68</v>
      </c>
      <c r="C693" s="5">
        <f t="shared" si="60"/>
        <v>0.5127330190418905</v>
      </c>
      <c r="D693" s="33">
        <f t="shared" si="61"/>
        <v>14174.783088639457</v>
      </c>
      <c r="E693" s="33">
        <f t="shared" si="62"/>
        <v>397081.46409378963</v>
      </c>
      <c r="F693" s="33">
        <f t="shared" si="63"/>
        <v>969318.53590621031</v>
      </c>
      <c r="G693" s="33">
        <f t="shared" si="64"/>
        <v>36657.91392697001</v>
      </c>
      <c r="H693" s="33">
        <f t="shared" si="65"/>
        <v>133600</v>
      </c>
    </row>
    <row r="694" spans="2:8" x14ac:dyDescent="0.25">
      <c r="B694" s="5">
        <f>(694-25)/100</f>
        <v>6.69</v>
      </c>
      <c r="C694" s="5">
        <f t="shared" si="60"/>
        <v>0.512220542303924</v>
      </c>
      <c r="D694" s="33">
        <f t="shared" si="61"/>
        <v>14104.086063045648</v>
      </c>
      <c r="E694" s="33">
        <f t="shared" si="62"/>
        <v>397447.96876877523</v>
      </c>
      <c r="F694" s="33">
        <f t="shared" si="63"/>
        <v>968752.03123122477</v>
      </c>
      <c r="G694" s="33">
        <f t="shared" si="64"/>
        <v>36643.001817165241</v>
      </c>
      <c r="H694" s="33">
        <f t="shared" si="65"/>
        <v>133800</v>
      </c>
    </row>
    <row r="695" spans="2:8" x14ac:dyDescent="0.25">
      <c r="B695" s="5">
        <f>(695-25)/100</f>
        <v>6.7</v>
      </c>
      <c r="C695" s="5">
        <f t="shared" si="60"/>
        <v>0.51170857778654244</v>
      </c>
      <c r="D695" s="33">
        <f t="shared" si="61"/>
        <v>14033.74164033801</v>
      </c>
      <c r="E695" s="33">
        <f t="shared" si="62"/>
        <v>397814.32374656718</v>
      </c>
      <c r="F695" s="33">
        <f t="shared" si="63"/>
        <v>968185.67625343287</v>
      </c>
      <c r="G695" s="33">
        <f t="shared" si="64"/>
        <v>36627.974637442705</v>
      </c>
      <c r="H695" s="33">
        <f t="shared" si="65"/>
        <v>134000</v>
      </c>
    </row>
    <row r="696" spans="2:8" x14ac:dyDescent="0.25">
      <c r="B696" s="5">
        <f>(696-25)/100</f>
        <v>6.71</v>
      </c>
      <c r="C696" s="5">
        <f t="shared" si="60"/>
        <v>0.51119712497778136</v>
      </c>
      <c r="D696" s="33">
        <f t="shared" si="61"/>
        <v>13963.748061902303</v>
      </c>
      <c r="E696" s="33">
        <f t="shared" si="62"/>
        <v>398180.52788093343</v>
      </c>
      <c r="F696" s="33">
        <f t="shared" si="63"/>
        <v>967619.47211906663</v>
      </c>
      <c r="G696" s="33">
        <f t="shared" si="64"/>
        <v>36612.833280327395</v>
      </c>
      <c r="H696" s="33">
        <f t="shared" si="65"/>
        <v>134200</v>
      </c>
    </row>
    <row r="697" spans="2:8" x14ac:dyDescent="0.25">
      <c r="B697" s="5">
        <f>(697-25)/100</f>
        <v>6.72</v>
      </c>
      <c r="C697" s="5">
        <f t="shared" si="60"/>
        <v>0.51068618336618787</v>
      </c>
      <c r="D697" s="33">
        <f t="shared" si="61"/>
        <v>13894.103577895425</v>
      </c>
      <c r="E697" s="33">
        <f t="shared" si="62"/>
        <v>398546.58003453957</v>
      </c>
      <c r="F697" s="33">
        <f t="shared" si="63"/>
        <v>967053.41996546043</v>
      </c>
      <c r="G697" s="33">
        <f t="shared" si="64"/>
        <v>36597.57863280108</v>
      </c>
      <c r="H697" s="33">
        <f t="shared" si="65"/>
        <v>134400</v>
      </c>
    </row>
    <row r="698" spans="2:8" x14ac:dyDescent="0.25">
      <c r="B698" s="5">
        <f>(698-25)/100</f>
        <v>6.73</v>
      </c>
      <c r="C698" s="5">
        <f t="shared" si="60"/>
        <v>0.51017575244082025</v>
      </c>
      <c r="D698" s="33">
        <f t="shared" si="61"/>
        <v>13824.806447201639</v>
      </c>
      <c r="E698" s="33">
        <f t="shared" si="62"/>
        <v>398912.47907889361</v>
      </c>
      <c r="F698" s="33">
        <f t="shared" si="63"/>
        <v>966487.52092110645</v>
      </c>
      <c r="G698" s="33">
        <f t="shared" si="64"/>
        <v>36582.211576335743</v>
      </c>
      <c r="H698" s="33">
        <f t="shared" si="65"/>
        <v>134600</v>
      </c>
    </row>
    <row r="699" spans="2:8" x14ac:dyDescent="0.25">
      <c r="B699" s="5">
        <f>(699-25)/100</f>
        <v>6.74</v>
      </c>
      <c r="C699" s="5">
        <f t="shared" si="60"/>
        <v>0.50966583169124757</v>
      </c>
      <c r="D699" s="33">
        <f t="shared" si="61"/>
        <v>13755.854937389084</v>
      </c>
      <c r="E699" s="33">
        <f t="shared" si="62"/>
        <v>399278.22389429051</v>
      </c>
      <c r="F699" s="33">
        <f t="shared" si="63"/>
        <v>965921.77610570937</v>
      </c>
      <c r="G699" s="33">
        <f t="shared" si="64"/>
        <v>36566.732986926669</v>
      </c>
      <c r="H699" s="33">
        <f t="shared" si="65"/>
        <v>134800</v>
      </c>
    </row>
    <row r="700" spans="2:8" x14ac:dyDescent="0.25">
      <c r="B700" s="5">
        <f>(700-25)/100</f>
        <v>6.75</v>
      </c>
      <c r="C700" s="5">
        <f t="shared" si="60"/>
        <v>0.50915642060754918</v>
      </c>
      <c r="D700" s="33">
        <f t="shared" si="61"/>
        <v>13687.247324666412</v>
      </c>
      <c r="E700" s="33">
        <f t="shared" si="62"/>
        <v>399643.81336975808</v>
      </c>
      <c r="F700" s="33">
        <f t="shared" si="63"/>
        <v>965356.18663024204</v>
      </c>
      <c r="G700" s="33">
        <f t="shared" si="64"/>
        <v>36551.143735125486</v>
      </c>
      <c r="H700" s="33">
        <f t="shared" si="65"/>
        <v>135000</v>
      </c>
    </row>
    <row r="701" spans="2:8" x14ac:dyDescent="0.25">
      <c r="B701" s="5">
        <f>(701-25)/100</f>
        <v>6.76</v>
      </c>
      <c r="C701" s="5">
        <f t="shared" si="60"/>
        <v>0.50864751868031366</v>
      </c>
      <c r="D701" s="33">
        <f t="shared" si="61"/>
        <v>13618.981893839738</v>
      </c>
      <c r="E701" s="33">
        <f t="shared" si="62"/>
        <v>400009.24640300276</v>
      </c>
      <c r="F701" s="33">
        <f t="shared" si="63"/>
        <v>964790.75359699735</v>
      </c>
      <c r="G701" s="33">
        <f t="shared" si="64"/>
        <v>36535.444686072871</v>
      </c>
      <c r="H701" s="33">
        <f t="shared" si="65"/>
        <v>135200</v>
      </c>
    </row>
    <row r="702" spans="2:8" x14ac:dyDescent="0.25">
      <c r="B702" s="5">
        <f>(702-25)/100</f>
        <v>6.77</v>
      </c>
      <c r="C702" s="5">
        <f t="shared" si="60"/>
        <v>0.50813912540063932</v>
      </c>
      <c r="D702" s="33">
        <f t="shared" si="61"/>
        <v>13551.056938269732</v>
      </c>
      <c r="E702" s="33">
        <f t="shared" si="62"/>
        <v>400374.52190035518</v>
      </c>
      <c r="F702" s="33">
        <f t="shared" si="63"/>
        <v>964225.47809964488</v>
      </c>
      <c r="G702" s="33">
        <f t="shared" si="64"/>
        <v>36519.636699531155</v>
      </c>
      <c r="H702" s="33">
        <f t="shared" si="65"/>
        <v>135400</v>
      </c>
    </row>
    <row r="703" spans="2:8" x14ac:dyDescent="0.25">
      <c r="B703" s="5">
        <f>(703-25)/100</f>
        <v>6.78</v>
      </c>
      <c r="C703" s="5">
        <f t="shared" si="60"/>
        <v>0.50763124026013273</v>
      </c>
      <c r="D703" s="33">
        <f t="shared" si="61"/>
        <v>13483.470759828959</v>
      </c>
      <c r="E703" s="33">
        <f t="shared" si="62"/>
        <v>400739.63877671701</v>
      </c>
      <c r="F703" s="33">
        <f t="shared" si="63"/>
        <v>963660.36122328299</v>
      </c>
      <c r="G703" s="33">
        <f t="shared" si="64"/>
        <v>36503.720629916694</v>
      </c>
      <c r="H703" s="33">
        <f t="shared" si="65"/>
        <v>135600</v>
      </c>
    </row>
    <row r="704" spans="2:8" x14ac:dyDescent="0.25">
      <c r="B704" s="5">
        <f>(704-25)/100</f>
        <v>6.79</v>
      </c>
      <c r="C704" s="5">
        <f t="shared" si="60"/>
        <v>0.50712386275090859</v>
      </c>
      <c r="D704" s="33">
        <f t="shared" si="61"/>
        <v>13416.221668859454</v>
      </c>
      <c r="E704" s="33">
        <f t="shared" si="62"/>
        <v>401104.5959555076</v>
      </c>
      <c r="F704" s="33">
        <f t="shared" si="63"/>
        <v>963095.4040444924</v>
      </c>
      <c r="G704" s="33">
        <f t="shared" si="64"/>
        <v>36487.697326332018</v>
      </c>
      <c r="H704" s="33">
        <f t="shared" si="65"/>
        <v>135800</v>
      </c>
    </row>
    <row r="705" spans="2:8" x14ac:dyDescent="0.25">
      <c r="B705" s="5">
        <f>(705-25)/100</f>
        <v>6.8</v>
      </c>
      <c r="C705" s="5">
        <f t="shared" si="60"/>
        <v>0.50661699236558955</v>
      </c>
      <c r="D705" s="33">
        <f t="shared" si="61"/>
        <v>13349.307984130432</v>
      </c>
      <c r="E705" s="33">
        <f t="shared" si="62"/>
        <v>401469.39236861048</v>
      </c>
      <c r="F705" s="33">
        <f t="shared" si="63"/>
        <v>962530.60763138952</v>
      </c>
      <c r="G705" s="33">
        <f t="shared" si="64"/>
        <v>36471.567632597893</v>
      </c>
      <c r="H705" s="33">
        <f t="shared" si="65"/>
        <v>136000</v>
      </c>
    </row>
    <row r="706" spans="2:8" x14ac:dyDescent="0.25">
      <c r="B706" s="5">
        <f>(706-25)/100</f>
        <v>6.81</v>
      </c>
      <c r="C706" s="5">
        <f t="shared" si="60"/>
        <v>0.50611062859730516</v>
      </c>
      <c r="D706" s="33">
        <f t="shared" si="61"/>
        <v>13282.728032796293</v>
      </c>
      <c r="E706" s="33">
        <f t="shared" si="62"/>
        <v>401834.02695632144</v>
      </c>
      <c r="F706" s="33">
        <f t="shared" si="63"/>
        <v>961965.97304367856</v>
      </c>
      <c r="G706" s="33">
        <f t="shared" si="64"/>
        <v>36455.332387285067</v>
      </c>
      <c r="H706" s="33">
        <f t="shared" si="65"/>
        <v>136200</v>
      </c>
    </row>
    <row r="707" spans="2:8" x14ac:dyDescent="0.25">
      <c r="B707" s="5">
        <f>(707-25)/100</f>
        <v>6.82</v>
      </c>
      <c r="C707" s="5">
        <f t="shared" si="60"/>
        <v>0.50560477093969147</v>
      </c>
      <c r="D707" s="33">
        <f t="shared" si="61"/>
        <v>13216.480150354773</v>
      </c>
      <c r="E707" s="33">
        <f t="shared" si="62"/>
        <v>402198.49866729596</v>
      </c>
      <c r="F707" s="33">
        <f t="shared" si="63"/>
        <v>961401.50133270398</v>
      </c>
      <c r="G707" s="33">
        <f t="shared" si="64"/>
        <v>36438.992423745854</v>
      </c>
      <c r="H707" s="33">
        <f t="shared" si="65"/>
        <v>136400</v>
      </c>
    </row>
    <row r="708" spans="2:8" x14ac:dyDescent="0.25">
      <c r="B708" s="5">
        <f>(708-25)/100</f>
        <v>6.83</v>
      </c>
      <c r="C708" s="5">
        <f t="shared" si="60"/>
        <v>0.50509941888689081</v>
      </c>
      <c r="D708" s="33">
        <f t="shared" si="61"/>
        <v>13150.562680605379</v>
      </c>
      <c r="E708" s="33">
        <f t="shared" si="62"/>
        <v>402562.80645849678</v>
      </c>
      <c r="F708" s="33">
        <f t="shared" si="63"/>
        <v>960837.19354150328</v>
      </c>
      <c r="G708" s="33">
        <f t="shared" si="64"/>
        <v>36422.54857014562</v>
      </c>
      <c r="H708" s="33">
        <f t="shared" si="65"/>
        <v>136600</v>
      </c>
    </row>
    <row r="709" spans="2:8" x14ac:dyDescent="0.25">
      <c r="B709" s="5">
        <f>(709-25)/100</f>
        <v>6.84</v>
      </c>
      <c r="C709" s="5">
        <f t="shared" si="60"/>
        <v>0.50459457193355117</v>
      </c>
      <c r="D709" s="33">
        <f t="shared" si="61"/>
        <v>13084.973975607927</v>
      </c>
      <c r="E709" s="33">
        <f t="shared" si="62"/>
        <v>402926.94929514261</v>
      </c>
      <c r="F709" s="33">
        <f t="shared" si="63"/>
        <v>960273.05070485733</v>
      </c>
      <c r="G709" s="33">
        <f t="shared" si="64"/>
        <v>36406.00164949397</v>
      </c>
      <c r="H709" s="33">
        <f t="shared" si="65"/>
        <v>136800</v>
      </c>
    </row>
    <row r="710" spans="2:8" x14ac:dyDescent="0.25">
      <c r="B710" s="5">
        <f>(710-25)/100</f>
        <v>6.85</v>
      </c>
      <c r="C710" s="5">
        <f t="shared" si="60"/>
        <v>0.50409022957482552</v>
      </c>
      <c r="D710" s="33">
        <f t="shared" si="61"/>
        <v>13019.712395641372</v>
      </c>
      <c r="E710" s="33">
        <f t="shared" si="62"/>
        <v>403290.92615065665</v>
      </c>
      <c r="F710" s="33">
        <f t="shared" si="63"/>
        <v>959709.07384934323</v>
      </c>
      <c r="G710" s="33">
        <f t="shared" si="64"/>
        <v>36389.352479675799</v>
      </c>
      <c r="H710" s="33">
        <f t="shared" si="65"/>
        <v>137000</v>
      </c>
    </row>
    <row r="711" spans="2:8" x14ac:dyDescent="0.25">
      <c r="B711" s="5">
        <f>(711-25)/100</f>
        <v>6.86</v>
      </c>
      <c r="C711" s="5">
        <f t="shared" si="60"/>
        <v>0.50358639130637139</v>
      </c>
      <c r="D711" s="33">
        <f t="shared" si="61"/>
        <v>12954.776309162817</v>
      </c>
      <c r="E711" s="33">
        <f t="shared" si="62"/>
        <v>403654.73600661545</v>
      </c>
      <c r="F711" s="33">
        <f t="shared" si="63"/>
        <v>959145.26399338455</v>
      </c>
      <c r="G711" s="33">
        <f t="shared" si="64"/>
        <v>36372.601873482163</v>
      </c>
      <c r="H711" s="33">
        <f t="shared" si="65"/>
        <v>137200</v>
      </c>
    </row>
    <row r="712" spans="2:8" x14ac:dyDescent="0.25">
      <c r="B712" s="5">
        <f>(712-25)/100</f>
        <v>6.87</v>
      </c>
      <c r="C712" s="5">
        <f t="shared" si="60"/>
        <v>0.5030830566243506</v>
      </c>
      <c r="D712" s="33">
        <f t="shared" si="61"/>
        <v>12890.164092766721</v>
      </c>
      <c r="E712" s="33">
        <f t="shared" si="62"/>
        <v>404018.37785269809</v>
      </c>
      <c r="F712" s="33">
        <f t="shared" si="63"/>
        <v>958581.62214730191</v>
      </c>
      <c r="G712" s="33">
        <f t="shared" si="64"/>
        <v>36355.75063864093</v>
      </c>
      <c r="H712" s="33">
        <f t="shared" si="65"/>
        <v>137400</v>
      </c>
    </row>
    <row r="713" spans="2:8" x14ac:dyDescent="0.25">
      <c r="B713" s="5">
        <f>(713-25)/100</f>
        <v>6.88</v>
      </c>
      <c r="C713" s="5">
        <f t="shared" si="60"/>
        <v>0.50258022502542832</v>
      </c>
      <c r="D713" s="33">
        <f t="shared" si="61"/>
        <v>12825.874131144308</v>
      </c>
      <c r="E713" s="33">
        <f t="shared" si="62"/>
        <v>404381.85068663571</v>
      </c>
      <c r="F713" s="33">
        <f t="shared" si="63"/>
        <v>958018.14931336418</v>
      </c>
      <c r="G713" s="33">
        <f t="shared" si="64"/>
        <v>36338.799577847276</v>
      </c>
      <c r="H713" s="33">
        <f t="shared" si="65"/>
        <v>137600</v>
      </c>
    </row>
    <row r="714" spans="2:8" x14ac:dyDescent="0.25">
      <c r="B714" s="5">
        <f>(714-25)/100</f>
        <v>6.89</v>
      </c>
      <c r="C714" s="5">
        <f t="shared" si="60"/>
        <v>0.50207789600677299</v>
      </c>
      <c r="D714" s="33">
        <f t="shared" si="61"/>
        <v>12761.904817043191</v>
      </c>
      <c r="E714" s="33">
        <f t="shared" si="62"/>
        <v>404745.15351416136</v>
      </c>
      <c r="F714" s="33">
        <f t="shared" si="63"/>
        <v>957454.84648583876</v>
      </c>
      <c r="G714" s="33">
        <f t="shared" si="64"/>
        <v>36321.74948879399</v>
      </c>
      <c r="H714" s="33">
        <f t="shared" si="65"/>
        <v>137800</v>
      </c>
    </row>
    <row r="715" spans="2:8" x14ac:dyDescent="0.25">
      <c r="B715" s="5">
        <f>(715-25)/100</f>
        <v>6.9</v>
      </c>
      <c r="C715" s="5">
        <f t="shared" si="60"/>
        <v>0.50157606906605545</v>
      </c>
      <c r="D715" s="33">
        <f t="shared" si="61"/>
        <v>12698.254551227175</v>
      </c>
      <c r="E715" s="33">
        <f t="shared" si="62"/>
        <v>405108.28534896031</v>
      </c>
      <c r="F715" s="33">
        <f t="shared" si="63"/>
        <v>956891.7146510398</v>
      </c>
      <c r="G715" s="33">
        <f t="shared" si="64"/>
        <v>36304.601164201624</v>
      </c>
      <c r="H715" s="33">
        <f t="shared" si="65"/>
        <v>138000</v>
      </c>
    </row>
    <row r="716" spans="2:8" x14ac:dyDescent="0.25">
      <c r="B716" s="5">
        <f>(716-25)/100</f>
        <v>6.91</v>
      </c>
      <c r="C716" s="5">
        <f t="shared" si="60"/>
        <v>0.50107474370144889</v>
      </c>
      <c r="D716" s="33">
        <f t="shared" si="61"/>
        <v>12634.921742436314</v>
      </c>
      <c r="E716" s="33">
        <f t="shared" si="62"/>
        <v>405471.24521262001</v>
      </c>
      <c r="F716" s="33">
        <f t="shared" si="63"/>
        <v>956328.75478737988</v>
      </c>
      <c r="G716" s="33">
        <f t="shared" si="64"/>
        <v>36287.355391848425</v>
      </c>
      <c r="H716" s="33">
        <f t="shared" si="65"/>
        <v>138200</v>
      </c>
    </row>
    <row r="717" spans="2:8" x14ac:dyDescent="0.25">
      <c r="B717" s="5">
        <f>(717-25)/100</f>
        <v>6.92</v>
      </c>
      <c r="C717" s="5">
        <f t="shared" si="60"/>
        <v>0.50057391941162765</v>
      </c>
      <c r="D717" s="33">
        <f t="shared" si="61"/>
        <v>12571.904807347084</v>
      </c>
      <c r="E717" s="33">
        <f t="shared" si="62"/>
        <v>405834.03213458147</v>
      </c>
      <c r="F717" s="33">
        <f t="shared" si="63"/>
        <v>955765.96786541864</v>
      </c>
      <c r="G717" s="33">
        <f t="shared" si="64"/>
        <v>36270.012954600046</v>
      </c>
      <c r="H717" s="33">
        <f t="shared" si="65"/>
        <v>138400</v>
      </c>
    </row>
    <row r="718" spans="2:8" x14ac:dyDescent="0.25">
      <c r="B718" s="5">
        <f>(718-25)/100</f>
        <v>6.93</v>
      </c>
      <c r="C718" s="5">
        <f t="shared" si="60"/>
        <v>0.50007359569576759</v>
      </c>
      <c r="D718" s="33">
        <f t="shared" si="61"/>
        <v>12509.202170532824</v>
      </c>
      <c r="E718" s="33">
        <f t="shared" si="62"/>
        <v>406196.64515208959</v>
      </c>
      <c r="F718" s="33">
        <f t="shared" si="63"/>
        <v>955203.35484791035</v>
      </c>
      <c r="G718" s="33">
        <f t="shared" si="64"/>
        <v>36252.574630439216</v>
      </c>
      <c r="H718" s="33">
        <f t="shared" si="65"/>
        <v>138600</v>
      </c>
    </row>
    <row r="719" spans="2:8" x14ac:dyDescent="0.25">
      <c r="B719" s="5">
        <f>(719-25)/100</f>
        <v>6.94</v>
      </c>
      <c r="C719" s="5">
        <f t="shared" si="60"/>
        <v>0.49957377205354492</v>
      </c>
      <c r="D719" s="33">
        <f t="shared" si="61"/>
        <v>12446.812264424343</v>
      </c>
      <c r="E719" s="33">
        <f t="shared" si="62"/>
        <v>406559.0833101449</v>
      </c>
      <c r="F719" s="33">
        <f t="shared" si="63"/>
        <v>954640.91668985505</v>
      </c>
      <c r="G719" s="33">
        <f t="shared" si="64"/>
        <v>36235.041192495119</v>
      </c>
      <c r="H719" s="33">
        <f t="shared" si="65"/>
        <v>138800</v>
      </c>
    </row>
    <row r="720" spans="2:8" x14ac:dyDescent="0.25">
      <c r="B720" s="5">
        <f>(720-25)/100</f>
        <v>6.95</v>
      </c>
      <c r="C720" s="5">
        <f t="shared" si="60"/>
        <v>0.49907444798513595</v>
      </c>
      <c r="D720" s="33">
        <f t="shared" si="61"/>
        <v>12384.733529270752</v>
      </c>
      <c r="E720" s="33">
        <f t="shared" si="62"/>
        <v>406921.34566145507</v>
      </c>
      <c r="F720" s="33">
        <f t="shared" si="63"/>
        <v>954078.65433854493</v>
      </c>
      <c r="G720" s="33">
        <f t="shared" si="64"/>
        <v>36217.413409072593</v>
      </c>
      <c r="H720" s="33">
        <f t="shared" si="65"/>
        <v>139000</v>
      </c>
    </row>
    <row r="721" spans="2:8" x14ac:dyDescent="0.25">
      <c r="B721" s="5">
        <f>(721-25)/100</f>
        <v>6.96</v>
      </c>
      <c r="C721" s="5">
        <f t="shared" si="60"/>
        <v>0.49857562299121649</v>
      </c>
      <c r="D721" s="33">
        <f t="shared" si="61"/>
        <v>12322.96441310043</v>
      </c>
      <c r="E721" s="33">
        <f t="shared" si="62"/>
        <v>407283.43126638694</v>
      </c>
      <c r="F721" s="33">
        <f t="shared" si="63"/>
        <v>953516.56873361301</v>
      </c>
      <c r="G721" s="33">
        <f t="shared" si="64"/>
        <v>36199.692043681236</v>
      </c>
      <c r="H721" s="33">
        <f t="shared" si="65"/>
        <v>139200</v>
      </c>
    </row>
    <row r="722" spans="2:8" x14ac:dyDescent="0.25">
      <c r="B722" s="5">
        <f>(722-25)/100</f>
        <v>6.97</v>
      </c>
      <c r="C722" s="5">
        <f t="shared" si="60"/>
        <v>0.49807729657296163</v>
      </c>
      <c r="D722" s="33">
        <f t="shared" si="61"/>
        <v>12261.503371682258</v>
      </c>
      <c r="E722" s="33">
        <f t="shared" si="62"/>
        <v>407645.33919291844</v>
      </c>
      <c r="F722" s="33">
        <f t="shared" si="63"/>
        <v>952954.6608070815</v>
      </c>
      <c r="G722" s="33">
        <f t="shared" si="64"/>
        <v>36181.877855064275</v>
      </c>
      <c r="H722" s="33">
        <f t="shared" si="65"/>
        <v>139400</v>
      </c>
    </row>
    <row r="723" spans="2:8" x14ac:dyDescent="0.25">
      <c r="B723" s="5">
        <f>(723-25)/100</f>
        <v>6.98</v>
      </c>
      <c r="C723" s="5">
        <f t="shared" si="60"/>
        <v>0.4975794682320448</v>
      </c>
      <c r="D723" s="33">
        <f t="shared" si="61"/>
        <v>12200.348868486994</v>
      </c>
      <c r="E723" s="33">
        <f t="shared" si="62"/>
        <v>408007.06851659133</v>
      </c>
      <c r="F723" s="33">
        <f t="shared" si="63"/>
        <v>952392.93148340867</v>
      </c>
      <c r="G723" s="33">
        <f t="shared" si="64"/>
        <v>36163.971597227275</v>
      </c>
      <c r="H723" s="33">
        <f t="shared" si="65"/>
        <v>139600</v>
      </c>
    </row>
    <row r="724" spans="2:8" x14ac:dyDescent="0.25">
      <c r="B724" s="5">
        <f>(724-25)/100</f>
        <v>6.99</v>
      </c>
      <c r="C724" s="5">
        <f t="shared" si="60"/>
        <v>0.49708213747063767</v>
      </c>
      <c r="D724" s="33">
        <f t="shared" si="61"/>
        <v>12139.49937464888</v>
      </c>
      <c r="E724" s="33">
        <f t="shared" si="62"/>
        <v>408368.61832046381</v>
      </c>
      <c r="F724" s="33">
        <f t="shared" si="63"/>
        <v>951831.38167953631</v>
      </c>
      <c r="G724" s="33">
        <f t="shared" si="64"/>
        <v>36145.974019466652</v>
      </c>
      <c r="H724" s="33">
        <f t="shared" si="65"/>
        <v>139800</v>
      </c>
    </row>
    <row r="725" spans="2:8" x14ac:dyDescent="0.25">
      <c r="B725" s="5">
        <f>(725-25)/100</f>
        <v>7</v>
      </c>
      <c r="C725" s="5">
        <f t="shared" si="60"/>
        <v>0.49658530379140947</v>
      </c>
      <c r="D725" s="33">
        <f t="shared" si="61"/>
        <v>12078.953368927401</v>
      </c>
      <c r="E725" s="33">
        <f t="shared" si="62"/>
        <v>408729.98769506358</v>
      </c>
      <c r="F725" s="33">
        <f t="shared" si="63"/>
        <v>951270.01230493654</v>
      </c>
      <c r="G725" s="33">
        <f t="shared" si="64"/>
        <v>36127.885866398108</v>
      </c>
      <c r="H725" s="33">
        <f t="shared" si="65"/>
        <v>140000</v>
      </c>
    </row>
    <row r="726" spans="2:8" x14ac:dyDescent="0.25">
      <c r="B726" s="5">
        <f>(726-25)/100</f>
        <v>7.01</v>
      </c>
      <c r="C726" s="5">
        <f t="shared" si="60"/>
        <v>0.49608896669752645</v>
      </c>
      <c r="D726" s="33">
        <f t="shared" si="61"/>
        <v>12018.709337669256</v>
      </c>
      <c r="E726" s="33">
        <f t="shared" si="62"/>
        <v>409091.17573834112</v>
      </c>
      <c r="F726" s="33">
        <f t="shared" si="63"/>
        <v>950708.82426165882</v>
      </c>
      <c r="G726" s="33">
        <f t="shared" si="64"/>
        <v>36109.707877984765</v>
      </c>
      <c r="H726" s="33">
        <f t="shared" si="65"/>
        <v>140200</v>
      </c>
    </row>
    <row r="727" spans="2:8" x14ac:dyDescent="0.25">
      <c r="B727" s="5">
        <f>(727-25)/100</f>
        <v>7.02</v>
      </c>
      <c r="C727" s="5">
        <f t="shared" si="60"/>
        <v>0.49559312569265146</v>
      </c>
      <c r="D727" s="33">
        <f t="shared" si="61"/>
        <v>11958.765774770529</v>
      </c>
      <c r="E727" s="33">
        <f t="shared" si="62"/>
        <v>409452.18155562365</v>
      </c>
      <c r="F727" s="33">
        <f t="shared" si="63"/>
        <v>950147.81844437635</v>
      </c>
      <c r="G727" s="33">
        <f t="shared" si="64"/>
        <v>36091.440789565218</v>
      </c>
      <c r="H727" s="33">
        <f t="shared" si="65"/>
        <v>140400</v>
      </c>
    </row>
    <row r="728" spans="2:8" x14ac:dyDescent="0.25">
      <c r="B728" s="5">
        <f>(728-25)/100</f>
        <v>7.03</v>
      </c>
      <c r="C728" s="5">
        <f t="shared" si="60"/>
        <v>0.49509778028094342</v>
      </c>
      <c r="D728" s="33">
        <f t="shared" si="61"/>
        <v>11899.121181639017</v>
      </c>
      <c r="E728" s="33">
        <f t="shared" si="62"/>
        <v>409813.0042595687</v>
      </c>
      <c r="F728" s="33">
        <f t="shared" si="63"/>
        <v>949586.99574043136</v>
      </c>
      <c r="G728" s="33">
        <f t="shared" si="64"/>
        <v>36073.085331881412</v>
      </c>
      <c r="H728" s="33">
        <f t="shared" si="65"/>
        <v>140600</v>
      </c>
    </row>
    <row r="729" spans="2:8" x14ac:dyDescent="0.25">
      <c r="B729" s="5">
        <f>(729-25)/100</f>
        <v>7.04</v>
      </c>
      <c r="C729" s="5">
        <f t="shared" ref="C729:C792" si="66">EXP(-$C$10*B729)</f>
        <v>0.49460292996705696</v>
      </c>
      <c r="D729" s="33">
        <f t="shared" ref="D729:D792" si="67">$C$7*EXP(-$C$9*B729)</f>
        <v>11839.774067156799</v>
      </c>
      <c r="E729" s="33">
        <f t="shared" ref="E729:E792" si="68">C729*D729+(1-C729)*$C$8</f>
        <v>410173.64297011821</v>
      </c>
      <c r="F729" s="33">
        <f t="shared" ref="F729:F792" si="69">$C$12-E729-$C$11*B729</f>
        <v>949026.35702988179</v>
      </c>
      <c r="G729" s="33">
        <f t="shared" ref="G729:G792" si="70">$C$10*$C$8*EXP(-$C$10*B729)-($C$9+$C$10)*$C$7*EXP(-($C$9+$C$10)*B729)</f>
        <v>36054.642231106314</v>
      </c>
      <c r="H729" s="33">
        <f t="shared" ref="H729:H792" si="71">$C$11*B729</f>
        <v>140800</v>
      </c>
    </row>
    <row r="730" spans="2:8" x14ac:dyDescent="0.25">
      <c r="B730" s="5">
        <f>(730-25)/100</f>
        <v>7.05</v>
      </c>
      <c r="C730" s="5">
        <f t="shared" si="66"/>
        <v>0.49410857425614163</v>
      </c>
      <c r="D730" s="33">
        <f t="shared" si="67"/>
        <v>11780.722947642917</v>
      </c>
      <c r="E730" s="33">
        <f t="shared" si="68"/>
        <v>410534.09681445314</v>
      </c>
      <c r="F730" s="33">
        <f t="shared" si="69"/>
        <v>948465.90318554686</v>
      </c>
      <c r="G730" s="33">
        <f t="shared" si="70"/>
        <v>36036.112208871462</v>
      </c>
      <c r="H730" s="33">
        <f t="shared" si="71"/>
        <v>141000</v>
      </c>
    </row>
    <row r="731" spans="2:8" x14ac:dyDescent="0.25">
      <c r="B731" s="5">
        <f>(731-25)/100</f>
        <v>7.06</v>
      </c>
      <c r="C731" s="5">
        <f t="shared" si="66"/>
        <v>0.49361471265384183</v>
      </c>
      <c r="D731" s="33">
        <f t="shared" si="67"/>
        <v>11721.966346816303</v>
      </c>
      <c r="E731" s="33">
        <f t="shared" si="68"/>
        <v>410894.36492694827</v>
      </c>
      <c r="F731" s="33">
        <f t="shared" si="69"/>
        <v>947905.63507305179</v>
      </c>
      <c r="G731" s="33">
        <f t="shared" si="70"/>
        <v>36017.495982294306</v>
      </c>
      <c r="H731" s="33">
        <f t="shared" si="71"/>
        <v>141200</v>
      </c>
    </row>
    <row r="732" spans="2:8" x14ac:dyDescent="0.25">
      <c r="B732" s="5">
        <f>(732-25)/100</f>
        <v>7.07</v>
      </c>
      <c r="C732" s="5">
        <f t="shared" si="66"/>
        <v>0.4931213446662957</v>
      </c>
      <c r="D732" s="33">
        <f t="shared" si="67"/>
        <v>11663.502795758875</v>
      </c>
      <c r="E732" s="33">
        <f t="shared" si="68"/>
        <v>411254.44644912722</v>
      </c>
      <c r="F732" s="33">
        <f t="shared" si="69"/>
        <v>947345.55355087272</v>
      </c>
      <c r="G732" s="33">
        <f t="shared" si="70"/>
        <v>35998.794264005424</v>
      </c>
      <c r="H732" s="33">
        <f t="shared" si="71"/>
        <v>141400</v>
      </c>
    </row>
    <row r="733" spans="2:8" x14ac:dyDescent="0.25">
      <c r="B733" s="5">
        <f>(733-25)/100</f>
        <v>7.08</v>
      </c>
      <c r="C733" s="5">
        <f t="shared" si="66"/>
        <v>0.49262846980013542</v>
      </c>
      <c r="D733" s="33">
        <f t="shared" si="67"/>
        <v>11605.330832878821</v>
      </c>
      <c r="E733" s="33">
        <f t="shared" si="68"/>
        <v>411614.3405296171</v>
      </c>
      <c r="F733" s="33">
        <f t="shared" si="69"/>
        <v>946785.65947038285</v>
      </c>
      <c r="G733" s="33">
        <f t="shared" si="70"/>
        <v>35980.007762175577</v>
      </c>
      <c r="H733" s="33">
        <f t="shared" si="71"/>
        <v>141600</v>
      </c>
    </row>
    <row r="734" spans="2:8" x14ac:dyDescent="0.25">
      <c r="B734" s="5">
        <f>(734-25)/100</f>
        <v>7.09</v>
      </c>
      <c r="C734" s="5">
        <f t="shared" si="66"/>
        <v>0.49213608756248595</v>
      </c>
      <c r="D734" s="33">
        <f t="shared" si="67"/>
        <v>11547.449003874035</v>
      </c>
      <c r="E734" s="33">
        <f t="shared" si="68"/>
        <v>411974.04632410518</v>
      </c>
      <c r="F734" s="33">
        <f t="shared" si="69"/>
        <v>946225.95367589477</v>
      </c>
      <c r="G734" s="33">
        <f t="shared" si="70"/>
        <v>35961.137180542537</v>
      </c>
      <c r="H734" s="33">
        <f t="shared" si="71"/>
        <v>141800</v>
      </c>
    </row>
    <row r="735" spans="2:8" x14ac:dyDescent="0.25">
      <c r="B735" s="5">
        <f>(735-25)/100</f>
        <v>7.1</v>
      </c>
      <c r="C735" s="5">
        <f t="shared" si="66"/>
        <v>0.4916441974609651</v>
      </c>
      <c r="D735" s="33">
        <f t="shared" si="67"/>
        <v>11489.855861695773</v>
      </c>
      <c r="E735" s="33">
        <f t="shared" si="68"/>
        <v>412333.56299529353</v>
      </c>
      <c r="F735" s="33">
        <f t="shared" si="69"/>
        <v>945666.43700470636</v>
      </c>
      <c r="G735" s="33">
        <f t="shared" si="70"/>
        <v>35942.183218437858</v>
      </c>
      <c r="H735" s="33">
        <f t="shared" si="71"/>
        <v>142000</v>
      </c>
    </row>
    <row r="736" spans="2:8" x14ac:dyDescent="0.25">
      <c r="B736" s="5">
        <f>(736-25)/100</f>
        <v>7.11</v>
      </c>
      <c r="C736" s="5">
        <f t="shared" si="66"/>
        <v>0.49115279900368264</v>
      </c>
      <c r="D736" s="33">
        <f t="shared" si="67"/>
        <v>11432.549966512481</v>
      </c>
      <c r="E736" s="33">
        <f t="shared" si="68"/>
        <v>412692.88971285598</v>
      </c>
      <c r="F736" s="33">
        <f t="shared" si="69"/>
        <v>945107.11028714408</v>
      </c>
      <c r="G736" s="33">
        <f t="shared" si="70"/>
        <v>35923.146570813369</v>
      </c>
      <c r="H736" s="33">
        <f t="shared" si="71"/>
        <v>142200</v>
      </c>
    </row>
    <row r="737" spans="2:8" x14ac:dyDescent="0.25">
      <c r="B737" s="5">
        <f>(737-25)/100</f>
        <v>7.12</v>
      </c>
      <c r="C737" s="5">
        <f t="shared" si="66"/>
        <v>0.49066189169924007</v>
      </c>
      <c r="D737" s="33">
        <f t="shared" si="67"/>
        <v>11375.529885673803</v>
      </c>
      <c r="E737" s="33">
        <f t="shared" si="68"/>
        <v>413052.02565339394</v>
      </c>
      <c r="F737" s="33">
        <f t="shared" si="69"/>
        <v>944547.97434660606</v>
      </c>
      <c r="G737" s="33">
        <f t="shared" si="70"/>
        <v>35904.027928267642</v>
      </c>
      <c r="H737" s="33">
        <f t="shared" si="71"/>
        <v>142400</v>
      </c>
    </row>
    <row r="738" spans="2:8" x14ac:dyDescent="0.25">
      <c r="B738" s="5">
        <f>(738-25)/100</f>
        <v>7.13</v>
      </c>
      <c r="C738" s="5">
        <f t="shared" si="66"/>
        <v>0.49017147505673014</v>
      </c>
      <c r="D738" s="33">
        <f t="shared" si="67"/>
        <v>11318.794193674741</v>
      </c>
      <c r="E738" s="33">
        <f t="shared" si="68"/>
        <v>413410.97000039299</v>
      </c>
      <c r="F738" s="33">
        <f t="shared" si="69"/>
        <v>943989.02999960701</v>
      </c>
      <c r="G738" s="33">
        <f t="shared" si="70"/>
        <v>35884.827977072149</v>
      </c>
      <c r="H738" s="33">
        <f t="shared" si="71"/>
        <v>142600</v>
      </c>
    </row>
    <row r="739" spans="2:8" x14ac:dyDescent="0.25">
      <c r="B739" s="5">
        <f>(739-25)/100</f>
        <v>7.14</v>
      </c>
      <c r="C739" s="5">
        <f t="shared" si="66"/>
        <v>0.4896815485857362</v>
      </c>
      <c r="D739" s="33">
        <f t="shared" si="67"/>
        <v>11262.341472120042</v>
      </c>
      <c r="E739" s="33">
        <f t="shared" si="68"/>
        <v>413769.72194418008</v>
      </c>
      <c r="F739" s="33">
        <f t="shared" si="69"/>
        <v>943430.27805581992</v>
      </c>
      <c r="G739" s="33">
        <f t="shared" si="70"/>
        <v>35865.547399197429</v>
      </c>
      <c r="H739" s="33">
        <f t="shared" si="71"/>
        <v>142800</v>
      </c>
    </row>
    <row r="740" spans="2:8" x14ac:dyDescent="0.25">
      <c r="B740" s="5">
        <f>(740-25)/100</f>
        <v>7.15</v>
      </c>
      <c r="C740" s="5">
        <f t="shared" si="66"/>
        <v>0.48919211179633149</v>
      </c>
      <c r="D740" s="33">
        <f t="shared" si="67"/>
        <v>11206.170309688723</v>
      </c>
      <c r="E740" s="33">
        <f t="shared" si="68"/>
        <v>414128.28068188077</v>
      </c>
      <c r="F740" s="33">
        <f t="shared" si="69"/>
        <v>942871.71931811934</v>
      </c>
      <c r="G740" s="33">
        <f t="shared" si="70"/>
        <v>35846.186872338934</v>
      </c>
      <c r="H740" s="33">
        <f t="shared" si="71"/>
        <v>143000</v>
      </c>
    </row>
    <row r="741" spans="2:8" x14ac:dyDescent="0.25">
      <c r="B741" s="5">
        <f>(741-25)/100</f>
        <v>7.16</v>
      </c>
      <c r="C741" s="5">
        <f t="shared" si="66"/>
        <v>0.48870316419907944</v>
      </c>
      <c r="D741" s="33">
        <f t="shared" si="67"/>
        <v>11150.279302098807</v>
      </c>
      <c r="E741" s="33">
        <f t="shared" si="68"/>
        <v>414486.64541737561</v>
      </c>
      <c r="F741" s="33">
        <f t="shared" si="69"/>
        <v>942313.35458262451</v>
      </c>
      <c r="G741" s="33">
        <f t="shared" si="70"/>
        <v>35826.747069942838</v>
      </c>
      <c r="H741" s="33">
        <f t="shared" si="71"/>
        <v>143200</v>
      </c>
    </row>
    <row r="742" spans="2:8" x14ac:dyDescent="0.25">
      <c r="B742" s="5">
        <f>(742-25)/100</f>
        <v>7.17</v>
      </c>
      <c r="C742" s="5">
        <f t="shared" si="66"/>
        <v>0.48821470530503225</v>
      </c>
      <c r="D742" s="33">
        <f t="shared" si="67"/>
        <v>11094.667052072187</v>
      </c>
      <c r="E742" s="33">
        <f t="shared" si="68"/>
        <v>414844.81536125898</v>
      </c>
      <c r="F742" s="33">
        <f t="shared" si="69"/>
        <v>941755.18463874096</v>
      </c>
      <c r="G742" s="33">
        <f t="shared" si="70"/>
        <v>35807.228661231653</v>
      </c>
      <c r="H742" s="33">
        <f t="shared" si="71"/>
        <v>143400</v>
      </c>
    </row>
    <row r="743" spans="2:8" x14ac:dyDescent="0.25">
      <c r="B743" s="5">
        <f>(743-25)/100</f>
        <v>7.18</v>
      </c>
      <c r="C743" s="5">
        <f t="shared" si="66"/>
        <v>0.48772673462573118</v>
      </c>
      <c r="D743" s="33">
        <f t="shared" si="67"/>
        <v>11039.332169299714</v>
      </c>
      <c r="E743" s="33">
        <f t="shared" si="68"/>
        <v>415202.78973079636</v>
      </c>
      <c r="F743" s="33">
        <f t="shared" si="69"/>
        <v>941197.21026920364</v>
      </c>
      <c r="G743" s="33">
        <f t="shared" si="70"/>
        <v>35787.632311229696</v>
      </c>
      <c r="H743" s="33">
        <f t="shared" si="71"/>
        <v>143600</v>
      </c>
    </row>
    <row r="744" spans="2:8" x14ac:dyDescent="0.25">
      <c r="B744" s="5">
        <f>(744-25)/100</f>
        <v>7.19</v>
      </c>
      <c r="C744" s="5">
        <f t="shared" si="66"/>
        <v>0.4872392516732052</v>
      </c>
      <c r="D744" s="33">
        <f t="shared" si="67"/>
        <v>10984.273270406438</v>
      </c>
      <c r="E744" s="33">
        <f t="shared" si="68"/>
        <v>415560.5677498827</v>
      </c>
      <c r="F744" s="33">
        <f t="shared" si="69"/>
        <v>940639.43225011742</v>
      </c>
      <c r="G744" s="33">
        <f t="shared" si="70"/>
        <v>35767.958680788324</v>
      </c>
      <c r="H744" s="33">
        <f t="shared" si="71"/>
        <v>143800</v>
      </c>
    </row>
    <row r="745" spans="2:8" x14ac:dyDescent="0.25">
      <c r="B745" s="5">
        <f>(745-25)/100</f>
        <v>7.2</v>
      </c>
      <c r="C745" s="5">
        <f t="shared" si="66"/>
        <v>0.48675225595997162</v>
      </c>
      <c r="D745" s="33">
        <f t="shared" si="67"/>
        <v>10929.488978917023</v>
      </c>
      <c r="E745" s="33">
        <f t="shared" si="68"/>
        <v>415918.14864900021</v>
      </c>
      <c r="F745" s="33">
        <f t="shared" si="69"/>
        <v>940081.8513509999</v>
      </c>
      <c r="G745" s="33">
        <f t="shared" si="70"/>
        <v>35748.208426611229</v>
      </c>
      <c r="H745" s="33">
        <f t="shared" si="71"/>
        <v>144000</v>
      </c>
    </row>
    <row r="746" spans="2:8" x14ac:dyDescent="0.25">
      <c r="B746" s="5">
        <f>(746-25)/100</f>
        <v>7.21</v>
      </c>
      <c r="C746" s="5">
        <f t="shared" si="66"/>
        <v>0.48626574699903452</v>
      </c>
      <c r="D746" s="33">
        <f t="shared" si="67"/>
        <v>10874.977925221327</v>
      </c>
      <c r="E746" s="33">
        <f t="shared" si="68"/>
        <v>416275.53166517807</v>
      </c>
      <c r="F746" s="33">
        <f t="shared" si="69"/>
        <v>939524.46833482198</v>
      </c>
      <c r="G746" s="33">
        <f t="shared" si="70"/>
        <v>35728.382201279303</v>
      </c>
      <c r="H746" s="33">
        <f t="shared" si="71"/>
        <v>144200</v>
      </c>
    </row>
    <row r="747" spans="2:8" x14ac:dyDescent="0.25">
      <c r="B747" s="5">
        <f>(747-25)/100</f>
        <v>7.22</v>
      </c>
      <c r="C747" s="5">
        <f t="shared" si="66"/>
        <v>0.485779724303885</v>
      </c>
      <c r="D747" s="33">
        <f t="shared" si="67"/>
        <v>10820.738746540166</v>
      </c>
      <c r="E747" s="33">
        <f t="shared" si="68"/>
        <v>416632.71604195057</v>
      </c>
      <c r="F747" s="33">
        <f t="shared" si="69"/>
        <v>938967.28395804949</v>
      </c>
      <c r="G747" s="33">
        <f t="shared" si="70"/>
        <v>35708.480653275612</v>
      </c>
      <c r="H747" s="33">
        <f t="shared" si="71"/>
        <v>144400</v>
      </c>
    </row>
    <row r="748" spans="2:8" x14ac:dyDescent="0.25">
      <c r="B748" s="5">
        <f>(748-25)/100</f>
        <v>7.23</v>
      </c>
      <c r="C748" s="5">
        <f t="shared" si="66"/>
        <v>0.48529418738850016</v>
      </c>
      <c r="D748" s="33">
        <f t="shared" si="67"/>
        <v>10766.770086891245</v>
      </c>
      <c r="E748" s="33">
        <f t="shared" si="68"/>
        <v>416989.70102931658</v>
      </c>
      <c r="F748" s="33">
        <f t="shared" si="69"/>
        <v>938410.29897068348</v>
      </c>
      <c r="G748" s="33">
        <f t="shared" si="70"/>
        <v>35688.504427009997</v>
      </c>
      <c r="H748" s="33">
        <f t="shared" si="71"/>
        <v>144600</v>
      </c>
    </row>
    <row r="749" spans="2:8" x14ac:dyDescent="0.25">
      <c r="B749" s="5">
        <f>(749-25)/100</f>
        <v>7.24</v>
      </c>
      <c r="C749" s="5">
        <f t="shared" si="66"/>
        <v>0.48480913576734319</v>
      </c>
      <c r="D749" s="33">
        <f t="shared" si="67"/>
        <v>10713.07059705527</v>
      </c>
      <c r="E749" s="33">
        <f t="shared" si="68"/>
        <v>417346.48588369833</v>
      </c>
      <c r="F749" s="33">
        <f t="shared" si="69"/>
        <v>937853.51411630167</v>
      </c>
      <c r="G749" s="33">
        <f t="shared" si="70"/>
        <v>35668.454162843715</v>
      </c>
      <c r="H749" s="33">
        <f t="shared" si="71"/>
        <v>144800</v>
      </c>
    </row>
    <row r="750" spans="2:8" x14ac:dyDescent="0.25">
      <c r="B750" s="5">
        <f>(750-25)/100</f>
        <v>7.25</v>
      </c>
      <c r="C750" s="5">
        <f t="shared" si="66"/>
        <v>0.48432456895536241</v>
      </c>
      <c r="D750" s="33">
        <f t="shared" si="67"/>
        <v>10659.638934542194</v>
      </c>
      <c r="E750" s="33">
        <f t="shared" si="68"/>
        <v>417703.06986790209</v>
      </c>
      <c r="F750" s="33">
        <f t="shared" si="69"/>
        <v>937296.93013209803</v>
      </c>
      <c r="G750" s="33">
        <f t="shared" si="70"/>
        <v>35648.330497113828</v>
      </c>
      <c r="H750" s="33">
        <f t="shared" si="71"/>
        <v>145000</v>
      </c>
    </row>
    <row r="751" spans="2:8" x14ac:dyDescent="0.25">
      <c r="B751" s="5">
        <f>(751-25)/100</f>
        <v>7.26</v>
      </c>
      <c r="C751" s="5">
        <f t="shared" si="66"/>
        <v>0.48384048646799099</v>
      </c>
      <c r="D751" s="33">
        <f t="shared" si="67"/>
        <v>10606.473763557673</v>
      </c>
      <c r="E751" s="33">
        <f t="shared" si="68"/>
        <v>418059.45225107687</v>
      </c>
      <c r="F751" s="33">
        <f t="shared" si="69"/>
        <v>936740.54774892307</v>
      </c>
      <c r="G751" s="33">
        <f t="shared" si="70"/>
        <v>35628.134062157442</v>
      </c>
      <c r="H751" s="33">
        <f t="shared" si="71"/>
        <v>145200</v>
      </c>
    </row>
    <row r="752" spans="2:8" x14ac:dyDescent="0.25">
      <c r="B752" s="5">
        <f>(752-25)/100</f>
        <v>7.27</v>
      </c>
      <c r="C752" s="5">
        <f t="shared" si="66"/>
        <v>0.48335688782114633</v>
      </c>
      <c r="D752" s="33">
        <f t="shared" si="67"/>
        <v>10553.573754969661</v>
      </c>
      <c r="E752" s="33">
        <f t="shared" si="68"/>
        <v>418415.63230867602</v>
      </c>
      <c r="F752" s="33">
        <f t="shared" si="69"/>
        <v>936184.36769132409</v>
      </c>
      <c r="G752" s="33">
        <f t="shared" si="70"/>
        <v>35607.865486335861</v>
      </c>
      <c r="H752" s="33">
        <f t="shared" si="71"/>
        <v>145400</v>
      </c>
    </row>
    <row r="753" spans="2:8" x14ac:dyDescent="0.25">
      <c r="B753" s="5">
        <f>(753-25)/100</f>
        <v>7.28</v>
      </c>
      <c r="C753" s="5">
        <f t="shared" si="66"/>
        <v>0.48287377253122971</v>
      </c>
      <c r="D753" s="33">
        <f t="shared" si="67"/>
        <v>10500.937586275184</v>
      </c>
      <c r="E753" s="33">
        <f t="shared" si="68"/>
        <v>418771.60932241584</v>
      </c>
      <c r="F753" s="33">
        <f t="shared" si="69"/>
        <v>935628.3906775841</v>
      </c>
      <c r="G753" s="33">
        <f t="shared" si="70"/>
        <v>35587.525394058568</v>
      </c>
      <c r="H753" s="33">
        <f t="shared" si="71"/>
        <v>145600</v>
      </c>
    </row>
    <row r="754" spans="2:8" x14ac:dyDescent="0.25">
      <c r="B754" s="5">
        <f>(754-25)/100</f>
        <v>7.29</v>
      </c>
      <c r="C754" s="5">
        <f t="shared" si="66"/>
        <v>0.4823911401151259</v>
      </c>
      <c r="D754" s="33">
        <f t="shared" si="67"/>
        <v>10448.563941567294</v>
      </c>
      <c r="E754" s="33">
        <f t="shared" si="68"/>
        <v>419127.3825802377</v>
      </c>
      <c r="F754" s="33">
        <f t="shared" si="69"/>
        <v>935072.6174197623</v>
      </c>
      <c r="G754" s="33">
        <f t="shared" si="70"/>
        <v>35567.114405807006</v>
      </c>
      <c r="H754" s="33">
        <f t="shared" si="71"/>
        <v>145800</v>
      </c>
    </row>
    <row r="755" spans="2:8" x14ac:dyDescent="0.25">
      <c r="B755" s="5">
        <f>(755-25)/100</f>
        <v>7.3</v>
      </c>
      <c r="C755" s="5">
        <f t="shared" si="66"/>
        <v>0.48190899009020244</v>
      </c>
      <c r="D755" s="33">
        <f t="shared" si="67"/>
        <v>10396.451511502139</v>
      </c>
      <c r="E755" s="33">
        <f t="shared" si="68"/>
        <v>419482.95137626777</v>
      </c>
      <c r="F755" s="33">
        <f t="shared" si="69"/>
        <v>934517.04862373229</v>
      </c>
      <c r="G755" s="33">
        <f t="shared" si="70"/>
        <v>35546.633138158337</v>
      </c>
      <c r="H755" s="33">
        <f t="shared" si="71"/>
        <v>146000</v>
      </c>
    </row>
    <row r="756" spans="2:8" x14ac:dyDescent="0.25">
      <c r="B756" s="5">
        <f>(756-25)/100</f>
        <v>7.31</v>
      </c>
      <c r="C756" s="5">
        <f t="shared" si="66"/>
        <v>0.48142732197430921</v>
      </c>
      <c r="D756" s="33">
        <f t="shared" si="67"/>
        <v>10344.598993266252</v>
      </c>
      <c r="E756" s="33">
        <f t="shared" si="68"/>
        <v>419838.3150107789</v>
      </c>
      <c r="F756" s="33">
        <f t="shared" si="69"/>
        <v>933961.68498922116</v>
      </c>
      <c r="G756" s="33">
        <f t="shared" si="70"/>
        <v>35526.082203808954</v>
      </c>
      <c r="H756" s="33">
        <f t="shared" si="71"/>
        <v>146200</v>
      </c>
    </row>
    <row r="757" spans="2:8" x14ac:dyDescent="0.25">
      <c r="B757" s="5">
        <f>(757-25)/100</f>
        <v>7.32</v>
      </c>
      <c r="C757" s="5">
        <f t="shared" si="66"/>
        <v>0.48094613528577795</v>
      </c>
      <c r="D757" s="33">
        <f t="shared" si="67"/>
        <v>10293.005090543977</v>
      </c>
      <c r="E757" s="33">
        <f t="shared" si="68"/>
        <v>420193.47279015154</v>
      </c>
      <c r="F757" s="33">
        <f t="shared" si="69"/>
        <v>933406.5272098484</v>
      </c>
      <c r="G757" s="33">
        <f t="shared" si="70"/>
        <v>35505.462211597856</v>
      </c>
      <c r="H757" s="33">
        <f t="shared" si="71"/>
        <v>146400</v>
      </c>
    </row>
    <row r="758" spans="2:8" x14ac:dyDescent="0.25">
      <c r="B758" s="5">
        <f>(758-25)/100</f>
        <v>7.33</v>
      </c>
      <c r="C758" s="5">
        <f t="shared" si="66"/>
        <v>0.4804654295434222</v>
      </c>
      <c r="D758" s="33">
        <f t="shared" si="67"/>
        <v>10241.668513485063</v>
      </c>
      <c r="E758" s="33">
        <f t="shared" si="68"/>
        <v>420548.42402683519</v>
      </c>
      <c r="F758" s="33">
        <f t="shared" si="69"/>
        <v>932851.57597316476</v>
      </c>
      <c r="G758" s="33">
        <f t="shared" si="70"/>
        <v>35484.773766530008</v>
      </c>
      <c r="H758" s="33">
        <f t="shared" si="71"/>
        <v>146600</v>
      </c>
    </row>
    <row r="759" spans="2:8" x14ac:dyDescent="0.25">
      <c r="B759" s="5">
        <f>(759-25)/100</f>
        <v>7.34</v>
      </c>
      <c r="C759" s="5">
        <f t="shared" si="66"/>
        <v>0.47998520426653601</v>
      </c>
      <c r="D759" s="33">
        <f t="shared" si="67"/>
        <v>10190.587978672407</v>
      </c>
      <c r="E759" s="33">
        <f t="shared" si="68"/>
        <v>420903.16803931037</v>
      </c>
      <c r="F759" s="33">
        <f t="shared" si="69"/>
        <v>932296.83196068974</v>
      </c>
      <c r="G759" s="33">
        <f t="shared" si="70"/>
        <v>35464.017469799372</v>
      </c>
      <c r="H759" s="33">
        <f t="shared" si="71"/>
        <v>146800</v>
      </c>
    </row>
    <row r="760" spans="2:8" x14ac:dyDescent="0.25">
      <c r="B760" s="5">
        <f>(760-25)/100</f>
        <v>7.35</v>
      </c>
      <c r="C760" s="5">
        <f t="shared" si="66"/>
        <v>0.47950545897489411</v>
      </c>
      <c r="D760" s="33">
        <f t="shared" si="67"/>
        <v>10139.762209089979</v>
      </c>
      <c r="E760" s="33">
        <f t="shared" si="68"/>
        <v>421257.70415205066</v>
      </c>
      <c r="F760" s="33">
        <f t="shared" si="69"/>
        <v>931742.29584794934</v>
      </c>
      <c r="G760" s="33">
        <f t="shared" si="70"/>
        <v>35443.193918811943</v>
      </c>
      <c r="H760" s="33">
        <f t="shared" si="71"/>
        <v>147000</v>
      </c>
    </row>
    <row r="761" spans="2:8" x14ac:dyDescent="0.25">
      <c r="B761" s="5">
        <f>(761-25)/100</f>
        <v>7.36</v>
      </c>
      <c r="C761" s="5">
        <f t="shared" si="66"/>
        <v>0.47902619318875106</v>
      </c>
      <c r="D761" s="33">
        <f t="shared" si="67"/>
        <v>10089.189934090886</v>
      </c>
      <c r="E761" s="33">
        <f t="shared" si="68"/>
        <v>421612.031695485</v>
      </c>
      <c r="F761" s="33">
        <f t="shared" si="69"/>
        <v>931187.96830451488</v>
      </c>
      <c r="G761" s="33">
        <f t="shared" si="70"/>
        <v>35422.303707208594</v>
      </c>
      <c r="H761" s="33">
        <f t="shared" si="71"/>
        <v>147200</v>
      </c>
    </row>
    <row r="762" spans="2:8" x14ac:dyDescent="0.25">
      <c r="B762" s="5">
        <f>(762-25)/100</f>
        <v>7.37</v>
      </c>
      <c r="C762" s="5">
        <f t="shared" si="66"/>
        <v>0.47854740642884114</v>
      </c>
      <c r="D762" s="33">
        <f t="shared" si="67"/>
        <v>10038.869889365627</v>
      </c>
      <c r="E762" s="33">
        <f t="shared" si="68"/>
        <v>421966.15000595967</v>
      </c>
      <c r="F762" s="33">
        <f t="shared" si="69"/>
        <v>930633.84999404033</v>
      </c>
      <c r="G762" s="33">
        <f t="shared" si="70"/>
        <v>35401.34742488779</v>
      </c>
      <c r="H762" s="33">
        <f t="shared" si="71"/>
        <v>147400</v>
      </c>
    </row>
    <row r="763" spans="2:8" x14ac:dyDescent="0.25">
      <c r="B763" s="5">
        <f>(763-25)/100</f>
        <v>7.38</v>
      </c>
      <c r="C763" s="5">
        <f t="shared" si="66"/>
        <v>0.47806909821637761</v>
      </c>
      <c r="D763" s="33">
        <f t="shared" si="67"/>
        <v>9988.8008169104614</v>
      </c>
      <c r="E763" s="33">
        <f t="shared" si="68"/>
        <v>422320.0584257014</v>
      </c>
      <c r="F763" s="33">
        <f t="shared" si="69"/>
        <v>930079.94157429854</v>
      </c>
      <c r="G763" s="33">
        <f t="shared" si="70"/>
        <v>35380.325658028174</v>
      </c>
      <c r="H763" s="33">
        <f t="shared" si="71"/>
        <v>147600</v>
      </c>
    </row>
    <row r="764" spans="2:8" x14ac:dyDescent="0.25">
      <c r="B764" s="5">
        <f>(764-25)/100</f>
        <v>7.39</v>
      </c>
      <c r="C764" s="5">
        <f t="shared" si="66"/>
        <v>0.47759126807305208</v>
      </c>
      <c r="D764" s="33">
        <f t="shared" si="67"/>
        <v>9938.9814649959699</v>
      </c>
      <c r="E764" s="33">
        <f t="shared" si="68"/>
        <v>422673.75630278036</v>
      </c>
      <c r="F764" s="33">
        <f t="shared" si="69"/>
        <v>929526.24369721953</v>
      </c>
      <c r="G764" s="33">
        <f t="shared" si="70"/>
        <v>35359.238989110978</v>
      </c>
      <c r="H764" s="33">
        <f t="shared" si="71"/>
        <v>147800</v>
      </c>
    </row>
    <row r="765" spans="2:8" x14ac:dyDescent="0.25">
      <c r="B765" s="5">
        <f>(765-25)/100</f>
        <v>7.4</v>
      </c>
      <c r="C765" s="5">
        <f t="shared" si="66"/>
        <v>0.47711391552103433</v>
      </c>
      <c r="D765" s="33">
        <f t="shared" si="67"/>
        <v>9889.4105881357555</v>
      </c>
      <c r="E765" s="33">
        <f t="shared" si="68"/>
        <v>423027.24299107312</v>
      </c>
      <c r="F765" s="33">
        <f t="shared" si="69"/>
        <v>928972.75700892694</v>
      </c>
      <c r="G765" s="33">
        <f t="shared" si="70"/>
        <v>35338.08799694237</v>
      </c>
      <c r="H765" s="33">
        <f t="shared" si="71"/>
        <v>148000</v>
      </c>
    </row>
    <row r="766" spans="2:8" x14ac:dyDescent="0.25">
      <c r="B766" s="5">
        <f>(766-25)/100</f>
        <v>7.41</v>
      </c>
      <c r="C766" s="5">
        <f t="shared" si="66"/>
        <v>0.47663704008297197</v>
      </c>
      <c r="D766" s="33">
        <f t="shared" si="67"/>
        <v>9840.0869470553207</v>
      </c>
      <c r="E766" s="33">
        <f t="shared" si="68"/>
        <v>423380.51785022591</v>
      </c>
      <c r="F766" s="33">
        <f t="shared" si="69"/>
        <v>928419.48214977421</v>
      </c>
      <c r="G766" s="33">
        <f t="shared" si="70"/>
        <v>35316.873256675637</v>
      </c>
      <c r="H766" s="33">
        <f t="shared" si="71"/>
        <v>148200</v>
      </c>
    </row>
    <row r="767" spans="2:8" x14ac:dyDescent="0.25">
      <c r="B767" s="5">
        <f>(767-25)/100</f>
        <v>7.42</v>
      </c>
      <c r="C767" s="5">
        <f t="shared" si="66"/>
        <v>0.47616064128198943</v>
      </c>
      <c r="D767" s="33">
        <f t="shared" si="67"/>
        <v>9791.0093086610686</v>
      </c>
      <c r="E767" s="33">
        <f t="shared" si="68"/>
        <v>423733.58024561842</v>
      </c>
      <c r="F767" s="33">
        <f t="shared" si="69"/>
        <v>927866.41975438152</v>
      </c>
      <c r="G767" s="33">
        <f t="shared" si="70"/>
        <v>35295.595339833162</v>
      </c>
      <c r="H767" s="33">
        <f t="shared" si="71"/>
        <v>148400</v>
      </c>
    </row>
    <row r="768" spans="2:8" x14ac:dyDescent="0.25">
      <c r="B768" s="5">
        <f>(768-25)/100</f>
        <v>7.43</v>
      </c>
      <c r="C768" s="5">
        <f t="shared" si="66"/>
        <v>0.47568471864168782</v>
      </c>
      <c r="D768" s="33">
        <f t="shared" si="67"/>
        <v>9742.1764460094819</v>
      </c>
      <c r="E768" s="33">
        <f t="shared" si="68"/>
        <v>424086.42954832746</v>
      </c>
      <c r="F768" s="33">
        <f t="shared" si="69"/>
        <v>927313.57045167265</v>
      </c>
      <c r="G768" s="33">
        <f t="shared" si="70"/>
        <v>35274.2548143284</v>
      </c>
      <c r="H768" s="33">
        <f t="shared" si="71"/>
        <v>148600</v>
      </c>
    </row>
    <row r="769" spans="2:8" x14ac:dyDescent="0.25">
      <c r="B769" s="5">
        <f>(769-25)/100</f>
        <v>7.44</v>
      </c>
      <c r="C769" s="5">
        <f t="shared" si="66"/>
        <v>0.47520927168614441</v>
      </c>
      <c r="D769" s="33">
        <f t="shared" si="67"/>
        <v>9693.5871382764453</v>
      </c>
      <c r="E769" s="33">
        <f t="shared" si="68"/>
        <v>424439.06513509096</v>
      </c>
      <c r="F769" s="33">
        <f t="shared" si="69"/>
        <v>926760.93486490892</v>
      </c>
      <c r="G769" s="33">
        <f t="shared" si="70"/>
        <v>35252.852244487643</v>
      </c>
      <c r="H769" s="33">
        <f t="shared" si="71"/>
        <v>148800</v>
      </c>
    </row>
    <row r="770" spans="2:8" x14ac:dyDescent="0.25">
      <c r="B770" s="5">
        <f>(770-25)/100</f>
        <v>7.45</v>
      </c>
      <c r="C770" s="5">
        <f t="shared" si="66"/>
        <v>0.47473429993991234</v>
      </c>
      <c r="D770" s="33">
        <f t="shared" si="67"/>
        <v>9645.2401707267454</v>
      </c>
      <c r="E770" s="33">
        <f t="shared" si="68"/>
        <v>424791.48638827243</v>
      </c>
      <c r="F770" s="33">
        <f t="shared" si="69"/>
        <v>926208.51361172763</v>
      </c>
      <c r="G770" s="33">
        <f t="shared" si="70"/>
        <v>35231.388191071615</v>
      </c>
      <c r="H770" s="33">
        <f t="shared" si="71"/>
        <v>149000</v>
      </c>
    </row>
    <row r="771" spans="2:8" x14ac:dyDescent="0.25">
      <c r="B771" s="5">
        <f>(771-25)/100</f>
        <v>7.46</v>
      </c>
      <c r="C771" s="5">
        <f t="shared" si="66"/>
        <v>0.47425980292801989</v>
      </c>
      <c r="D771" s="33">
        <f t="shared" si="67"/>
        <v>9597.1343346836693</v>
      </c>
      <c r="E771" s="33">
        <f t="shared" si="68"/>
        <v>425143.69269582495</v>
      </c>
      <c r="F771" s="33">
        <f t="shared" si="69"/>
        <v>925656.3073041751</v>
      </c>
      <c r="G771" s="33">
        <f t="shared" si="70"/>
        <v>35209.863211297103</v>
      </c>
      <c r="H771" s="33">
        <f t="shared" si="71"/>
        <v>149200</v>
      </c>
    </row>
    <row r="772" spans="2:8" x14ac:dyDescent="0.25">
      <c r="B772" s="5">
        <f>(772-25)/100</f>
        <v>7.47</v>
      </c>
      <c r="C772" s="5">
        <f t="shared" si="66"/>
        <v>0.47378578017596978</v>
      </c>
      <c r="D772" s="33">
        <f t="shared" si="67"/>
        <v>9549.2684274988133</v>
      </c>
      <c r="E772" s="33">
        <f t="shared" si="68"/>
        <v>425495.68345125654</v>
      </c>
      <c r="F772" s="33">
        <f t="shared" si="69"/>
        <v>925104.31654874352</v>
      </c>
      <c r="G772" s="33">
        <f t="shared" si="70"/>
        <v>35188.277858858208</v>
      </c>
      <c r="H772" s="33">
        <f t="shared" si="71"/>
        <v>149400</v>
      </c>
    </row>
    <row r="773" spans="2:8" x14ac:dyDescent="0.25">
      <c r="B773" s="5">
        <f>(773-25)/100</f>
        <v>7.48</v>
      </c>
      <c r="C773" s="5">
        <f t="shared" si="66"/>
        <v>0.47331223120973925</v>
      </c>
      <c r="D773" s="33">
        <f t="shared" si="67"/>
        <v>9501.6412525219985</v>
      </c>
      <c r="E773" s="33">
        <f t="shared" si="68"/>
        <v>425847.45805359422</v>
      </c>
      <c r="F773" s="33">
        <f t="shared" si="69"/>
        <v>924552.54194640578</v>
      </c>
      <c r="G773" s="33">
        <f t="shared" si="70"/>
        <v>35166.632683947726</v>
      </c>
      <c r="H773" s="33">
        <f t="shared" si="71"/>
        <v>149600</v>
      </c>
    </row>
    <row r="774" spans="2:8" x14ac:dyDescent="0.25">
      <c r="B774" s="5">
        <f>(774-25)/100</f>
        <v>7.49</v>
      </c>
      <c r="C774" s="5">
        <f t="shared" si="66"/>
        <v>0.47283915555577949</v>
      </c>
      <c r="D774" s="33">
        <f t="shared" si="67"/>
        <v>9454.2516190713777</v>
      </c>
      <c r="E774" s="33">
        <f t="shared" si="68"/>
        <v>426199.01590734994</v>
      </c>
      <c r="F774" s="33">
        <f t="shared" si="69"/>
        <v>924000.98409265</v>
      </c>
      <c r="G774" s="33">
        <f t="shared" si="70"/>
        <v>35144.928233278217</v>
      </c>
      <c r="H774" s="33">
        <f t="shared" si="71"/>
        <v>149800</v>
      </c>
    </row>
    <row r="775" spans="2:8" x14ac:dyDescent="0.25">
      <c r="B775" s="5">
        <f>(775-25)/100</f>
        <v>7.5</v>
      </c>
      <c r="C775" s="5">
        <f t="shared" si="66"/>
        <v>0.47236655274101469</v>
      </c>
      <c r="D775" s="33">
        <f t="shared" si="67"/>
        <v>9407.0983424036422</v>
      </c>
      <c r="E775" s="33">
        <f t="shared" si="68"/>
        <v>426550.3564224852</v>
      </c>
      <c r="F775" s="33">
        <f t="shared" si="69"/>
        <v>923449.64357751468</v>
      </c>
      <c r="G775" s="33">
        <f t="shared" si="70"/>
        <v>35123.165050103024</v>
      </c>
      <c r="H775" s="33">
        <f t="shared" si="71"/>
        <v>150000</v>
      </c>
    </row>
    <row r="776" spans="2:8" x14ac:dyDescent="0.25">
      <c r="B776" s="5">
        <f>(776-25)/100</f>
        <v>7.51</v>
      </c>
      <c r="C776" s="5">
        <f t="shared" si="66"/>
        <v>0.47189442229284201</v>
      </c>
      <c r="D776" s="33">
        <f t="shared" si="67"/>
        <v>9360.1802436844227</v>
      </c>
      <c r="E776" s="33">
        <f t="shared" si="68"/>
        <v>426901.4790143767</v>
      </c>
      <c r="F776" s="33">
        <f t="shared" si="69"/>
        <v>922898.52098562336</v>
      </c>
      <c r="G776" s="33">
        <f t="shared" si="70"/>
        <v>35101.343674237163</v>
      </c>
      <c r="H776" s="33">
        <f t="shared" si="71"/>
        <v>150200</v>
      </c>
    </row>
    <row r="777" spans="2:8" x14ac:dyDescent="0.25">
      <c r="B777" s="5">
        <f>(777-25)/100</f>
        <v>7.52</v>
      </c>
      <c r="C777" s="5">
        <f t="shared" si="66"/>
        <v>0.47142276373913089</v>
      </c>
      <c r="D777" s="33">
        <f t="shared" si="67"/>
        <v>9313.4961499588044</v>
      </c>
      <c r="E777" s="33">
        <f t="shared" si="68"/>
        <v>427252.38310378266</v>
      </c>
      <c r="F777" s="33">
        <f t="shared" si="69"/>
        <v>922347.61689621722</v>
      </c>
      <c r="G777" s="33">
        <f t="shared" si="70"/>
        <v>35079.46464207807</v>
      </c>
      <c r="H777" s="33">
        <f t="shared" si="71"/>
        <v>150400</v>
      </c>
    </row>
    <row r="778" spans="2:8" x14ac:dyDescent="0.25">
      <c r="B778" s="5">
        <f>(778-25)/100</f>
        <v>7.53</v>
      </c>
      <c r="C778" s="5">
        <f t="shared" si="66"/>
        <v>0.47095157660822273</v>
      </c>
      <c r="D778" s="33">
        <f t="shared" si="67"/>
        <v>9267.0448941220075</v>
      </c>
      <c r="E778" s="33">
        <f t="shared" si="68"/>
        <v>427603.06811680773</v>
      </c>
      <c r="F778" s="33">
        <f t="shared" si="69"/>
        <v>921796.93188319216</v>
      </c>
      <c r="G778" s="33">
        <f t="shared" si="70"/>
        <v>35057.528486626252</v>
      </c>
      <c r="H778" s="33">
        <f t="shared" si="71"/>
        <v>150600</v>
      </c>
    </row>
    <row r="779" spans="2:8" x14ac:dyDescent="0.25">
      <c r="B779" s="5">
        <f>(779-25)/100</f>
        <v>7.54</v>
      </c>
      <c r="C779" s="5">
        <f t="shared" si="66"/>
        <v>0.47048086042893056</v>
      </c>
      <c r="D779" s="33">
        <f t="shared" si="67"/>
        <v>9220.8253148902277</v>
      </c>
      <c r="E779" s="33">
        <f t="shared" si="68"/>
        <v>427953.53348486999</v>
      </c>
      <c r="F779" s="33">
        <f t="shared" si="69"/>
        <v>921246.4665151299</v>
      </c>
      <c r="G779" s="33">
        <f t="shared" si="70"/>
        <v>35035.535737505794</v>
      </c>
      <c r="H779" s="33">
        <f t="shared" si="71"/>
        <v>150800</v>
      </c>
    </row>
    <row r="780" spans="2:8" x14ac:dyDescent="0.25">
      <c r="B780" s="5">
        <f>(780-25)/100</f>
        <v>7.55</v>
      </c>
      <c r="C780" s="5">
        <f t="shared" si="66"/>
        <v>0.47001061473053796</v>
      </c>
      <c r="D780" s="33">
        <f t="shared" si="67"/>
        <v>9174.8362567715722</v>
      </c>
      <c r="E780" s="33">
        <f t="shared" si="68"/>
        <v>428303.77864466689</v>
      </c>
      <c r="F780" s="33">
        <f t="shared" si="69"/>
        <v>920696.22135533299</v>
      </c>
      <c r="G780" s="33">
        <f t="shared" si="70"/>
        <v>35013.486920984695</v>
      </c>
      <c r="H780" s="33">
        <f t="shared" si="71"/>
        <v>151000</v>
      </c>
    </row>
    <row r="781" spans="2:8" x14ac:dyDescent="0.25">
      <c r="B781" s="5">
        <f>(781-25)/100</f>
        <v>7.56</v>
      </c>
      <c r="C781" s="5">
        <f t="shared" si="66"/>
        <v>0.46954083904279925</v>
      </c>
      <c r="D781" s="33">
        <f t="shared" si="67"/>
        <v>9129.0765700371921</v>
      </c>
      <c r="E781" s="33">
        <f t="shared" si="68"/>
        <v>428653.80303814175</v>
      </c>
      <c r="F781" s="33">
        <f t="shared" si="69"/>
        <v>920146.19696185831</v>
      </c>
      <c r="G781" s="33">
        <f t="shared" si="70"/>
        <v>34991.382559995203</v>
      </c>
      <c r="H781" s="33">
        <f t="shared" si="71"/>
        <v>151200</v>
      </c>
    </row>
    <row r="782" spans="2:8" x14ac:dyDescent="0.25">
      <c r="B782" s="5">
        <f>(782-25)/100</f>
        <v>7.57</v>
      </c>
      <c r="C782" s="5">
        <f t="shared" si="66"/>
        <v>0.46907153289593867</v>
      </c>
      <c r="D782" s="33">
        <f t="shared" si="67"/>
        <v>9083.545110692532</v>
      </c>
      <c r="E782" s="33">
        <f t="shared" si="68"/>
        <v>429003.606112451</v>
      </c>
      <c r="F782" s="33">
        <f t="shared" si="69"/>
        <v>919596.39388754894</v>
      </c>
      <c r="G782" s="33">
        <f t="shared" si="70"/>
        <v>34969.223174153922</v>
      </c>
      <c r="H782" s="33">
        <f t="shared" si="71"/>
        <v>151400</v>
      </c>
    </row>
    <row r="783" spans="2:8" x14ac:dyDescent="0.25">
      <c r="B783" s="5">
        <f>(783-25)/100</f>
        <v>7.58</v>
      </c>
      <c r="C783" s="5">
        <f t="shared" si="66"/>
        <v>0.46860269582065023</v>
      </c>
      <c r="D783" s="33">
        <f t="shared" si="67"/>
        <v>9038.2407404487458</v>
      </c>
      <c r="E783" s="33">
        <f t="shared" si="68"/>
        <v>429353.18731993018</v>
      </c>
      <c r="F783" s="33">
        <f t="shared" si="69"/>
        <v>919046.81268006982</v>
      </c>
      <c r="G783" s="33">
        <f t="shared" si="70"/>
        <v>34947.009279781829</v>
      </c>
      <c r="H783" s="33">
        <f t="shared" si="71"/>
        <v>151600</v>
      </c>
    </row>
    <row r="784" spans="2:8" x14ac:dyDescent="0.25">
      <c r="B784" s="5">
        <f>(784-25)/100</f>
        <v>7.59</v>
      </c>
      <c r="C784" s="5">
        <f t="shared" si="66"/>
        <v>0.46813432734809651</v>
      </c>
      <c r="D784" s="33">
        <f t="shared" si="67"/>
        <v>8993.1623266942115</v>
      </c>
      <c r="E784" s="33">
        <f t="shared" si="68"/>
        <v>429702.54611806205</v>
      </c>
      <c r="F784" s="33">
        <f t="shared" si="69"/>
        <v>918497.45388193801</v>
      </c>
      <c r="G784" s="33">
        <f t="shared" si="70"/>
        <v>34924.741389924173</v>
      </c>
      <c r="H784" s="33">
        <f t="shared" si="71"/>
        <v>151800</v>
      </c>
    </row>
    <row r="785" spans="2:8" x14ac:dyDescent="0.25">
      <c r="B785" s="5">
        <f>(785-25)/100</f>
        <v>7.6</v>
      </c>
      <c r="C785" s="5">
        <f t="shared" si="66"/>
        <v>0.46766642700990924</v>
      </c>
      <c r="D785" s="33">
        <f t="shared" si="67"/>
        <v>8948.3087424662408</v>
      </c>
      <c r="E785" s="33">
        <f t="shared" si="68"/>
        <v>430051.68196944334</v>
      </c>
      <c r="F785" s="33">
        <f t="shared" si="69"/>
        <v>917948.31803055666</v>
      </c>
      <c r="G785" s="33">
        <f t="shared" si="70"/>
        <v>34902.420014370306</v>
      </c>
      <c r="H785" s="33">
        <f t="shared" si="71"/>
        <v>152000</v>
      </c>
    </row>
    <row r="786" spans="2:8" x14ac:dyDescent="0.25">
      <c r="B786" s="5">
        <f>(786-25)/100</f>
        <v>7.61</v>
      </c>
      <c r="C786" s="5">
        <f t="shared" si="66"/>
        <v>0.46719899433818785</v>
      </c>
      <c r="D786" s="33">
        <f t="shared" si="67"/>
        <v>8903.6788664228843</v>
      </c>
      <c r="E786" s="33">
        <f t="shared" si="68"/>
        <v>430400.59434175276</v>
      </c>
      <c r="F786" s="33">
        <f t="shared" si="69"/>
        <v>917399.40565824718</v>
      </c>
      <c r="G786" s="33">
        <f t="shared" si="70"/>
        <v>34880.045659673255</v>
      </c>
      <c r="H786" s="33">
        <f t="shared" si="71"/>
        <v>152200</v>
      </c>
    </row>
    <row r="787" spans="2:8" x14ac:dyDescent="0.25">
      <c r="B787" s="5">
        <f>(787-25)/100</f>
        <v>7.62</v>
      </c>
      <c r="C787" s="5">
        <f t="shared" si="66"/>
        <v>0.46673202886549986</v>
      </c>
      <c r="D787" s="33">
        <f t="shared" si="67"/>
        <v>8859.2715828149267</v>
      </c>
      <c r="E787" s="33">
        <f t="shared" si="68"/>
        <v>430749.28270771779</v>
      </c>
      <c r="F787" s="33">
        <f t="shared" si="69"/>
        <v>916850.71729228226</v>
      </c>
      <c r="G787" s="33">
        <f t="shared" si="70"/>
        <v>34857.618829169383</v>
      </c>
      <c r="H787" s="33">
        <f t="shared" si="71"/>
        <v>152400</v>
      </c>
    </row>
    <row r="788" spans="2:8" x14ac:dyDescent="0.25">
      <c r="B788" s="5">
        <f>(788-25)/100</f>
        <v>7.63</v>
      </c>
      <c r="C788" s="5">
        <f t="shared" si="66"/>
        <v>0.46626553012487953</v>
      </c>
      <c r="D788" s="33">
        <f t="shared" si="67"/>
        <v>8815.0857814579576</v>
      </c>
      <c r="E788" s="33">
        <f t="shared" si="68"/>
        <v>431097.74654508417</v>
      </c>
      <c r="F788" s="33">
        <f t="shared" si="69"/>
        <v>916302.25345491571</v>
      </c>
      <c r="G788" s="33">
        <f t="shared" si="70"/>
        <v>34835.140022997693</v>
      </c>
      <c r="H788" s="33">
        <f t="shared" si="71"/>
        <v>152600</v>
      </c>
    </row>
    <row r="789" spans="2:8" x14ac:dyDescent="0.25">
      <c r="B789" s="5">
        <f>(789-25)/100</f>
        <v>7.64</v>
      </c>
      <c r="C789" s="5">
        <f t="shared" si="66"/>
        <v>0.46579949764982825</v>
      </c>
      <c r="D789" s="33">
        <f t="shared" si="67"/>
        <v>8771.120357704649</v>
      </c>
      <c r="E789" s="33">
        <f t="shared" si="68"/>
        <v>431445.98533658235</v>
      </c>
      <c r="F789" s="33">
        <f t="shared" si="69"/>
        <v>915754.01466341759</v>
      </c>
      <c r="G789" s="33">
        <f t="shared" si="70"/>
        <v>34812.609738119252</v>
      </c>
      <c r="H789" s="33">
        <f t="shared" si="71"/>
        <v>152800</v>
      </c>
    </row>
    <row r="790" spans="2:8" x14ac:dyDescent="0.25">
      <c r="B790" s="5">
        <f>(790-25)/100</f>
        <v>7.65</v>
      </c>
      <c r="C790" s="5">
        <f t="shared" si="66"/>
        <v>0.46533393097431336</v>
      </c>
      <c r="D790" s="33">
        <f t="shared" si="67"/>
        <v>8727.3742124171058</v>
      </c>
      <c r="E790" s="33">
        <f t="shared" si="68"/>
        <v>431793.9985698972</v>
      </c>
      <c r="F790" s="33">
        <f t="shared" si="69"/>
        <v>915206.00143010286</v>
      </c>
      <c r="G790" s="33">
        <f t="shared" si="70"/>
        <v>34790.028468336328</v>
      </c>
      <c r="H790" s="33">
        <f t="shared" si="71"/>
        <v>153000</v>
      </c>
    </row>
    <row r="791" spans="2:8" x14ac:dyDescent="0.25">
      <c r="B791" s="5">
        <f>(791-25)/100</f>
        <v>7.66</v>
      </c>
      <c r="C791" s="5">
        <f t="shared" si="66"/>
        <v>0.46486882963276827</v>
      </c>
      <c r="D791" s="33">
        <f t="shared" si="67"/>
        <v>8683.8462519394288</v>
      </c>
      <c r="E791" s="33">
        <f t="shared" si="68"/>
        <v>432141.78573763533</v>
      </c>
      <c r="F791" s="33">
        <f t="shared" si="69"/>
        <v>914658.21426236467</v>
      </c>
      <c r="G791" s="33">
        <f t="shared" si="70"/>
        <v>34767.396704311475</v>
      </c>
      <c r="H791" s="33">
        <f t="shared" si="71"/>
        <v>153200</v>
      </c>
    </row>
    <row r="792" spans="2:8" x14ac:dyDescent="0.25">
      <c r="B792" s="5">
        <f>(792-25)/100</f>
        <v>7.67</v>
      </c>
      <c r="C792" s="5">
        <f t="shared" si="66"/>
        <v>0.46440419316009157</v>
      </c>
      <c r="D792" s="33">
        <f t="shared" si="67"/>
        <v>8640.5353880703333</v>
      </c>
      <c r="E792" s="33">
        <f t="shared" si="68"/>
        <v>432489.34633729479</v>
      </c>
      <c r="F792" s="33">
        <f t="shared" si="69"/>
        <v>914110.65366270533</v>
      </c>
      <c r="G792" s="33">
        <f t="shared" si="70"/>
        <v>34744.714933586511</v>
      </c>
      <c r="H792" s="33">
        <f t="shared" si="71"/>
        <v>153400</v>
      </c>
    </row>
    <row r="793" spans="2:8" x14ac:dyDescent="0.25">
      <c r="B793" s="5">
        <f>(793-25)/100</f>
        <v>7.68</v>
      </c>
      <c r="C793" s="5">
        <f t="shared" ref="C793:C856" si="72">EXP(-$C$10*B793)</f>
        <v>0.46394002109164673</v>
      </c>
      <c r="D793" s="33">
        <f t="shared" ref="D793:D856" si="73">$C$7*EXP(-$C$9*B793)</f>
        <v>8597.4405380359694</v>
      </c>
      <c r="E793" s="33">
        <f t="shared" ref="E793:E856" si="74">C793*D793+(1-C793)*$C$8</f>
        <v>432836.67987123324</v>
      </c>
      <c r="F793" s="33">
        <f t="shared" ref="F793:F856" si="75">$C$12-E793-$C$11*B793</f>
        <v>913563.32012876682</v>
      </c>
      <c r="G793" s="33">
        <f t="shared" ref="G793:G856" si="76">$C$10*$C$8*EXP(-$C$10*B793)-($C$9+$C$10)*$C$7*EXP(-($C$9+$C$10)*B793)</f>
        <v>34721.983640601386</v>
      </c>
      <c r="H793" s="33">
        <f t="shared" ref="H793:H856" si="77">$C$11*B793</f>
        <v>153600</v>
      </c>
    </row>
    <row r="794" spans="2:8" x14ac:dyDescent="0.25">
      <c r="B794" s="5">
        <f>(794-25)/100</f>
        <v>7.69</v>
      </c>
      <c r="C794" s="5">
        <f t="shared" si="72"/>
        <v>0.46347631296326153</v>
      </c>
      <c r="D794" s="33">
        <f t="shared" si="73"/>
        <v>8554.5606244628361</v>
      </c>
      <c r="E794" s="33">
        <f t="shared" si="74"/>
        <v>433183.7858466375</v>
      </c>
      <c r="F794" s="33">
        <f t="shared" si="75"/>
        <v>913016.21415336244</v>
      </c>
      <c r="G794" s="33">
        <f t="shared" si="76"/>
        <v>34699.20330671288</v>
      </c>
      <c r="H794" s="33">
        <f t="shared" si="77"/>
        <v>153800</v>
      </c>
    </row>
    <row r="795" spans="2:8" x14ac:dyDescent="0.25">
      <c r="B795" s="5">
        <f>(795-25)/100</f>
        <v>7.7</v>
      </c>
      <c r="C795" s="5">
        <f t="shared" si="72"/>
        <v>0.46301306831122807</v>
      </c>
      <c r="D795" s="33">
        <f t="shared" si="73"/>
        <v>8511.8945753508669</v>
      </c>
      <c r="E795" s="33">
        <f t="shared" si="74"/>
        <v>433530.6637754924</v>
      </c>
      <c r="F795" s="33">
        <f t="shared" si="75"/>
        <v>912469.33622450754</v>
      </c>
      <c r="G795" s="33">
        <f t="shared" si="76"/>
        <v>34676.374410213306</v>
      </c>
      <c r="H795" s="33">
        <f t="shared" si="77"/>
        <v>154000</v>
      </c>
    </row>
    <row r="796" spans="2:8" x14ac:dyDescent="0.25">
      <c r="B796" s="5">
        <f>(796-25)/100</f>
        <v>7.71</v>
      </c>
      <c r="C796" s="5">
        <f t="shared" si="72"/>
        <v>0.46255028667230141</v>
      </c>
      <c r="D796" s="33">
        <f t="shared" si="73"/>
        <v>8469.441324046611</v>
      </c>
      <c r="E796" s="33">
        <f t="shared" si="74"/>
        <v>433877.31317455083</v>
      </c>
      <c r="F796" s="33">
        <f t="shared" si="75"/>
        <v>911922.68682544911</v>
      </c>
      <c r="G796" s="33">
        <f t="shared" si="76"/>
        <v>34653.497426348913</v>
      </c>
      <c r="H796" s="33">
        <f t="shared" si="77"/>
        <v>154200</v>
      </c>
    </row>
    <row r="797" spans="2:8" x14ac:dyDescent="0.25">
      <c r="B797" s="5">
        <f>(797-25)/100</f>
        <v>7.72</v>
      </c>
      <c r="C797" s="5">
        <f t="shared" si="72"/>
        <v>0.46208796758370002</v>
      </c>
      <c r="D797" s="33">
        <f t="shared" si="73"/>
        <v>8427.1998092165741</v>
      </c>
      <c r="E797" s="33">
        <f t="shared" si="74"/>
        <v>434223.73356530268</v>
      </c>
      <c r="F797" s="33">
        <f t="shared" si="75"/>
        <v>911376.26643469743</v>
      </c>
      <c r="G797" s="33">
        <f t="shared" si="76"/>
        <v>34630.572827338423</v>
      </c>
      <c r="H797" s="33">
        <f t="shared" si="77"/>
        <v>154400</v>
      </c>
    </row>
    <row r="798" spans="2:8" x14ac:dyDescent="0.25">
      <c r="B798" s="5">
        <f>(798-25)/100</f>
        <v>7.73</v>
      </c>
      <c r="C798" s="5">
        <f t="shared" si="72"/>
        <v>0.46162611058310465</v>
      </c>
      <c r="D798" s="33">
        <f t="shared" si="73"/>
        <v>8385.1689748206791</v>
      </c>
      <c r="E798" s="33">
        <f t="shared" si="74"/>
        <v>434569.92447394488</v>
      </c>
      <c r="F798" s="33">
        <f t="shared" si="75"/>
        <v>910830.07552605518</v>
      </c>
      <c r="G798" s="33">
        <f t="shared" si="76"/>
        <v>34607.601082391222</v>
      </c>
      <c r="H798" s="33">
        <f t="shared" si="77"/>
        <v>154600</v>
      </c>
    </row>
    <row r="799" spans="2:8" x14ac:dyDescent="0.25">
      <c r="B799" s="5">
        <f>(799-25)/100</f>
        <v>7.74</v>
      </c>
      <c r="C799" s="5">
        <f t="shared" si="72"/>
        <v>0.46116471520865843</v>
      </c>
      <c r="D799" s="33">
        <f t="shared" si="73"/>
        <v>8343.3477700858857</v>
      </c>
      <c r="E799" s="33">
        <f t="shared" si="74"/>
        <v>434915.88543135166</v>
      </c>
      <c r="F799" s="33">
        <f t="shared" si="75"/>
        <v>910284.11456864839</v>
      </c>
      <c r="G799" s="33">
        <f t="shared" si="76"/>
        <v>34584.582657725601</v>
      </c>
      <c r="H799" s="33">
        <f t="shared" si="77"/>
        <v>154800</v>
      </c>
    </row>
    <row r="800" spans="2:8" x14ac:dyDescent="0.25">
      <c r="B800" s="5">
        <f>(800-25)/100</f>
        <v>7.75</v>
      </c>
      <c r="C800" s="5">
        <f t="shared" si="72"/>
        <v>0.46070378099896581</v>
      </c>
      <c r="D800" s="33">
        <f t="shared" si="73"/>
        <v>8301.7351494798968</v>
      </c>
      <c r="E800" s="33">
        <f t="shared" si="74"/>
        <v>435261.61597304477</v>
      </c>
      <c r="F800" s="33">
        <f t="shared" si="75"/>
        <v>909738.38402695535</v>
      </c>
      <c r="G800" s="33">
        <f t="shared" si="76"/>
        <v>34561.518016586822</v>
      </c>
      <c r="H800" s="33">
        <f t="shared" si="77"/>
        <v>155000</v>
      </c>
    </row>
    <row r="801" spans="2:8" x14ac:dyDescent="0.25">
      <c r="B801" s="5">
        <f>(801-25)/100</f>
        <v>7.76</v>
      </c>
      <c r="C801" s="5">
        <f t="shared" si="72"/>
        <v>0.46024330749309256</v>
      </c>
      <c r="D801" s="33">
        <f t="shared" si="73"/>
        <v>8260.3300726850266</v>
      </c>
      <c r="E801" s="33">
        <f t="shared" si="74"/>
        <v>435607.11563916318</v>
      </c>
      <c r="F801" s="33">
        <f t="shared" si="75"/>
        <v>909192.88436083682</v>
      </c>
      <c r="G801" s="33">
        <f t="shared" si="76"/>
        <v>34538.407619265075</v>
      </c>
      <c r="H801" s="33">
        <f t="shared" si="77"/>
        <v>155200</v>
      </c>
    </row>
    <row r="802" spans="2:8" x14ac:dyDescent="0.25">
      <c r="B802" s="5">
        <f>(802-25)/100</f>
        <v>7.77</v>
      </c>
      <c r="C802" s="5">
        <f t="shared" si="72"/>
        <v>0.45978329423056519</v>
      </c>
      <c r="D802" s="33">
        <f t="shared" si="73"/>
        <v>8219.1315045721985</v>
      </c>
      <c r="E802" s="33">
        <f t="shared" si="74"/>
        <v>435952.38397443428</v>
      </c>
      <c r="F802" s="33">
        <f t="shared" si="75"/>
        <v>908647.61602556566</v>
      </c>
      <c r="G802" s="33">
        <f t="shared" si="76"/>
        <v>34515.251923113363</v>
      </c>
      <c r="H802" s="33">
        <f t="shared" si="77"/>
        <v>155400</v>
      </c>
    </row>
    <row r="803" spans="2:8" x14ac:dyDescent="0.25">
      <c r="B803" s="5">
        <f>(803-25)/100</f>
        <v>7.78</v>
      </c>
      <c r="C803" s="5">
        <f t="shared" si="72"/>
        <v>0.45932374075137034</v>
      </c>
      <c r="D803" s="33">
        <f t="shared" si="73"/>
        <v>8178.1384151750608</v>
      </c>
      <c r="E803" s="33">
        <f t="shared" si="74"/>
        <v>436297.42052814434</v>
      </c>
      <c r="F803" s="33">
        <f t="shared" si="75"/>
        <v>908102.57947185566</v>
      </c>
      <c r="G803" s="33">
        <f t="shared" si="76"/>
        <v>34492.051382565209</v>
      </c>
      <c r="H803" s="33">
        <f t="shared" si="77"/>
        <v>155600</v>
      </c>
    </row>
    <row r="804" spans="2:8" x14ac:dyDescent="0.25">
      <c r="B804" s="5">
        <f>(804-25)/100</f>
        <v>7.79</v>
      </c>
      <c r="C804" s="5">
        <f t="shared" si="72"/>
        <v>0.4588646465959545</v>
      </c>
      <c r="D804" s="33">
        <f t="shared" si="73"/>
        <v>8137.3497796642532</v>
      </c>
      <c r="E804" s="33">
        <f t="shared" si="74"/>
        <v>436642.22485410975</v>
      </c>
      <c r="F804" s="33">
        <f t="shared" si="75"/>
        <v>907557.77514589019</v>
      </c>
      <c r="G804" s="33">
        <f t="shared" si="76"/>
        <v>34468.806449152376</v>
      </c>
      <c r="H804" s="33">
        <f t="shared" si="77"/>
        <v>155800</v>
      </c>
    </row>
    <row r="805" spans="2:8" x14ac:dyDescent="0.25">
      <c r="B805" s="5">
        <f>(805-25)/100</f>
        <v>7.8</v>
      </c>
      <c r="C805" s="5">
        <f t="shared" si="72"/>
        <v>0.45840601130522352</v>
      </c>
      <c r="D805" s="33">
        <f t="shared" si="73"/>
        <v>8096.7645783217567</v>
      </c>
      <c r="E805" s="33">
        <f t="shared" si="74"/>
        <v>436986.79651064711</v>
      </c>
      <c r="F805" s="33">
        <f t="shared" si="75"/>
        <v>907013.20348935295</v>
      </c>
      <c r="G805" s="33">
        <f t="shared" si="76"/>
        <v>34445.517571522345</v>
      </c>
      <c r="H805" s="33">
        <f t="shared" si="77"/>
        <v>156000</v>
      </c>
    </row>
    <row r="806" spans="2:8" x14ac:dyDescent="0.25">
      <c r="B806" s="5">
        <f>(806-25)/100</f>
        <v>7.81</v>
      </c>
      <c r="C806" s="5">
        <f t="shared" si="72"/>
        <v>0.45794783442054204</v>
      </c>
      <c r="D806" s="33">
        <f t="shared" si="73"/>
        <v>8056.381796515424</v>
      </c>
      <c r="E806" s="33">
        <f t="shared" si="74"/>
        <v>437331.13506054558</v>
      </c>
      <c r="F806" s="33">
        <f t="shared" si="75"/>
        <v>906468.86493945448</v>
      </c>
      <c r="G806" s="33">
        <f t="shared" si="76"/>
        <v>34422.185195455771</v>
      </c>
      <c r="H806" s="33">
        <f t="shared" si="77"/>
        <v>156200</v>
      </c>
    </row>
    <row r="807" spans="2:8" x14ac:dyDescent="0.25">
      <c r="B807" s="5">
        <f>(807-25)/100</f>
        <v>7.82</v>
      </c>
      <c r="C807" s="5">
        <f t="shared" si="72"/>
        <v>0.45749011548373314</v>
      </c>
      <c r="D807" s="33">
        <f t="shared" si="73"/>
        <v>8016.200424673606</v>
      </c>
      <c r="E807" s="33">
        <f t="shared" si="74"/>
        <v>437675.24007103813</v>
      </c>
      <c r="F807" s="33">
        <f t="shared" si="75"/>
        <v>905924.75992896175</v>
      </c>
      <c r="G807" s="33">
        <f t="shared" si="76"/>
        <v>34398.809763883837</v>
      </c>
      <c r="H807" s="33">
        <f t="shared" si="77"/>
        <v>156400</v>
      </c>
    </row>
    <row r="808" spans="2:8" x14ac:dyDescent="0.25">
      <c r="B808" s="5">
        <f>(808-25)/100</f>
        <v>7.83</v>
      </c>
      <c r="C808" s="5">
        <f t="shared" si="72"/>
        <v>0.45703285403707788</v>
      </c>
      <c r="D808" s="33">
        <f t="shared" si="73"/>
        <v>7976.2194582599186</v>
      </c>
      <c r="E808" s="33">
        <f t="shared" si="74"/>
        <v>438019.11111377232</v>
      </c>
      <c r="F808" s="33">
        <f t="shared" si="75"/>
        <v>905380.88888622774</v>
      </c>
      <c r="G808" s="33">
        <f t="shared" si="76"/>
        <v>34375.391716905462</v>
      </c>
      <c r="H808" s="33">
        <f t="shared" si="77"/>
        <v>156600</v>
      </c>
    </row>
    <row r="809" spans="2:8" x14ac:dyDescent="0.25">
      <c r="B809" s="5">
        <f>(809-25)/100</f>
        <v>7.84</v>
      </c>
      <c r="C809" s="5">
        <f t="shared" si="72"/>
        <v>0.45657604962331472</v>
      </c>
      <c r="D809" s="33">
        <f t="shared" si="73"/>
        <v>7936.4378977481147</v>
      </c>
      <c r="E809" s="33">
        <f t="shared" si="74"/>
        <v>438362.74776478286</v>
      </c>
      <c r="F809" s="33">
        <f t="shared" si="75"/>
        <v>904837.25223521702</v>
      </c>
      <c r="G809" s="33">
        <f t="shared" si="76"/>
        <v>34351.931491804418</v>
      </c>
      <c r="H809" s="33">
        <f t="shared" si="77"/>
        <v>156800</v>
      </c>
    </row>
    <row r="810" spans="2:8" x14ac:dyDescent="0.25">
      <c r="B810" s="5">
        <f>(810-25)/100</f>
        <v>7.85</v>
      </c>
      <c r="C810" s="5">
        <f t="shared" si="72"/>
        <v>0.45611970178563921</v>
      </c>
      <c r="D810" s="33">
        <f t="shared" si="73"/>
        <v>7896.8547485971121</v>
      </c>
      <c r="E810" s="33">
        <f t="shared" si="74"/>
        <v>438706.14960446325</v>
      </c>
      <c r="F810" s="33">
        <f t="shared" si="75"/>
        <v>904293.85039553675</v>
      </c>
      <c r="G810" s="33">
        <f t="shared" si="76"/>
        <v>34328.429523066363</v>
      </c>
      <c r="H810" s="33">
        <f t="shared" si="77"/>
        <v>157000</v>
      </c>
    </row>
    <row r="811" spans="2:8" x14ac:dyDescent="0.25">
      <c r="B811" s="5">
        <f>(811-25)/100</f>
        <v>7.86</v>
      </c>
      <c r="C811" s="5">
        <f t="shared" si="72"/>
        <v>0.45566381006770351</v>
      </c>
      <c r="D811" s="33">
        <f t="shared" si="73"/>
        <v>7857.4690212261166</v>
      </c>
      <c r="E811" s="33">
        <f t="shared" si="74"/>
        <v>439049.31621753803</v>
      </c>
      <c r="F811" s="33">
        <f t="shared" si="75"/>
        <v>903750.68378246203</v>
      </c>
      <c r="G811" s="33">
        <f t="shared" si="76"/>
        <v>34304.886242395776</v>
      </c>
      <c r="H811" s="33">
        <f t="shared" si="77"/>
        <v>157200</v>
      </c>
    </row>
    <row r="812" spans="2:8" x14ac:dyDescent="0.25">
      <c r="B812" s="5">
        <f>(812-25)/100</f>
        <v>7.87</v>
      </c>
      <c r="C812" s="5">
        <f t="shared" si="72"/>
        <v>0.45520837401361586</v>
      </c>
      <c r="D812" s="33">
        <f t="shared" si="73"/>
        <v>7818.2797309898979</v>
      </c>
      <c r="E812" s="33">
        <f t="shared" si="74"/>
        <v>439392.2471930348</v>
      </c>
      <c r="F812" s="33">
        <f t="shared" si="75"/>
        <v>903207.75280696526</v>
      </c>
      <c r="G812" s="33">
        <f t="shared" si="76"/>
        <v>34281.302078732755</v>
      </c>
      <c r="H812" s="33">
        <f t="shared" si="77"/>
        <v>157400</v>
      </c>
    </row>
    <row r="813" spans="2:8" x14ac:dyDescent="0.25">
      <c r="B813" s="5">
        <f>(813-25)/100</f>
        <v>7.88</v>
      </c>
      <c r="C813" s="5">
        <f t="shared" si="72"/>
        <v>0.45475339316794017</v>
      </c>
      <c r="D813" s="33">
        <f t="shared" si="73"/>
        <v>7779.2858981541567</v>
      </c>
      <c r="E813" s="33">
        <f t="shared" si="74"/>
        <v>439734.94212425698</v>
      </c>
      <c r="F813" s="33">
        <f t="shared" si="75"/>
        <v>902665.05787574314</v>
      </c>
      <c r="G813" s="33">
        <f t="shared" si="76"/>
        <v>34257.677458269747</v>
      </c>
      <c r="H813" s="33">
        <f t="shared" si="77"/>
        <v>157600</v>
      </c>
    </row>
    <row r="814" spans="2:8" x14ac:dyDescent="0.25">
      <c r="B814" s="5">
        <f>(814-25)/100</f>
        <v>7.89</v>
      </c>
      <c r="C814" s="5">
        <f t="shared" si="72"/>
        <v>0.4542988670756955</v>
      </c>
      <c r="D814" s="33">
        <f t="shared" si="73"/>
        <v>7740.4865478710408</v>
      </c>
      <c r="E814" s="33">
        <f t="shared" si="74"/>
        <v>440077.40060875606</v>
      </c>
      <c r="F814" s="33">
        <f t="shared" si="75"/>
        <v>902122.59939124389</v>
      </c>
      <c r="G814" s="33">
        <f t="shared" si="76"/>
        <v>34234.012804468155</v>
      </c>
      <c r="H814" s="33">
        <f t="shared" si="77"/>
        <v>157800</v>
      </c>
    </row>
    <row r="815" spans="2:8" x14ac:dyDescent="0.25">
      <c r="B815" s="5">
        <f>(815-25)/100</f>
        <v>7.9</v>
      </c>
      <c r="C815" s="5">
        <f t="shared" si="72"/>
        <v>0.45384479528235583</v>
      </c>
      <c r="D815" s="33">
        <f t="shared" si="73"/>
        <v>7701.8807101547682</v>
      </c>
      <c r="E815" s="33">
        <f t="shared" si="74"/>
        <v>440419.6222483046</v>
      </c>
      <c r="F815" s="33">
        <f t="shared" si="75"/>
        <v>901580.37775169546</v>
      </c>
      <c r="G815" s="33">
        <f t="shared" si="76"/>
        <v>34210.308538074874</v>
      </c>
      <c r="H815" s="33">
        <f t="shared" si="77"/>
        <v>158000</v>
      </c>
    </row>
    <row r="816" spans="2:8" x14ac:dyDescent="0.25">
      <c r="B816" s="5">
        <f>(816-25)/100</f>
        <v>7.91</v>
      </c>
      <c r="C816" s="5">
        <f t="shared" si="72"/>
        <v>0.4533911773338492</v>
      </c>
      <c r="D816" s="33">
        <f t="shared" si="73"/>
        <v>7663.4674198573939</v>
      </c>
      <c r="E816" s="33">
        <f t="shared" si="74"/>
        <v>440761.60664886935</v>
      </c>
      <c r="F816" s="33">
        <f t="shared" si="75"/>
        <v>901038.39335113065</v>
      </c>
      <c r="G816" s="33">
        <f t="shared" si="76"/>
        <v>34186.565077138694</v>
      </c>
      <c r="H816" s="33">
        <f t="shared" si="77"/>
        <v>158200</v>
      </c>
    </row>
    <row r="817" spans="2:8" x14ac:dyDescent="0.25">
      <c r="B817" s="5">
        <f>(817-25)/100</f>
        <v>7.92</v>
      </c>
      <c r="C817" s="5">
        <f t="shared" si="72"/>
        <v>0.45293801277655771</v>
      </c>
      <c r="D817" s="33">
        <f t="shared" si="73"/>
        <v>7625.2457166446547</v>
      </c>
      <c r="E817" s="33">
        <f t="shared" si="74"/>
        <v>441103.35342058388</v>
      </c>
      <c r="F817" s="33">
        <f t="shared" si="75"/>
        <v>900496.646579416</v>
      </c>
      <c r="G817" s="33">
        <f t="shared" si="76"/>
        <v>34162.782837026629</v>
      </c>
      <c r="H817" s="33">
        <f t="shared" si="77"/>
        <v>158400</v>
      </c>
    </row>
    <row r="818" spans="2:8" x14ac:dyDescent="0.25">
      <c r="B818" s="5">
        <f>(818-25)/100</f>
        <v>7.93</v>
      </c>
      <c r="C818" s="5">
        <f t="shared" si="72"/>
        <v>0.45248530115731672</v>
      </c>
      <c r="D818" s="33">
        <f t="shared" si="73"/>
        <v>7587.2146449719803</v>
      </c>
      <c r="E818" s="33">
        <f t="shared" si="74"/>
        <v>441444.86217772204</v>
      </c>
      <c r="F818" s="33">
        <f t="shared" si="75"/>
        <v>899955.13782227784</v>
      </c>
      <c r="G818" s="33">
        <f t="shared" si="76"/>
        <v>34138.962230440127</v>
      </c>
      <c r="H818" s="33">
        <f t="shared" si="77"/>
        <v>158600</v>
      </c>
    </row>
    <row r="819" spans="2:8" x14ac:dyDescent="0.25">
      <c r="B819" s="5">
        <f>(819-25)/100</f>
        <v>7.94</v>
      </c>
      <c r="C819" s="5">
        <f t="shared" si="72"/>
        <v>0.45203304202341466</v>
      </c>
      <c r="D819" s="33">
        <f t="shared" si="73"/>
        <v>7549.3732540605943</v>
      </c>
      <c r="E819" s="33">
        <f t="shared" si="74"/>
        <v>441786.13253867149</v>
      </c>
      <c r="F819" s="33">
        <f t="shared" si="75"/>
        <v>899413.86746132839</v>
      </c>
      <c r="G819" s="33">
        <f t="shared" si="76"/>
        <v>34115.103667431249</v>
      </c>
      <c r="H819" s="33">
        <f t="shared" si="77"/>
        <v>158800</v>
      </c>
    </row>
    <row r="820" spans="2:8" x14ac:dyDescent="0.25">
      <c r="B820" s="5">
        <f>(820-25)/100</f>
        <v>7.95</v>
      </c>
      <c r="C820" s="5">
        <f t="shared" si="72"/>
        <v>0.45158123492259222</v>
      </c>
      <c r="D820" s="33">
        <f t="shared" si="73"/>
        <v>7511.7205978737593</v>
      </c>
      <c r="E820" s="33">
        <f t="shared" si="74"/>
        <v>442127.16412590747</v>
      </c>
      <c r="F820" s="33">
        <f t="shared" si="75"/>
        <v>898872.83587409253</v>
      </c>
      <c r="G820" s="33">
        <f t="shared" si="76"/>
        <v>34091.207555418594</v>
      </c>
      <c r="H820" s="33">
        <f t="shared" si="77"/>
        <v>159000</v>
      </c>
    </row>
    <row r="821" spans="2:8" x14ac:dyDescent="0.25">
      <c r="B821" s="5">
        <f>(821-25)/100</f>
        <v>7.96</v>
      </c>
      <c r="C821" s="5">
        <f t="shared" si="72"/>
        <v>0.45112987940304233</v>
      </c>
      <c r="D821" s="33">
        <f t="shared" si="73"/>
        <v>7474.2557350931093</v>
      </c>
      <c r="E821" s="33">
        <f t="shared" si="74"/>
        <v>442467.95656596625</v>
      </c>
      <c r="F821" s="33">
        <f t="shared" si="75"/>
        <v>898332.04343403364</v>
      </c>
      <c r="G821" s="33">
        <f t="shared" si="76"/>
        <v>34067.27429920336</v>
      </c>
      <c r="H821" s="33">
        <f t="shared" si="77"/>
        <v>159200</v>
      </c>
    </row>
    <row r="822" spans="2:8" x14ac:dyDescent="0.25">
      <c r="B822" s="5">
        <f>(822-25)/100</f>
        <v>7.97</v>
      </c>
      <c r="C822" s="5">
        <f t="shared" si="72"/>
        <v>0.45067897501340948</v>
      </c>
      <c r="D822" s="33">
        <f t="shared" si="73"/>
        <v>7436.9777290951188</v>
      </c>
      <c r="E822" s="33">
        <f t="shared" si="74"/>
        <v>442808.50948941853</v>
      </c>
      <c r="F822" s="33">
        <f t="shared" si="75"/>
        <v>897791.49051058153</v>
      </c>
      <c r="G822" s="33">
        <f t="shared" si="76"/>
        <v>34043.304300985073</v>
      </c>
      <c r="H822" s="33">
        <f t="shared" si="77"/>
        <v>159400</v>
      </c>
    </row>
    <row r="823" spans="2:8" x14ac:dyDescent="0.25">
      <c r="B823" s="5">
        <f>(823-25)/100</f>
        <v>7.98</v>
      </c>
      <c r="C823" s="5">
        <f t="shared" si="72"/>
        <v>0.45022852130278923</v>
      </c>
      <c r="D823" s="33">
        <f t="shared" si="73"/>
        <v>7399.8856479276965</v>
      </c>
      <c r="E823" s="33">
        <f t="shared" si="74"/>
        <v>443148.82253084483</v>
      </c>
      <c r="F823" s="33">
        <f t="shared" si="75"/>
        <v>897251.17746915529</v>
      </c>
      <c r="G823" s="33">
        <f t="shared" si="76"/>
        <v>34019.297960377407</v>
      </c>
      <c r="H823" s="33">
        <f t="shared" si="77"/>
        <v>159600</v>
      </c>
    </row>
    <row r="824" spans="2:8" x14ac:dyDescent="0.25">
      <c r="B824" s="5">
        <f>(824-25)/100</f>
        <v>7.99</v>
      </c>
      <c r="C824" s="5">
        <f t="shared" si="72"/>
        <v>0.44977851782072775</v>
      </c>
      <c r="D824" s="33">
        <f t="shared" si="73"/>
        <v>7362.9785642868856</v>
      </c>
      <c r="E824" s="33">
        <f t="shared" si="74"/>
        <v>443488.89532880858</v>
      </c>
      <c r="F824" s="33">
        <f t="shared" si="75"/>
        <v>896711.10467119142</v>
      </c>
      <c r="G824" s="33">
        <f t="shared" si="76"/>
        <v>33995.255674423774</v>
      </c>
      <c r="H824" s="33">
        <f t="shared" si="77"/>
        <v>159800</v>
      </c>
    </row>
    <row r="825" spans="2:8" x14ac:dyDescent="0.25">
      <c r="B825" s="5">
        <f>(825-25)/100</f>
        <v>8</v>
      </c>
      <c r="C825" s="5">
        <f t="shared" si="72"/>
        <v>0.44932896411722156</v>
      </c>
      <c r="D825" s="33">
        <f t="shared" si="73"/>
        <v>7326.2555554936716</v>
      </c>
      <c r="E825" s="33">
        <f t="shared" si="74"/>
        <v>443828.72752583079</v>
      </c>
      <c r="F825" s="33">
        <f t="shared" si="75"/>
        <v>896171.27247416927</v>
      </c>
      <c r="G825" s="33">
        <f t="shared" si="76"/>
        <v>33971.177837612922</v>
      </c>
      <c r="H825" s="33">
        <f t="shared" si="77"/>
        <v>160000</v>
      </c>
    </row>
    <row r="826" spans="2:8" x14ac:dyDescent="0.25">
      <c r="B826" s="5">
        <f>(826-25)/100</f>
        <v>8.01</v>
      </c>
      <c r="C826" s="5">
        <f t="shared" si="72"/>
        <v>0.44887985974271699</v>
      </c>
      <c r="D826" s="33">
        <f t="shared" si="73"/>
        <v>7289.7157034709207</v>
      </c>
      <c r="E826" s="33">
        <f t="shared" si="74"/>
        <v>444168.31876836467</v>
      </c>
      <c r="F826" s="33">
        <f t="shared" si="75"/>
        <v>895631.68123163539</v>
      </c>
      <c r="G826" s="33">
        <f t="shared" si="76"/>
        <v>33947.064841894375</v>
      </c>
      <c r="H826" s="33">
        <f t="shared" si="77"/>
        <v>160200</v>
      </c>
    </row>
    <row r="827" spans="2:8" x14ac:dyDescent="0.25">
      <c r="B827" s="5">
        <f>(827-25)/100</f>
        <v>8.02</v>
      </c>
      <c r="C827" s="5">
        <f t="shared" si="72"/>
        <v>0.44843120424810951</v>
      </c>
      <c r="D827" s="33">
        <f t="shared" si="73"/>
        <v>7253.35809472043</v>
      </c>
      <c r="E827" s="33">
        <f t="shared" si="74"/>
        <v>444507.66870677058</v>
      </c>
      <c r="F827" s="33">
        <f t="shared" si="75"/>
        <v>895092.33129322948</v>
      </c>
      <c r="G827" s="33">
        <f t="shared" si="76"/>
        <v>33922.917076693804</v>
      </c>
      <c r="H827" s="33">
        <f t="shared" si="77"/>
        <v>160400</v>
      </c>
    </row>
    <row r="828" spans="2:8" x14ac:dyDescent="0.25">
      <c r="B828" s="5">
        <f>(828-25)/100</f>
        <v>8.0299999999999994</v>
      </c>
      <c r="C828" s="5">
        <f t="shared" si="72"/>
        <v>0.44798299718474371</v>
      </c>
      <c r="D828" s="33">
        <f t="shared" si="73"/>
        <v>7217.1818203000867</v>
      </c>
      <c r="E828" s="33">
        <f t="shared" si="74"/>
        <v>444846.77699529025</v>
      </c>
      <c r="F828" s="33">
        <f t="shared" si="75"/>
        <v>894553.2230047097</v>
      </c>
      <c r="G828" s="33">
        <f t="shared" si="76"/>
        <v>33898.73492892833</v>
      </c>
      <c r="H828" s="33">
        <f t="shared" si="77"/>
        <v>160600</v>
      </c>
    </row>
    <row r="829" spans="2:8" x14ac:dyDescent="0.25">
      <c r="B829" s="5">
        <f>(829-25)/100</f>
        <v>8.0399999999999991</v>
      </c>
      <c r="C829" s="5">
        <f t="shared" si="72"/>
        <v>0.44753523810441243</v>
      </c>
      <c r="D829" s="33">
        <f t="shared" si="73"/>
        <v>7181.1859758011469</v>
      </c>
      <c r="E829" s="33">
        <f t="shared" si="74"/>
        <v>445185.64329202229</v>
      </c>
      <c r="F829" s="33">
        <f t="shared" si="75"/>
        <v>894014.3567079776</v>
      </c>
      <c r="G829" s="33">
        <f t="shared" si="76"/>
        <v>33874.518783021653</v>
      </c>
      <c r="H829" s="33">
        <f t="shared" si="77"/>
        <v>160799.99999999997</v>
      </c>
    </row>
    <row r="830" spans="2:8" x14ac:dyDescent="0.25">
      <c r="B830" s="5">
        <f>(830-25)/100</f>
        <v>8.0500000000000007</v>
      </c>
      <c r="C830" s="5">
        <f t="shared" si="72"/>
        <v>0.44708792655935636</v>
      </c>
      <c r="D830" s="33">
        <f t="shared" si="73"/>
        <v>7145.3696613256134</v>
      </c>
      <c r="E830" s="33">
        <f t="shared" si="74"/>
        <v>445524.26725889713</v>
      </c>
      <c r="F830" s="33">
        <f t="shared" si="75"/>
        <v>893475.73274110281</v>
      </c>
      <c r="G830" s="33">
        <f t="shared" si="76"/>
        <v>33850.269020919193</v>
      </c>
      <c r="H830" s="33">
        <f t="shared" si="77"/>
        <v>161000</v>
      </c>
    </row>
    <row r="831" spans="2:8" x14ac:dyDescent="0.25">
      <c r="B831" s="5">
        <f>(831-25)/100</f>
        <v>8.06</v>
      </c>
      <c r="C831" s="5">
        <f t="shared" si="72"/>
        <v>0.44664106210226434</v>
      </c>
      <c r="D831" s="33">
        <f t="shared" si="73"/>
        <v>7109.7319814637767</v>
      </c>
      <c r="E831" s="33">
        <f t="shared" si="74"/>
        <v>445862.64856165199</v>
      </c>
      <c r="F831" s="33">
        <f t="shared" si="75"/>
        <v>892937.35143834795</v>
      </c>
      <c r="G831" s="33">
        <f t="shared" si="76"/>
        <v>33825.986022103098</v>
      </c>
      <c r="H831" s="33">
        <f t="shared" si="77"/>
        <v>161200</v>
      </c>
    </row>
    <row r="832" spans="2:8" x14ac:dyDescent="0.25">
      <c r="B832" s="5">
        <f>(832-25)/100</f>
        <v>8.07</v>
      </c>
      <c r="C832" s="5">
        <f t="shared" si="72"/>
        <v>0.44619464428627154</v>
      </c>
      <c r="D832" s="33">
        <f t="shared" si="73"/>
        <v>7074.2720452717749</v>
      </c>
      <c r="E832" s="33">
        <f t="shared" si="74"/>
        <v>446200.78686980717</v>
      </c>
      <c r="F832" s="33">
        <f t="shared" si="75"/>
        <v>892399.21313019283</v>
      </c>
      <c r="G832" s="33">
        <f t="shared" si="76"/>
        <v>33801.670163607108</v>
      </c>
      <c r="H832" s="33">
        <f t="shared" si="77"/>
        <v>161400</v>
      </c>
    </row>
    <row r="833" spans="2:8" x14ac:dyDescent="0.25">
      <c r="B833" s="5">
        <f>(833-25)/100</f>
        <v>8.08</v>
      </c>
      <c r="C833" s="5">
        <f t="shared" si="72"/>
        <v>0.44574867266496021</v>
      </c>
      <c r="D833" s="33">
        <f t="shared" si="73"/>
        <v>7038.988966249357</v>
      </c>
      <c r="E833" s="33">
        <f t="shared" si="74"/>
        <v>446538.68185664079</v>
      </c>
      <c r="F833" s="33">
        <f t="shared" si="75"/>
        <v>891861.31814335915</v>
      </c>
      <c r="G833" s="33">
        <f t="shared" si="76"/>
        <v>33777.321820031444</v>
      </c>
      <c r="H833" s="33">
        <f t="shared" si="77"/>
        <v>161600</v>
      </c>
    </row>
    <row r="834" spans="2:8" x14ac:dyDescent="0.25">
      <c r="B834" s="5">
        <f>(834-25)/100</f>
        <v>8.09</v>
      </c>
      <c r="C834" s="5">
        <f t="shared" si="72"/>
        <v>0.44530314679235872</v>
      </c>
      <c r="D834" s="33">
        <f t="shared" si="73"/>
        <v>7003.8818623177094</v>
      </c>
      <c r="E834" s="33">
        <f t="shared" si="74"/>
        <v>446876.333199165</v>
      </c>
      <c r="F834" s="33">
        <f t="shared" si="75"/>
        <v>891323.66680083494</v>
      </c>
      <c r="G834" s="33">
        <f t="shared" si="76"/>
        <v>33752.941363557497</v>
      </c>
      <c r="H834" s="33">
        <f t="shared" si="77"/>
        <v>161800</v>
      </c>
    </row>
    <row r="835" spans="2:8" x14ac:dyDescent="0.25">
      <c r="B835" s="5">
        <f>(835-25)/100</f>
        <v>8.1</v>
      </c>
      <c r="C835" s="5">
        <f t="shared" si="72"/>
        <v>0.44485806622294111</v>
      </c>
      <c r="D835" s="33">
        <f t="shared" si="73"/>
        <v>6968.9498557974057</v>
      </c>
      <c r="E835" s="33">
        <f t="shared" si="74"/>
        <v>447213.74057810177</v>
      </c>
      <c r="F835" s="33">
        <f t="shared" si="75"/>
        <v>890786.25942189828</v>
      </c>
      <c r="G835" s="33">
        <f t="shared" si="76"/>
        <v>33728.529163962485</v>
      </c>
      <c r="H835" s="33">
        <f t="shared" si="77"/>
        <v>162000</v>
      </c>
    </row>
    <row r="836" spans="2:8" x14ac:dyDescent="0.25">
      <c r="B836" s="5">
        <f>(836-25)/100</f>
        <v>8.11</v>
      </c>
      <c r="C836" s="5">
        <f t="shared" si="72"/>
        <v>0.44441343051162685</v>
      </c>
      <c r="D836" s="33">
        <f t="shared" si="73"/>
        <v>6934.1920733864636</v>
      </c>
      <c r="E836" s="33">
        <f t="shared" si="74"/>
        <v>447550.9036778587</v>
      </c>
      <c r="F836" s="33">
        <f t="shared" si="75"/>
        <v>890249.09632214135</v>
      </c>
      <c r="G836" s="33">
        <f t="shared" si="76"/>
        <v>33704.085588634021</v>
      </c>
      <c r="H836" s="33">
        <f t="shared" si="77"/>
        <v>162200</v>
      </c>
    </row>
    <row r="837" spans="2:8" x14ac:dyDescent="0.25">
      <c r="B837" s="5">
        <f>(837-25)/100</f>
        <v>8.1199999999999992</v>
      </c>
      <c r="C837" s="5">
        <f t="shared" si="72"/>
        <v>0.44396923921378006</v>
      </c>
      <c r="D837" s="33">
        <f t="shared" si="73"/>
        <v>6899.607646138511</v>
      </c>
      <c r="E837" s="33">
        <f t="shared" si="74"/>
        <v>447887.8221865056</v>
      </c>
      <c r="F837" s="33">
        <f t="shared" si="75"/>
        <v>889712.17781349435</v>
      </c>
      <c r="G837" s="33">
        <f t="shared" si="76"/>
        <v>33679.611002584585</v>
      </c>
      <c r="H837" s="33">
        <f t="shared" si="77"/>
        <v>162399.99999999997</v>
      </c>
    </row>
    <row r="838" spans="2:8" x14ac:dyDescent="0.25">
      <c r="B838" s="5">
        <f>(838-25)/100</f>
        <v>8.1300000000000008</v>
      </c>
      <c r="C838" s="5">
        <f t="shared" si="72"/>
        <v>0.44352549188520946</v>
      </c>
      <c r="D838" s="33">
        <f t="shared" si="73"/>
        <v>6865.1957094410618</v>
      </c>
      <c r="E838" s="33">
        <f t="shared" si="74"/>
        <v>448224.49579575052</v>
      </c>
      <c r="F838" s="33">
        <f t="shared" si="75"/>
        <v>889175.50420424948</v>
      </c>
      <c r="G838" s="33">
        <f t="shared" si="76"/>
        <v>33655.10576846591</v>
      </c>
      <c r="H838" s="33">
        <f t="shared" si="77"/>
        <v>162600.00000000003</v>
      </c>
    </row>
    <row r="839" spans="2:8" x14ac:dyDescent="0.25">
      <c r="B839" s="5">
        <f>(839-25)/100</f>
        <v>8.14</v>
      </c>
      <c r="C839" s="5">
        <f t="shared" si="72"/>
        <v>0.44308218808216776</v>
      </c>
      <c r="D839" s="33">
        <f t="shared" si="73"/>
        <v>6830.9554029939172</v>
      </c>
      <c r="E839" s="33">
        <f t="shared" si="74"/>
        <v>448560.92420091596</v>
      </c>
      <c r="F839" s="33">
        <f t="shared" si="75"/>
        <v>888639.07579908404</v>
      </c>
      <c r="G839" s="33">
        <f t="shared" si="76"/>
        <v>33630.570246583273</v>
      </c>
      <c r="H839" s="33">
        <f t="shared" si="77"/>
        <v>162800</v>
      </c>
    </row>
    <row r="840" spans="2:8" x14ac:dyDescent="0.25">
      <c r="B840" s="5">
        <f>(840-25)/100</f>
        <v>8.15</v>
      </c>
      <c r="C840" s="5">
        <f t="shared" si="72"/>
        <v>0.44263932736135109</v>
      </c>
      <c r="D840" s="33">
        <f t="shared" si="73"/>
        <v>6796.8858707876261</v>
      </c>
      <c r="E840" s="33">
        <f t="shared" si="74"/>
        <v>448897.10710091639</v>
      </c>
      <c r="F840" s="33">
        <f t="shared" si="75"/>
        <v>888102.89289908367</v>
      </c>
      <c r="G840" s="33">
        <f t="shared" si="76"/>
        <v>33606.004794909706</v>
      </c>
      <c r="H840" s="33">
        <f t="shared" si="77"/>
        <v>163000</v>
      </c>
    </row>
    <row r="841" spans="2:8" x14ac:dyDescent="0.25">
      <c r="B841" s="5">
        <f>(841-25)/100</f>
        <v>8.16</v>
      </c>
      <c r="C841" s="5">
        <f t="shared" si="72"/>
        <v>0.44219690927989863</v>
      </c>
      <c r="D841" s="33">
        <f t="shared" si="73"/>
        <v>6762.9862610821119</v>
      </c>
      <c r="E841" s="33">
        <f t="shared" si="74"/>
        <v>449233.04419823404</v>
      </c>
      <c r="F841" s="33">
        <f t="shared" si="75"/>
        <v>887566.9558017659</v>
      </c>
      <c r="G841" s="33">
        <f t="shared" si="76"/>
        <v>33581.40976910013</v>
      </c>
      <c r="H841" s="33">
        <f t="shared" si="77"/>
        <v>163200</v>
      </c>
    </row>
    <row r="842" spans="2:8" x14ac:dyDescent="0.25">
      <c r="B842" s="5">
        <f>(842-25)/100</f>
        <v>8.17</v>
      </c>
      <c r="C842" s="5">
        <f t="shared" si="72"/>
        <v>0.44175493339539229</v>
      </c>
      <c r="D842" s="33">
        <f t="shared" si="73"/>
        <v>6729.2557263853605</v>
      </c>
      <c r="E842" s="33">
        <f t="shared" si="74"/>
        <v>449568.73519889609</v>
      </c>
      <c r="F842" s="33">
        <f t="shared" si="75"/>
        <v>887031.26480110385</v>
      </c>
      <c r="G842" s="33">
        <f t="shared" si="76"/>
        <v>33556.785522505423</v>
      </c>
      <c r="H842" s="33">
        <f t="shared" si="77"/>
        <v>163400</v>
      </c>
    </row>
    <row r="843" spans="2:8" x14ac:dyDescent="0.25">
      <c r="B843" s="5">
        <f>(843-25)/100</f>
        <v>8.18</v>
      </c>
      <c r="C843" s="5">
        <f t="shared" si="72"/>
        <v>0.44131339926585617</v>
      </c>
      <c r="D843" s="33">
        <f t="shared" si="73"/>
        <v>6695.6934234322525</v>
      </c>
      <c r="E843" s="33">
        <f t="shared" si="74"/>
        <v>449904.17981245194</v>
      </c>
      <c r="F843" s="33">
        <f t="shared" si="75"/>
        <v>886495.82018754818</v>
      </c>
      <c r="G843" s="33">
        <f t="shared" si="76"/>
        <v>33532.132406186334</v>
      </c>
      <c r="H843" s="33">
        <f t="shared" si="77"/>
        <v>163600</v>
      </c>
    </row>
    <row r="844" spans="2:8" x14ac:dyDescent="0.25">
      <c r="B844" s="5">
        <f>(844-25)/100</f>
        <v>8.19</v>
      </c>
      <c r="C844" s="5">
        <f t="shared" si="72"/>
        <v>0.44087230644975617</v>
      </c>
      <c r="D844" s="33">
        <f t="shared" si="73"/>
        <v>6662.2985131634659</v>
      </c>
      <c r="E844" s="33">
        <f t="shared" si="74"/>
        <v>450239.37775195023</v>
      </c>
      <c r="F844" s="33">
        <f t="shared" si="75"/>
        <v>885960.62224804983</v>
      </c>
      <c r="G844" s="33">
        <f t="shared" si="76"/>
        <v>33507.450768927396</v>
      </c>
      <c r="H844" s="33">
        <f t="shared" si="77"/>
        <v>163800</v>
      </c>
    </row>
    <row r="845" spans="2:8" x14ac:dyDescent="0.25">
      <c r="B845" s="5">
        <f>(845-25)/100</f>
        <v>8.1999999999999993</v>
      </c>
      <c r="C845" s="5">
        <f t="shared" si="72"/>
        <v>0.4404316545059993</v>
      </c>
      <c r="D845" s="33">
        <f t="shared" si="73"/>
        <v>6629.0701607045021</v>
      </c>
      <c r="E845" s="33">
        <f t="shared" si="74"/>
        <v>450574.32873391599</v>
      </c>
      <c r="F845" s="33">
        <f t="shared" si="75"/>
        <v>885425.67126608407</v>
      </c>
      <c r="G845" s="33">
        <f t="shared" si="76"/>
        <v>33482.74095725068</v>
      </c>
      <c r="H845" s="33">
        <f t="shared" si="77"/>
        <v>164000</v>
      </c>
    </row>
    <row r="846" spans="2:8" x14ac:dyDescent="0.25">
      <c r="B846" s="5">
        <f>(846-25)/100</f>
        <v>8.2100000000000009</v>
      </c>
      <c r="C846" s="5">
        <f t="shared" si="72"/>
        <v>0.4399914429939335</v>
      </c>
      <c r="D846" s="33">
        <f t="shared" si="73"/>
        <v>6596.0075353448137</v>
      </c>
      <c r="E846" s="33">
        <f t="shared" si="74"/>
        <v>450909.03247832839</v>
      </c>
      <c r="F846" s="33">
        <f t="shared" si="75"/>
        <v>884890.96752167167</v>
      </c>
      <c r="G846" s="33">
        <f t="shared" si="76"/>
        <v>33458.003315429545</v>
      </c>
      <c r="H846" s="33">
        <f t="shared" si="77"/>
        <v>164200.00000000003</v>
      </c>
    </row>
    <row r="847" spans="2:8" x14ac:dyDescent="0.25">
      <c r="B847" s="5">
        <f>(847-25)/100</f>
        <v>8.2200000000000006</v>
      </c>
      <c r="C847" s="5">
        <f t="shared" si="72"/>
        <v>0.43955167147334756</v>
      </c>
      <c r="D847" s="33">
        <f t="shared" si="73"/>
        <v>6563.1098105170577</v>
      </c>
      <c r="E847" s="33">
        <f t="shared" si="74"/>
        <v>451243.48870859784</v>
      </c>
      <c r="F847" s="33">
        <f t="shared" si="75"/>
        <v>884356.51129140216</v>
      </c>
      <c r="G847" s="33">
        <f t="shared" si="76"/>
        <v>33433.238185502269</v>
      </c>
      <c r="H847" s="33">
        <f t="shared" si="77"/>
        <v>164400</v>
      </c>
    </row>
    <row r="848" spans="2:8" x14ac:dyDescent="0.25">
      <c r="B848" s="5">
        <f>(848-25)/100</f>
        <v>8.23</v>
      </c>
      <c r="C848" s="5">
        <f t="shared" si="72"/>
        <v>0.43911233950446965</v>
      </c>
      <c r="D848" s="33">
        <f t="shared" si="73"/>
        <v>6530.3761637763937</v>
      </c>
      <c r="E848" s="33">
        <f t="shared" si="74"/>
        <v>451577.69715154445</v>
      </c>
      <c r="F848" s="33">
        <f t="shared" si="75"/>
        <v>883822.3028484555</v>
      </c>
      <c r="G848" s="33">
        <f t="shared" si="76"/>
        <v>33408.445907285524</v>
      </c>
      <c r="H848" s="33">
        <f t="shared" si="77"/>
        <v>164600</v>
      </c>
    </row>
    <row r="849" spans="2:8" x14ac:dyDescent="0.25">
      <c r="B849" s="5">
        <f>(849-25)/100</f>
        <v>8.24</v>
      </c>
      <c r="C849" s="5">
        <f t="shared" si="72"/>
        <v>0.43867344664796781</v>
      </c>
      <c r="D849" s="33">
        <f t="shared" si="73"/>
        <v>6497.8057767799482</v>
      </c>
      <c r="E849" s="33">
        <f t="shared" si="74"/>
        <v>451911.65753737488</v>
      </c>
      <c r="F849" s="33">
        <f t="shared" si="75"/>
        <v>883288.34246262512</v>
      </c>
      <c r="G849" s="33">
        <f t="shared" si="76"/>
        <v>33383.626818387944</v>
      </c>
      <c r="H849" s="33">
        <f t="shared" si="77"/>
        <v>164800</v>
      </c>
    </row>
    <row r="850" spans="2:8" x14ac:dyDescent="0.25">
      <c r="B850" s="5">
        <f>(850-25)/100</f>
        <v>8.25</v>
      </c>
      <c r="C850" s="5">
        <f t="shared" si="72"/>
        <v>0.43823499246494918</v>
      </c>
      <c r="D850" s="33">
        <f t="shared" si="73"/>
        <v>6465.3978352663498</v>
      </c>
      <c r="E850" s="33">
        <f t="shared" si="74"/>
        <v>452245.36959966156</v>
      </c>
      <c r="F850" s="33">
        <f t="shared" si="75"/>
        <v>882754.63040033844</v>
      </c>
      <c r="G850" s="33">
        <f t="shared" si="76"/>
        <v>33358.781254223431</v>
      </c>
      <c r="H850" s="33">
        <f t="shared" si="77"/>
        <v>165000</v>
      </c>
    </row>
    <row r="851" spans="2:8" x14ac:dyDescent="0.25">
      <c r="B851" s="5">
        <f>(851-25)/100</f>
        <v>8.26</v>
      </c>
      <c r="C851" s="5">
        <f t="shared" si="72"/>
        <v>0.43779697651695959</v>
      </c>
      <c r="D851" s="33">
        <f t="shared" si="73"/>
        <v>6433.1515290353736</v>
      </c>
      <c r="E851" s="33">
        <f t="shared" si="74"/>
        <v>452578.83307531942</v>
      </c>
      <c r="F851" s="33">
        <f t="shared" si="75"/>
        <v>882221.16692468058</v>
      </c>
      <c r="G851" s="33">
        <f t="shared" si="76"/>
        <v>33333.90954802448</v>
      </c>
      <c r="H851" s="33">
        <f t="shared" si="77"/>
        <v>165200</v>
      </c>
    </row>
    <row r="852" spans="2:8" x14ac:dyDescent="0.25">
      <c r="B852" s="5">
        <f>(852-25)/100</f>
        <v>8.27</v>
      </c>
      <c r="C852" s="5">
        <f t="shared" si="72"/>
        <v>0.43735939836598298</v>
      </c>
      <c r="D852" s="33">
        <f t="shared" si="73"/>
        <v>6401.0660519276826</v>
      </c>
      <c r="E852" s="33">
        <f t="shared" si="74"/>
        <v>452912.04770458565</v>
      </c>
      <c r="F852" s="33">
        <f t="shared" si="75"/>
        <v>881687.9522954144</v>
      </c>
      <c r="G852" s="33">
        <f t="shared" si="76"/>
        <v>33309.012030855432</v>
      </c>
      <c r="H852" s="33">
        <f t="shared" si="77"/>
        <v>165400</v>
      </c>
    </row>
    <row r="853" spans="2:8" x14ac:dyDescent="0.25">
      <c r="B853" s="5">
        <f>(853-25)/100</f>
        <v>8.2799999999999994</v>
      </c>
      <c r="C853" s="5">
        <f t="shared" si="72"/>
        <v>0.4369222575744412</v>
      </c>
      <c r="D853" s="33">
        <f t="shared" si="73"/>
        <v>6369.1406018046791</v>
      </c>
      <c r="E853" s="33">
        <f t="shared" si="74"/>
        <v>453245.01323099661</v>
      </c>
      <c r="F853" s="33">
        <f t="shared" si="75"/>
        <v>881154.98676900333</v>
      </c>
      <c r="G853" s="33">
        <f t="shared" si="76"/>
        <v>33284.089031625575</v>
      </c>
      <c r="H853" s="33">
        <f t="shared" si="77"/>
        <v>165600</v>
      </c>
    </row>
    <row r="854" spans="2:8" x14ac:dyDescent="0.25">
      <c r="B854" s="5">
        <f>(854-25)/100</f>
        <v>8.2899999999999991</v>
      </c>
      <c r="C854" s="5">
        <f t="shared" si="72"/>
        <v>0.43648555370519337</v>
      </c>
      <c r="D854" s="33">
        <f t="shared" si="73"/>
        <v>6337.3743805284457</v>
      </c>
      <c r="E854" s="33">
        <f t="shared" si="74"/>
        <v>453577.72940136737</v>
      </c>
      <c r="F854" s="33">
        <f t="shared" si="75"/>
        <v>880622.27059863263</v>
      </c>
      <c r="G854" s="33">
        <f t="shared" si="76"/>
        <v>33259.140877102225</v>
      </c>
      <c r="H854" s="33">
        <f t="shared" si="77"/>
        <v>165799.99999999997</v>
      </c>
    </row>
    <row r="855" spans="2:8" x14ac:dyDescent="0.25">
      <c r="B855" s="5">
        <f>(855-25)/100</f>
        <v>8.3000000000000007</v>
      </c>
      <c r="C855" s="5">
        <f t="shared" si="72"/>
        <v>0.43604928632153556</v>
      </c>
      <c r="D855" s="33">
        <f t="shared" si="73"/>
        <v>6305.7665939417948</v>
      </c>
      <c r="E855" s="33">
        <f t="shared" si="74"/>
        <v>453910.19596577011</v>
      </c>
      <c r="F855" s="33">
        <f t="shared" si="75"/>
        <v>880089.80403422983</v>
      </c>
      <c r="G855" s="33">
        <f t="shared" si="76"/>
        <v>33234.167891923746</v>
      </c>
      <c r="H855" s="33">
        <f t="shared" si="77"/>
        <v>166000</v>
      </c>
    </row>
    <row r="856" spans="2:8" x14ac:dyDescent="0.25">
      <c r="B856" s="5">
        <f>(856-25)/100</f>
        <v>8.31</v>
      </c>
      <c r="C856" s="5">
        <f t="shared" si="72"/>
        <v>0.43561345498720044</v>
      </c>
      <c r="D856" s="33">
        <f t="shared" si="73"/>
        <v>6274.3164518484218</v>
      </c>
      <c r="E856" s="33">
        <f t="shared" si="74"/>
        <v>454242.41267751239</v>
      </c>
      <c r="F856" s="33">
        <f t="shared" si="75"/>
        <v>879557.58732248761</v>
      </c>
      <c r="G856" s="33">
        <f t="shared" si="76"/>
        <v>33209.170398612405</v>
      </c>
      <c r="H856" s="33">
        <f t="shared" si="77"/>
        <v>166200</v>
      </c>
    </row>
    <row r="857" spans="2:8" x14ac:dyDescent="0.25">
      <c r="B857" s="5">
        <f>(857-25)/100</f>
        <v>8.32</v>
      </c>
      <c r="C857" s="5">
        <f t="shared" ref="C857:C920" si="78">EXP(-$C$10*B857)</f>
        <v>0.43517805926635666</v>
      </c>
      <c r="D857" s="33">
        <f t="shared" ref="D857:D920" si="79">$C$7*EXP(-$C$9*B857)</f>
        <v>6243.0231679931321</v>
      </c>
      <c r="E857" s="33">
        <f t="shared" ref="E857:E920" si="80">C857*D857+(1-C857)*$C$8</f>
        <v>454574.37929311686</v>
      </c>
      <c r="F857" s="33">
        <f t="shared" ref="F857:F920" si="81">$C$12-E857-$C$11*B857</f>
        <v>879025.62070688314</v>
      </c>
      <c r="G857" s="33">
        <f t="shared" ref="G857:G920" si="82">$C$10*$C$8*EXP(-$C$10*B857)-($C$9+$C$10)*$C$7*EXP(-($C$9+$C$10)*B857)</f>
        <v>33184.148717587239</v>
      </c>
      <c r="H857" s="33">
        <f t="shared" ref="H857:H920" si="83">$C$11*B857</f>
        <v>166400</v>
      </c>
    </row>
    <row r="858" spans="2:8" x14ac:dyDescent="0.25">
      <c r="B858" s="5">
        <f>(858-25)/100</f>
        <v>8.33</v>
      </c>
      <c r="C858" s="5">
        <f t="shared" si="78"/>
        <v>0.43474309872360839</v>
      </c>
      <c r="D858" s="33">
        <f t="shared" si="79"/>
        <v>6211.8859600422011</v>
      </c>
      <c r="E858" s="33">
        <f t="shared" si="80"/>
        <v>454906.09557229967</v>
      </c>
      <c r="F858" s="33">
        <f t="shared" si="81"/>
        <v>878493.90442770033</v>
      </c>
      <c r="G858" s="33">
        <f t="shared" si="82"/>
        <v>33159.103167176814</v>
      </c>
      <c r="H858" s="33">
        <f t="shared" si="83"/>
        <v>166600</v>
      </c>
    </row>
    <row r="859" spans="2:8" x14ac:dyDescent="0.25">
      <c r="B859" s="5">
        <f>(859-25)/100</f>
        <v>8.34</v>
      </c>
      <c r="C859" s="5">
        <f t="shared" si="78"/>
        <v>0.43430857292399505</v>
      </c>
      <c r="D859" s="33">
        <f t="shared" si="79"/>
        <v>6180.9040495638064</v>
      </c>
      <c r="E859" s="33">
        <f t="shared" si="80"/>
        <v>455237.56127795018</v>
      </c>
      <c r="F859" s="33">
        <f t="shared" si="81"/>
        <v>877962.43872204982</v>
      </c>
      <c r="G859" s="33">
        <f t="shared" si="82"/>
        <v>33134.034063631887</v>
      </c>
      <c r="H859" s="33">
        <f t="shared" si="83"/>
        <v>166800</v>
      </c>
    </row>
    <row r="860" spans="2:8" x14ac:dyDescent="0.25">
      <c r="B860" s="5">
        <f>(860-25)/100</f>
        <v>8.35</v>
      </c>
      <c r="C860" s="5">
        <f t="shared" si="78"/>
        <v>0.4338744814329909</v>
      </c>
      <c r="D860" s="33">
        <f t="shared" si="79"/>
        <v>6150.0766620085733</v>
      </c>
      <c r="E860" s="33">
        <f t="shared" si="80"/>
        <v>455568.77617610939</v>
      </c>
      <c r="F860" s="33">
        <f t="shared" si="81"/>
        <v>877431.22382389056</v>
      </c>
      <c r="G860" s="33">
        <f t="shared" si="82"/>
        <v>33108.941721138006</v>
      </c>
      <c r="H860" s="33">
        <f t="shared" si="83"/>
        <v>167000</v>
      </c>
    </row>
    <row r="861" spans="2:8" x14ac:dyDescent="0.25">
      <c r="B861" s="5">
        <f>(861-25)/100</f>
        <v>8.36</v>
      </c>
      <c r="C861" s="5">
        <f t="shared" si="78"/>
        <v>0.43344082381650428</v>
      </c>
      <c r="D861" s="33">
        <f t="shared" si="79"/>
        <v>6119.4030266902073</v>
      </c>
      <c r="E861" s="33">
        <f t="shared" si="80"/>
        <v>455899.74003595038</v>
      </c>
      <c r="F861" s="33">
        <f t="shared" si="81"/>
        <v>876900.25996404956</v>
      </c>
      <c r="G861" s="33">
        <f t="shared" si="82"/>
        <v>33083.826451828056</v>
      </c>
      <c r="H861" s="33">
        <f t="shared" si="83"/>
        <v>167200</v>
      </c>
    </row>
    <row r="862" spans="2:8" x14ac:dyDescent="0.25">
      <c r="B862" s="5">
        <f>(862-25)/100</f>
        <v>8.3699999999999992</v>
      </c>
      <c r="C862" s="5">
        <f t="shared" si="78"/>
        <v>0.43300759964087765</v>
      </c>
      <c r="D862" s="33">
        <f t="shared" si="79"/>
        <v>6088.8823767662279</v>
      </c>
      <c r="E862" s="33">
        <f t="shared" si="80"/>
        <v>456230.45262975706</v>
      </c>
      <c r="F862" s="33">
        <f t="shared" si="81"/>
        <v>876369.54737024289</v>
      </c>
      <c r="G862" s="33">
        <f t="shared" si="82"/>
        <v>33058.688565794699</v>
      </c>
      <c r="H862" s="33">
        <f t="shared" si="83"/>
        <v>167399.99999999997</v>
      </c>
    </row>
    <row r="863" spans="2:8" x14ac:dyDescent="0.25">
      <c r="B863" s="5">
        <f>(863-25)/100</f>
        <v>8.3800000000000008</v>
      </c>
      <c r="C863" s="5">
        <f t="shared" si="78"/>
        <v>0.43257480847288665</v>
      </c>
      <c r="D863" s="33">
        <f t="shared" si="79"/>
        <v>6058.5139492187918</v>
      </c>
      <c r="E863" s="33">
        <f t="shared" si="80"/>
        <v>456560.9137329043</v>
      </c>
      <c r="F863" s="33">
        <f t="shared" si="81"/>
        <v>875839.08626709576</v>
      </c>
      <c r="G863" s="33">
        <f t="shared" si="82"/>
        <v>33033.528371102751</v>
      </c>
      <c r="H863" s="33">
        <f t="shared" si="83"/>
        <v>167600.00000000003</v>
      </c>
    </row>
    <row r="864" spans="2:8" x14ac:dyDescent="0.25">
      <c r="B864" s="5">
        <f>(864-25)/100</f>
        <v>8.39</v>
      </c>
      <c r="C864" s="5">
        <f t="shared" si="78"/>
        <v>0.43214244987974021</v>
      </c>
      <c r="D864" s="33">
        <f t="shared" si="79"/>
        <v>6028.2969848356388</v>
      </c>
      <c r="E864" s="33">
        <f t="shared" si="80"/>
        <v>456891.1231238374</v>
      </c>
      <c r="F864" s="33">
        <f t="shared" si="81"/>
        <v>875308.8768761626</v>
      </c>
      <c r="G864" s="33">
        <f t="shared" si="82"/>
        <v>33008.346173801503</v>
      </c>
      <c r="H864" s="33">
        <f t="shared" si="83"/>
        <v>167800</v>
      </c>
    </row>
    <row r="865" spans="2:8" x14ac:dyDescent="0.25">
      <c r="B865" s="5">
        <f>(865-25)/100</f>
        <v>8.4</v>
      </c>
      <c r="C865" s="5">
        <f t="shared" si="78"/>
        <v>0.43171052342907967</v>
      </c>
      <c r="D865" s="33">
        <f t="shared" si="79"/>
        <v>5998.2307281910817</v>
      </c>
      <c r="E865" s="33">
        <f t="shared" si="80"/>
        <v>457221.08058405202</v>
      </c>
      <c r="F865" s="33">
        <f t="shared" si="81"/>
        <v>874778.91941594798</v>
      </c>
      <c r="G865" s="33">
        <f t="shared" si="82"/>
        <v>32983.142277936917</v>
      </c>
      <c r="H865" s="33">
        <f t="shared" si="83"/>
        <v>168000</v>
      </c>
    </row>
    <row r="866" spans="2:8" x14ac:dyDescent="0.25">
      <c r="B866" s="5">
        <f>(866-25)/100</f>
        <v>8.41</v>
      </c>
      <c r="C866" s="5">
        <f t="shared" si="78"/>
        <v>0.43127902868897855</v>
      </c>
      <c r="D866" s="33">
        <f t="shared" si="79"/>
        <v>5968.3144276271369</v>
      </c>
      <c r="E866" s="33">
        <f t="shared" si="80"/>
        <v>457550.78589807462</v>
      </c>
      <c r="F866" s="33">
        <f t="shared" si="81"/>
        <v>874249.21410192538</v>
      </c>
      <c r="G866" s="33">
        <f t="shared" si="82"/>
        <v>32957.916985563817</v>
      </c>
      <c r="H866" s="33">
        <f t="shared" si="83"/>
        <v>168200</v>
      </c>
    </row>
    <row r="867" spans="2:8" x14ac:dyDescent="0.25">
      <c r="B867" s="5">
        <f>(867-25)/100</f>
        <v>8.42</v>
      </c>
      <c r="C867" s="5">
        <f t="shared" si="78"/>
        <v>0.430847965227942</v>
      </c>
      <c r="D867" s="33">
        <f t="shared" si="79"/>
        <v>5938.5473352347326</v>
      </c>
      <c r="E867" s="33">
        <f t="shared" si="80"/>
        <v>457880.23885344213</v>
      </c>
      <c r="F867" s="33">
        <f t="shared" si="81"/>
        <v>873719.76114655787</v>
      </c>
      <c r="G867" s="33">
        <f t="shared" si="82"/>
        <v>32932.67059675794</v>
      </c>
      <c r="H867" s="33">
        <f t="shared" si="83"/>
        <v>168400</v>
      </c>
    </row>
    <row r="868" spans="2:8" x14ac:dyDescent="0.25">
      <c r="B868" s="5">
        <f>(868-25)/100</f>
        <v>8.43</v>
      </c>
      <c r="C868" s="5">
        <f t="shared" si="78"/>
        <v>0.43041733261490667</v>
      </c>
      <c r="D868" s="33">
        <f t="shared" si="79"/>
        <v>5908.9287068350095</v>
      </c>
      <c r="E868" s="33">
        <f t="shared" si="80"/>
        <v>458209.43924068223</v>
      </c>
      <c r="F868" s="33">
        <f t="shared" si="81"/>
        <v>873190.56075931783</v>
      </c>
      <c r="G868" s="33">
        <f t="shared" si="82"/>
        <v>32907.403409627987</v>
      </c>
      <c r="H868" s="33">
        <f t="shared" si="83"/>
        <v>168600</v>
      </c>
    </row>
    <row r="869" spans="2:8" x14ac:dyDescent="0.25">
      <c r="B869" s="5">
        <f>(869-25)/100</f>
        <v>8.44</v>
      </c>
      <c r="C869" s="5">
        <f t="shared" si="78"/>
        <v>0.4299871304192398</v>
      </c>
      <c r="D869" s="33">
        <f t="shared" si="79"/>
        <v>5879.4578019607134</v>
      </c>
      <c r="E869" s="33">
        <f t="shared" si="80"/>
        <v>458538.38685329427</v>
      </c>
      <c r="F869" s="33">
        <f t="shared" si="81"/>
        <v>872661.61314670579</v>
      </c>
      <c r="G869" s="33">
        <f t="shared" si="82"/>
        <v>32882.115720327529</v>
      </c>
      <c r="H869" s="33">
        <f t="shared" si="83"/>
        <v>168800</v>
      </c>
    </row>
    <row r="870" spans="2:8" x14ac:dyDescent="0.25">
      <c r="B870" s="5">
        <f>(870-25)/100</f>
        <v>8.4499999999999993</v>
      </c>
      <c r="C870" s="5">
        <f t="shared" si="78"/>
        <v>0.42955735821073915</v>
      </c>
      <c r="D870" s="33">
        <f t="shared" si="79"/>
        <v>5850.1338838376887</v>
      </c>
      <c r="E870" s="33">
        <f t="shared" si="80"/>
        <v>458867.0814877291</v>
      </c>
      <c r="F870" s="33">
        <f t="shared" si="81"/>
        <v>872132.9185122709</v>
      </c>
      <c r="G870" s="33">
        <f t="shared" si="82"/>
        <v>32856.807823066862</v>
      </c>
      <c r="H870" s="33">
        <f t="shared" si="83"/>
        <v>169000</v>
      </c>
    </row>
    <row r="871" spans="2:8" x14ac:dyDescent="0.25">
      <c r="B871" s="5">
        <f>(871-25)/100</f>
        <v>8.4600000000000009</v>
      </c>
      <c r="C871" s="5">
        <f t="shared" si="78"/>
        <v>0.42912801555963248</v>
      </c>
      <c r="D871" s="33">
        <f t="shared" si="79"/>
        <v>5820.9562193664497</v>
      </c>
      <c r="E871" s="33">
        <f t="shared" si="80"/>
        <v>459195.52294337028</v>
      </c>
      <c r="F871" s="33">
        <f t="shared" si="81"/>
        <v>871604.47705662972</v>
      </c>
      <c r="G871" s="33">
        <f t="shared" si="82"/>
        <v>32831.480010124869</v>
      </c>
      <c r="H871" s="33">
        <f t="shared" si="83"/>
        <v>169200.00000000003</v>
      </c>
    </row>
    <row r="872" spans="2:8" x14ac:dyDescent="0.25">
      <c r="B872" s="5">
        <f>(872-25)/100</f>
        <v>8.4700000000000006</v>
      </c>
      <c r="C872" s="5">
        <f t="shared" si="78"/>
        <v>0.42869910203657718</v>
      </c>
      <c r="D872" s="33">
        <f t="shared" si="79"/>
        <v>5791.9240791038746</v>
      </c>
      <c r="E872" s="33">
        <f t="shared" si="80"/>
        <v>459523.71102251421</v>
      </c>
      <c r="F872" s="33">
        <f t="shared" si="81"/>
        <v>871076.28897748585</v>
      </c>
      <c r="G872" s="33">
        <f t="shared" si="82"/>
        <v>32806.13257186066</v>
      </c>
      <c r="H872" s="33">
        <f t="shared" si="83"/>
        <v>169400</v>
      </c>
    </row>
    <row r="873" spans="2:8" x14ac:dyDescent="0.25">
      <c r="B873" s="5">
        <f>(873-25)/100</f>
        <v>8.48</v>
      </c>
      <c r="C873" s="5">
        <f t="shared" si="78"/>
        <v>0.42827061721265963</v>
      </c>
      <c r="D873" s="33">
        <f t="shared" si="79"/>
        <v>5763.03673724494</v>
      </c>
      <c r="E873" s="33">
        <f t="shared" si="80"/>
        <v>459851.6455303515</v>
      </c>
      <c r="F873" s="33">
        <f t="shared" si="81"/>
        <v>870548.35446964856</v>
      </c>
      <c r="G873" s="33">
        <f t="shared" si="82"/>
        <v>32780.765796725296</v>
      </c>
      <c r="H873" s="33">
        <f t="shared" si="83"/>
        <v>169600</v>
      </c>
    </row>
    <row r="874" spans="2:8" x14ac:dyDescent="0.25">
      <c r="B874" s="5">
        <f>(874-25)/100</f>
        <v>8.49</v>
      </c>
      <c r="C874" s="5">
        <f t="shared" si="78"/>
        <v>0.42784256065939497</v>
      </c>
      <c r="D874" s="33">
        <f t="shared" si="79"/>
        <v>5734.2934716045957</v>
      </c>
      <c r="E874" s="33">
        <f t="shared" si="80"/>
        <v>460179.32627494779</v>
      </c>
      <c r="F874" s="33">
        <f t="shared" si="81"/>
        <v>870020.67372505227</v>
      </c>
      <c r="G874" s="33">
        <f t="shared" si="82"/>
        <v>32755.379971273342</v>
      </c>
      <c r="H874" s="33">
        <f t="shared" si="83"/>
        <v>169800</v>
      </c>
    </row>
    <row r="875" spans="2:8" x14ac:dyDescent="0.25">
      <c r="B875" s="5">
        <f>(875-25)/100</f>
        <v>8.5</v>
      </c>
      <c r="C875" s="5">
        <f t="shared" si="78"/>
        <v>0.42741493194872665</v>
      </c>
      <c r="D875" s="33">
        <f t="shared" si="79"/>
        <v>5705.6935635997024</v>
      </c>
      <c r="E875" s="33">
        <f t="shared" si="80"/>
        <v>460506.75306722498</v>
      </c>
      <c r="F875" s="33">
        <f t="shared" si="81"/>
        <v>869493.24693277502</v>
      </c>
      <c r="G875" s="33">
        <f t="shared" si="82"/>
        <v>32729.975380174379</v>
      </c>
      <c r="H875" s="33">
        <f t="shared" si="83"/>
        <v>170000</v>
      </c>
    </row>
    <row r="876" spans="2:8" x14ac:dyDescent="0.25">
      <c r="B876" s="5">
        <f>(876-25)/100</f>
        <v>8.51</v>
      </c>
      <c r="C876" s="5">
        <f t="shared" si="78"/>
        <v>0.42698773065302592</v>
      </c>
      <c r="D876" s="33">
        <f t="shared" si="79"/>
        <v>5677.2362982310706</v>
      </c>
      <c r="E876" s="33">
        <f t="shared" si="80"/>
        <v>460833.92572094197</v>
      </c>
      <c r="F876" s="33">
        <f t="shared" si="81"/>
        <v>868966.07427905803</v>
      </c>
      <c r="G876" s="33">
        <f t="shared" si="82"/>
        <v>32704.552306224472</v>
      </c>
      <c r="H876" s="33">
        <f t="shared" si="83"/>
        <v>170200</v>
      </c>
    </row>
    <row r="877" spans="2:8" x14ac:dyDescent="0.25">
      <c r="B877" s="5">
        <f>(877-25)/100</f>
        <v>8.52</v>
      </c>
      <c r="C877" s="5">
        <f t="shared" si="78"/>
        <v>0.42656095634509139</v>
      </c>
      <c r="D877" s="33">
        <f t="shared" si="79"/>
        <v>5648.9209640655845</v>
      </c>
      <c r="E877" s="33">
        <f t="shared" si="80"/>
        <v>461160.84405267652</v>
      </c>
      <c r="F877" s="33">
        <f t="shared" si="81"/>
        <v>868439.15594732342</v>
      </c>
      <c r="G877" s="33">
        <f t="shared" si="82"/>
        <v>32679.111030357519</v>
      </c>
      <c r="H877" s="33">
        <f t="shared" si="83"/>
        <v>170400</v>
      </c>
    </row>
    <row r="878" spans="2:8" x14ac:dyDescent="0.25">
      <c r="B878" s="5">
        <f>(878-25)/100</f>
        <v>8.5299999999999994</v>
      </c>
      <c r="C878" s="5">
        <f t="shared" si="78"/>
        <v>0.42613460859814872</v>
      </c>
      <c r="D878" s="33">
        <f t="shared" si="79"/>
        <v>5620.7468532184148</v>
      </c>
      <c r="E878" s="33">
        <f t="shared" si="80"/>
        <v>461487.50788180646</v>
      </c>
      <c r="F878" s="33">
        <f t="shared" si="81"/>
        <v>867912.49211819354</v>
      </c>
      <c r="G878" s="33">
        <f t="shared" si="82"/>
        <v>32653.651831656593</v>
      </c>
      <c r="H878" s="33">
        <f t="shared" si="83"/>
        <v>170600</v>
      </c>
    </row>
    <row r="879" spans="2:8" x14ac:dyDescent="0.25">
      <c r="B879" s="5">
        <f>(879-25)/100</f>
        <v>8.5399999999999991</v>
      </c>
      <c r="C879" s="5">
        <f t="shared" si="78"/>
        <v>0.42570868698585018</v>
      </c>
      <c r="D879" s="33">
        <f t="shared" si="79"/>
        <v>5592.7132613353233</v>
      </c>
      <c r="E879" s="33">
        <f t="shared" si="80"/>
        <v>461813.91703049123</v>
      </c>
      <c r="F879" s="33">
        <f t="shared" si="81"/>
        <v>867386.08296950883</v>
      </c>
      <c r="G879" s="33">
        <f t="shared" si="82"/>
        <v>32628.174987365168</v>
      </c>
      <c r="H879" s="33">
        <f t="shared" si="83"/>
        <v>170799.99999999997</v>
      </c>
    </row>
    <row r="880" spans="2:8" x14ac:dyDescent="0.25">
      <c r="B880" s="5">
        <f>(880-25)/100</f>
        <v>8.5500000000000007</v>
      </c>
      <c r="C880" s="5">
        <f t="shared" si="78"/>
        <v>0.42528319108227408</v>
      </c>
      <c r="D880" s="33">
        <f t="shared" si="79"/>
        <v>5564.8194875750478</v>
      </c>
      <c r="E880" s="33">
        <f t="shared" si="80"/>
        <v>462140.07132365351</v>
      </c>
      <c r="F880" s="33">
        <f t="shared" si="81"/>
        <v>866859.92867634655</v>
      </c>
      <c r="G880" s="33">
        <f t="shared" si="82"/>
        <v>32602.680772898279</v>
      </c>
      <c r="H880" s="33">
        <f t="shared" si="83"/>
        <v>171000</v>
      </c>
    </row>
    <row r="881" spans="2:8" x14ac:dyDescent="0.25">
      <c r="B881" s="5">
        <f>(881-25)/100</f>
        <v>8.56</v>
      </c>
      <c r="C881" s="5">
        <f t="shared" si="78"/>
        <v>0.42485812046192456</v>
      </c>
      <c r="D881" s="33">
        <f t="shared" si="79"/>
        <v>5537.0648345918007</v>
      </c>
      <c r="E881" s="33">
        <f t="shared" si="80"/>
        <v>462465.9705889608</v>
      </c>
      <c r="F881" s="33">
        <f t="shared" si="81"/>
        <v>866334.0294110392</v>
      </c>
      <c r="G881" s="33">
        <f t="shared" si="82"/>
        <v>32577.169461853675</v>
      </c>
      <c r="H881" s="33">
        <f t="shared" si="83"/>
        <v>171200</v>
      </c>
    </row>
    <row r="882" spans="2:8" x14ac:dyDescent="0.25">
      <c r="B882" s="5">
        <f>(882-25)/100</f>
        <v>8.57</v>
      </c>
      <c r="C882" s="5">
        <f t="shared" si="78"/>
        <v>0.42443347469973086</v>
      </c>
      <c r="D882" s="33">
        <f t="shared" si="79"/>
        <v>5509.4486085178069</v>
      </c>
      <c r="E882" s="33">
        <f t="shared" si="80"/>
        <v>462791.61465680803</v>
      </c>
      <c r="F882" s="33">
        <f t="shared" si="81"/>
        <v>865808.38534319191</v>
      </c>
      <c r="G882" s="33">
        <f t="shared" si="82"/>
        <v>32551.641326022786</v>
      </c>
      <c r="H882" s="33">
        <f t="shared" si="83"/>
        <v>171400</v>
      </c>
    </row>
    <row r="883" spans="2:8" x14ac:dyDescent="0.25">
      <c r="B883" s="5">
        <f>(883-25)/100</f>
        <v>8.58</v>
      </c>
      <c r="C883" s="5">
        <f t="shared" si="78"/>
        <v>0.42400925337104722</v>
      </c>
      <c r="D883" s="33">
        <f t="shared" si="79"/>
        <v>5481.9701189459784</v>
      </c>
      <c r="E883" s="33">
        <f t="shared" si="80"/>
        <v>463117.00336029887</v>
      </c>
      <c r="F883" s="33">
        <f t="shared" si="81"/>
        <v>865282.99663970107</v>
      </c>
      <c r="G883" s="33">
        <f t="shared" si="82"/>
        <v>32526.096635401769</v>
      </c>
      <c r="H883" s="33">
        <f t="shared" si="83"/>
        <v>171600</v>
      </c>
    </row>
    <row r="884" spans="2:8" x14ac:dyDescent="0.25">
      <c r="B884" s="5">
        <f>(884-25)/100</f>
        <v>8.59</v>
      </c>
      <c r="C884" s="5">
        <f t="shared" si="78"/>
        <v>0.42358545605165238</v>
      </c>
      <c r="D884" s="33">
        <f t="shared" si="79"/>
        <v>5454.6286789126416</v>
      </c>
      <c r="E884" s="33">
        <f t="shared" si="80"/>
        <v>463442.13653522782</v>
      </c>
      <c r="F884" s="33">
        <f t="shared" si="81"/>
        <v>864757.86346477224</v>
      </c>
      <c r="G884" s="33">
        <f t="shared" si="82"/>
        <v>32500.535658202411</v>
      </c>
      <c r="H884" s="33">
        <f t="shared" si="83"/>
        <v>171800</v>
      </c>
    </row>
    <row r="885" spans="2:8" x14ac:dyDescent="0.25">
      <c r="B885" s="5">
        <f>(885-25)/100</f>
        <v>8.6</v>
      </c>
      <c r="C885" s="5">
        <f t="shared" si="78"/>
        <v>0.42316208231774882</v>
      </c>
      <c r="D885" s="33">
        <f t="shared" si="79"/>
        <v>5427.4236048803732</v>
      </c>
      <c r="E885" s="33">
        <f t="shared" si="80"/>
        <v>463767.01402006258</v>
      </c>
      <c r="F885" s="33">
        <f t="shared" si="81"/>
        <v>864232.98597993748</v>
      </c>
      <c r="G885" s="33">
        <f t="shared" si="82"/>
        <v>32474.958660862896</v>
      </c>
      <c r="H885" s="33">
        <f t="shared" si="83"/>
        <v>172000</v>
      </c>
    </row>
    <row r="886" spans="2:8" x14ac:dyDescent="0.25">
      <c r="B886" s="5">
        <f>(886-25)/100</f>
        <v>8.61</v>
      </c>
      <c r="C886" s="5">
        <f t="shared" si="78"/>
        <v>0.42273913174596284</v>
      </c>
      <c r="D886" s="33">
        <f t="shared" si="79"/>
        <v>5400.3542167209062</v>
      </c>
      <c r="E886" s="33">
        <f t="shared" si="80"/>
        <v>464091.63565592701</v>
      </c>
      <c r="F886" s="33">
        <f t="shared" si="81"/>
        <v>863708.36434407299</v>
      </c>
      <c r="G886" s="33">
        <f t="shared" si="82"/>
        <v>32449.365908058677</v>
      </c>
      <c r="H886" s="33">
        <f t="shared" si="83"/>
        <v>172200</v>
      </c>
    </row>
    <row r="887" spans="2:8" x14ac:dyDescent="0.25">
      <c r="B887" s="5">
        <f>(887-25)/100</f>
        <v>8.6199999999999992</v>
      </c>
      <c r="C887" s="5">
        <f t="shared" si="78"/>
        <v>0.42231660391334386</v>
      </c>
      <c r="D887" s="33">
        <f t="shared" si="79"/>
        <v>5373.4198376981258</v>
      </c>
      <c r="E887" s="33">
        <f t="shared" si="80"/>
        <v>464416.00128658209</v>
      </c>
      <c r="F887" s="33">
        <f t="shared" si="81"/>
        <v>863183.99871341791</v>
      </c>
      <c r="G887" s="33">
        <f t="shared" si="82"/>
        <v>32423.757662713153</v>
      </c>
      <c r="H887" s="33">
        <f t="shared" si="83"/>
        <v>172399.99999999997</v>
      </c>
    </row>
    <row r="888" spans="2:8" x14ac:dyDescent="0.25">
      <c r="B888" s="5">
        <f>(888-25)/100</f>
        <v>8.6300000000000008</v>
      </c>
      <c r="C888" s="5">
        <f t="shared" si="78"/>
        <v>0.42189449839736393</v>
      </c>
      <c r="D888" s="33">
        <f t="shared" si="79"/>
        <v>5346.6197944511487</v>
      </c>
      <c r="E888" s="33">
        <f t="shared" si="80"/>
        <v>464740.11075841024</v>
      </c>
      <c r="F888" s="33">
        <f t="shared" si="81"/>
        <v>862659.8892415897</v>
      </c>
      <c r="G888" s="33">
        <f t="shared" si="82"/>
        <v>32398.134186008279</v>
      </c>
      <c r="H888" s="33">
        <f t="shared" si="83"/>
        <v>172600.00000000003</v>
      </c>
    </row>
    <row r="889" spans="2:8" x14ac:dyDescent="0.25">
      <c r="B889" s="5">
        <f>(889-25)/100</f>
        <v>8.64</v>
      </c>
      <c r="C889" s="5">
        <f t="shared" si="78"/>
        <v>0.42147281477591758</v>
      </c>
      <c r="D889" s="33">
        <f t="shared" si="79"/>
        <v>5319.953416977507</v>
      </c>
      <c r="E889" s="33">
        <f t="shared" si="80"/>
        <v>465063.96392039623</v>
      </c>
      <c r="F889" s="33">
        <f t="shared" si="81"/>
        <v>862136.03607960371</v>
      </c>
      <c r="G889" s="33">
        <f t="shared" si="82"/>
        <v>32372.495737395246</v>
      </c>
      <c r="H889" s="33">
        <f t="shared" si="83"/>
        <v>172800</v>
      </c>
    </row>
    <row r="890" spans="2:8" x14ac:dyDescent="0.25">
      <c r="B890" s="5">
        <f>(890-25)/100</f>
        <v>8.65</v>
      </c>
      <c r="C890" s="5">
        <f t="shared" si="78"/>
        <v>0.42105155262732114</v>
      </c>
      <c r="D890" s="33">
        <f t="shared" si="79"/>
        <v>5293.4200386163711</v>
      </c>
      <c r="E890" s="33">
        <f t="shared" si="80"/>
        <v>465387.56062411115</v>
      </c>
      <c r="F890" s="33">
        <f t="shared" si="81"/>
        <v>861612.43937588879</v>
      </c>
      <c r="G890" s="33">
        <f t="shared" si="82"/>
        <v>32346.842574604892</v>
      </c>
      <c r="H890" s="33">
        <f t="shared" si="83"/>
        <v>173000</v>
      </c>
    </row>
    <row r="891" spans="2:8" x14ac:dyDescent="0.25">
      <c r="B891" s="5">
        <f>(891-25)/100</f>
        <v>8.66</v>
      </c>
      <c r="C891" s="5">
        <f t="shared" si="78"/>
        <v>0.4206307115303124</v>
      </c>
      <c r="D891" s="33">
        <f t="shared" si="79"/>
        <v>5267.0189960319003</v>
      </c>
      <c r="E891" s="33">
        <f t="shared" si="80"/>
        <v>465710.90072369465</v>
      </c>
      <c r="F891" s="33">
        <f t="shared" si="81"/>
        <v>861089.09927630541</v>
      </c>
      <c r="G891" s="33">
        <f t="shared" si="82"/>
        <v>32321.17495365825</v>
      </c>
      <c r="H891" s="33">
        <f t="shared" si="83"/>
        <v>173200</v>
      </c>
    </row>
    <row r="892" spans="2:8" x14ac:dyDescent="0.25">
      <c r="B892" s="5">
        <f>(892-25)/100</f>
        <v>8.67</v>
      </c>
      <c r="C892" s="5">
        <f t="shared" si="78"/>
        <v>0.42021029106405028</v>
      </c>
      <c r="D892" s="33">
        <f t="shared" si="79"/>
        <v>5240.7496291966545</v>
      </c>
      <c r="E892" s="33">
        <f t="shared" si="80"/>
        <v>466033.98407583835</v>
      </c>
      <c r="F892" s="33">
        <f t="shared" si="81"/>
        <v>860566.01592416165</v>
      </c>
      <c r="G892" s="33">
        <f t="shared" si="82"/>
        <v>32295.4931288769</v>
      </c>
      <c r="H892" s="33">
        <f t="shared" si="83"/>
        <v>173400</v>
      </c>
    </row>
    <row r="893" spans="2:8" x14ac:dyDescent="0.25">
      <c r="B893" s="5">
        <f>(893-25)/100</f>
        <v>8.68</v>
      </c>
      <c r="C893" s="5">
        <f t="shared" si="78"/>
        <v>0.41979029080811425</v>
      </c>
      <c r="D893" s="33">
        <f t="shared" si="79"/>
        <v>5214.6112813750942</v>
      </c>
      <c r="E893" s="33">
        <f t="shared" si="80"/>
        <v>466356.81053976837</v>
      </c>
      <c r="F893" s="33">
        <f t="shared" si="81"/>
        <v>860043.18946023169</v>
      </c>
      <c r="G893" s="33">
        <f t="shared" si="82"/>
        <v>32269.797352893303</v>
      </c>
      <c r="H893" s="33">
        <f t="shared" si="83"/>
        <v>173600</v>
      </c>
    </row>
    <row r="894" spans="2:8" x14ac:dyDescent="0.25">
      <c r="B894" s="5">
        <f>(894-25)/100</f>
        <v>8.69</v>
      </c>
      <c r="C894" s="5">
        <f t="shared" si="78"/>
        <v>0.41937071034250395</v>
      </c>
      <c r="D894" s="33">
        <f t="shared" si="79"/>
        <v>5188.6032991071634</v>
      </c>
      <c r="E894" s="33">
        <f t="shared" si="80"/>
        <v>466679.37997722888</v>
      </c>
      <c r="F894" s="33">
        <f t="shared" si="81"/>
        <v>859520.62002277118</v>
      </c>
      <c r="G894" s="33">
        <f t="shared" si="82"/>
        <v>32244.087876661095</v>
      </c>
      <c r="H894" s="33">
        <f t="shared" si="83"/>
        <v>173800</v>
      </c>
    </row>
    <row r="895" spans="2:8" x14ac:dyDescent="0.25">
      <c r="B895" s="5">
        <f>(895-25)/100</f>
        <v>8.6999999999999993</v>
      </c>
      <c r="C895" s="5">
        <f t="shared" si="78"/>
        <v>0.418951549247639</v>
      </c>
      <c r="D895" s="33">
        <f t="shared" si="79"/>
        <v>5162.7250321919491</v>
      </c>
      <c r="E895" s="33">
        <f t="shared" si="80"/>
        <v>467001.69225246517</v>
      </c>
      <c r="F895" s="33">
        <f t="shared" si="81"/>
        <v>858998.30774753483</v>
      </c>
      <c r="G895" s="33">
        <f t="shared" si="82"/>
        <v>32218.364949465289</v>
      </c>
      <c r="H895" s="33">
        <f t="shared" si="83"/>
        <v>174000</v>
      </c>
    </row>
    <row r="896" spans="2:8" x14ac:dyDescent="0.25">
      <c r="B896" s="5">
        <f>(896-25)/100</f>
        <v>8.7100000000000009</v>
      </c>
      <c r="C896" s="5">
        <f t="shared" si="78"/>
        <v>0.41853280710435814</v>
      </c>
      <c r="D896" s="33">
        <f t="shared" si="79"/>
        <v>5136.9758336714285</v>
      </c>
      <c r="E896" s="33">
        <f t="shared" si="80"/>
        <v>467323.74723220721</v>
      </c>
      <c r="F896" s="33">
        <f t="shared" si="81"/>
        <v>858476.25276779279</v>
      </c>
      <c r="G896" s="33">
        <f t="shared" si="82"/>
        <v>32192.628818932397</v>
      </c>
      <c r="H896" s="33">
        <f t="shared" si="83"/>
        <v>174200.00000000003</v>
      </c>
    </row>
    <row r="897" spans="2:8" x14ac:dyDescent="0.25">
      <c r="B897" s="5">
        <f>(897-25)/100</f>
        <v>8.7200000000000006</v>
      </c>
      <c r="C897" s="5">
        <f t="shared" si="78"/>
        <v>0.41811448349391928</v>
      </c>
      <c r="D897" s="33">
        <f t="shared" si="79"/>
        <v>5111.3550598143047</v>
      </c>
      <c r="E897" s="33">
        <f t="shared" si="80"/>
        <v>467645.54478565289</v>
      </c>
      <c r="F897" s="33">
        <f t="shared" si="81"/>
        <v>857954.45521434711</v>
      </c>
      <c r="G897" s="33">
        <f t="shared" si="82"/>
        <v>32166.879731040572</v>
      </c>
      <c r="H897" s="33">
        <f t="shared" si="83"/>
        <v>174400</v>
      </c>
    </row>
    <row r="898" spans="2:8" x14ac:dyDescent="0.25">
      <c r="B898" s="5">
        <f>(898-25)/100</f>
        <v>8.73</v>
      </c>
      <c r="C898" s="5">
        <f t="shared" si="78"/>
        <v>0.41769657799799875</v>
      </c>
      <c r="D898" s="33">
        <f t="shared" si="79"/>
        <v>5085.8620700998927</v>
      </c>
      <c r="E898" s="33">
        <f t="shared" si="80"/>
        <v>467967.08478445152</v>
      </c>
      <c r="F898" s="33">
        <f t="shared" si="81"/>
        <v>857432.91521554848</v>
      </c>
      <c r="G898" s="33">
        <f t="shared" si="82"/>
        <v>32141.117930129578</v>
      </c>
      <c r="H898" s="33">
        <f t="shared" si="83"/>
        <v>174600</v>
      </c>
    </row>
    <row r="899" spans="2:8" x14ac:dyDescent="0.25">
      <c r="B899" s="5">
        <f>(899-25)/100</f>
        <v>8.74</v>
      </c>
      <c r="C899" s="5">
        <f t="shared" si="78"/>
        <v>0.41727909019869108</v>
      </c>
      <c r="D899" s="33">
        <f t="shared" si="79"/>
        <v>5060.4962272021221</v>
      </c>
      <c r="E899" s="33">
        <f t="shared" si="80"/>
        <v>468288.36710268789</v>
      </c>
      <c r="F899" s="33">
        <f t="shared" si="81"/>
        <v>856911.63289731205</v>
      </c>
      <c r="G899" s="33">
        <f t="shared" si="82"/>
        <v>32115.343658910802</v>
      </c>
      <c r="H899" s="33">
        <f t="shared" si="83"/>
        <v>174800</v>
      </c>
    </row>
    <row r="900" spans="2:8" x14ac:dyDescent="0.25">
      <c r="B900" s="5">
        <f>(900-25)/100</f>
        <v>8.75</v>
      </c>
      <c r="C900" s="5">
        <f t="shared" si="78"/>
        <v>0.41686201967850839</v>
      </c>
      <c r="D900" s="33">
        <f t="shared" si="79"/>
        <v>5035.2568969735994</v>
      </c>
      <c r="E900" s="33">
        <f t="shared" si="80"/>
        <v>468609.39161686582</v>
      </c>
      <c r="F900" s="33">
        <f t="shared" si="81"/>
        <v>856390.60838313424</v>
      </c>
      <c r="G900" s="33">
        <f t="shared" si="82"/>
        <v>32089.557158477139</v>
      </c>
      <c r="H900" s="33">
        <f t="shared" si="83"/>
        <v>175000</v>
      </c>
    </row>
    <row r="901" spans="2:8" x14ac:dyDescent="0.25">
      <c r="B901" s="5">
        <f>(901-25)/100</f>
        <v>8.76</v>
      </c>
      <c r="C901" s="5">
        <f t="shared" si="78"/>
        <v>0.41644536602038007</v>
      </c>
      <c r="D901" s="33">
        <f t="shared" si="79"/>
        <v>5010.1434484297542</v>
      </c>
      <c r="E901" s="33">
        <f t="shared" si="80"/>
        <v>468930.15820589184</v>
      </c>
      <c r="F901" s="33">
        <f t="shared" si="81"/>
        <v>855869.84179410816</v>
      </c>
      <c r="G901" s="33">
        <f t="shared" si="82"/>
        <v>32063.758668312839</v>
      </c>
      <c r="H901" s="33">
        <f t="shared" si="83"/>
        <v>175200</v>
      </c>
    </row>
    <row r="902" spans="2:8" x14ac:dyDescent="0.25">
      <c r="B902" s="5">
        <f>(902-25)/100</f>
        <v>8.77</v>
      </c>
      <c r="C902" s="5">
        <f t="shared" si="78"/>
        <v>0.41602912880765253</v>
      </c>
      <c r="D902" s="33">
        <f t="shared" si="79"/>
        <v>4985.1552537330645</v>
      </c>
      <c r="E902" s="33">
        <f t="shared" si="80"/>
        <v>469250.66675105941</v>
      </c>
      <c r="F902" s="33">
        <f t="shared" si="81"/>
        <v>855349.33324894053</v>
      </c>
      <c r="G902" s="33">
        <f t="shared" si="82"/>
        <v>32037.948426303326</v>
      </c>
      <c r="H902" s="33">
        <f t="shared" si="83"/>
        <v>175400</v>
      </c>
    </row>
    <row r="903" spans="2:8" x14ac:dyDescent="0.25">
      <c r="B903" s="5">
        <f>(903-25)/100</f>
        <v>8.7799999999999994</v>
      </c>
      <c r="C903" s="5">
        <f t="shared" si="78"/>
        <v>0.41561330762408838</v>
      </c>
      <c r="D903" s="33">
        <f t="shared" si="79"/>
        <v>4960.2916881773626</v>
      </c>
      <c r="E903" s="33">
        <f t="shared" si="80"/>
        <v>469570.91713603295</v>
      </c>
      <c r="F903" s="33">
        <f t="shared" si="81"/>
        <v>854829.08286396705</v>
      </c>
      <c r="G903" s="33">
        <f t="shared" si="82"/>
        <v>32012.126668744866</v>
      </c>
      <c r="H903" s="33">
        <f t="shared" si="83"/>
        <v>175600</v>
      </c>
    </row>
    <row r="904" spans="2:8" x14ac:dyDescent="0.25">
      <c r="B904" s="5">
        <f>(904-25)/100</f>
        <v>8.7899999999999991</v>
      </c>
      <c r="C904" s="5">
        <f t="shared" si="78"/>
        <v>0.41519790205386659</v>
      </c>
      <c r="D904" s="33">
        <f t="shared" si="79"/>
        <v>4935.5521301722129</v>
      </c>
      <c r="E904" s="33">
        <f t="shared" si="80"/>
        <v>469890.90924683172</v>
      </c>
      <c r="F904" s="33">
        <f t="shared" si="81"/>
        <v>854309.09075316833</v>
      </c>
      <c r="G904" s="33">
        <f t="shared" si="82"/>
        <v>31986.293630354332</v>
      </c>
      <c r="H904" s="33">
        <f t="shared" si="83"/>
        <v>175799.99999999997</v>
      </c>
    </row>
    <row r="905" spans="2:8" x14ac:dyDescent="0.25">
      <c r="B905" s="5">
        <f>(905-25)/100</f>
        <v>8.8000000000000007</v>
      </c>
      <c r="C905" s="5">
        <f t="shared" si="78"/>
        <v>0.41478291168158132</v>
      </c>
      <c r="D905" s="33">
        <f t="shared" si="79"/>
        <v>4910.9359612273747</v>
      </c>
      <c r="E905" s="33">
        <f t="shared" si="80"/>
        <v>470210.64297181461</v>
      </c>
      <c r="F905" s="33">
        <f t="shared" si="81"/>
        <v>853789.35702818539</v>
      </c>
      <c r="G905" s="33">
        <f t="shared" si="82"/>
        <v>31960.449544278697</v>
      </c>
      <c r="H905" s="33">
        <f t="shared" si="83"/>
        <v>176000</v>
      </c>
    </row>
    <row r="906" spans="2:8" x14ac:dyDescent="0.25">
      <c r="B906" s="5">
        <f>(906-25)/100</f>
        <v>8.81</v>
      </c>
      <c r="C906" s="5">
        <f t="shared" si="78"/>
        <v>0.41436833609224238</v>
      </c>
      <c r="D906" s="33">
        <f t="shared" si="79"/>
        <v>4886.4425659373492</v>
      </c>
      <c r="E906" s="33">
        <f t="shared" si="80"/>
        <v>470530.11820166389</v>
      </c>
      <c r="F906" s="33">
        <f t="shared" si="81"/>
        <v>853269.88179833605</v>
      </c>
      <c r="G906" s="33">
        <f t="shared" si="82"/>
        <v>31934.594642104734</v>
      </c>
      <c r="H906" s="33">
        <f t="shared" si="83"/>
        <v>176200</v>
      </c>
    </row>
    <row r="907" spans="2:8" x14ac:dyDescent="0.25">
      <c r="B907" s="5">
        <f>(907-25)/100</f>
        <v>8.82</v>
      </c>
      <c r="C907" s="5">
        <f t="shared" si="78"/>
        <v>0.41395417487127406</v>
      </c>
      <c r="D907" s="33">
        <f t="shared" si="79"/>
        <v>4862.0713319659735</v>
      </c>
      <c r="E907" s="33">
        <f t="shared" si="80"/>
        <v>470849.33482936997</v>
      </c>
      <c r="F907" s="33">
        <f t="shared" si="81"/>
        <v>852750.66517062997</v>
      </c>
      <c r="G907" s="33">
        <f t="shared" si="82"/>
        <v>31908.729153868375</v>
      </c>
      <c r="H907" s="33">
        <f t="shared" si="83"/>
        <v>176400</v>
      </c>
    </row>
    <row r="908" spans="2:8" x14ac:dyDescent="0.25">
      <c r="B908" s="5">
        <f>(908-25)/100</f>
        <v>8.83</v>
      </c>
      <c r="C908" s="5">
        <f t="shared" si="78"/>
        <v>0.41354042760451515</v>
      </c>
      <c r="D908" s="33">
        <f t="shared" si="79"/>
        <v>4837.8216500311319</v>
      </c>
      <c r="E908" s="33">
        <f t="shared" si="80"/>
        <v>471168.29275021615</v>
      </c>
      <c r="F908" s="33">
        <f t="shared" si="81"/>
        <v>852231.70724978391</v>
      </c>
      <c r="G908" s="33">
        <f t="shared" si="82"/>
        <v>31882.853308064256</v>
      </c>
      <c r="H908" s="33">
        <f t="shared" si="83"/>
        <v>176600</v>
      </c>
    </row>
    <row r="909" spans="2:8" x14ac:dyDescent="0.25">
      <c r="B909" s="5">
        <f>(909-25)/100</f>
        <v>8.84</v>
      </c>
      <c r="C909" s="5">
        <f t="shared" si="78"/>
        <v>0.41312709387821822</v>
      </c>
      <c r="D909" s="33">
        <f t="shared" si="79"/>
        <v>4813.6929138895102</v>
      </c>
      <c r="E909" s="33">
        <f t="shared" si="80"/>
        <v>471486.99186176277</v>
      </c>
      <c r="F909" s="33">
        <f t="shared" si="81"/>
        <v>851713.00813823729</v>
      </c>
      <c r="G909" s="33">
        <f t="shared" si="82"/>
        <v>31856.967331655051</v>
      </c>
      <c r="H909" s="33">
        <f t="shared" si="83"/>
        <v>176800</v>
      </c>
    </row>
    <row r="910" spans="2:8" x14ac:dyDescent="0.25">
      <c r="B910" s="5">
        <f>(910-25)/100</f>
        <v>8.85</v>
      </c>
      <c r="C910" s="5">
        <f t="shared" si="78"/>
        <v>0.41271417327904963</v>
      </c>
      <c r="D910" s="33">
        <f t="shared" si="79"/>
        <v>4789.6845203214489</v>
      </c>
      <c r="E910" s="33">
        <f t="shared" si="80"/>
        <v>471805.4320638323</v>
      </c>
      <c r="F910" s="33">
        <f t="shared" si="81"/>
        <v>851194.5679361677</v>
      </c>
      <c r="G910" s="33">
        <f t="shared" si="82"/>
        <v>31831.071450080814</v>
      </c>
      <c r="H910" s="33">
        <f t="shared" si="83"/>
        <v>177000</v>
      </c>
    </row>
    <row r="911" spans="2:8" x14ac:dyDescent="0.25">
      <c r="B911" s="5">
        <f>(911-25)/100</f>
        <v>8.86</v>
      </c>
      <c r="C911" s="5">
        <f t="shared" si="78"/>
        <v>0.41230166539408875</v>
      </c>
      <c r="D911" s="33">
        <f t="shared" si="79"/>
        <v>4765.7958691158592</v>
      </c>
      <c r="E911" s="33">
        <f t="shared" si="80"/>
        <v>472123.61325849371</v>
      </c>
      <c r="F911" s="33">
        <f t="shared" si="81"/>
        <v>850676.38674150629</v>
      </c>
      <c r="G911" s="33">
        <f t="shared" si="82"/>
        <v>31805.165887268256</v>
      </c>
      <c r="H911" s="33">
        <f t="shared" si="83"/>
        <v>177200</v>
      </c>
    </row>
    <row r="912" spans="2:8" x14ac:dyDescent="0.25">
      <c r="B912" s="5">
        <f>(912-25)/100</f>
        <v>8.8699999999999992</v>
      </c>
      <c r="C912" s="5">
        <f t="shared" si="78"/>
        <v>0.41188956981082758</v>
      </c>
      <c r="D912" s="33">
        <f t="shared" si="79"/>
        <v>4742.0263630552154</v>
      </c>
      <c r="E912" s="33">
        <f t="shared" si="80"/>
        <v>472441.53535004833</v>
      </c>
      <c r="F912" s="33">
        <f t="shared" si="81"/>
        <v>850158.46464995167</v>
      </c>
      <c r="G912" s="33">
        <f t="shared" si="82"/>
        <v>31779.250865639955</v>
      </c>
      <c r="H912" s="33">
        <f t="shared" si="83"/>
        <v>177399.99999999997</v>
      </c>
    </row>
    <row r="913" spans="2:8" x14ac:dyDescent="0.25">
      <c r="B913" s="5">
        <f>(913-25)/100</f>
        <v>8.8800000000000008</v>
      </c>
      <c r="C913" s="5">
        <f t="shared" si="78"/>
        <v>0.41147788611717051</v>
      </c>
      <c r="D913" s="33">
        <f t="shared" si="79"/>
        <v>4718.3754079006249</v>
      </c>
      <c r="E913" s="33">
        <f t="shared" si="80"/>
        <v>472759.19824501377</v>
      </c>
      <c r="F913" s="33">
        <f t="shared" si="81"/>
        <v>849640.80175498617</v>
      </c>
      <c r="G913" s="33">
        <f t="shared" si="82"/>
        <v>31753.326606123526</v>
      </c>
      <c r="H913" s="33">
        <f t="shared" si="83"/>
        <v>177600.00000000003</v>
      </c>
    </row>
    <row r="914" spans="2:8" x14ac:dyDescent="0.25">
      <c r="B914" s="5">
        <f>(914-25)/100</f>
        <v>8.89</v>
      </c>
      <c r="C914" s="5">
        <f t="shared" si="78"/>
        <v>0.4110666139014339</v>
      </c>
      <c r="D914" s="33">
        <f t="shared" si="79"/>
        <v>4694.8424123769846</v>
      </c>
      <c r="E914" s="33">
        <f t="shared" si="80"/>
        <v>473076.6018521096</v>
      </c>
      <c r="F914" s="33">
        <f t="shared" si="81"/>
        <v>849123.39814789034</v>
      </c>
      <c r="G914" s="33">
        <f t="shared" si="82"/>
        <v>31727.393328160724</v>
      </c>
      <c r="H914" s="33">
        <f t="shared" si="83"/>
        <v>177800</v>
      </c>
    </row>
    <row r="915" spans="2:8" x14ac:dyDescent="0.25">
      <c r="B915" s="5">
        <f>(915-25)/100</f>
        <v>8.9</v>
      </c>
      <c r="C915" s="5">
        <f t="shared" si="78"/>
        <v>0.41065575275234545</v>
      </c>
      <c r="D915" s="33">
        <f t="shared" si="79"/>
        <v>4671.4267881581773</v>
      </c>
      <c r="E915" s="33">
        <f t="shared" si="80"/>
        <v>473393.74608224223</v>
      </c>
      <c r="F915" s="33">
        <f t="shared" si="81"/>
        <v>848606.25391775777</v>
      </c>
      <c r="G915" s="33">
        <f t="shared" si="82"/>
        <v>31701.451249716491</v>
      </c>
      <c r="H915" s="33">
        <f t="shared" si="83"/>
        <v>178000</v>
      </c>
    </row>
    <row r="916" spans="2:8" x14ac:dyDescent="0.25">
      <c r="B916" s="5">
        <f>(916-25)/100</f>
        <v>8.91</v>
      </c>
      <c r="C916" s="5">
        <f t="shared" si="78"/>
        <v>0.41024530225904399</v>
      </c>
      <c r="D916" s="33">
        <f t="shared" si="79"/>
        <v>4648.1279498523782</v>
      </c>
      <c r="E916" s="33">
        <f t="shared" si="80"/>
        <v>473710.63084849075</v>
      </c>
      <c r="F916" s="33">
        <f t="shared" si="81"/>
        <v>848089.36915150925</v>
      </c>
      <c r="G916" s="33">
        <f t="shared" si="82"/>
        <v>31675.500587287981</v>
      </c>
      <c r="H916" s="33">
        <f t="shared" si="83"/>
        <v>178200</v>
      </c>
    </row>
    <row r="917" spans="2:8" x14ac:dyDescent="0.25">
      <c r="B917" s="5">
        <f>(917-25)/100</f>
        <v>8.92</v>
      </c>
      <c r="C917" s="5">
        <f t="shared" si="78"/>
        <v>0.40983526201107895</v>
      </c>
      <c r="D917" s="33">
        <f t="shared" si="79"/>
        <v>4624.9453149874143</v>
      </c>
      <c r="E917" s="33">
        <f t="shared" si="80"/>
        <v>474027.25606609153</v>
      </c>
      <c r="F917" s="33">
        <f t="shared" si="81"/>
        <v>847572.74393390841</v>
      </c>
      <c r="G917" s="33">
        <f t="shared" si="82"/>
        <v>31649.541555913449</v>
      </c>
      <c r="H917" s="33">
        <f t="shared" si="83"/>
        <v>178400</v>
      </c>
    </row>
    <row r="918" spans="2:8" x14ac:dyDescent="0.25">
      <c r="B918" s="5">
        <f>(918-25)/100</f>
        <v>8.93</v>
      </c>
      <c r="C918" s="5">
        <f t="shared" si="78"/>
        <v>0.40942563159841006</v>
      </c>
      <c r="D918" s="33">
        <f t="shared" si="79"/>
        <v>4601.8783039962091</v>
      </c>
      <c r="E918" s="33">
        <f t="shared" si="80"/>
        <v>474343.62165242463</v>
      </c>
      <c r="F918" s="33">
        <f t="shared" si="81"/>
        <v>847056.37834757543</v>
      </c>
      <c r="G918" s="33">
        <f t="shared" si="82"/>
        <v>31623.574369181202</v>
      </c>
      <c r="H918" s="33">
        <f t="shared" si="83"/>
        <v>178600</v>
      </c>
    </row>
    <row r="919" spans="2:8" x14ac:dyDescent="0.25">
      <c r="B919" s="5">
        <f>(919-25)/100</f>
        <v>8.94</v>
      </c>
      <c r="C919" s="5">
        <f t="shared" si="78"/>
        <v>0.40901641061140692</v>
      </c>
      <c r="D919" s="33">
        <f t="shared" si="79"/>
        <v>4578.9263402022843</v>
      </c>
      <c r="E919" s="33">
        <f t="shared" si="80"/>
        <v>474659.72752699803</v>
      </c>
      <c r="F919" s="33">
        <f t="shared" si="81"/>
        <v>846540.27247300197</v>
      </c>
      <c r="G919" s="33">
        <f t="shared" si="82"/>
        <v>31597.599239238414</v>
      </c>
      <c r="H919" s="33">
        <f t="shared" si="83"/>
        <v>178800</v>
      </c>
    </row>
    <row r="920" spans="2:8" x14ac:dyDescent="0.25">
      <c r="B920" s="5">
        <f>(920-25)/100</f>
        <v>8.9499999999999993</v>
      </c>
      <c r="C920" s="5">
        <f t="shared" si="78"/>
        <v>0.40860759864084845</v>
      </c>
      <c r="D920" s="33">
        <f t="shared" si="79"/>
        <v>4556.0888498053509</v>
      </c>
      <c r="E920" s="33">
        <f t="shared" si="80"/>
        <v>474975.57361143461</v>
      </c>
      <c r="F920" s="33">
        <f t="shared" si="81"/>
        <v>846024.42638856545</v>
      </c>
      <c r="G920" s="33">
        <f t="shared" si="82"/>
        <v>31571.616376799888</v>
      </c>
      <c r="H920" s="33">
        <f t="shared" si="83"/>
        <v>179000</v>
      </c>
    </row>
    <row r="921" spans="2:8" x14ac:dyDescent="0.25">
      <c r="B921" s="5">
        <f>(921-25)/100</f>
        <v>8.9600000000000009</v>
      </c>
      <c r="C921" s="5">
        <f t="shared" ref="C921:C984" si="84">EXP(-$C$10*B921)</f>
        <v>0.40819919527792264</v>
      </c>
      <c r="D921" s="33">
        <f t="shared" ref="D921:D984" si="85">$C$7*EXP(-$C$9*B921)</f>
        <v>4533.3652618669548</v>
      </c>
      <c r="E921" s="33">
        <f t="shared" ref="E921:E984" si="86">C921*D921+(1-C921)*$C$8</f>
        <v>475291.15982945682</v>
      </c>
      <c r="F921" s="33">
        <f t="shared" ref="F921:F984" si="87">$C$12-E921-$C$11*B921</f>
        <v>845508.84017054318</v>
      </c>
      <c r="G921" s="33">
        <f t="shared" ref="G921:G984" si="88">$C$10*$C$8*EXP(-$C$10*B921)-($C$9+$C$10)*$C$7*EXP(-($C$9+$C$10)*B921)</f>
        <v>31545.625991156823</v>
      </c>
      <c r="H921" s="33">
        <f t="shared" ref="H921:H984" si="89">$C$11*B921</f>
        <v>179200.00000000003</v>
      </c>
    </row>
    <row r="922" spans="2:8" x14ac:dyDescent="0.25">
      <c r="B922" s="5">
        <f>(922-25)/100</f>
        <v>8.9700000000000006</v>
      </c>
      <c r="C922" s="5">
        <f t="shared" si="84"/>
        <v>0.40779120011422615</v>
      </c>
      <c r="D922" s="33">
        <f t="shared" si="85"/>
        <v>4510.7550082962234</v>
      </c>
      <c r="E922" s="33">
        <f t="shared" si="86"/>
        <v>475606.48610687349</v>
      </c>
      <c r="F922" s="33">
        <f t="shared" si="87"/>
        <v>844993.51389312651</v>
      </c>
      <c r="G922" s="33">
        <f t="shared" si="88"/>
        <v>31519.628290185468</v>
      </c>
      <c r="H922" s="33">
        <f t="shared" si="89"/>
        <v>179400</v>
      </c>
    </row>
    <row r="923" spans="2:8" x14ac:dyDescent="0.25">
      <c r="B923" s="5">
        <f>(923-25)/100</f>
        <v>8.98</v>
      </c>
      <c r="C923" s="5">
        <f t="shared" si="84"/>
        <v>0.40738361274176377</v>
      </c>
      <c r="D923" s="33">
        <f t="shared" si="85"/>
        <v>4488.2575238356339</v>
      </c>
      <c r="E923" s="33">
        <f t="shared" si="86"/>
        <v>475921.55237156455</v>
      </c>
      <c r="F923" s="33">
        <f t="shared" si="87"/>
        <v>844478.44762843545</v>
      </c>
      <c r="G923" s="33">
        <f t="shared" si="88"/>
        <v>31493.623480355764</v>
      </c>
      <c r="H923" s="33">
        <f t="shared" si="89"/>
        <v>179600</v>
      </c>
    </row>
    <row r="924" spans="2:8" x14ac:dyDescent="0.25">
      <c r="B924" s="5">
        <f>(924-25)/100</f>
        <v>8.99</v>
      </c>
      <c r="C924" s="5">
        <f t="shared" si="84"/>
        <v>0.40697643275294815</v>
      </c>
      <c r="D924" s="33">
        <f t="shared" si="85"/>
        <v>4465.8722460469035</v>
      </c>
      <c r="E924" s="33">
        <f t="shared" si="86"/>
        <v>476236.35855346802</v>
      </c>
      <c r="F924" s="33">
        <f t="shared" si="87"/>
        <v>843963.64144653198</v>
      </c>
      <c r="G924" s="33">
        <f t="shared" si="88"/>
        <v>31467.611766739912</v>
      </c>
      <c r="H924" s="33">
        <f t="shared" si="89"/>
        <v>179800</v>
      </c>
    </row>
    <row r="925" spans="2:8" x14ac:dyDescent="0.25">
      <c r="B925" s="5">
        <f>(925-25)/100</f>
        <v>9</v>
      </c>
      <c r="C925" s="5">
        <f t="shared" si="84"/>
        <v>0.40656965974059911</v>
      </c>
      <c r="D925" s="33">
        <f t="shared" si="85"/>
        <v>4443.5986152969226</v>
      </c>
      <c r="E925" s="33">
        <f t="shared" si="86"/>
        <v>476550.90458456578</v>
      </c>
      <c r="F925" s="33">
        <f t="shared" si="87"/>
        <v>843449.09541543422</v>
      </c>
      <c r="G925" s="33">
        <f t="shared" si="88"/>
        <v>31441.593353020889</v>
      </c>
      <c r="H925" s="33">
        <f t="shared" si="89"/>
        <v>180000</v>
      </c>
    </row>
    <row r="926" spans="2:8" x14ac:dyDescent="0.25">
      <c r="B926" s="5">
        <f>(926-25)/100</f>
        <v>9.01</v>
      </c>
      <c r="C926" s="5">
        <f t="shared" si="84"/>
        <v>0.40616329329794371</v>
      </c>
      <c r="D926" s="33">
        <f t="shared" si="85"/>
        <v>4421.4360747437613</v>
      </c>
      <c r="E926" s="33">
        <f t="shared" si="86"/>
        <v>476865.19039886928</v>
      </c>
      <c r="F926" s="33">
        <f t="shared" si="87"/>
        <v>842934.80960113066</v>
      </c>
      <c r="G926" s="33">
        <f t="shared" si="88"/>
        <v>31415.568441500942</v>
      </c>
      <c r="H926" s="33">
        <f t="shared" si="89"/>
        <v>180200</v>
      </c>
    </row>
    <row r="927" spans="2:8" x14ac:dyDescent="0.25">
      <c r="B927" s="5">
        <f>(927-25)/100</f>
        <v>9.02</v>
      </c>
      <c r="C927" s="5">
        <f t="shared" si="84"/>
        <v>0.40575733301861544</v>
      </c>
      <c r="D927" s="33">
        <f t="shared" si="85"/>
        <v>4399.3840703227525</v>
      </c>
      <c r="E927" s="33">
        <f t="shared" si="86"/>
        <v>477179.21593240637</v>
      </c>
      <c r="F927" s="33">
        <f t="shared" si="87"/>
        <v>842420.78406759363</v>
      </c>
      <c r="G927" s="33">
        <f t="shared" si="88"/>
        <v>31389.53723310999</v>
      </c>
      <c r="H927" s="33">
        <f t="shared" si="89"/>
        <v>180400</v>
      </c>
    </row>
    <row r="928" spans="2:8" x14ac:dyDescent="0.25">
      <c r="B928" s="5">
        <f>(928-25)/100</f>
        <v>9.0299999999999994</v>
      </c>
      <c r="C928" s="5">
        <f t="shared" si="84"/>
        <v>0.40535177849665399</v>
      </c>
      <c r="D928" s="33">
        <f t="shared" si="85"/>
        <v>4377.4420507326358</v>
      </c>
      <c r="E928" s="33">
        <f t="shared" si="86"/>
        <v>477492.98112320725</v>
      </c>
      <c r="F928" s="33">
        <f t="shared" si="87"/>
        <v>841907.01887679275</v>
      </c>
      <c r="G928" s="33">
        <f t="shared" si="88"/>
        <v>31363.499927414006</v>
      </c>
      <c r="H928" s="33">
        <f t="shared" si="89"/>
        <v>180600</v>
      </c>
    </row>
    <row r="929" spans="2:8" x14ac:dyDescent="0.25">
      <c r="B929" s="5">
        <f>(929-25)/100</f>
        <v>9.0399999999999991</v>
      </c>
      <c r="C929" s="5">
        <f t="shared" si="84"/>
        <v>0.40494662932650494</v>
      </c>
      <c r="D929" s="33">
        <f t="shared" si="85"/>
        <v>4355.6094674217802</v>
      </c>
      <c r="E929" s="33">
        <f t="shared" si="86"/>
        <v>477806.48591129115</v>
      </c>
      <c r="F929" s="33">
        <f t="shared" si="87"/>
        <v>841393.51408870891</v>
      </c>
      <c r="G929" s="33">
        <f t="shared" si="88"/>
        <v>31337.456722623356</v>
      </c>
      <c r="H929" s="33">
        <f t="shared" si="89"/>
        <v>180799.99999999997</v>
      </c>
    </row>
    <row r="930" spans="2:8" x14ac:dyDescent="0.25">
      <c r="B930" s="5">
        <f>(930-25)/100</f>
        <v>9.0500000000000007</v>
      </c>
      <c r="C930" s="5">
        <f t="shared" si="84"/>
        <v>0.40454188510301875</v>
      </c>
      <c r="D930" s="33">
        <f t="shared" si="85"/>
        <v>4333.8857745744608</v>
      </c>
      <c r="E930" s="33">
        <f t="shared" si="86"/>
        <v>478119.73023865256</v>
      </c>
      <c r="F930" s="33">
        <f t="shared" si="87"/>
        <v>840880.26976134744</v>
      </c>
      <c r="G930" s="33">
        <f t="shared" si="88"/>
        <v>31311.407815600993</v>
      </c>
      <c r="H930" s="33">
        <f t="shared" si="89"/>
        <v>181000</v>
      </c>
    </row>
    <row r="931" spans="2:8" x14ac:dyDescent="0.25">
      <c r="B931" s="5">
        <f>(931-25)/100</f>
        <v>9.06</v>
      </c>
      <c r="C931" s="5">
        <f t="shared" si="84"/>
        <v>0.40413754542145147</v>
      </c>
      <c r="D931" s="33">
        <f t="shared" si="85"/>
        <v>4312.2704290972333</v>
      </c>
      <c r="E931" s="33">
        <f t="shared" si="86"/>
        <v>478432.71404924768</v>
      </c>
      <c r="F931" s="33">
        <f t="shared" si="87"/>
        <v>840367.28595075232</v>
      </c>
      <c r="G931" s="33">
        <f t="shared" si="88"/>
        <v>31285.353401870798</v>
      </c>
      <c r="H931" s="33">
        <f t="shared" si="89"/>
        <v>181200</v>
      </c>
    </row>
    <row r="932" spans="2:8" x14ac:dyDescent="0.25">
      <c r="B932" s="5">
        <f>(932-25)/100</f>
        <v>9.07</v>
      </c>
      <c r="C932" s="5">
        <f t="shared" si="84"/>
        <v>0.40373360987746337</v>
      </c>
      <c r="D932" s="33">
        <f t="shared" si="85"/>
        <v>4290.7628906053305</v>
      </c>
      <c r="E932" s="33">
        <f t="shared" si="86"/>
        <v>478745.43728898169</v>
      </c>
      <c r="F932" s="33">
        <f t="shared" si="87"/>
        <v>839854.56271101837</v>
      </c>
      <c r="G932" s="33">
        <f t="shared" si="88"/>
        <v>31259.29367562566</v>
      </c>
      <c r="H932" s="33">
        <f t="shared" si="89"/>
        <v>181400</v>
      </c>
    </row>
    <row r="933" spans="2:8" x14ac:dyDescent="0.25">
      <c r="B933" s="5">
        <f>(933-25)/100</f>
        <v>9.08</v>
      </c>
      <c r="C933" s="5">
        <f t="shared" si="84"/>
        <v>0.40333007806711874</v>
      </c>
      <c r="D933" s="33">
        <f t="shared" si="85"/>
        <v>4269.3626214091701</v>
      </c>
      <c r="E933" s="33">
        <f t="shared" si="86"/>
        <v>479057.89990569482</v>
      </c>
      <c r="F933" s="33">
        <f t="shared" si="87"/>
        <v>839342.10009430512</v>
      </c>
      <c r="G933" s="33">
        <f t="shared" si="88"/>
        <v>31233.228829735621</v>
      </c>
      <c r="H933" s="33">
        <f t="shared" si="89"/>
        <v>181600</v>
      </c>
    </row>
    <row r="934" spans="2:8" x14ac:dyDescent="0.25">
      <c r="B934" s="5">
        <f>(934-25)/100</f>
        <v>9.09</v>
      </c>
      <c r="C934" s="5">
        <f t="shared" si="84"/>
        <v>0.40292694958688574</v>
      </c>
      <c r="D934" s="33">
        <f t="shared" si="85"/>
        <v>4248.0690865009083</v>
      </c>
      <c r="E934" s="33">
        <f t="shared" si="86"/>
        <v>479370.10184914962</v>
      </c>
      <c r="F934" s="33">
        <f t="shared" si="87"/>
        <v>838829.89815085032</v>
      </c>
      <c r="G934" s="33">
        <f t="shared" si="88"/>
        <v>31207.159055755965</v>
      </c>
      <c r="H934" s="33">
        <f t="shared" si="89"/>
        <v>181800</v>
      </c>
    </row>
    <row r="935" spans="2:8" x14ac:dyDescent="0.25">
      <c r="B935" s="5">
        <f>(935-25)/100</f>
        <v>9.1</v>
      </c>
      <c r="C935" s="5">
        <f t="shared" si="84"/>
        <v>0.40252422403363597</v>
      </c>
      <c r="D935" s="33">
        <f t="shared" si="85"/>
        <v>4226.8817535410617</v>
      </c>
      <c r="E935" s="33">
        <f t="shared" si="86"/>
        <v>479682.04307101725</v>
      </c>
      <c r="F935" s="33">
        <f t="shared" si="87"/>
        <v>838317.95692898275</v>
      </c>
      <c r="G935" s="33">
        <f t="shared" si="88"/>
        <v>31181.084543935249</v>
      </c>
      <c r="H935" s="33">
        <f t="shared" si="89"/>
        <v>182000</v>
      </c>
    </row>
    <row r="936" spans="2:8" x14ac:dyDescent="0.25">
      <c r="B936" s="5">
        <f>(936-25)/100</f>
        <v>9.11</v>
      </c>
      <c r="C936" s="5">
        <f t="shared" si="84"/>
        <v>0.40212190100464373</v>
      </c>
      <c r="D936" s="33">
        <f t="shared" si="85"/>
        <v>4205.8000928452047</v>
      </c>
      <c r="E936" s="33">
        <f t="shared" si="86"/>
        <v>479993.72352486546</v>
      </c>
      <c r="F936" s="33">
        <f t="shared" si="87"/>
        <v>837806.27647513454</v>
      </c>
      <c r="G936" s="33">
        <f t="shared" si="88"/>
        <v>31155.005483223245</v>
      </c>
      <c r="H936" s="33">
        <f t="shared" si="89"/>
        <v>182200</v>
      </c>
    </row>
    <row r="937" spans="2:8" x14ac:dyDescent="0.25">
      <c r="B937" s="5">
        <f>(937-25)/100</f>
        <v>9.1199999999999992</v>
      </c>
      <c r="C937" s="5">
        <f t="shared" si="84"/>
        <v>0.40171998009758608</v>
      </c>
      <c r="D937" s="33">
        <f t="shared" si="85"/>
        <v>4184.8235773707211</v>
      </c>
      <c r="E937" s="33">
        <f t="shared" si="86"/>
        <v>480305.14316614432</v>
      </c>
      <c r="F937" s="33">
        <f t="shared" si="87"/>
        <v>837294.85683385562</v>
      </c>
      <c r="G937" s="33">
        <f t="shared" si="88"/>
        <v>31128.922061278921</v>
      </c>
      <c r="H937" s="33">
        <f t="shared" si="89"/>
        <v>182399.99999999997</v>
      </c>
    </row>
    <row r="938" spans="2:8" x14ac:dyDescent="0.25">
      <c r="B938" s="5">
        <f>(938-25)/100</f>
        <v>9.1300000000000008</v>
      </c>
      <c r="C938" s="5">
        <f t="shared" si="84"/>
        <v>0.40131846091054185</v>
      </c>
      <c r="D938" s="33">
        <f t="shared" si="85"/>
        <v>4163.9516827036277</v>
      </c>
      <c r="E938" s="33">
        <f t="shared" si="86"/>
        <v>480616.3019521751</v>
      </c>
      <c r="F938" s="33">
        <f t="shared" si="87"/>
        <v>836783.6980478249</v>
      </c>
      <c r="G938" s="33">
        <f t="shared" si="88"/>
        <v>31102.834464478259</v>
      </c>
      <c r="H938" s="33">
        <f t="shared" si="89"/>
        <v>182600.00000000003</v>
      </c>
    </row>
    <row r="939" spans="2:8" x14ac:dyDescent="0.25">
      <c r="B939" s="5">
        <f>(939-25)/100</f>
        <v>9.14</v>
      </c>
      <c r="C939" s="5">
        <f t="shared" si="84"/>
        <v>0.40091734304199206</v>
      </c>
      <c r="D939" s="33">
        <f t="shared" si="85"/>
        <v>4143.1838870454785</v>
      </c>
      <c r="E939" s="33">
        <f t="shared" si="86"/>
        <v>480927.19984213496</v>
      </c>
      <c r="F939" s="33">
        <f t="shared" si="87"/>
        <v>836272.80015786504</v>
      </c>
      <c r="G939" s="33">
        <f t="shared" si="88"/>
        <v>31076.742877922166</v>
      </c>
      <c r="H939" s="33">
        <f t="shared" si="89"/>
        <v>182800</v>
      </c>
    </row>
    <row r="940" spans="2:8" x14ac:dyDescent="0.25">
      <c r="B940" s="5">
        <f>(940-25)/100</f>
        <v>9.15</v>
      </c>
      <c r="C940" s="5">
        <f t="shared" si="84"/>
        <v>0.40051662609081878</v>
      </c>
      <c r="D940" s="33">
        <f t="shared" si="85"/>
        <v>4122.5196712002962</v>
      </c>
      <c r="E940" s="33">
        <f t="shared" si="86"/>
        <v>481237.83679704712</v>
      </c>
      <c r="F940" s="33">
        <f t="shared" si="87"/>
        <v>835762.16320295283</v>
      </c>
      <c r="G940" s="33">
        <f t="shared" si="88"/>
        <v>31050.647485444199</v>
      </c>
      <c r="H940" s="33">
        <f t="shared" si="89"/>
        <v>183000</v>
      </c>
    </row>
    <row r="941" spans="2:8" x14ac:dyDescent="0.25">
      <c r="B941" s="5">
        <f>(941-25)/100</f>
        <v>9.16</v>
      </c>
      <c r="C941" s="5">
        <f t="shared" si="84"/>
        <v>0.40011630965630496</v>
      </c>
      <c r="D941" s="33">
        <f t="shared" si="85"/>
        <v>4101.9585185616088</v>
      </c>
      <c r="E941" s="33">
        <f t="shared" si="86"/>
        <v>481548.21277976618</v>
      </c>
      <c r="F941" s="33">
        <f t="shared" si="87"/>
        <v>835251.78722023382</v>
      </c>
      <c r="G941" s="33">
        <f t="shared" si="88"/>
        <v>31024.54846961833</v>
      </c>
      <c r="H941" s="33">
        <f t="shared" si="89"/>
        <v>183200</v>
      </c>
    </row>
    <row r="942" spans="2:8" x14ac:dyDescent="0.25">
      <c r="B942" s="5">
        <f>(942-25)/100</f>
        <v>9.17</v>
      </c>
      <c r="C942" s="5">
        <f t="shared" si="84"/>
        <v>0.39971639333813408</v>
      </c>
      <c r="D942" s="33">
        <f t="shared" si="85"/>
        <v>4081.4999150995291</v>
      </c>
      <c r="E942" s="33">
        <f t="shared" si="86"/>
        <v>481858.32775496627</v>
      </c>
      <c r="F942" s="33">
        <f t="shared" si="87"/>
        <v>834741.67224503378</v>
      </c>
      <c r="G942" s="33">
        <f t="shared" si="88"/>
        <v>30998.446011766639</v>
      </c>
      <c r="H942" s="33">
        <f t="shared" si="89"/>
        <v>183400</v>
      </c>
    </row>
    <row r="943" spans="2:8" x14ac:dyDescent="0.25">
      <c r="B943" s="5">
        <f>(943-25)/100</f>
        <v>9.18</v>
      </c>
      <c r="C943" s="5">
        <f t="shared" si="84"/>
        <v>0.39931687673638988</v>
      </c>
      <c r="D943" s="33">
        <f t="shared" si="85"/>
        <v>4061.1433493479053</v>
      </c>
      <c r="E943" s="33">
        <f t="shared" si="86"/>
        <v>482168.1816891284</v>
      </c>
      <c r="F943" s="33">
        <f t="shared" si="87"/>
        <v>834231.8183108716</v>
      </c>
      <c r="G943" s="33">
        <f t="shared" si="88"/>
        <v>30972.340291966972</v>
      </c>
      <c r="H943" s="33">
        <f t="shared" si="89"/>
        <v>183600</v>
      </c>
    </row>
    <row r="944" spans="2:8" x14ac:dyDescent="0.25">
      <c r="B944" s="5">
        <f>(944-25)/100</f>
        <v>9.19</v>
      </c>
      <c r="C944" s="5">
        <f t="shared" si="84"/>
        <v>0.39891775945155566</v>
      </c>
      <c r="D944" s="33">
        <f t="shared" si="85"/>
        <v>4040.8883123915334</v>
      </c>
      <c r="E944" s="33">
        <f t="shared" si="86"/>
        <v>482477.77455052873</v>
      </c>
      <c r="F944" s="33">
        <f t="shared" si="87"/>
        <v>833722.22544947127</v>
      </c>
      <c r="G944" s="33">
        <f t="shared" si="88"/>
        <v>30946.23148906053</v>
      </c>
      <c r="H944" s="33">
        <f t="shared" si="89"/>
        <v>183800</v>
      </c>
    </row>
    <row r="945" spans="2:8" x14ac:dyDescent="0.25">
      <c r="B945" s="5">
        <f>(945-25)/100</f>
        <v>9.1999999999999993</v>
      </c>
      <c r="C945" s="5">
        <f t="shared" si="84"/>
        <v>0.39851904108451419</v>
      </c>
      <c r="D945" s="33">
        <f t="shared" si="85"/>
        <v>4020.7342978534343</v>
      </c>
      <c r="E945" s="33">
        <f t="shared" si="86"/>
        <v>482787.10630922485</v>
      </c>
      <c r="F945" s="33">
        <f t="shared" si="87"/>
        <v>833212.89369077515</v>
      </c>
      <c r="G945" s="33">
        <f t="shared" si="88"/>
        <v>30920.119780659432</v>
      </c>
      <c r="H945" s="33">
        <f t="shared" si="89"/>
        <v>184000</v>
      </c>
    </row>
    <row r="946" spans="2:8" x14ac:dyDescent="0.25">
      <c r="B946" s="5">
        <f>(946-25)/100</f>
        <v>9.2100000000000009</v>
      </c>
      <c r="C946" s="5">
        <f t="shared" si="84"/>
        <v>0.3981207212365469</v>
      </c>
      <c r="D946" s="33">
        <f t="shared" si="85"/>
        <v>4000.6808018821912</v>
      </c>
      <c r="E946" s="33">
        <f t="shared" si="86"/>
        <v>483096.17693704495</v>
      </c>
      <c r="F946" s="33">
        <f t="shared" si="87"/>
        <v>832703.82306295505</v>
      </c>
      <c r="G946" s="33">
        <f t="shared" si="88"/>
        <v>30894.005343154226</v>
      </c>
      <c r="H946" s="33">
        <f t="shared" si="89"/>
        <v>184200.00000000003</v>
      </c>
    </row>
    <row r="947" spans="2:8" x14ac:dyDescent="0.25">
      <c r="B947" s="5">
        <f>(947-25)/100</f>
        <v>9.2200000000000006</v>
      </c>
      <c r="C947" s="5">
        <f t="shared" si="84"/>
        <v>0.39772279950933409</v>
      </c>
      <c r="D947" s="33">
        <f t="shared" si="85"/>
        <v>3980.7273231393679</v>
      </c>
      <c r="E947" s="33">
        <f t="shared" si="86"/>
        <v>483404.98640757502</v>
      </c>
      <c r="F947" s="33">
        <f t="shared" si="87"/>
        <v>832195.01359242504</v>
      </c>
      <c r="G947" s="33">
        <f t="shared" si="88"/>
        <v>30867.888351721354</v>
      </c>
      <c r="H947" s="33">
        <f t="shared" si="89"/>
        <v>184400</v>
      </c>
    </row>
    <row r="948" spans="2:8" x14ac:dyDescent="0.25">
      <c r="B948" s="5">
        <f>(948-25)/100</f>
        <v>9.23</v>
      </c>
      <c r="C948" s="5">
        <f t="shared" si="84"/>
        <v>0.397325275504954</v>
      </c>
      <c r="D948" s="33">
        <f t="shared" si="85"/>
        <v>3960.8733627869528</v>
      </c>
      <c r="E948" s="33">
        <f t="shared" si="86"/>
        <v>483713.53469614638</v>
      </c>
      <c r="F948" s="33">
        <f t="shared" si="87"/>
        <v>831686.46530385362</v>
      </c>
      <c r="G948" s="33">
        <f t="shared" si="88"/>
        <v>30841.768980330584</v>
      </c>
      <c r="H948" s="33">
        <f t="shared" si="89"/>
        <v>184600</v>
      </c>
    </row>
    <row r="949" spans="2:8" x14ac:dyDescent="0.25">
      <c r="B949" s="5">
        <f>(949-25)/100</f>
        <v>9.24</v>
      </c>
      <c r="C949" s="5">
        <f t="shared" si="84"/>
        <v>0.39692814882588245</v>
      </c>
      <c r="D949" s="33">
        <f t="shared" si="85"/>
        <v>3941.1184244749029</v>
      </c>
      <c r="E949" s="33">
        <f t="shared" si="86"/>
        <v>484021.82177982444</v>
      </c>
      <c r="F949" s="33">
        <f t="shared" si="87"/>
        <v>831178.17822017556</v>
      </c>
      <c r="G949" s="33">
        <f t="shared" si="88"/>
        <v>30815.647401752354</v>
      </c>
      <c r="H949" s="33">
        <f t="shared" si="89"/>
        <v>184800</v>
      </c>
    </row>
    <row r="950" spans="2:8" x14ac:dyDescent="0.25">
      <c r="B950" s="5">
        <f>(950-25)/100</f>
        <v>9.25</v>
      </c>
      <c r="C950" s="5">
        <f t="shared" si="84"/>
        <v>0.39653141907499284</v>
      </c>
      <c r="D950" s="33">
        <f t="shared" si="85"/>
        <v>3921.4620143287311</v>
      </c>
      <c r="E950" s="33">
        <f t="shared" si="86"/>
        <v>484329.84763739613</v>
      </c>
      <c r="F950" s="33">
        <f t="shared" si="87"/>
        <v>830670.15236260393</v>
      </c>
      <c r="G950" s="33">
        <f t="shared" si="88"/>
        <v>30789.523787565155</v>
      </c>
      <c r="H950" s="33">
        <f t="shared" si="89"/>
        <v>185000</v>
      </c>
    </row>
    <row r="951" spans="2:8" x14ac:dyDescent="0.25">
      <c r="B951" s="5">
        <f>(951-25)/100</f>
        <v>9.26</v>
      </c>
      <c r="C951" s="5">
        <f t="shared" si="84"/>
        <v>0.39613508585555535</v>
      </c>
      <c r="D951" s="33">
        <f t="shared" si="85"/>
        <v>3901.9036409371615</v>
      </c>
      <c r="E951" s="33">
        <f t="shared" si="86"/>
        <v>484637.61224935844</v>
      </c>
      <c r="F951" s="33">
        <f t="shared" si="87"/>
        <v>830162.38775064156</v>
      </c>
      <c r="G951" s="33">
        <f t="shared" si="88"/>
        <v>30763.398308162778</v>
      </c>
      <c r="H951" s="33">
        <f t="shared" si="89"/>
        <v>185200</v>
      </c>
    </row>
    <row r="952" spans="2:8" x14ac:dyDescent="0.25">
      <c r="B952" s="5">
        <f>(952-25)/100</f>
        <v>9.27</v>
      </c>
      <c r="C952" s="5">
        <f t="shared" si="84"/>
        <v>0.39573914877123673</v>
      </c>
      <c r="D952" s="33">
        <f t="shared" si="85"/>
        <v>3882.4428153398394</v>
      </c>
      <c r="E952" s="33">
        <f t="shared" si="86"/>
        <v>484945.11559790623</v>
      </c>
      <c r="F952" s="33">
        <f t="shared" si="87"/>
        <v>829654.88440209371</v>
      </c>
      <c r="G952" s="33">
        <f t="shared" si="88"/>
        <v>30737.27113276158</v>
      </c>
      <c r="H952" s="33">
        <f t="shared" si="89"/>
        <v>185400</v>
      </c>
    </row>
    <row r="953" spans="2:8" x14ac:dyDescent="0.25">
      <c r="B953" s="5">
        <f>(953-25)/100</f>
        <v>9.2799999999999994</v>
      </c>
      <c r="C953" s="5">
        <f t="shared" si="84"/>
        <v>0.39534360742609986</v>
      </c>
      <c r="D953" s="33">
        <f t="shared" si="85"/>
        <v>3863.0790510151105</v>
      </c>
      <c r="E953" s="33">
        <f t="shared" si="86"/>
        <v>485252.35766692064</v>
      </c>
      <c r="F953" s="33">
        <f t="shared" si="87"/>
        <v>829147.64233307936</v>
      </c>
      <c r="G953" s="33">
        <f t="shared" si="88"/>
        <v>30711.142429407686</v>
      </c>
      <c r="H953" s="33">
        <f t="shared" si="89"/>
        <v>185600</v>
      </c>
    </row>
    <row r="954" spans="2:8" x14ac:dyDescent="0.25">
      <c r="B954" s="5">
        <f>(954-25)/100</f>
        <v>9.2899999999999991</v>
      </c>
      <c r="C954" s="5">
        <f t="shared" si="84"/>
        <v>0.39494846142460333</v>
      </c>
      <c r="D954" s="33">
        <f t="shared" si="85"/>
        <v>3843.8118638678602</v>
      </c>
      <c r="E954" s="33">
        <f t="shared" si="86"/>
        <v>485559.3384419576</v>
      </c>
      <c r="F954" s="33">
        <f t="shared" si="87"/>
        <v>828640.6615580424</v>
      </c>
      <c r="G954" s="33">
        <f t="shared" si="88"/>
        <v>30685.012364984115</v>
      </c>
      <c r="H954" s="33">
        <f t="shared" si="89"/>
        <v>185799.99999999997</v>
      </c>
    </row>
    <row r="955" spans="2:8" x14ac:dyDescent="0.25">
      <c r="B955" s="5">
        <f>(955-25)/100</f>
        <v>9.3000000000000007</v>
      </c>
      <c r="C955" s="5">
        <f t="shared" si="84"/>
        <v>0.39455371037160109</v>
      </c>
      <c r="D955" s="33">
        <f t="shared" si="85"/>
        <v>3824.6407722174017</v>
      </c>
      <c r="E955" s="33">
        <f t="shared" si="86"/>
        <v>485866.05791023606</v>
      </c>
      <c r="F955" s="33">
        <f t="shared" si="87"/>
        <v>828133.94208976394</v>
      </c>
      <c r="G955" s="33">
        <f t="shared" si="88"/>
        <v>30658.881105217955</v>
      </c>
      <c r="H955" s="33">
        <f t="shared" si="89"/>
        <v>186000</v>
      </c>
    </row>
    <row r="956" spans="2:8" x14ac:dyDescent="0.25">
      <c r="B956" s="5">
        <f>(956-25)/100</f>
        <v>9.31</v>
      </c>
      <c r="C956" s="5">
        <f t="shared" si="84"/>
        <v>0.39415935387234219</v>
      </c>
      <c r="D956" s="33">
        <f t="shared" si="85"/>
        <v>3805.5652967854521</v>
      </c>
      <c r="E956" s="33">
        <f t="shared" si="86"/>
        <v>486172.51606062613</v>
      </c>
      <c r="F956" s="33">
        <f t="shared" si="87"/>
        <v>827627.48393937387</v>
      </c>
      <c r="G956" s="33">
        <f t="shared" si="88"/>
        <v>30632.748814687395</v>
      </c>
      <c r="H956" s="33">
        <f t="shared" si="89"/>
        <v>186200</v>
      </c>
    </row>
    <row r="957" spans="2:8" x14ac:dyDescent="0.25">
      <c r="B957" s="5">
        <f>(957-25)/100</f>
        <v>9.32</v>
      </c>
      <c r="C957" s="5">
        <f t="shared" si="84"/>
        <v>0.39376539153246998</v>
      </c>
      <c r="D957" s="33">
        <f t="shared" si="85"/>
        <v>3786.5849606841293</v>
      </c>
      <c r="E957" s="33">
        <f t="shared" si="86"/>
        <v>486478.7128836388</v>
      </c>
      <c r="F957" s="33">
        <f t="shared" si="87"/>
        <v>827121.2871163612</v>
      </c>
      <c r="G957" s="33">
        <f t="shared" si="88"/>
        <v>30606.615656828752</v>
      </c>
      <c r="H957" s="33">
        <f t="shared" si="89"/>
        <v>186400</v>
      </c>
    </row>
    <row r="958" spans="2:8" x14ac:dyDescent="0.25">
      <c r="B958" s="5">
        <f>(958-25)/100</f>
        <v>9.33</v>
      </c>
      <c r="C958" s="5">
        <f t="shared" si="84"/>
        <v>0.39337182295802209</v>
      </c>
      <c r="D958" s="33">
        <f t="shared" si="85"/>
        <v>3767.6992894040409</v>
      </c>
      <c r="E958" s="33">
        <f t="shared" si="86"/>
        <v>486784.64837141283</v>
      </c>
      <c r="F958" s="33">
        <f t="shared" si="87"/>
        <v>826615.35162858712</v>
      </c>
      <c r="G958" s="33">
        <f t="shared" si="88"/>
        <v>30580.481793943458</v>
      </c>
      <c r="H958" s="33">
        <f t="shared" si="89"/>
        <v>186600</v>
      </c>
    </row>
    <row r="959" spans="2:8" x14ac:dyDescent="0.25">
      <c r="B959" s="5">
        <f>(959-25)/100</f>
        <v>9.34</v>
      </c>
      <c r="C959" s="5">
        <f t="shared" si="84"/>
        <v>0.39297864775542996</v>
      </c>
      <c r="D959" s="33">
        <f t="shared" si="85"/>
        <v>3748.9078108024232</v>
      </c>
      <c r="E959" s="33">
        <f t="shared" si="86"/>
        <v>487090.32251770492</v>
      </c>
      <c r="F959" s="33">
        <f t="shared" si="87"/>
        <v>826109.67748229508</v>
      </c>
      <c r="G959" s="33">
        <f t="shared" si="88"/>
        <v>30554.347387205053</v>
      </c>
      <c r="H959" s="33">
        <f t="shared" si="89"/>
        <v>186800</v>
      </c>
    </row>
    <row r="960" spans="2:8" x14ac:dyDescent="0.25">
      <c r="B960" s="5">
        <f>(960-25)/100</f>
        <v>9.35</v>
      </c>
      <c r="C960" s="5">
        <f t="shared" si="84"/>
        <v>0.39258586553151836</v>
      </c>
      <c r="D960" s="33">
        <f t="shared" si="85"/>
        <v>3730.2100550913306</v>
      </c>
      <c r="E960" s="33">
        <f t="shared" si="86"/>
        <v>487395.73531787767</v>
      </c>
      <c r="F960" s="33">
        <f t="shared" si="87"/>
        <v>825604.26468212227</v>
      </c>
      <c r="G960" s="33">
        <f t="shared" si="88"/>
        <v>30528.212596666028</v>
      </c>
      <c r="H960" s="33">
        <f t="shared" si="89"/>
        <v>187000</v>
      </c>
    </row>
    <row r="961" spans="2:8" x14ac:dyDescent="0.25">
      <c r="B961" s="5">
        <f>(961-25)/100</f>
        <v>9.36</v>
      </c>
      <c r="C961" s="5">
        <f t="shared" si="84"/>
        <v>0.39219347589350501</v>
      </c>
      <c r="D961" s="33">
        <f t="shared" si="85"/>
        <v>3711.6055548258973</v>
      </c>
      <c r="E961" s="33">
        <f t="shared" si="86"/>
        <v>487700.88676888874</v>
      </c>
      <c r="F961" s="33">
        <f t="shared" si="87"/>
        <v>825099.11323111132</v>
      </c>
      <c r="G961" s="33">
        <f t="shared" si="88"/>
        <v>30502.077581264715</v>
      </c>
      <c r="H961" s="33">
        <f t="shared" si="89"/>
        <v>187200</v>
      </c>
    </row>
    <row r="962" spans="2:8" x14ac:dyDescent="0.25">
      <c r="B962" s="5">
        <f>(962-25)/100</f>
        <v>9.3699999999999992</v>
      </c>
      <c r="C962" s="5">
        <f t="shared" si="84"/>
        <v>0.39180147844900021</v>
      </c>
      <c r="D962" s="33">
        <f t="shared" si="85"/>
        <v>3693.0938448926477</v>
      </c>
      <c r="E962" s="33">
        <f t="shared" si="86"/>
        <v>488005.77686927962</v>
      </c>
      <c r="F962" s="33">
        <f t="shared" si="87"/>
        <v>824594.22313072043</v>
      </c>
      <c r="G962" s="33">
        <f t="shared" si="88"/>
        <v>30475.942498832112</v>
      </c>
      <c r="H962" s="33">
        <f t="shared" si="89"/>
        <v>187399.99999999997</v>
      </c>
    </row>
    <row r="963" spans="2:8" x14ac:dyDescent="0.25">
      <c r="B963" s="5">
        <f>(963-25)/100</f>
        <v>9.3800000000000008</v>
      </c>
      <c r="C963" s="5">
        <f t="shared" si="84"/>
        <v>0.39140987280600642</v>
      </c>
      <c r="D963" s="33">
        <f t="shared" si="85"/>
        <v>3674.6744624978655</v>
      </c>
      <c r="E963" s="33">
        <f t="shared" si="86"/>
        <v>488310.40561916458</v>
      </c>
      <c r="F963" s="33">
        <f t="shared" si="87"/>
        <v>824089.59438083542</v>
      </c>
      <c r="G963" s="33">
        <f t="shared" si="88"/>
        <v>30449.807506098652</v>
      </c>
      <c r="H963" s="33">
        <f t="shared" si="89"/>
        <v>187600.00000000003</v>
      </c>
    </row>
    <row r="964" spans="2:8" x14ac:dyDescent="0.25">
      <c r="B964" s="5">
        <f>(964-25)/100</f>
        <v>9.39</v>
      </c>
      <c r="C964" s="5">
        <f t="shared" si="84"/>
        <v>0.39101865857291818</v>
      </c>
      <c r="D964" s="33">
        <f t="shared" si="85"/>
        <v>3656.3469471560388</v>
      </c>
      <c r="E964" s="33">
        <f t="shared" si="86"/>
        <v>488614.77302021958</v>
      </c>
      <c r="F964" s="33">
        <f t="shared" si="87"/>
        <v>823585.22697978048</v>
      </c>
      <c r="G964" s="33">
        <f t="shared" si="88"/>
        <v>30423.67275870097</v>
      </c>
      <c r="H964" s="33">
        <f t="shared" si="89"/>
        <v>187800</v>
      </c>
    </row>
    <row r="965" spans="2:8" x14ac:dyDescent="0.25">
      <c r="B965" s="5">
        <f>(965-25)/100</f>
        <v>9.4</v>
      </c>
      <c r="C965" s="5">
        <f t="shared" si="84"/>
        <v>0.39062783535852108</v>
      </c>
      <c r="D965" s="33">
        <f t="shared" si="85"/>
        <v>3638.1108406783264</v>
      </c>
      <c r="E965" s="33">
        <f t="shared" si="86"/>
        <v>488918.87907567166</v>
      </c>
      <c r="F965" s="33">
        <f t="shared" si="87"/>
        <v>823081.12092432834</v>
      </c>
      <c r="G965" s="33">
        <f t="shared" si="88"/>
        <v>30397.538411188561</v>
      </c>
      <c r="H965" s="33">
        <f t="shared" si="89"/>
        <v>188000</v>
      </c>
    </row>
    <row r="966" spans="2:8" x14ac:dyDescent="0.25">
      <c r="B966" s="5">
        <f>(966-25)/100</f>
        <v>9.41</v>
      </c>
      <c r="C966" s="5">
        <f t="shared" si="84"/>
        <v>0.39023740277199187</v>
      </c>
      <c r="D966" s="33">
        <f t="shared" si="85"/>
        <v>3619.9656871611155</v>
      </c>
      <c r="E966" s="33">
        <f t="shared" si="86"/>
        <v>489222.72379028797</v>
      </c>
      <c r="F966" s="33">
        <f t="shared" si="87"/>
        <v>822577.27620971203</v>
      </c>
      <c r="G966" s="33">
        <f t="shared" si="88"/>
        <v>30371.404617030457</v>
      </c>
      <c r="H966" s="33">
        <f t="shared" si="89"/>
        <v>188200</v>
      </c>
    </row>
    <row r="967" spans="2:8" x14ac:dyDescent="0.25">
      <c r="B967" s="5">
        <f>(967-25)/100</f>
        <v>9.42</v>
      </c>
      <c r="C967" s="5">
        <f t="shared" si="84"/>
        <v>0.38984736042289797</v>
      </c>
      <c r="D967" s="33">
        <f t="shared" si="85"/>
        <v>3601.9110329746236</v>
      </c>
      <c r="E967" s="33">
        <f t="shared" si="86"/>
        <v>489526.30717036483</v>
      </c>
      <c r="F967" s="33">
        <f t="shared" si="87"/>
        <v>822073.69282963523</v>
      </c>
      <c r="G967" s="33">
        <f t="shared" si="88"/>
        <v>30345.271528621874</v>
      </c>
      <c r="H967" s="33">
        <f t="shared" si="89"/>
        <v>188400</v>
      </c>
    </row>
    <row r="968" spans="2:8" x14ac:dyDescent="0.25">
      <c r="B968" s="5">
        <f>(968-25)/100</f>
        <v>9.43</v>
      </c>
      <c r="C968" s="5">
        <f t="shared" si="84"/>
        <v>0.38945770792119694</v>
      </c>
      <c r="D968" s="33">
        <f t="shared" si="85"/>
        <v>3583.9464267515559</v>
      </c>
      <c r="E968" s="33">
        <f t="shared" si="86"/>
        <v>489829.62922371749</v>
      </c>
      <c r="F968" s="33">
        <f t="shared" si="87"/>
        <v>821570.37077628251</v>
      </c>
      <c r="G968" s="33">
        <f t="shared" si="88"/>
        <v>30319.139297290738</v>
      </c>
      <c r="H968" s="33">
        <f t="shared" si="89"/>
        <v>188600</v>
      </c>
    </row>
    <row r="969" spans="2:8" x14ac:dyDescent="0.25">
      <c r="B969" s="5">
        <f>(969-25)/100</f>
        <v>9.44</v>
      </c>
      <c r="C969" s="5">
        <f t="shared" si="84"/>
        <v>0.38906844487723635</v>
      </c>
      <c r="D969" s="33">
        <f t="shared" si="85"/>
        <v>3566.0714193758213</v>
      </c>
      <c r="E969" s="33">
        <f t="shared" si="86"/>
        <v>490132.68995966867</v>
      </c>
      <c r="F969" s="33">
        <f t="shared" si="87"/>
        <v>821067.31004033133</v>
      </c>
      <c r="G969" s="33">
        <f t="shared" si="88"/>
        <v>30293.008073304281</v>
      </c>
      <c r="H969" s="33">
        <f t="shared" si="89"/>
        <v>188800</v>
      </c>
    </row>
    <row r="970" spans="2:8" x14ac:dyDescent="0.25">
      <c r="B970" s="5">
        <f>(970-25)/100</f>
        <v>9.4499999999999993</v>
      </c>
      <c r="C970" s="5">
        <f t="shared" si="84"/>
        <v>0.38867957090175304</v>
      </c>
      <c r="D970" s="33">
        <f t="shared" si="85"/>
        <v>3548.2855639713034</v>
      </c>
      <c r="E970" s="33">
        <f t="shared" si="86"/>
        <v>490435.48938903888</v>
      </c>
      <c r="F970" s="33">
        <f t="shared" si="87"/>
        <v>820564.51061096112</v>
      </c>
      <c r="G970" s="33">
        <f t="shared" si="88"/>
        <v>30266.878005875493</v>
      </c>
      <c r="H970" s="33">
        <f t="shared" si="89"/>
        <v>189000</v>
      </c>
    </row>
    <row r="971" spans="2:8" x14ac:dyDescent="0.25">
      <c r="B971" s="5">
        <f>(971-25)/100</f>
        <v>9.4600000000000009</v>
      </c>
      <c r="C971" s="5">
        <f t="shared" si="84"/>
        <v>0.38829108560587289</v>
      </c>
      <c r="D971" s="33">
        <f t="shared" si="85"/>
        <v>3530.5884158906892</v>
      </c>
      <c r="E971" s="33">
        <f t="shared" si="86"/>
        <v>490738.02752413542</v>
      </c>
      <c r="F971" s="33">
        <f t="shared" si="87"/>
        <v>820061.97247586458</v>
      </c>
      <c r="G971" s="33">
        <f t="shared" si="88"/>
        <v>30240.749243169601</v>
      </c>
      <c r="H971" s="33">
        <f t="shared" si="89"/>
        <v>189200.00000000003</v>
      </c>
    </row>
    <row r="972" spans="2:8" x14ac:dyDescent="0.25">
      <c r="B972" s="5">
        <f>(972-25)/100</f>
        <v>9.4700000000000006</v>
      </c>
      <c r="C972" s="5">
        <f t="shared" si="84"/>
        <v>0.38790298860111089</v>
      </c>
      <c r="D972" s="33">
        <f t="shared" si="85"/>
        <v>3512.9795327043598</v>
      </c>
      <c r="E972" s="33">
        <f t="shared" si="86"/>
        <v>491040.30437874183</v>
      </c>
      <c r="F972" s="33">
        <f t="shared" si="87"/>
        <v>819559.69562125811</v>
      </c>
      <c r="G972" s="33">
        <f t="shared" si="88"/>
        <v>30214.621932310536</v>
      </c>
      <c r="H972" s="33">
        <f t="shared" si="89"/>
        <v>189400</v>
      </c>
    </row>
    <row r="973" spans="2:8" x14ac:dyDescent="0.25">
      <c r="B973" s="5">
        <f>(973-25)/100</f>
        <v>9.48</v>
      </c>
      <c r="C973" s="5">
        <f t="shared" si="84"/>
        <v>0.3875152794993697</v>
      </c>
      <c r="D973" s="33">
        <f t="shared" si="85"/>
        <v>3495.4584741893163</v>
      </c>
      <c r="E973" s="33">
        <f t="shared" si="86"/>
        <v>491342.31996810815</v>
      </c>
      <c r="F973" s="33">
        <f t="shared" si="87"/>
        <v>819057.68003189191</v>
      </c>
      <c r="G973" s="33">
        <f t="shared" si="88"/>
        <v>30188.496219387231</v>
      </c>
      <c r="H973" s="33">
        <f t="shared" si="89"/>
        <v>189600</v>
      </c>
    </row>
    <row r="974" spans="2:8" x14ac:dyDescent="0.25">
      <c r="B974" s="5">
        <f>(974-25)/100</f>
        <v>9.49</v>
      </c>
      <c r="C974" s="5">
        <f t="shared" si="84"/>
        <v>0.38712795791294036</v>
      </c>
      <c r="D974" s="33">
        <f t="shared" si="85"/>
        <v>3478.0248023181825</v>
      </c>
      <c r="E974" s="33">
        <f t="shared" si="86"/>
        <v>491644.07430893974</v>
      </c>
      <c r="F974" s="33">
        <f t="shared" si="87"/>
        <v>818555.92569106026</v>
      </c>
      <c r="G974" s="33">
        <f t="shared" si="88"/>
        <v>30162.37224946003</v>
      </c>
      <c r="H974" s="33">
        <f t="shared" si="89"/>
        <v>189800</v>
      </c>
    </row>
    <row r="975" spans="2:8" x14ac:dyDescent="0.25">
      <c r="B975" s="5">
        <f>(975-25)/100</f>
        <v>9.5</v>
      </c>
      <c r="C975" s="5">
        <f t="shared" si="84"/>
        <v>0.38674102345450118</v>
      </c>
      <c r="D975" s="33">
        <f t="shared" si="85"/>
        <v>3460.6780812482534</v>
      </c>
      <c r="E975" s="33">
        <f t="shared" si="86"/>
        <v>491945.56741938752</v>
      </c>
      <c r="F975" s="33">
        <f t="shared" si="87"/>
        <v>818054.43258061248</v>
      </c>
      <c r="G975" s="33">
        <f t="shared" si="88"/>
        <v>30136.250166566992</v>
      </c>
      <c r="H975" s="33">
        <f t="shared" si="89"/>
        <v>190000</v>
      </c>
    </row>
    <row r="976" spans="2:8" x14ac:dyDescent="0.25">
      <c r="B976" s="5">
        <f>(976-25)/100</f>
        <v>9.51</v>
      </c>
      <c r="C976" s="5">
        <f t="shared" si="84"/>
        <v>0.38635447573711768</v>
      </c>
      <c r="D976" s="33">
        <f t="shared" si="85"/>
        <v>3443.4178773106</v>
      </c>
      <c r="E976" s="33">
        <f t="shared" si="86"/>
        <v>492246.79931903799</v>
      </c>
      <c r="F976" s="33">
        <f t="shared" si="87"/>
        <v>817553.20068096207</v>
      </c>
      <c r="G976" s="33">
        <f t="shared" si="88"/>
        <v>30110.13011373012</v>
      </c>
      <c r="H976" s="33">
        <f t="shared" si="89"/>
        <v>190200</v>
      </c>
    </row>
    <row r="977" spans="2:8" x14ac:dyDescent="0.25">
      <c r="B977" s="5">
        <f>(977-25)/100</f>
        <v>9.52</v>
      </c>
      <c r="C977" s="5">
        <f t="shared" si="84"/>
        <v>0.38596831437424217</v>
      </c>
      <c r="D977" s="33">
        <f t="shared" si="85"/>
        <v>3426.2437589992242</v>
      </c>
      <c r="E977" s="33">
        <f t="shared" si="86"/>
        <v>492547.77002890245</v>
      </c>
      <c r="F977" s="33">
        <f t="shared" si="87"/>
        <v>817052.22997109755</v>
      </c>
      <c r="G977" s="33">
        <f t="shared" si="88"/>
        <v>30084.012232961653</v>
      </c>
      <c r="H977" s="33">
        <f t="shared" si="89"/>
        <v>190400</v>
      </c>
    </row>
    <row r="978" spans="2:8" x14ac:dyDescent="0.25">
      <c r="B978" s="5">
        <f>(978-25)/100</f>
        <v>9.5299999999999994</v>
      </c>
      <c r="C978" s="5">
        <f t="shared" si="84"/>
        <v>0.38558253897971312</v>
      </c>
      <c r="D978" s="33">
        <f t="shared" si="85"/>
        <v>3409.1552969602735</v>
      </c>
      <c r="E978" s="33">
        <f t="shared" si="86"/>
        <v>492848.47957140749</v>
      </c>
      <c r="F978" s="33">
        <f t="shared" si="87"/>
        <v>816551.52042859257</v>
      </c>
      <c r="G978" s="33">
        <f t="shared" si="88"/>
        <v>30057.8966652702</v>
      </c>
      <c r="H978" s="33">
        <f t="shared" si="89"/>
        <v>190600</v>
      </c>
    </row>
    <row r="979" spans="2:8" x14ac:dyDescent="0.25">
      <c r="B979" s="5">
        <f>(979-25)/100</f>
        <v>9.5399999999999991</v>
      </c>
      <c r="C979" s="5">
        <f t="shared" si="84"/>
        <v>0.38519714916775522</v>
      </c>
      <c r="D979" s="33">
        <f t="shared" si="85"/>
        <v>3392.1520639813075</v>
      </c>
      <c r="E979" s="33">
        <f t="shared" si="86"/>
        <v>493148.92797038489</v>
      </c>
      <c r="F979" s="33">
        <f t="shared" si="87"/>
        <v>816051.07202961505</v>
      </c>
      <c r="G979" s="33">
        <f t="shared" si="88"/>
        <v>30031.783550666947</v>
      </c>
      <c r="H979" s="33">
        <f t="shared" si="89"/>
        <v>190799.99999999997</v>
      </c>
    </row>
    <row r="980" spans="2:8" x14ac:dyDescent="0.25">
      <c r="B980" s="5">
        <f>(980-25)/100</f>
        <v>9.5500000000000007</v>
      </c>
      <c r="C980" s="5">
        <f t="shared" si="84"/>
        <v>0.38481214455297852</v>
      </c>
      <c r="D980" s="33">
        <f t="shared" si="85"/>
        <v>3375.2336349806124</v>
      </c>
      <c r="E980" s="33">
        <f t="shared" si="86"/>
        <v>493449.11525106145</v>
      </c>
      <c r="F980" s="33">
        <f t="shared" si="87"/>
        <v>815550.88474893849</v>
      </c>
      <c r="G980" s="33">
        <f t="shared" si="88"/>
        <v>30005.673028171739</v>
      </c>
      <c r="H980" s="33">
        <f t="shared" si="89"/>
        <v>191000</v>
      </c>
    </row>
    <row r="981" spans="2:8" x14ac:dyDescent="0.25">
      <c r="B981" s="5">
        <f>(981-25)/100</f>
        <v>9.56</v>
      </c>
      <c r="C981" s="5">
        <f t="shared" si="84"/>
        <v>0.3844275247503785</v>
      </c>
      <c r="D981" s="33">
        <f t="shared" si="85"/>
        <v>3358.3995869965884</v>
      </c>
      <c r="E981" s="33">
        <f t="shared" si="86"/>
        <v>493749.04144004895</v>
      </c>
      <c r="F981" s="33">
        <f t="shared" si="87"/>
        <v>815050.95855995105</v>
      </c>
      <c r="G981" s="33">
        <f t="shared" si="88"/>
        <v>29979.565235819206</v>
      </c>
      <c r="H981" s="33">
        <f t="shared" si="89"/>
        <v>191200</v>
      </c>
    </row>
    <row r="982" spans="2:8" x14ac:dyDescent="0.25">
      <c r="B982" s="5">
        <f>(982-25)/100</f>
        <v>9.57</v>
      </c>
      <c r="C982" s="5">
        <f t="shared" si="84"/>
        <v>0.38404328937533527</v>
      </c>
      <c r="D982" s="33">
        <f t="shared" si="85"/>
        <v>3341.649499177156</v>
      </c>
      <c r="E982" s="33">
        <f t="shared" si="86"/>
        <v>494048.70656533522</v>
      </c>
      <c r="F982" s="33">
        <f t="shared" si="87"/>
        <v>814551.29343466484</v>
      </c>
      <c r="G982" s="33">
        <f t="shared" si="88"/>
        <v>29953.460310664759</v>
      </c>
      <c r="H982" s="33">
        <f t="shared" si="89"/>
        <v>191400</v>
      </c>
    </row>
    <row r="983" spans="2:8" x14ac:dyDescent="0.25">
      <c r="B983" s="5">
        <f>(983-25)/100</f>
        <v>9.58</v>
      </c>
      <c r="C983" s="5">
        <f t="shared" si="84"/>
        <v>0.38365943804361335</v>
      </c>
      <c r="D983" s="33">
        <f t="shared" si="85"/>
        <v>3324.9829527692473</v>
      </c>
      <c r="E983" s="33">
        <f t="shared" si="86"/>
        <v>494348.11065627338</v>
      </c>
      <c r="F983" s="33">
        <f t="shared" si="87"/>
        <v>814051.88934372668</v>
      </c>
      <c r="G983" s="33">
        <f t="shared" si="88"/>
        <v>29927.358388790642</v>
      </c>
      <c r="H983" s="33">
        <f t="shared" si="89"/>
        <v>191600</v>
      </c>
    </row>
    <row r="984" spans="2:8" x14ac:dyDescent="0.25">
      <c r="B984" s="5">
        <f>(984-25)/100</f>
        <v>9.59</v>
      </c>
      <c r="C984" s="5">
        <f t="shared" si="84"/>
        <v>0.38327597037136152</v>
      </c>
      <c r="D984" s="33">
        <f t="shared" si="85"/>
        <v>3308.3995311083345</v>
      </c>
      <c r="E984" s="33">
        <f t="shared" si="86"/>
        <v>494647.25374357245</v>
      </c>
      <c r="F984" s="33">
        <f t="shared" si="87"/>
        <v>813552.74625642761</v>
      </c>
      <c r="G984" s="33">
        <f t="shared" si="88"/>
        <v>29901.259605311898</v>
      </c>
      <c r="H984" s="33">
        <f t="shared" si="89"/>
        <v>191800</v>
      </c>
    </row>
    <row r="985" spans="2:8" x14ac:dyDescent="0.25">
      <c r="B985" s="5">
        <f>(985-25)/100</f>
        <v>9.6</v>
      </c>
      <c r="C985" s="5">
        <f t="shared" ref="C985:C1025" si="90">EXP(-$C$10*B985)</f>
        <v>0.38289288597511206</v>
      </c>
      <c r="D985" s="33">
        <f t="shared" ref="D985:D1025" si="91">$C$7*EXP(-$C$9*B985)</f>
        <v>3291.8988196080122</v>
      </c>
      <c r="E985" s="33">
        <f t="shared" ref="E985:E1025" si="92">C985*D985+(1-C985)*$C$8</f>
        <v>494946.1358592881</v>
      </c>
      <c r="F985" s="33">
        <f t="shared" ref="F985:F1025" si="93">$C$12-E985-$C$11*B985</f>
        <v>813053.86414071196</v>
      </c>
      <c r="G985" s="33">
        <f t="shared" ref="G985:G1025" si="94">$C$10*$C$8*EXP(-$C$10*B985)-($C$9+$C$10)*$C$7*EXP(-($C$9+$C$10)*B985)</f>
        <v>29875.1640943823</v>
      </c>
      <c r="H985" s="33">
        <f t="shared" ref="H985:H1025" si="95">$C$11*B985</f>
        <v>192000</v>
      </c>
    </row>
    <row r="986" spans="2:8" x14ac:dyDescent="0.25">
      <c r="B986" s="5">
        <f>(986-25)/100</f>
        <v>9.61</v>
      </c>
      <c r="C986" s="5">
        <f t="shared" si="90"/>
        <v>0.38251018447178037</v>
      </c>
      <c r="D986" s="33">
        <f t="shared" si="91"/>
        <v>3275.4804057496331</v>
      </c>
      <c r="E986" s="33">
        <f t="shared" si="92"/>
        <v>495244.75703681266</v>
      </c>
      <c r="F986" s="33">
        <f t="shared" si="93"/>
        <v>812555.2429631874</v>
      </c>
      <c r="G986" s="33">
        <f t="shared" si="94"/>
        <v>29849.071989200231</v>
      </c>
      <c r="H986" s="33">
        <f t="shared" si="95"/>
        <v>192200</v>
      </c>
    </row>
    <row r="987" spans="2:8" x14ac:dyDescent="0.25">
      <c r="B987" s="5">
        <f>(987-25)/100</f>
        <v>9.6199999999999992</v>
      </c>
      <c r="C987" s="5">
        <f t="shared" si="90"/>
        <v>0.38212786547866506</v>
      </c>
      <c r="D987" s="33">
        <f t="shared" si="91"/>
        <v>3259.1438790719953</v>
      </c>
      <c r="E987" s="33">
        <f t="shared" si="92"/>
        <v>495543.11731086561</v>
      </c>
      <c r="F987" s="33">
        <f t="shared" si="93"/>
        <v>812056.88268913445</v>
      </c>
      <c r="G987" s="33">
        <f t="shared" si="94"/>
        <v>29822.983422014622</v>
      </c>
      <c r="H987" s="33">
        <f t="shared" si="95"/>
        <v>192399.99999999997</v>
      </c>
    </row>
    <row r="988" spans="2:8" x14ac:dyDescent="0.25">
      <c r="B988" s="5">
        <f>(988-25)/100</f>
        <v>9.6300000000000008</v>
      </c>
      <c r="C988" s="5">
        <f t="shared" si="90"/>
        <v>0.38174592861344703</v>
      </c>
      <c r="D988" s="33">
        <f t="shared" si="91"/>
        <v>3242.8888311610795</v>
      </c>
      <c r="E988" s="33">
        <f t="shared" si="92"/>
        <v>495841.21671748412</v>
      </c>
      <c r="F988" s="33">
        <f t="shared" si="93"/>
        <v>811558.78328251583</v>
      </c>
      <c r="G988" s="33">
        <f t="shared" si="94"/>
        <v>29796.898524130705</v>
      </c>
      <c r="H988" s="33">
        <f t="shared" si="95"/>
        <v>192600.00000000003</v>
      </c>
    </row>
    <row r="989" spans="2:8" x14ac:dyDescent="0.25">
      <c r="B989" s="5">
        <f>(989-25)/100</f>
        <v>9.64</v>
      </c>
      <c r="C989" s="5">
        <f t="shared" si="90"/>
        <v>0.3813643734941895</v>
      </c>
      <c r="D989" s="33">
        <f t="shared" si="91"/>
        <v>3226.7148556398456</v>
      </c>
      <c r="E989" s="33">
        <f t="shared" si="92"/>
        <v>496139.05529401387</v>
      </c>
      <c r="F989" s="33">
        <f t="shared" si="93"/>
        <v>811060.94470598618</v>
      </c>
      <c r="G989" s="33">
        <f t="shared" si="94"/>
        <v>29770.81742591587</v>
      </c>
      <c r="H989" s="33">
        <f t="shared" si="95"/>
        <v>192800</v>
      </c>
    </row>
    <row r="990" spans="2:8" x14ac:dyDescent="0.25">
      <c r="B990" s="5">
        <f>(990-25)/100</f>
        <v>9.65</v>
      </c>
      <c r="C990" s="5">
        <f t="shared" si="90"/>
        <v>0.3809831997393372</v>
      </c>
      <c r="D990" s="33">
        <f t="shared" si="91"/>
        <v>3210.6215481580616</v>
      </c>
      <c r="E990" s="33">
        <f t="shared" si="92"/>
        <v>496436.63307909959</v>
      </c>
      <c r="F990" s="33">
        <f t="shared" si="93"/>
        <v>810563.36692090041</v>
      </c>
      <c r="G990" s="33">
        <f t="shared" si="94"/>
        <v>29744.740256805384</v>
      </c>
      <c r="H990" s="33">
        <f t="shared" si="95"/>
        <v>193000</v>
      </c>
    </row>
    <row r="991" spans="2:8" x14ac:dyDescent="0.25">
      <c r="B991" s="5">
        <f>(991-25)/100</f>
        <v>9.66</v>
      </c>
      <c r="C991" s="5">
        <f t="shared" si="90"/>
        <v>0.38060240696771641</v>
      </c>
      <c r="D991" s="33">
        <f t="shared" si="91"/>
        <v>3194.6085063822011</v>
      </c>
      <c r="E991" s="33">
        <f t="shared" si="92"/>
        <v>496733.95011267549</v>
      </c>
      <c r="F991" s="33">
        <f t="shared" si="93"/>
        <v>810066.04988732445</v>
      </c>
      <c r="G991" s="33">
        <f t="shared" si="94"/>
        <v>29718.667145308151</v>
      </c>
      <c r="H991" s="33">
        <f t="shared" si="95"/>
        <v>193200</v>
      </c>
    </row>
    <row r="992" spans="2:8" x14ac:dyDescent="0.25">
      <c r="B992" s="5">
        <f>(992-25)/100</f>
        <v>9.67</v>
      </c>
      <c r="C992" s="5">
        <f t="shared" si="90"/>
        <v>0.3802219947985343</v>
      </c>
      <c r="D992" s="33">
        <f t="shared" si="91"/>
        <v>3178.6753299853858</v>
      </c>
      <c r="E992" s="33">
        <f t="shared" si="92"/>
        <v>497031.00643595646</v>
      </c>
      <c r="F992" s="33">
        <f t="shared" si="93"/>
        <v>809568.99356404354</v>
      </c>
      <c r="G992" s="33">
        <f t="shared" si="94"/>
        <v>29692.598219012383</v>
      </c>
      <c r="H992" s="33">
        <f t="shared" si="95"/>
        <v>193400</v>
      </c>
    </row>
    <row r="993" spans="2:8" x14ac:dyDescent="0.25">
      <c r="B993" s="5">
        <f>(993-25)/100</f>
        <v>9.68</v>
      </c>
      <c r="C993" s="5">
        <f t="shared" si="90"/>
        <v>0.37984196285137872</v>
      </c>
      <c r="D993" s="33">
        <f t="shared" si="91"/>
        <v>3162.8216206373768</v>
      </c>
      <c r="E993" s="33">
        <f t="shared" si="92"/>
        <v>497327.80209142872</v>
      </c>
      <c r="F993" s="33">
        <f t="shared" si="93"/>
        <v>809072.19790857122</v>
      </c>
      <c r="G993" s="33">
        <f t="shared" si="94"/>
        <v>29666.533604591292</v>
      </c>
      <c r="H993" s="33">
        <f t="shared" si="95"/>
        <v>193600</v>
      </c>
    </row>
    <row r="994" spans="2:8" x14ac:dyDescent="0.25">
      <c r="B994" s="5">
        <f>(994-25)/100</f>
        <v>9.69</v>
      </c>
      <c r="C994" s="5">
        <f t="shared" si="90"/>
        <v>0.37946231074621756</v>
      </c>
      <c r="D994" s="33">
        <f t="shared" si="91"/>
        <v>3147.0469819946138</v>
      </c>
      <c r="E994" s="33">
        <f t="shared" si="92"/>
        <v>497624.33712284046</v>
      </c>
      <c r="F994" s="33">
        <f t="shared" si="93"/>
        <v>808575.66287715954</v>
      </c>
      <c r="G994" s="33">
        <f t="shared" si="94"/>
        <v>29640.473427808651</v>
      </c>
      <c r="H994" s="33">
        <f t="shared" si="95"/>
        <v>193800</v>
      </c>
    </row>
    <row r="995" spans="2:8" x14ac:dyDescent="0.25">
      <c r="B995" s="5">
        <f>(995-25)/100</f>
        <v>9.6999999999999993</v>
      </c>
      <c r="C995" s="5">
        <f t="shared" si="90"/>
        <v>0.37908303810339883</v>
      </c>
      <c r="D995" s="33">
        <f t="shared" si="91"/>
        <v>3131.3510196903094</v>
      </c>
      <c r="E995" s="33">
        <f t="shared" si="92"/>
        <v>497920.61157519335</v>
      </c>
      <c r="F995" s="33">
        <f t="shared" si="93"/>
        <v>808079.38842480665</v>
      </c>
      <c r="G995" s="33">
        <f t="shared" si="94"/>
        <v>29614.41781352448</v>
      </c>
      <c r="H995" s="33">
        <f t="shared" si="95"/>
        <v>194000</v>
      </c>
    </row>
    <row r="996" spans="2:8" x14ac:dyDescent="0.25">
      <c r="B996" s="5">
        <f>(996-25)/100</f>
        <v>9.7100000000000009</v>
      </c>
      <c r="C996" s="5">
        <f t="shared" si="90"/>
        <v>0.3787041445436497</v>
      </c>
      <c r="D996" s="33">
        <f t="shared" si="91"/>
        <v>3115.7333413245865</v>
      </c>
      <c r="E996" s="33">
        <f t="shared" si="92"/>
        <v>498216.6254947327</v>
      </c>
      <c r="F996" s="33">
        <f t="shared" si="93"/>
        <v>807583.37450526725</v>
      </c>
      <c r="G996" s="33">
        <f t="shared" si="94"/>
        <v>29588.366885700503</v>
      </c>
      <c r="H996" s="33">
        <f t="shared" si="95"/>
        <v>194200.00000000003</v>
      </c>
    </row>
    <row r="997" spans="2:8" x14ac:dyDescent="0.25">
      <c r="B997" s="5">
        <f>(997-25)/100</f>
        <v>9.7200000000000006</v>
      </c>
      <c r="C997" s="5">
        <f t="shared" si="90"/>
        <v>0.37832562968807676</v>
      </c>
      <c r="D997" s="33">
        <f t="shared" si="91"/>
        <v>3100.193556454677</v>
      </c>
      <c r="E997" s="33">
        <f t="shared" si="92"/>
        <v>498512.37892893917</v>
      </c>
      <c r="F997" s="33">
        <f t="shared" si="93"/>
        <v>807087.62107106089</v>
      </c>
      <c r="G997" s="33">
        <f t="shared" si="94"/>
        <v>29562.320767405759</v>
      </c>
      <c r="H997" s="33">
        <f t="shared" si="95"/>
        <v>194400</v>
      </c>
    </row>
    <row r="998" spans="2:8" x14ac:dyDescent="0.25">
      <c r="B998" s="5">
        <f>(998-25)/100</f>
        <v>9.73</v>
      </c>
      <c r="C998" s="5">
        <f t="shared" si="90"/>
        <v>0.377947493158165</v>
      </c>
      <c r="D998" s="33">
        <f t="shared" si="91"/>
        <v>3084.7312765851475</v>
      </c>
      <c r="E998" s="33">
        <f t="shared" si="92"/>
        <v>498807.8719265199</v>
      </c>
      <c r="F998" s="33">
        <f t="shared" si="93"/>
        <v>806592.1280734801</v>
      </c>
      <c r="G998" s="33">
        <f t="shared" si="94"/>
        <v>29536.279580822036</v>
      </c>
      <c r="H998" s="33">
        <f t="shared" si="95"/>
        <v>194600</v>
      </c>
    </row>
    <row r="999" spans="2:8" x14ac:dyDescent="0.25">
      <c r="B999" s="5">
        <f>(999-25)/100</f>
        <v>9.74</v>
      </c>
      <c r="C999" s="5">
        <f t="shared" si="90"/>
        <v>0.37756973457577792</v>
      </c>
      <c r="D999" s="33">
        <f t="shared" si="91"/>
        <v>3069.3461151581955</v>
      </c>
      <c r="E999" s="33">
        <f t="shared" si="92"/>
        <v>499103.10453739914</v>
      </c>
      <c r="F999" s="33">
        <f t="shared" si="93"/>
        <v>806096.89546260086</v>
      </c>
      <c r="G999" s="33">
        <f t="shared" si="94"/>
        <v>29510.243447249348</v>
      </c>
      <c r="H999" s="33">
        <f t="shared" si="95"/>
        <v>194800</v>
      </c>
    </row>
    <row r="1000" spans="2:8" x14ac:dyDescent="0.25">
      <c r="B1000" s="5">
        <f>(1000-25)/100</f>
        <v>9.75</v>
      </c>
      <c r="C1000" s="5">
        <f t="shared" si="90"/>
        <v>0.37719235356315689</v>
      </c>
      <c r="D1000" s="33">
        <f t="shared" si="91"/>
        <v>3054.0376875439847</v>
      </c>
      <c r="E1000" s="33">
        <f t="shared" si="92"/>
        <v>499398.07681270974</v>
      </c>
      <c r="F1000" s="33">
        <f t="shared" si="93"/>
        <v>805601.92318729032</v>
      </c>
      <c r="G1000" s="33">
        <f t="shared" si="94"/>
        <v>29484.212487111374</v>
      </c>
      <c r="H1000" s="33">
        <f t="shared" si="95"/>
        <v>195000</v>
      </c>
    </row>
    <row r="1001" spans="2:8" x14ac:dyDescent="0.25">
      <c r="B1001" s="5">
        <f>(1001-25)/100</f>
        <v>9.76</v>
      </c>
      <c r="C1001" s="5">
        <f t="shared" si="90"/>
        <v>0.37681534974292086</v>
      </c>
      <c r="D1001" s="33">
        <f t="shared" si="91"/>
        <v>3038.8056110310267</v>
      </c>
      <c r="E1001" s="33">
        <f t="shared" si="92"/>
        <v>499692.78880478471</v>
      </c>
      <c r="F1001" s="33">
        <f t="shared" si="93"/>
        <v>805107.21119521535</v>
      </c>
      <c r="G1001" s="33">
        <f t="shared" si="94"/>
        <v>29458.186819960825</v>
      </c>
      <c r="H1001" s="33">
        <f t="shared" si="95"/>
        <v>195200</v>
      </c>
    </row>
    <row r="1002" spans="2:8" x14ac:dyDescent="0.25">
      <c r="B1002" s="5">
        <f>(1002-25)/100</f>
        <v>9.77</v>
      </c>
      <c r="C1002" s="5">
        <f t="shared" si="90"/>
        <v>0.37643872273806595</v>
      </c>
      <c r="D1002" s="33">
        <f t="shared" si="91"/>
        <v>3023.6495048166166</v>
      </c>
      <c r="E1002" s="33">
        <f t="shared" si="92"/>
        <v>499987.24056714802</v>
      </c>
      <c r="F1002" s="33">
        <f t="shared" si="93"/>
        <v>804612.75943285204</v>
      </c>
      <c r="G1002" s="33">
        <f t="shared" si="94"/>
        <v>29432.166564484825</v>
      </c>
      <c r="H1002" s="33">
        <f t="shared" si="95"/>
        <v>195400</v>
      </c>
    </row>
    <row r="1003" spans="2:8" x14ac:dyDescent="0.25">
      <c r="B1003" s="5">
        <f>(1003-25)/100</f>
        <v>9.7799999999999994</v>
      </c>
      <c r="C1003" s="5">
        <f t="shared" si="90"/>
        <v>0.37606247217196515</v>
      </c>
      <c r="D1003" s="33">
        <f t="shared" si="91"/>
        <v>3008.5689899973081</v>
      </c>
      <c r="E1003" s="33">
        <f t="shared" si="92"/>
        <v>500281.43215450615</v>
      </c>
      <c r="F1003" s="33">
        <f t="shared" si="93"/>
        <v>804118.56784549379</v>
      </c>
      <c r="G1003" s="33">
        <f t="shared" si="94"/>
        <v>29406.151838510232</v>
      </c>
      <c r="H1003" s="33">
        <f t="shared" si="95"/>
        <v>195600</v>
      </c>
    </row>
    <row r="1004" spans="2:8" x14ac:dyDescent="0.25">
      <c r="B1004" s="5">
        <f>(1004-25)/100</f>
        <v>9.7899999999999991</v>
      </c>
      <c r="C1004" s="5">
        <f t="shared" si="90"/>
        <v>0.37568659766836787</v>
      </c>
      <c r="D1004" s="33">
        <f t="shared" si="91"/>
        <v>2993.5636895594457</v>
      </c>
      <c r="E1004" s="33">
        <f t="shared" si="92"/>
        <v>500575.36362273985</v>
      </c>
      <c r="F1004" s="33">
        <f t="shared" si="93"/>
        <v>803624.63637726009</v>
      </c>
      <c r="G1004" s="33">
        <f t="shared" si="94"/>
        <v>29380.142759008937</v>
      </c>
      <c r="H1004" s="33">
        <f t="shared" si="95"/>
        <v>195799.99999999997</v>
      </c>
    </row>
    <row r="1005" spans="2:8" x14ac:dyDescent="0.25">
      <c r="B1005" s="5">
        <f>(1005-25)/100</f>
        <v>9.8000000000000007</v>
      </c>
      <c r="C1005" s="5">
        <f t="shared" si="90"/>
        <v>0.37531109885139952</v>
      </c>
      <c r="D1005" s="33">
        <f t="shared" si="91"/>
        <v>2978.6332283697352</v>
      </c>
      <c r="E1005" s="33">
        <f t="shared" si="92"/>
        <v>500869.03502889519</v>
      </c>
      <c r="F1005" s="33">
        <f t="shared" si="93"/>
        <v>803130.96497110487</v>
      </c>
      <c r="G1005" s="33">
        <f t="shared" si="94"/>
        <v>29354.139442103122</v>
      </c>
      <c r="H1005" s="33">
        <f t="shared" si="95"/>
        <v>196000</v>
      </c>
    </row>
    <row r="1006" spans="2:8" x14ac:dyDescent="0.25">
      <c r="B1006" s="5">
        <f>(1006-25)/100</f>
        <v>9.81</v>
      </c>
      <c r="C1006" s="5">
        <f t="shared" si="90"/>
        <v>0.37493597534556133</v>
      </c>
      <c r="D1006" s="33">
        <f t="shared" si="91"/>
        <v>2963.7772331658734</v>
      </c>
      <c r="E1006" s="33">
        <f t="shared" si="92"/>
        <v>501162.44643117499</v>
      </c>
      <c r="F1006" s="33">
        <f t="shared" si="93"/>
        <v>802637.55356882501</v>
      </c>
      <c r="G1006" s="33">
        <f t="shared" si="94"/>
        <v>29328.142003070498</v>
      </c>
      <c r="H1006" s="33">
        <f t="shared" si="95"/>
        <v>196200</v>
      </c>
    </row>
    <row r="1007" spans="2:8" x14ac:dyDescent="0.25">
      <c r="B1007" s="5">
        <f>(1007-25)/100</f>
        <v>9.82</v>
      </c>
      <c r="C1007" s="5">
        <f t="shared" si="90"/>
        <v>0.37456122677572973</v>
      </c>
      <c r="D1007" s="33">
        <f t="shared" si="91"/>
        <v>2948.9953325472047</v>
      </c>
      <c r="E1007" s="33">
        <f t="shared" si="92"/>
        <v>501455.59788893105</v>
      </c>
      <c r="F1007" s="33">
        <f t="shared" si="93"/>
        <v>802144.40211106895</v>
      </c>
      <c r="G1007" s="33">
        <f t="shared" si="94"/>
        <v>29302.150556349508</v>
      </c>
      <c r="H1007" s="33">
        <f t="shared" si="95"/>
        <v>196400</v>
      </c>
    </row>
    <row r="1008" spans="2:8" x14ac:dyDescent="0.25">
      <c r="B1008" s="5">
        <f>(1008-25)/100</f>
        <v>9.83</v>
      </c>
      <c r="C1008" s="5">
        <f t="shared" si="90"/>
        <v>0.37418685276715613</v>
      </c>
      <c r="D1008" s="33">
        <f t="shared" si="91"/>
        <v>2934.287156965443</v>
      </c>
      <c r="E1008" s="33">
        <f t="shared" si="92"/>
        <v>501748.48946265504</v>
      </c>
      <c r="F1008" s="33">
        <f t="shared" si="93"/>
        <v>801651.51053734496</v>
      </c>
      <c r="G1008" s="33">
        <f t="shared" si="94"/>
        <v>29276.165215544501</v>
      </c>
      <c r="H1008" s="33">
        <f t="shared" si="95"/>
        <v>196600</v>
      </c>
    </row>
    <row r="1009" spans="2:8" x14ac:dyDescent="0.25">
      <c r="B1009" s="5">
        <f>(1009-25)/100</f>
        <v>9.84</v>
      </c>
      <c r="C1009" s="5">
        <f t="shared" si="90"/>
        <v>0.37381285294546651</v>
      </c>
      <c r="D1009" s="33">
        <f t="shared" si="91"/>
        <v>2919.652338715433</v>
      </c>
      <c r="E1009" s="33">
        <f t="shared" si="92"/>
        <v>502041.12121397094</v>
      </c>
      <c r="F1009" s="33">
        <f t="shared" si="93"/>
        <v>801158.87878602906</v>
      </c>
      <c r="G1009" s="33">
        <f t="shared" si="94"/>
        <v>29250.18609343085</v>
      </c>
      <c r="H1009" s="33">
        <f t="shared" si="95"/>
        <v>196800</v>
      </c>
    </row>
    <row r="1010" spans="2:8" x14ac:dyDescent="0.25">
      <c r="B1010" s="5">
        <f>(1010-25)/100</f>
        <v>9.85</v>
      </c>
      <c r="C1010" s="5">
        <f t="shared" si="90"/>
        <v>0.37343922693666093</v>
      </c>
      <c r="D1010" s="33">
        <f t="shared" si="91"/>
        <v>2905.0905119259564</v>
      </c>
      <c r="E1010" s="33">
        <f t="shared" si="92"/>
        <v>502333.49320562597</v>
      </c>
      <c r="F1010" s="33">
        <f t="shared" si="93"/>
        <v>800666.50679437397</v>
      </c>
      <c r="G1010" s="33">
        <f t="shared" si="94"/>
        <v>29224.213301960077</v>
      </c>
      <c r="H1010" s="33">
        <f t="shared" si="95"/>
        <v>197000</v>
      </c>
    </row>
    <row r="1011" spans="2:8" x14ac:dyDescent="0.25">
      <c r="B1011" s="5">
        <f>(1011-25)/100</f>
        <v>9.86</v>
      </c>
      <c r="C1011" s="5">
        <f t="shared" si="90"/>
        <v>0.37306597436711342</v>
      </c>
      <c r="D1011" s="33">
        <f t="shared" si="91"/>
        <v>2890.6013125505851</v>
      </c>
      <c r="E1011" s="33">
        <f t="shared" si="92"/>
        <v>502625.60550148279</v>
      </c>
      <c r="F1011" s="33">
        <f t="shared" si="93"/>
        <v>800174.39449851727</v>
      </c>
      <c r="G1011" s="33">
        <f t="shared" si="94"/>
        <v>29198.246952264948</v>
      </c>
      <c r="H1011" s="33">
        <f t="shared" si="95"/>
        <v>197200</v>
      </c>
    </row>
    <row r="1012" spans="2:8" x14ac:dyDescent="0.25">
      <c r="B1012" s="5">
        <f>(1012-25)/100</f>
        <v>9.8699999999999992</v>
      </c>
      <c r="C1012" s="5">
        <f t="shared" si="90"/>
        <v>0.37269309486357138</v>
      </c>
      <c r="D1012" s="33">
        <f t="shared" si="91"/>
        <v>2876.1843783585791</v>
      </c>
      <c r="E1012" s="33">
        <f t="shared" si="92"/>
        <v>502917.45816651161</v>
      </c>
      <c r="F1012" s="33">
        <f t="shared" si="93"/>
        <v>799682.54183348839</v>
      </c>
      <c r="G1012" s="33">
        <f t="shared" si="94"/>
        <v>29172.287154664482</v>
      </c>
      <c r="H1012" s="33">
        <f t="shared" si="95"/>
        <v>197399.99999999997</v>
      </c>
    </row>
    <row r="1013" spans="2:8" x14ac:dyDescent="0.25">
      <c r="B1013" s="5">
        <f>(1013-25)/100</f>
        <v>9.8800000000000008</v>
      </c>
      <c r="C1013" s="5">
        <f t="shared" si="90"/>
        <v>0.37232058805315521</v>
      </c>
      <c r="D1013" s="33">
        <f t="shared" si="91"/>
        <v>2861.8393489258315</v>
      </c>
      <c r="E1013" s="33">
        <f t="shared" si="92"/>
        <v>503209.05126678146</v>
      </c>
      <c r="F1013" s="33">
        <f t="shared" si="93"/>
        <v>799190.94873321848</v>
      </c>
      <c r="G1013" s="33">
        <f t="shared" si="94"/>
        <v>29146.334018668978</v>
      </c>
      <c r="H1013" s="33">
        <f t="shared" si="95"/>
        <v>197600.00000000003</v>
      </c>
    </row>
    <row r="1014" spans="2:8" x14ac:dyDescent="0.25">
      <c r="B1014" s="5">
        <f>(1014-25)/100</f>
        <v>9.89</v>
      </c>
      <c r="C1014" s="5">
        <f t="shared" si="90"/>
        <v>0.37194845356335815</v>
      </c>
      <c r="D1014" s="33">
        <f t="shared" si="91"/>
        <v>2847.5658656258638</v>
      </c>
      <c r="E1014" s="33">
        <f t="shared" si="92"/>
        <v>503500.38486945286</v>
      </c>
      <c r="F1014" s="33">
        <f t="shared" si="93"/>
        <v>798699.6151305472</v>
      </c>
      <c r="G1014" s="33">
        <f t="shared" si="94"/>
        <v>29120.387652985042</v>
      </c>
      <c r="H1014" s="33">
        <f t="shared" si="95"/>
        <v>197800</v>
      </c>
    </row>
    <row r="1015" spans="2:8" x14ac:dyDescent="0.25">
      <c r="B1015" s="5">
        <f>(1015-25)/100</f>
        <v>9.9</v>
      </c>
      <c r="C1015" s="5">
        <f t="shared" si="90"/>
        <v>0.37157669102204566</v>
      </c>
      <c r="D1015" s="33">
        <f t="shared" si="91"/>
        <v>2833.3635716208473</v>
      </c>
      <c r="E1015" s="33">
        <f t="shared" si="92"/>
        <v>503791.45904276869</v>
      </c>
      <c r="F1015" s="33">
        <f t="shared" si="93"/>
        <v>798208.54095723131</v>
      </c>
      <c r="G1015" s="33">
        <f t="shared" si="94"/>
        <v>29094.448165520487</v>
      </c>
      <c r="H1015" s="33">
        <f t="shared" si="95"/>
        <v>198000</v>
      </c>
    </row>
    <row r="1016" spans="2:8" x14ac:dyDescent="0.25">
      <c r="B1016" s="5">
        <f>(1016-25)/100</f>
        <v>9.91</v>
      </c>
      <c r="C1016" s="5">
        <f t="shared" si="90"/>
        <v>0.37120530005745517</v>
      </c>
      <c r="D1016" s="33">
        <f t="shared" si="91"/>
        <v>2819.2321118526929</v>
      </c>
      <c r="E1016" s="33">
        <f t="shared" si="92"/>
        <v>504082.27385604783</v>
      </c>
      <c r="F1016" s="33">
        <f t="shared" si="93"/>
        <v>797717.72614395223</v>
      </c>
      <c r="G1016" s="33">
        <f t="shared" si="94"/>
        <v>29068.51566338928</v>
      </c>
      <c r="H1016" s="33">
        <f t="shared" si="95"/>
        <v>198200</v>
      </c>
    </row>
    <row r="1017" spans="2:8" x14ac:dyDescent="0.25">
      <c r="B1017" s="5">
        <f>(1017-25)/100</f>
        <v>9.92</v>
      </c>
      <c r="C1017" s="5">
        <f t="shared" si="90"/>
        <v>0.37083428029819565</v>
      </c>
      <c r="D1017" s="33">
        <f t="shared" si="91"/>
        <v>2805.17113303417</v>
      </c>
      <c r="E1017" s="33">
        <f t="shared" si="92"/>
        <v>504372.82937967544</v>
      </c>
      <c r="F1017" s="33">
        <f t="shared" si="93"/>
        <v>797227.17062032456</v>
      </c>
      <c r="G1017" s="33">
        <f t="shared" si="94"/>
        <v>29042.590252916452</v>
      </c>
      <c r="H1017" s="33">
        <f t="shared" si="95"/>
        <v>198400</v>
      </c>
    </row>
    <row r="1018" spans="2:8" x14ac:dyDescent="0.25">
      <c r="B1018" s="5">
        <f>(1018-25)/100</f>
        <v>9.93</v>
      </c>
      <c r="C1018" s="5">
        <f t="shared" si="90"/>
        <v>0.37046363137324734</v>
      </c>
      <c r="D1018" s="33">
        <f t="shared" si="91"/>
        <v>2791.1802836400752</v>
      </c>
      <c r="E1018" s="33">
        <f t="shared" si="92"/>
        <v>504663.12568509683</v>
      </c>
      <c r="F1018" s="33">
        <f t="shared" si="93"/>
        <v>796736.87431490317</v>
      </c>
      <c r="G1018" s="33">
        <f t="shared" si="94"/>
        <v>29016.672039642959</v>
      </c>
      <c r="H1018" s="33">
        <f t="shared" si="95"/>
        <v>198600</v>
      </c>
    </row>
    <row r="1019" spans="2:8" x14ac:dyDescent="0.25">
      <c r="B1019" s="5">
        <f>(1019-25)/100</f>
        <v>9.94</v>
      </c>
      <c r="C1019" s="5">
        <f t="shared" si="90"/>
        <v>0.37009335291196127</v>
      </c>
      <c r="D1019" s="33">
        <f t="shared" si="91"/>
        <v>2777.259213898446</v>
      </c>
      <c r="E1019" s="33">
        <f t="shared" si="92"/>
        <v>504953.16284480836</v>
      </c>
      <c r="F1019" s="33">
        <f t="shared" si="93"/>
        <v>796246.83715519169</v>
      </c>
      <c r="G1019" s="33">
        <f t="shared" si="94"/>
        <v>28990.761128330512</v>
      </c>
      <c r="H1019" s="33">
        <f t="shared" si="95"/>
        <v>198800</v>
      </c>
    </row>
    <row r="1020" spans="2:8" x14ac:dyDescent="0.25">
      <c r="B1020" s="5">
        <f>(1020-25)/100</f>
        <v>9.9499999999999993</v>
      </c>
      <c r="C1020" s="5">
        <f t="shared" si="90"/>
        <v>0.36972344454405898</v>
      </c>
      <c r="D1020" s="33">
        <f t="shared" si="91"/>
        <v>2763.4075757818127</v>
      </c>
      <c r="E1020" s="33">
        <f t="shared" si="92"/>
        <v>505242.94093235006</v>
      </c>
      <c r="F1020" s="33">
        <f t="shared" si="93"/>
        <v>795757.05906765</v>
      </c>
      <c r="G1020" s="33">
        <f t="shared" si="94"/>
        <v>28964.8576229664</v>
      </c>
      <c r="H1020" s="33">
        <f t="shared" si="95"/>
        <v>199000</v>
      </c>
    </row>
    <row r="1021" spans="2:8" x14ac:dyDescent="0.25">
      <c r="B1021" s="5">
        <f>(1021-25)/100</f>
        <v>9.9600000000000009</v>
      </c>
      <c r="C1021" s="5">
        <f t="shared" si="90"/>
        <v>0.36935390589963196</v>
      </c>
      <c r="D1021" s="33">
        <f t="shared" si="91"/>
        <v>2749.6250229984994</v>
      </c>
      <c r="E1021" s="33">
        <f t="shared" si="92"/>
        <v>505532.46002229827</v>
      </c>
      <c r="F1021" s="33">
        <f t="shared" si="93"/>
        <v>795267.53997770173</v>
      </c>
      <c r="G1021" s="33">
        <f t="shared" si="94"/>
        <v>28938.96162676824</v>
      </c>
      <c r="H1021" s="33">
        <f t="shared" si="95"/>
        <v>199200.00000000003</v>
      </c>
    </row>
    <row r="1022" spans="2:8" x14ac:dyDescent="0.25">
      <c r="B1022" s="5">
        <f>(1022-25)/100</f>
        <v>9.9700000000000006</v>
      </c>
      <c r="C1022" s="5">
        <f t="shared" si="90"/>
        <v>0.36898473660914172</v>
      </c>
      <c r="D1022" s="33">
        <f t="shared" si="91"/>
        <v>2735.9112109839734</v>
      </c>
      <c r="E1022" s="33">
        <f t="shared" si="92"/>
        <v>505821.72019025759</v>
      </c>
      <c r="F1022" s="33">
        <f t="shared" si="93"/>
        <v>794778.27980974247</v>
      </c>
      <c r="G1022" s="33">
        <f t="shared" si="94"/>
        <v>28913.073242188788</v>
      </c>
      <c r="H1022" s="33">
        <f t="shared" si="95"/>
        <v>199400</v>
      </c>
    </row>
    <row r="1023" spans="2:8" x14ac:dyDescent="0.25">
      <c r="B1023" s="5">
        <f>(1023-25)/100</f>
        <v>9.98</v>
      </c>
      <c r="C1023" s="5">
        <f t="shared" si="90"/>
        <v>0.36861593630341877</v>
      </c>
      <c r="D1023" s="33">
        <f t="shared" si="91"/>
        <v>2722.2657968922172</v>
      </c>
      <c r="E1023" s="33">
        <f t="shared" si="92"/>
        <v>506110.72151285323</v>
      </c>
      <c r="F1023" s="33">
        <f t="shared" si="93"/>
        <v>794289.27848714683</v>
      </c>
      <c r="G1023" s="33">
        <f t="shared" si="94"/>
        <v>28887.192570920583</v>
      </c>
      <c r="H1023" s="33">
        <f t="shared" si="95"/>
        <v>199600</v>
      </c>
    </row>
    <row r="1024" spans="2:8" x14ac:dyDescent="0.25">
      <c r="B1024" s="5">
        <f>(1024-25)/100</f>
        <v>9.99</v>
      </c>
      <c r="C1024" s="5">
        <f t="shared" si="90"/>
        <v>0.3682475046136629</v>
      </c>
      <c r="D1024" s="33">
        <f t="shared" si="91"/>
        <v>2708.6884395871684</v>
      </c>
      <c r="E1024" s="33">
        <f t="shared" si="92"/>
        <v>506399.4640677236</v>
      </c>
      <c r="F1024" s="33">
        <f t="shared" si="93"/>
        <v>793800.5359322764</v>
      </c>
      <c r="G1024" s="33">
        <f t="shared" si="94"/>
        <v>28861.319713900721</v>
      </c>
      <c r="H1024" s="33">
        <f t="shared" si="95"/>
        <v>199800</v>
      </c>
    </row>
    <row r="1025" spans="2:8" x14ac:dyDescent="0.25">
      <c r="B1025" s="5">
        <f>(1025-25)/100</f>
        <v>10</v>
      </c>
      <c r="C1025" s="5">
        <f t="shared" si="90"/>
        <v>0.36787944117144233</v>
      </c>
      <c r="D1025" s="33">
        <f t="shared" si="91"/>
        <v>2695.1787996341868</v>
      </c>
      <c r="E1025" s="33">
        <f t="shared" si="92"/>
        <v>506687.94793351268</v>
      </c>
      <c r="F1025" s="33">
        <f t="shared" si="93"/>
        <v>793312.05206648726</v>
      </c>
      <c r="G1025" s="33">
        <f t="shared" si="94"/>
        <v>28835.454771315461</v>
      </c>
      <c r="H1025" s="33">
        <f t="shared" si="95"/>
        <v>200000</v>
      </c>
    </row>
  </sheetData>
  <mergeCells count="2">
    <mergeCell ref="B2:H2"/>
    <mergeCell ref="B3:H4"/>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D10"/>
  <sheetViews>
    <sheetView workbookViewId="0"/>
  </sheetViews>
  <sheetFormatPr baseColWidth="10" defaultColWidth="9.140625" defaultRowHeight="15" x14ac:dyDescent="0.25"/>
  <cols>
    <col min="2" max="2" width="27" customWidth="1"/>
    <col min="3" max="3" width="55" customWidth="1"/>
    <col min="4" max="4" width="75" customWidth="1"/>
  </cols>
  <sheetData>
    <row r="2" spans="2:4" ht="33.950000000000003" customHeight="1" x14ac:dyDescent="0.25">
      <c r="B2" s="7" t="s">
        <v>203</v>
      </c>
      <c r="C2" s="7" t="s">
        <v>204</v>
      </c>
      <c r="D2" s="7" t="s">
        <v>205</v>
      </c>
    </row>
    <row r="3" spans="2:4" ht="42" customHeight="1" x14ac:dyDescent="0.25">
      <c r="B3" s="10" t="s">
        <v>206</v>
      </c>
      <c r="C3" s="10" t="s">
        <v>207</v>
      </c>
      <c r="D3" s="10" t="s">
        <v>208</v>
      </c>
    </row>
    <row r="4" spans="2:4" ht="42" customHeight="1" x14ac:dyDescent="0.25">
      <c r="B4" s="10" t="s">
        <v>209</v>
      </c>
      <c r="C4" s="10" t="s">
        <v>210</v>
      </c>
      <c r="D4" s="10" t="s">
        <v>211</v>
      </c>
    </row>
    <row r="5" spans="2:4" ht="42" customHeight="1" x14ac:dyDescent="0.25">
      <c r="B5" s="10" t="s">
        <v>212</v>
      </c>
      <c r="C5" s="10" t="s">
        <v>213</v>
      </c>
      <c r="D5" s="10" t="s">
        <v>214</v>
      </c>
    </row>
    <row r="6" spans="2:4" ht="42" customHeight="1" x14ac:dyDescent="0.25">
      <c r="B6" s="10" t="s">
        <v>215</v>
      </c>
      <c r="C6" s="10" t="s">
        <v>216</v>
      </c>
      <c r="D6" s="10" t="s">
        <v>217</v>
      </c>
    </row>
    <row r="7" spans="2:4" ht="42" customHeight="1" x14ac:dyDescent="0.25">
      <c r="B7" s="10" t="s">
        <v>218</v>
      </c>
      <c r="C7" s="10" t="s">
        <v>219</v>
      </c>
      <c r="D7" s="10" t="s">
        <v>220</v>
      </c>
    </row>
    <row r="8" spans="2:4" ht="42" customHeight="1" x14ac:dyDescent="0.25">
      <c r="B8" s="10" t="s">
        <v>221</v>
      </c>
      <c r="C8" s="10" t="s">
        <v>222</v>
      </c>
      <c r="D8" s="10" t="s">
        <v>223</v>
      </c>
    </row>
    <row r="9" spans="2:4" ht="42" customHeight="1" x14ac:dyDescent="0.25">
      <c r="B9" s="10" t="s">
        <v>224</v>
      </c>
      <c r="C9" s="10" t="s">
        <v>225</v>
      </c>
      <c r="D9" s="10" t="s">
        <v>226</v>
      </c>
    </row>
    <row r="10" spans="2:4" ht="42" customHeight="1" x14ac:dyDescent="0.25">
      <c r="B10" s="10" t="s">
        <v>227</v>
      </c>
      <c r="C10" s="10" t="s">
        <v>228</v>
      </c>
      <c r="D10" s="10" t="s">
        <v>229</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G17"/>
  <sheetViews>
    <sheetView workbookViewId="0"/>
  </sheetViews>
  <sheetFormatPr baseColWidth="10" defaultColWidth="9.140625" defaultRowHeight="15" x14ac:dyDescent="0.25"/>
  <cols>
    <col min="2" max="2" width="42" customWidth="1"/>
    <col min="3" max="6" width="20" customWidth="1"/>
    <col min="7" max="7" width="49" customWidth="1"/>
  </cols>
  <sheetData>
    <row r="2" spans="2:7" x14ac:dyDescent="0.25">
      <c r="B2" s="62" t="s">
        <v>230</v>
      </c>
      <c r="C2" s="62"/>
      <c r="D2" s="62"/>
      <c r="E2" s="62"/>
      <c r="F2" s="62"/>
      <c r="G2" s="62"/>
    </row>
    <row r="3" spans="2:7" x14ac:dyDescent="0.25">
      <c r="B3" s="61" t="s">
        <v>231</v>
      </c>
      <c r="C3" s="61"/>
      <c r="D3" s="61"/>
      <c r="E3" s="61"/>
      <c r="F3" s="61"/>
      <c r="G3" s="61"/>
    </row>
    <row r="5" spans="2:7" ht="33.950000000000003" customHeight="1" x14ac:dyDescent="0.25">
      <c r="B5" s="7" t="s">
        <v>232</v>
      </c>
      <c r="C5" s="7" t="s">
        <v>233</v>
      </c>
      <c r="D5" s="7" t="s">
        <v>234</v>
      </c>
      <c r="E5" s="7" t="s">
        <v>235</v>
      </c>
      <c r="F5" s="7" t="s">
        <v>141</v>
      </c>
      <c r="G5" s="7" t="s">
        <v>236</v>
      </c>
    </row>
    <row r="6" spans="2:7" ht="33.950000000000003" customHeight="1" x14ac:dyDescent="0.25">
      <c r="B6" s="10" t="s">
        <v>237</v>
      </c>
      <c r="C6" s="46">
        <f>Dashboard!C42+Dashboard!C43+Dashboard!C28*Dashboard!C24-Dashboard!C21</f>
        <v>0</v>
      </c>
      <c r="D6" s="46">
        <v>0</v>
      </c>
      <c r="E6" s="46">
        <v>9.9999999999999995E-8</v>
      </c>
      <c r="F6" s="10" t="str">
        <f t="shared" ref="F6:F17" si="0">IF(ABS(C6-D6)&lt;=E6,"PASS","CHECK")</f>
        <v>PASS</v>
      </c>
      <c r="G6" s="10" t="s">
        <v>238</v>
      </c>
    </row>
    <row r="7" spans="2:7" ht="33.950000000000003" customHeight="1" x14ac:dyDescent="0.25">
      <c r="B7" s="10" t="s">
        <v>239</v>
      </c>
      <c r="C7" s="46">
        <f>Dashboard!C27</f>
        <v>400000</v>
      </c>
      <c r="D7" s="46">
        <v>400000</v>
      </c>
      <c r="E7" s="46">
        <v>9.9999999999999995E-8</v>
      </c>
      <c r="F7" s="10" t="str">
        <f t="shared" si="0"/>
        <v>PASS</v>
      </c>
      <c r="G7" s="10" t="s">
        <v>240</v>
      </c>
    </row>
    <row r="8" spans="2:7" ht="33.950000000000003" customHeight="1" x14ac:dyDescent="0.25">
      <c r="B8" s="10" t="s">
        <v>241</v>
      </c>
      <c r="C8" s="46">
        <f>Dashboard!C31</f>
        <v>142857.14285714287</v>
      </c>
      <c r="D8" s="46">
        <v>142857.14285714287</v>
      </c>
      <c r="E8" s="46">
        <v>9.9999999999999995E-8</v>
      </c>
      <c r="F8" s="10" t="str">
        <f t="shared" si="0"/>
        <v>PASS</v>
      </c>
      <c r="G8" s="10" t="s">
        <v>240</v>
      </c>
    </row>
    <row r="9" spans="2:7" ht="33.950000000000003" customHeight="1" x14ac:dyDescent="0.25">
      <c r="B9" s="10" t="s">
        <v>242</v>
      </c>
      <c r="C9" s="46">
        <f>Dashboard!C32</f>
        <v>1.45</v>
      </c>
      <c r="D9" s="46">
        <v>1.45</v>
      </c>
      <c r="E9" s="46">
        <v>9.9999999999999995E-7</v>
      </c>
      <c r="F9" s="10" t="str">
        <f t="shared" si="0"/>
        <v>PASS</v>
      </c>
      <c r="G9" s="10" t="s">
        <v>243</v>
      </c>
    </row>
    <row r="10" spans="2:7" ht="33.950000000000003" customHeight="1" x14ac:dyDescent="0.25">
      <c r="B10" s="10" t="s">
        <v>244</v>
      </c>
      <c r="C10" s="46">
        <f>Dashboard!C33</f>
        <v>2.06</v>
      </c>
      <c r="D10" s="46">
        <v>2.06</v>
      </c>
      <c r="E10" s="46">
        <v>9.9999999999999995E-7</v>
      </c>
      <c r="F10" s="10" t="str">
        <f t="shared" si="0"/>
        <v>PASS</v>
      </c>
      <c r="G10" s="10" t="s">
        <v>243</v>
      </c>
    </row>
    <row r="11" spans="2:7" ht="33.950000000000003" customHeight="1" x14ac:dyDescent="0.25">
      <c r="B11" s="10" t="s">
        <v>245</v>
      </c>
      <c r="C11" s="46">
        <f>MAX(0,Dashboard!C36-1/EXP(1))</f>
        <v>0</v>
      </c>
      <c r="D11" s="46">
        <v>0</v>
      </c>
      <c r="E11" s="46">
        <v>1E-10</v>
      </c>
      <c r="F11" s="10" t="str">
        <f t="shared" si="0"/>
        <v>PASS</v>
      </c>
      <c r="G11" s="10" t="s">
        <v>246</v>
      </c>
    </row>
    <row r="12" spans="2:7" ht="33.950000000000003" customHeight="1" x14ac:dyDescent="0.25">
      <c r="B12" s="10" t="s">
        <v>247</v>
      </c>
      <c r="C12" s="46">
        <f>Stacking!C12</f>
        <v>1.9000000000000003E-2</v>
      </c>
      <c r="D12" s="46">
        <v>1.9E-2</v>
      </c>
      <c r="E12" s="46">
        <v>9.9999999999999998E-13</v>
      </c>
      <c r="F12" s="10" t="str">
        <f t="shared" si="0"/>
        <v>PASS</v>
      </c>
      <c r="G12" s="10" t="s">
        <v>248</v>
      </c>
    </row>
    <row r="13" spans="2:7" ht="33.950000000000003" customHeight="1" x14ac:dyDescent="0.25">
      <c r="B13" s="10" t="s">
        <v>249</v>
      </c>
      <c r="C13" s="46">
        <f>BoundedMigration!C15</f>
        <v>2.1972245773362196</v>
      </c>
      <c r="D13" s="46">
        <v>2.1972245773362196</v>
      </c>
      <c r="E13" s="46">
        <v>1E-10</v>
      </c>
      <c r="F13" s="10" t="str">
        <f t="shared" si="0"/>
        <v>PASS</v>
      </c>
      <c r="G13" s="10" t="s">
        <v>250</v>
      </c>
    </row>
    <row r="14" spans="2:7" ht="33.950000000000003" customHeight="1" x14ac:dyDescent="0.25">
      <c r="B14" s="10" t="s">
        <v>251</v>
      </c>
      <c r="C14" s="46">
        <f>BoundedMigration!E25-BoundedMigration!C7</f>
        <v>0</v>
      </c>
      <c r="D14" s="46">
        <v>0</v>
      </c>
      <c r="E14" s="46">
        <v>1.0000000000000001E-9</v>
      </c>
      <c r="F14" s="10" t="str">
        <f t="shared" si="0"/>
        <v>PASS</v>
      </c>
      <c r="G14" s="10" t="s">
        <v>252</v>
      </c>
    </row>
    <row r="15" spans="2:7" ht="33.950000000000003" customHeight="1" x14ac:dyDescent="0.25">
      <c r="B15" s="10" t="s">
        <v>253</v>
      </c>
      <c r="C15" s="46">
        <f>Durability!C12</f>
        <v>0.62</v>
      </c>
      <c r="D15" s="46">
        <v>0.62</v>
      </c>
      <c r="E15" s="46">
        <v>1.0000000000000001E-9</v>
      </c>
      <c r="F15" s="10" t="str">
        <f t="shared" si="0"/>
        <v>PASS</v>
      </c>
      <c r="G15" s="10" t="s">
        <v>254</v>
      </c>
    </row>
    <row r="16" spans="2:7" ht="33.950000000000003" customHeight="1" x14ac:dyDescent="0.25">
      <c r="B16" s="10" t="s">
        <v>255</v>
      </c>
      <c r="C16" s="46">
        <f>ScenarioCurves!L204-ScenarioCurves!L487</f>
        <v>89711.486515068565</v>
      </c>
      <c r="D16" s="46">
        <v>89711.486515068565</v>
      </c>
      <c r="E16" s="46">
        <v>9.9999999999999995E-8</v>
      </c>
      <c r="F16" s="10" t="str">
        <f t="shared" si="0"/>
        <v>PASS</v>
      </c>
      <c r="G16" s="10" t="s">
        <v>256</v>
      </c>
    </row>
    <row r="17" spans="2:7" ht="33.950000000000003" customHeight="1" x14ac:dyDescent="0.25">
      <c r="B17" s="10" t="s">
        <v>257</v>
      </c>
      <c r="C17" s="46">
        <f>IF(Dashboard!I15="VALID",1,0)</f>
        <v>1</v>
      </c>
      <c r="D17" s="46">
        <v>1</v>
      </c>
      <c r="E17" s="46">
        <v>0</v>
      </c>
      <c r="F17" s="10" t="str">
        <f t="shared" si="0"/>
        <v>PASS</v>
      </c>
      <c r="G17" s="10" t="s">
        <v>258</v>
      </c>
    </row>
  </sheetData>
  <mergeCells count="2">
    <mergeCell ref="B2:G2"/>
    <mergeCell ref="B3:G3"/>
  </mergeCells>
  <pageMargins left="0.7" right="0.7" top="0.75" bottom="0.75" header="0.3" footer="0.3"/>
  <pageSetup paperSize="9" orientation="portrait" r:id="rId1"/>
</worksheet>
</file>

<file path=docMetadata/LabelInfo.xml><?xml version="1.0" encoding="utf-8"?>
<clbl:labelList xmlns:clbl="http://schemas.microsoft.com/office/2020/mipLabelMetadata">
  <clbl:label id="{944bf6ff-de76-46d9-9c42-32dece70be80}" enabled="1" method="Privileged" siteId="{34bf29ee-12a0-45b9-9c3b-c492c9751081}"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10</vt:i4>
      </vt:variant>
    </vt:vector>
  </HeadingPairs>
  <TitlesOfParts>
    <vt:vector size="10" baseType="lpstr">
      <vt:lpstr>Dashboard</vt:lpstr>
      <vt:lpstr>Curves</vt:lpstr>
      <vt:lpstr>Examples</vt:lpstr>
      <vt:lpstr>ScenarioCurves</vt:lpstr>
      <vt:lpstr>Durability</vt:lpstr>
      <vt:lpstr>Stacking</vt:lpstr>
      <vt:lpstr>Notes</vt:lpstr>
      <vt:lpstr>BoundedMigration</vt:lpstr>
      <vt:lpstr>Sources</vt:lpstr>
      <vt:lpstr>Verification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modified xsi:type="dcterms:W3CDTF">2026-10-27T14:58:04Z</dcterms:modified>
</cp:coreProperties>
</file>