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quinference/Documents/Corporate-Finance-Management/corp-fin-mgt/materials/"/>
    </mc:Choice>
  </mc:AlternateContent>
  <xr:revisionPtr revIDLastSave="0" documentId="13_ncr:1_{244EBE8B-3514-BD46-9E9F-FFFBE5D88A79}" xr6:coauthVersionLast="47" xr6:coauthVersionMax="47" xr10:uidLastSave="{00000000-0000-0000-0000-000000000000}"/>
  <bookViews>
    <workbookView xWindow="160" yWindow="920" windowWidth="17040" windowHeight="10540" firstSheet="5" activeTab="9" xr2:uid="{00000000-000D-0000-FFFF-FFFF00000000}"/>
  </bookViews>
  <sheets>
    <sheet name="1_Dashboard" sheetId="1" r:id="rId1"/>
    <sheet name="3_Discounted Payback" sheetId="2" r:id="rId2"/>
    <sheet name="2_Payback Period" sheetId="3" r:id="rId3"/>
    <sheet name="4_NPV" sheetId="4" r:id="rId4"/>
    <sheet name="5_IRR" sheetId="5" r:id="rId5"/>
    <sheet name="6_ARR" sheetId="6" r:id="rId6"/>
    <sheet name="7_Method_Comparison" sheetId="7" r:id="rId7"/>
    <sheet name="8_Risk_Analysis" sheetId="8" r:id="rId8"/>
    <sheet name="9_Case_Study" sheetId="9" r:id="rId9"/>
    <sheet name="8_Risk_Analysis_Updated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0" l="1"/>
  <c r="B55" i="10"/>
  <c r="B54" i="10"/>
  <c r="B53" i="10"/>
  <c r="B52" i="10"/>
  <c r="F36" i="10"/>
  <c r="E36" i="10"/>
  <c r="C21" i="10"/>
  <c r="D20" i="10"/>
  <c r="C20" i="10"/>
  <c r="C18" i="10"/>
  <c r="D18" i="10" s="1"/>
  <c r="B18" i="10"/>
  <c r="C20" i="8"/>
  <c r="C21" i="8"/>
  <c r="B20" i="8"/>
  <c r="D18" i="8"/>
  <c r="C18" i="8"/>
  <c r="B18" i="8"/>
  <c r="B21" i="6"/>
  <c r="C16" i="6"/>
  <c r="D16" i="6" s="1"/>
  <c r="C15" i="6"/>
  <c r="C14" i="6"/>
  <c r="D14" i="6" s="1"/>
  <c r="C13" i="6"/>
  <c r="D13" i="6" s="1"/>
  <c r="C12" i="6"/>
  <c r="D12" i="6" s="1"/>
  <c r="E13" i="4"/>
  <c r="E14" i="4" s="1"/>
  <c r="E15" i="4" s="1"/>
  <c r="E16" i="4" s="1"/>
  <c r="E12" i="4"/>
  <c r="E11" i="4"/>
  <c r="B19" i="3"/>
  <c r="D12" i="3"/>
  <c r="D13" i="3"/>
  <c r="D14" i="3"/>
  <c r="D15" i="3"/>
  <c r="D16" i="3"/>
  <c r="D11" i="3"/>
  <c r="B19" i="2"/>
  <c r="B21" i="2" s="1"/>
  <c r="F12" i="2"/>
  <c r="F13" i="2"/>
  <c r="F14" i="2"/>
  <c r="F15" i="2"/>
  <c r="F16" i="2"/>
  <c r="F11" i="2"/>
  <c r="C12" i="2"/>
  <c r="D25" i="7"/>
  <c r="D24" i="7"/>
  <c r="D23" i="7"/>
  <c r="D22" i="7"/>
  <c r="D21" i="7"/>
  <c r="D15" i="6"/>
  <c r="G11" i="6"/>
  <c r="G15" i="6" s="1"/>
  <c r="B63" i="5"/>
  <c r="B46" i="5"/>
  <c r="B48" i="5" s="1"/>
  <c r="B31" i="5"/>
  <c r="B30" i="5"/>
  <c r="B29" i="5"/>
  <c r="B28" i="5"/>
  <c r="B27" i="5"/>
  <c r="B20" i="5"/>
  <c r="B23" i="5" s="1"/>
  <c r="C16" i="4"/>
  <c r="D16" i="4" s="1"/>
  <c r="D15" i="4"/>
  <c r="C15" i="4"/>
  <c r="C14" i="4"/>
  <c r="D14" i="4" s="1"/>
  <c r="C13" i="4"/>
  <c r="D13" i="4" s="1"/>
  <c r="D12" i="4"/>
  <c r="C12" i="4"/>
  <c r="C11" i="4"/>
  <c r="D11" i="4" s="1"/>
  <c r="B19" i="4" s="1"/>
  <c r="B20" i="4" s="1"/>
  <c r="C28" i="3"/>
  <c r="C29" i="3" s="1"/>
  <c r="C30" i="3" s="1"/>
  <c r="C31" i="3" s="1"/>
  <c r="C32" i="3" s="1"/>
  <c r="C33" i="3" s="1"/>
  <c r="C12" i="3"/>
  <c r="C13" i="3" s="1"/>
  <c r="C14" i="3" s="1"/>
  <c r="C15" i="3" s="1"/>
  <c r="C16" i="3" s="1"/>
  <c r="C11" i="3"/>
  <c r="D16" i="2"/>
  <c r="C16" i="2"/>
  <c r="C15" i="2"/>
  <c r="D15" i="2" s="1"/>
  <c r="D14" i="2"/>
  <c r="C14" i="2"/>
  <c r="D13" i="2"/>
  <c r="C13" i="2"/>
  <c r="D12" i="2"/>
  <c r="D11" i="2"/>
  <c r="E11" i="2" s="1"/>
  <c r="E12" i="2" s="1"/>
  <c r="E13" i="2" s="1"/>
  <c r="E14" i="2" s="1"/>
  <c r="E15" i="2" s="1"/>
  <c r="E16" i="2" s="1"/>
  <c r="C11" i="2"/>
  <c r="D20" i="8" l="1"/>
  <c r="B20" i="6"/>
  <c r="B20" i="2"/>
  <c r="B21" i="3"/>
  <c r="B22" i="6"/>
  <c r="B20" i="3"/>
  <c r="B22" i="3" s="1"/>
  <c r="B23" i="3" s="1"/>
  <c r="B21" i="5"/>
  <c r="B23" i="6" l="1"/>
  <c r="B26" i="6" s="1"/>
  <c r="B24" i="6"/>
  <c r="B22" i="2"/>
  <c r="B23" i="2" s="1"/>
</calcChain>
</file>

<file path=xl/sharedStrings.xml><?xml version="1.0" encoding="utf-8"?>
<sst xmlns="http://schemas.openxmlformats.org/spreadsheetml/2006/main" count="225" uniqueCount="144">
  <si>
    <t>Discounted Payback Period (DPP)</t>
  </si>
  <si>
    <t>Definition: The time required to recover the initial investment from discounted project cash flows.</t>
  </si>
  <si>
    <t>Key formula: DPP = Time until cumulative discounted cash flow ≥ 0</t>
  </si>
  <si>
    <t>Year</t>
  </si>
  <si>
    <t>Cash Flow (£)</t>
  </si>
  <si>
    <t>Discount Factor (10%)</t>
  </si>
  <si>
    <t>Discounted CF (£)</t>
  </si>
  <si>
    <t>Cumulative DCF (£)</t>
  </si>
  <si>
    <t>Discounted Payback Period Calculation:</t>
  </si>
  <si>
    <t>Last Negative Year:</t>
  </si>
  <si>
    <t>Cumulative DCF at Last Negative Year:</t>
  </si>
  <si>
    <t>DCF in Following Year:</t>
  </si>
  <si>
    <t>Fraction of Year Needed:</t>
  </si>
  <si>
    <t>Discounted Payback Period (Years):</t>
  </si>
  <si>
    <t>Payback Period (PP)</t>
  </si>
  <si>
    <t>Definition: The time required to recover the initial investment from project cash flows.</t>
  </si>
  <si>
    <t>Key formula: Payback Period = Time until cumulative cash flow ≥ 0</t>
  </si>
  <si>
    <t>Example 1: Basic Project</t>
  </si>
  <si>
    <t>Cumulative Cash Flow (£)</t>
  </si>
  <si>
    <t>Payback Period Calculation:</t>
  </si>
  <si>
    <t>Cumulative CF at Last Negative Year:</t>
  </si>
  <si>
    <t>CF in Following Year:</t>
  </si>
  <si>
    <t>Payback Period (Years):</t>
  </si>
  <si>
    <t>Example 2: Plumbing Business Case</t>
  </si>
  <si>
    <t>Net Present Value (NPV)</t>
  </si>
  <si>
    <t>Definition: The sum of all project cash flows, discounted to present value.</t>
  </si>
  <si>
    <t>Key formula: NPV = Σ(Cash Flow_t / (1+r)^t)</t>
  </si>
  <si>
    <t>Net Present Value (NPV):</t>
  </si>
  <si>
    <t>Decision Rule:</t>
  </si>
  <si>
    <t>Internal Rate of Return (IRR)</t>
  </si>
  <si>
    <t>Definition: The discount rate that makes the NPV of the project equal to zero.</t>
  </si>
  <si>
    <t>Key formula: IRR is the value of r that satisfies Σ(Cash Flow_t / (1+r)^t) = 0</t>
  </si>
  <si>
    <t>IRR Calculation:</t>
  </si>
  <si>
    <t>Internal Rate of Return (IRR):</t>
  </si>
  <si>
    <t>IRR (Percentage):</t>
  </si>
  <si>
    <t>Cost of Capital:</t>
  </si>
  <si>
    <t>NPV-IRR Relationship</t>
  </si>
  <si>
    <t>Discount Rate</t>
  </si>
  <si>
    <t>NPV</t>
  </si>
  <si>
    <t>IRR</t>
  </si>
  <si>
    <t>Note: At the IRR, NPV equals zero</t>
  </si>
  <si>
    <t>Practice Example</t>
  </si>
  <si>
    <t>Instructions: Enter cash flows below and analyze the IRR</t>
  </si>
  <si>
    <t>Accounting Rate of Return (ARR)</t>
  </si>
  <si>
    <t>Definition: The average annual profit divided by the average investment.</t>
  </si>
  <si>
    <t>Key formula: ARR = (Average Annual Profit / Average Investment) × 100%</t>
  </si>
  <si>
    <t>Depreciation (£)</t>
  </si>
  <si>
    <t>Accounting Profit (£)</t>
  </si>
  <si>
    <t>-</t>
  </si>
  <si>
    <t>Initial Investment</t>
  </si>
  <si>
    <t>Residual Value</t>
  </si>
  <si>
    <t>Total Depreciation</t>
  </si>
  <si>
    <t>Project Life (Years)</t>
  </si>
  <si>
    <t>ARR Calculation:</t>
  </si>
  <si>
    <t>Total Profit:</t>
  </si>
  <si>
    <t>Average Annual Profit:</t>
  </si>
  <si>
    <t>Average Investment:</t>
  </si>
  <si>
    <t>ARR:</t>
  </si>
  <si>
    <t>ARR (Percentage):</t>
  </si>
  <si>
    <t>Minimum Required ARR:</t>
  </si>
  <si>
    <t>Investment Appraisal Method Comparison</t>
  </si>
  <si>
    <t>This worksheet allows you to compare the results of different investment appraisal methods applied to the same project.</t>
  </si>
  <si>
    <t>Project Inputs:</t>
  </si>
  <si>
    <t>Discount Rate:</t>
  </si>
  <si>
    <t>Residual Value:</t>
  </si>
  <si>
    <t>Maximum Acceptable Payback:</t>
  </si>
  <si>
    <t>Method Comparison Results:</t>
  </si>
  <si>
    <t>Method</t>
  </si>
  <si>
    <t>Result</t>
  </si>
  <si>
    <t>Acceptance Criterion</t>
  </si>
  <si>
    <t>Decision</t>
  </si>
  <si>
    <t>Payback Period</t>
  </si>
  <si>
    <t>&lt; [Max PP]</t>
  </si>
  <si>
    <t>Discounted Payback</t>
  </si>
  <si>
    <t>Net Present Value</t>
  </si>
  <si>
    <t>&gt; 0</t>
  </si>
  <si>
    <t>Internal Rate of Return</t>
  </si>
  <si>
    <t>&gt; [Discount Rate]</t>
  </si>
  <si>
    <t>Accounting Rate of Return</t>
  </si>
  <si>
    <t>&gt; [Min ARR]</t>
  </si>
  <si>
    <t>Risk Analysis in Investment Decisions</t>
  </si>
  <si>
    <t>This worksheet demonstrates different approaches to incorporating risk assessment into investment appraisal.</t>
  </si>
  <si>
    <t>Sensitivity Analysis:</t>
  </si>
  <si>
    <t>Variable</t>
  </si>
  <si>
    <t>Base Value</t>
  </si>
  <si>
    <t>Change for Zero NPV</t>
  </si>
  <si>
    <t>Sensitivity</t>
  </si>
  <si>
    <t>Annual Cash Flows</t>
  </si>
  <si>
    <t>As projected</t>
  </si>
  <si>
    <t>Scenario Analysis:</t>
  </si>
  <si>
    <t>Scenario</t>
  </si>
  <si>
    <t>Probability</t>
  </si>
  <si>
    <t>Annual Growth</t>
  </si>
  <si>
    <t>Exit Multiple</t>
  </si>
  <si>
    <t>Pessimistic</t>
  </si>
  <si>
    <t>Most Likely</t>
  </si>
  <si>
    <t>Optimistic</t>
  </si>
  <si>
    <t>Expected Value</t>
  </si>
  <si>
    <t>Expected NPV Calculation:</t>
  </si>
  <si>
    <t>Risk-Adjusted Discount Rate:</t>
  </si>
  <si>
    <t>Chart: Risk-Return Relationship</t>
  </si>
  <si>
    <t>Case Study: Evaluating a New Plumbing Business Venture</t>
  </si>
  <si>
    <t>This worksheet provides a complete analysis of the plumbing business case from the lecture slides.</t>
  </si>
  <si>
    <t>Business Plan Overview:</t>
  </si>
  <si>
    <t>Notes</t>
  </si>
  <si>
    <t>Initial investment (Equipment: £25,000, Van: £15,000, Advertising: £5,000)</t>
  </si>
  <si>
    <t>Year 1 operations</t>
  </si>
  <si>
    <t>Year 2 operations</t>
  </si>
  <si>
    <t>Year 3 operations</t>
  </si>
  <si>
    <t>Year 4 operations</t>
  </si>
  <si>
    <t>Year 5 operations + Exit value (Business: £30,000, Equipment: £8,000, Van: £3,000)</t>
  </si>
  <si>
    <t>Comprehensive Appraisal:</t>
  </si>
  <si>
    <t>Risk Assessment:</t>
  </si>
  <si>
    <t>Decision Recommendation:</t>
  </si>
  <si>
    <t>What-If Analysis:</t>
  </si>
  <si>
    <t>Capital Investment Decisions - Interactive Learning Spreadsheet</t>
  </si>
  <si>
    <t>Based on Corporate Financial Management lectures by Prof. Barry Quinn, Ulster University Business School</t>
  </si>
  <si>
    <t>Contents:</t>
  </si>
  <si>
    <t>1. Dashboard (current sheet)</t>
  </si>
  <si>
    <t>2. Payback Period (Worksheet 2)</t>
  </si>
  <si>
    <t>3. Discounted Payback Period (Worksheet 3)</t>
  </si>
  <si>
    <t>4. Net Present Value (NPV) (Worksheet 4)</t>
  </si>
  <si>
    <t>5. Internal Rate of Return (IRR) (Worksheet 5)</t>
  </si>
  <si>
    <t>6. Accounting Rate of Return (ARR) (Worksheet 6)</t>
  </si>
  <si>
    <t>7. Method Comparison (Worksheet 7)</t>
  </si>
  <si>
    <t>8. Risk Analysis (Worksheet 8)</t>
  </si>
  <si>
    <t>9. Case Study (Worksheet 9)</t>
  </si>
  <si>
    <t>Instructions:</t>
  </si>
  <si>
    <t>- Yellow cells are for inputs - change these values to see how calculations change</t>
  </si>
  <si>
    <t>- Blue cells contain formulas and should not be modified</t>
  </si>
  <si>
    <t>- Each worksheet contains examples from the lecture slides plus additional practice scenarios</t>
  </si>
  <si>
    <t>- Click worksheet tabs at the bottom to navigate between topics</t>
  </si>
  <si>
    <t>Project Dashboard - Current Selection: Plumbing Business Case</t>
  </si>
  <si>
    <t>Key Metrics Summary (linked values from other sheets):</t>
  </si>
  <si>
    <t>Payback Period:</t>
  </si>
  <si>
    <t>Discounted Payback Period:</t>
  </si>
  <si>
    <t>NPV:</t>
  </si>
  <si>
    <t>IRR:</t>
  </si>
  <si>
    <t>Residual Value (£)</t>
  </si>
  <si>
    <t xml:space="preserve"> </t>
  </si>
  <si>
    <t>Discount Rate Sensitivity Table:</t>
  </si>
  <si>
    <t>NPV (£)</t>
  </si>
  <si>
    <t>Risk-Return Summary:</t>
  </si>
  <si>
    <t>IRR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</si>
</sst>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_);[Red]\(&quot;£&quot;#,##0\)"/>
    <numFmt numFmtId="171" formatCode="&quot;£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DD8E6"/>
        <bgColor rgb="FFADD8E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71" fontId="0" fillId="2" borderId="0" xfId="0" applyNumberFormat="1" applyFill="1"/>
    <xf numFmtId="6" fontId="0" fillId="3" borderId="0" xfId="0" applyNumberFormat="1" applyFill="1"/>
    <xf numFmtId="6" fontId="0" fillId="0" borderId="0" xfId="0" applyNumberFormat="1"/>
    <xf numFmtId="9" fontId="0" fillId="2" borderId="0" xfId="0" applyNumberFormat="1" applyFill="1"/>
    <xf numFmtId="9" fontId="0" fillId="3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NPV Sensitivity to Discount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NPV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'8_Risk_Analysis_Updated'!$A$52:$A$56</c:f>
              <c:numCache>
                <c:formatCode>General</c:formatCode>
                <c:ptCount val="5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</c:numCache>
            </c:numRef>
          </c:xVal>
          <c:yVal>
            <c:numRef>
              <c:f>'8_Risk_Analysis_Updated'!$B$52:$B$56</c:f>
              <c:numCache>
                <c:formatCode>General</c:formatCode>
                <c:ptCount val="5"/>
                <c:pt idx="0">
                  <c:v>155966.88230775867</c:v>
                </c:pt>
                <c:pt idx="1">
                  <c:v>115798.79463113565</c:v>
                </c:pt>
                <c:pt idx="2">
                  <c:v>79440.674072188209</c:v>
                </c:pt>
                <c:pt idx="3">
                  <c:v>46430.25284086098</c:v>
                </c:pt>
                <c:pt idx="4">
                  <c:v>16371.95220950793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8D44-8BF1-4516E27F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Discount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NPV (£)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Risk-Return Profile by Scenario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Scenario Outcomes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'8_Risk_Analysis_Updated'!$C$62:$C$64</c:f>
              <c:numCache>
                <c:formatCode>General</c:formatCode>
                <c:ptCount val="3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</c:numCache>
            </c:numRef>
          </c:xVal>
          <c:yVal>
            <c:numRef>
              <c:f>'8_Risk_Analysis_Updated'!$B$62:$B$64</c:f>
              <c:numCache>
                <c:formatCode>General</c:formatCode>
                <c:ptCount val="3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3-6A49-AEB1-B6E0DD73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IRR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NPV (£)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39</xdr:row>
      <xdr:rowOff>50800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962AA-9ABF-5B42-8125-F0DDE1BB4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660400</xdr:colOff>
      <xdr:row>59</xdr:row>
      <xdr:rowOff>101600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0CB53-AFA4-BF40-A1B7-E21CCD4F1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quinference/Documents/Corporate-Finance-Management/corp-fin-mgt/materials/Risk_Analysis_With_Charts.xlsx" TargetMode="External"/><Relationship Id="rId1" Type="http://schemas.openxmlformats.org/officeDocument/2006/relationships/externalLinkPath" Target="Risk_Analysis_With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_Risk_Analysis_Updated"/>
    </sheetNames>
    <sheetDataSet>
      <sheetData sheetId="0">
        <row r="52">
          <cell r="A52">
            <v>0.05</v>
          </cell>
          <cell r="B52">
            <v>155966.88230775867</v>
          </cell>
        </row>
        <row r="53">
          <cell r="A53">
            <v>7.4999999999999997E-2</v>
          </cell>
          <cell r="B53">
            <v>115798.79463113565</v>
          </cell>
        </row>
        <row r="54">
          <cell r="A54">
            <v>0.1</v>
          </cell>
          <cell r="B54">
            <v>79440.674072188209</v>
          </cell>
        </row>
        <row r="55">
          <cell r="A55">
            <v>0.125</v>
          </cell>
          <cell r="B55">
            <v>46430.25284086098</v>
          </cell>
        </row>
        <row r="56">
          <cell r="A56">
            <v>0.15</v>
          </cell>
          <cell r="B56">
            <v>16371.95220950793</v>
          </cell>
        </row>
        <row r="62">
          <cell r="B62">
            <v>40000</v>
          </cell>
          <cell r="C62">
            <v>0.08</v>
          </cell>
        </row>
        <row r="63">
          <cell r="B63">
            <v>80000</v>
          </cell>
          <cell r="C63">
            <v>0.12</v>
          </cell>
        </row>
        <row r="64">
          <cell r="B64">
            <v>120000</v>
          </cell>
          <cell r="C64">
            <v>0.16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E12" sqref="E12"/>
    </sheetView>
  </sheetViews>
  <sheetFormatPr baseColWidth="10" defaultColWidth="8.83203125" defaultRowHeight="15" x14ac:dyDescent="0.2"/>
  <sheetData>
    <row r="1" spans="1:1" x14ac:dyDescent="0.2">
      <c r="A1" t="s">
        <v>115</v>
      </c>
    </row>
    <row r="3" spans="1:1" x14ac:dyDescent="0.2">
      <c r="A3" t="s">
        <v>116</v>
      </c>
    </row>
    <row r="5" spans="1:1" x14ac:dyDescent="0.2">
      <c r="A5" t="s">
        <v>117</v>
      </c>
    </row>
    <row r="7" spans="1:1" x14ac:dyDescent="0.2">
      <c r="A7" t="s">
        <v>118</v>
      </c>
    </row>
    <row r="8" spans="1:1" x14ac:dyDescent="0.2">
      <c r="A8" t="s">
        <v>119</v>
      </c>
    </row>
    <row r="9" spans="1:1" x14ac:dyDescent="0.2">
      <c r="A9" t="s">
        <v>120</v>
      </c>
    </row>
    <row r="10" spans="1:1" x14ac:dyDescent="0.2">
      <c r="A10" t="s">
        <v>121</v>
      </c>
    </row>
    <row r="11" spans="1:1" x14ac:dyDescent="0.2">
      <c r="A11" t="s">
        <v>122</v>
      </c>
    </row>
    <row r="12" spans="1:1" x14ac:dyDescent="0.2">
      <c r="A12" t="s">
        <v>123</v>
      </c>
    </row>
    <row r="13" spans="1:1" x14ac:dyDescent="0.2">
      <c r="A13" t="s">
        <v>124</v>
      </c>
    </row>
    <row r="14" spans="1:1" x14ac:dyDescent="0.2">
      <c r="A14" t="s">
        <v>125</v>
      </c>
    </row>
    <row r="15" spans="1:1" x14ac:dyDescent="0.2">
      <c r="A15" t="s">
        <v>126</v>
      </c>
    </row>
    <row r="17" spans="1:3" x14ac:dyDescent="0.2">
      <c r="A17" t="s">
        <v>127</v>
      </c>
    </row>
    <row r="18" spans="1:3" x14ac:dyDescent="0.2">
      <c r="A18" t="s">
        <v>128</v>
      </c>
    </row>
    <row r="19" spans="1:3" x14ac:dyDescent="0.2">
      <c r="A19" t="s">
        <v>129</v>
      </c>
    </row>
    <row r="20" spans="1:3" x14ac:dyDescent="0.2">
      <c r="A20" t="s">
        <v>130</v>
      </c>
    </row>
    <row r="21" spans="1:3" x14ac:dyDescent="0.2">
      <c r="A21" t="s">
        <v>131</v>
      </c>
    </row>
    <row r="23" spans="1:3" x14ac:dyDescent="0.2">
      <c r="B23" t="s">
        <v>132</v>
      </c>
    </row>
    <row r="25" spans="1:3" x14ac:dyDescent="0.2">
      <c r="B25" t="s">
        <v>133</v>
      </c>
    </row>
    <row r="27" spans="1:3" x14ac:dyDescent="0.2">
      <c r="B27" t="s">
        <v>134</v>
      </c>
      <c r="C27" t="e">
        <v>#REF!</v>
      </c>
    </row>
    <row r="28" spans="1:3" x14ac:dyDescent="0.2">
      <c r="B28" t="s">
        <v>135</v>
      </c>
      <c r="C28" t="e">
        <v>#REF!</v>
      </c>
    </row>
    <row r="29" spans="1:3" x14ac:dyDescent="0.2">
      <c r="B29" t="s">
        <v>136</v>
      </c>
      <c r="C29" t="e">
        <v>#REF!</v>
      </c>
    </row>
    <row r="30" spans="1:3" x14ac:dyDescent="0.2">
      <c r="B30" t="s">
        <v>137</v>
      </c>
      <c r="C30" t="e">
        <v>#REF!</v>
      </c>
    </row>
    <row r="31" spans="1:3" x14ac:dyDescent="0.2">
      <c r="B31" t="s">
        <v>57</v>
      </c>
      <c r="C31" t="e">
        <v>#REF!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53AA-FD86-EB41-A67D-20D7AA9B1FC1}">
  <dimension ref="A1:F64"/>
  <sheetViews>
    <sheetView tabSelected="1" topLeftCell="A32" workbookViewId="0">
      <selection activeCell="J23" sqref="J23"/>
    </sheetView>
  </sheetViews>
  <sheetFormatPr baseColWidth="10" defaultColWidth="8.83203125" defaultRowHeight="15" x14ac:dyDescent="0.2"/>
  <sheetData>
    <row r="1" spans="1:2" x14ac:dyDescent="0.2">
      <c r="A1" t="s">
        <v>80</v>
      </c>
    </row>
    <row r="3" spans="1:2" x14ac:dyDescent="0.2">
      <c r="A3" t="s">
        <v>81</v>
      </c>
    </row>
    <row r="5" spans="1:2" x14ac:dyDescent="0.2">
      <c r="A5" t="s">
        <v>62</v>
      </c>
    </row>
    <row r="7" spans="1:2" x14ac:dyDescent="0.2">
      <c r="A7" t="s">
        <v>3</v>
      </c>
      <c r="B7" t="s">
        <v>4</v>
      </c>
    </row>
    <row r="8" spans="1:2" x14ac:dyDescent="0.2">
      <c r="A8">
        <v>0</v>
      </c>
      <c r="B8" s="1">
        <v>-500000</v>
      </c>
    </row>
    <row r="9" spans="1:2" x14ac:dyDescent="0.2">
      <c r="A9">
        <v>1</v>
      </c>
      <c r="B9" s="1">
        <v>150000</v>
      </c>
    </row>
    <row r="10" spans="1:2" x14ac:dyDescent="0.2">
      <c r="A10">
        <v>2</v>
      </c>
      <c r="B10" s="1">
        <v>180000</v>
      </c>
    </row>
    <row r="11" spans="1:2" x14ac:dyDescent="0.2">
      <c r="A11">
        <v>3</v>
      </c>
      <c r="B11" s="1">
        <v>200000</v>
      </c>
    </row>
    <row r="12" spans="1:2" x14ac:dyDescent="0.2">
      <c r="A12">
        <v>4</v>
      </c>
      <c r="B12" s="1">
        <v>120000</v>
      </c>
    </row>
    <row r="13" spans="1:2" x14ac:dyDescent="0.2">
      <c r="A13">
        <v>5</v>
      </c>
      <c r="B13" s="1">
        <v>100000</v>
      </c>
    </row>
    <row r="15" spans="1:2" x14ac:dyDescent="0.2">
      <c r="A15" t="s">
        <v>82</v>
      </c>
    </row>
    <row r="17" spans="1:6" x14ac:dyDescent="0.2">
      <c r="A17" t="s">
        <v>83</v>
      </c>
      <c r="B17" t="s">
        <v>84</v>
      </c>
      <c r="C17" t="s">
        <v>85</v>
      </c>
      <c r="D17" t="s">
        <v>86</v>
      </c>
    </row>
    <row r="18" spans="1:6" x14ac:dyDescent="0.2">
      <c r="A18" s="2" t="s">
        <v>49</v>
      </c>
      <c r="B18" s="1">
        <f>ABS(B8)</f>
        <v>500000</v>
      </c>
      <c r="C18" s="2">
        <f>ROUND(NPV(D21,B9:B13),0)</f>
        <v>750000</v>
      </c>
      <c r="D18" s="2">
        <f>(C18-B18)/B18</f>
        <v>0.5</v>
      </c>
    </row>
    <row r="19" spans="1:6" x14ac:dyDescent="0.2">
      <c r="A19" s="2" t="s">
        <v>87</v>
      </c>
      <c r="B19" s="1" t="s">
        <v>88</v>
      </c>
      <c r="C19" s="2"/>
      <c r="D19" s="2"/>
    </row>
    <row r="20" spans="1:6" x14ac:dyDescent="0.2">
      <c r="A20" s="2" t="s">
        <v>50</v>
      </c>
      <c r="B20" s="1">
        <v>0</v>
      </c>
      <c r="C20" s="2">
        <f>-(NPV(D21,B9:B13)+B8)*(1+D21)^5</f>
        <v>-250000</v>
      </c>
      <c r="D20" s="2" t="str">
        <f>IF(B20&lt;&gt;0,(C20-B20)/B20,"")</f>
        <v/>
      </c>
    </row>
    <row r="21" spans="1:6" x14ac:dyDescent="0.2">
      <c r="A21" s="2" t="s">
        <v>37</v>
      </c>
      <c r="B21" s="1">
        <v>0.1</v>
      </c>
      <c r="C21" s="2">
        <f>IRR(B8:B13)</f>
        <v>0.16464215163431573</v>
      </c>
      <c r="D21" s="2"/>
    </row>
    <row r="30" spans="1:6" x14ac:dyDescent="0.2">
      <c r="A30" t="s">
        <v>89</v>
      </c>
    </row>
    <row r="32" spans="1:6" x14ac:dyDescent="0.2">
      <c r="A32" t="s">
        <v>90</v>
      </c>
      <c r="B32" t="s">
        <v>91</v>
      </c>
      <c r="C32" t="s">
        <v>92</v>
      </c>
      <c r="D32" t="s">
        <v>93</v>
      </c>
      <c r="E32" t="s">
        <v>38</v>
      </c>
      <c r="F32" t="s">
        <v>39</v>
      </c>
    </row>
    <row r="33" spans="1:6" x14ac:dyDescent="0.2">
      <c r="A33" t="s">
        <v>94</v>
      </c>
      <c r="B33" s="1">
        <v>0.25</v>
      </c>
      <c r="C33" s="1">
        <v>0.05</v>
      </c>
      <c r="D33" s="1">
        <v>1</v>
      </c>
      <c r="E33" s="1">
        <v>40000</v>
      </c>
      <c r="F33" s="1">
        <v>0.08</v>
      </c>
    </row>
    <row r="34" spans="1:6" x14ac:dyDescent="0.2">
      <c r="A34" t="s">
        <v>95</v>
      </c>
      <c r="B34" s="1">
        <v>0.5</v>
      </c>
      <c r="C34" s="1">
        <v>0.1</v>
      </c>
      <c r="D34" s="1">
        <v>1.5</v>
      </c>
      <c r="E34" s="1">
        <v>80000</v>
      </c>
      <c r="F34" s="1">
        <v>0.12</v>
      </c>
    </row>
    <row r="35" spans="1:6" x14ac:dyDescent="0.2">
      <c r="A35" t="s">
        <v>96</v>
      </c>
      <c r="B35" s="1">
        <v>0.25</v>
      </c>
      <c r="C35" s="1">
        <v>0.15</v>
      </c>
      <c r="D35" s="1">
        <v>2</v>
      </c>
      <c r="E35" s="1">
        <v>120000</v>
      </c>
      <c r="F35" s="1">
        <v>0.16</v>
      </c>
    </row>
    <row r="36" spans="1:6" x14ac:dyDescent="0.2">
      <c r="A36" t="s">
        <v>97</v>
      </c>
      <c r="B36" s="1">
        <v>1</v>
      </c>
      <c r="E36" s="2">
        <f>SUMPRODUCT(B31:B33,E31:E33)</f>
        <v>10000</v>
      </c>
      <c r="F36" s="2">
        <f>SUMPRODUCT(B31:B33,F31:F33)</f>
        <v>0.02</v>
      </c>
    </row>
    <row r="50" spans="1:3" x14ac:dyDescent="0.2">
      <c r="A50" t="s">
        <v>140</v>
      </c>
    </row>
    <row r="51" spans="1:3" x14ac:dyDescent="0.2">
      <c r="A51" t="s">
        <v>37</v>
      </c>
      <c r="B51" t="s">
        <v>141</v>
      </c>
    </row>
    <row r="52" spans="1:3" x14ac:dyDescent="0.2">
      <c r="A52" s="1">
        <v>0.05</v>
      </c>
      <c r="B52" s="2">
        <f>NPV(A52,B9:B13)+B8</f>
        <v>155966.88230775867</v>
      </c>
    </row>
    <row r="53" spans="1:3" x14ac:dyDescent="0.2">
      <c r="A53" s="1">
        <v>7.4999999999999997E-2</v>
      </c>
      <c r="B53" s="2">
        <f>NPV(A53,B9:B13)+B8</f>
        <v>115798.79463113565</v>
      </c>
    </row>
    <row r="54" spans="1:3" x14ac:dyDescent="0.2">
      <c r="A54" s="1">
        <v>0.1</v>
      </c>
      <c r="B54" s="2">
        <f>NPV(A54,B9:B13)+B8</f>
        <v>79440.674072188209</v>
      </c>
    </row>
    <row r="55" spans="1:3" x14ac:dyDescent="0.2">
      <c r="A55" s="1">
        <v>0.125</v>
      </c>
      <c r="B55" s="2">
        <f>NPV(A55,B9:B13)+B8</f>
        <v>46430.25284086098</v>
      </c>
    </row>
    <row r="56" spans="1:3" x14ac:dyDescent="0.2">
      <c r="A56" s="1">
        <v>0.15</v>
      </c>
      <c r="B56" s="2">
        <f>NPV(A56,B9:B13)+B8</f>
        <v>16371.95220950793</v>
      </c>
    </row>
    <row r="60" spans="1:3" x14ac:dyDescent="0.2">
      <c r="A60" t="s">
        <v>142</v>
      </c>
    </row>
    <row r="61" spans="1:3" x14ac:dyDescent="0.2">
      <c r="A61" t="s">
        <v>90</v>
      </c>
      <c r="B61" t="s">
        <v>141</v>
      </c>
      <c r="C61" t="s">
        <v>143</v>
      </c>
    </row>
    <row r="62" spans="1:3" x14ac:dyDescent="0.2">
      <c r="A62" t="s">
        <v>94</v>
      </c>
      <c r="B62" s="1">
        <v>40000</v>
      </c>
      <c r="C62" s="1">
        <v>0.08</v>
      </c>
    </row>
    <row r="63" spans="1:3" x14ac:dyDescent="0.2">
      <c r="A63" t="s">
        <v>95</v>
      </c>
      <c r="B63" s="1">
        <v>80000</v>
      </c>
      <c r="C63" s="1">
        <v>0.12</v>
      </c>
    </row>
    <row r="64" spans="1:3" x14ac:dyDescent="0.2">
      <c r="A64" t="s">
        <v>96</v>
      </c>
      <c r="B64" s="1">
        <v>120000</v>
      </c>
      <c r="C64" s="1">
        <v>0.16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76.6640625" bestFit="1" customWidth="1"/>
    <col min="3" max="3" width="8" customWidth="1"/>
    <col min="4" max="4" width="0" hidden="1" customWidth="1"/>
    <col min="5" max="5" width="15.5" customWidth="1"/>
    <col min="6" max="6" width="12.83203125" customWidth="1"/>
  </cols>
  <sheetData>
    <row r="1" spans="1:7" x14ac:dyDescent="0.2">
      <c r="A1" t="s">
        <v>0</v>
      </c>
    </row>
    <row r="3" spans="1:7" x14ac:dyDescent="0.2">
      <c r="A3" t="s">
        <v>1</v>
      </c>
    </row>
    <row r="5" spans="1:7" x14ac:dyDescent="0.2">
      <c r="A5" t="s">
        <v>2</v>
      </c>
    </row>
    <row r="7" spans="1:7" x14ac:dyDescent="0.2">
      <c r="G7" s="1">
        <v>0.1</v>
      </c>
    </row>
    <row r="10" spans="1:7" x14ac:dyDescent="0.2">
      <c r="A10" t="s">
        <v>3</v>
      </c>
      <c r="B10" t="s">
        <v>4</v>
      </c>
      <c r="C10" t="s">
        <v>5</v>
      </c>
      <c r="D10" t="s">
        <v>6</v>
      </c>
      <c r="E10" t="s">
        <v>7</v>
      </c>
    </row>
    <row r="11" spans="1:7" x14ac:dyDescent="0.2">
      <c r="A11">
        <v>0</v>
      </c>
      <c r="B11" s="1">
        <v>-500000</v>
      </c>
      <c r="C11" s="2">
        <f t="shared" ref="C11:C16" si="0">1/(1+$G$7)^A11</f>
        <v>1</v>
      </c>
      <c r="D11" s="2">
        <f t="shared" ref="D11:D16" si="1">B11*C11</f>
        <v>-500000</v>
      </c>
      <c r="E11" s="2">
        <f>D11</f>
        <v>-500000</v>
      </c>
      <c r="F11" t="b">
        <f>E11&lt;0</f>
        <v>1</v>
      </c>
    </row>
    <row r="12" spans="1:7" x14ac:dyDescent="0.2">
      <c r="A12">
        <v>1</v>
      </c>
      <c r="B12" s="1">
        <v>150000</v>
      </c>
      <c r="C12" s="2">
        <f>1/(1+$G$7)^A12</f>
        <v>0.90909090909090906</v>
      </c>
      <c r="D12" s="2">
        <f t="shared" si="1"/>
        <v>136363.63636363635</v>
      </c>
      <c r="E12" s="2">
        <f>E11+D12</f>
        <v>-363636.36363636365</v>
      </c>
      <c r="F12" t="b">
        <f t="shared" ref="F12:F16" si="2">E12&lt;0</f>
        <v>1</v>
      </c>
    </row>
    <row r="13" spans="1:7" x14ac:dyDescent="0.2">
      <c r="A13">
        <v>2</v>
      </c>
      <c r="B13" s="1">
        <v>180000</v>
      </c>
      <c r="C13" s="2">
        <f t="shared" si="0"/>
        <v>0.82644628099173545</v>
      </c>
      <c r="D13" s="2">
        <f t="shared" si="1"/>
        <v>148760.33057851237</v>
      </c>
      <c r="E13" s="2">
        <f>E12+D13</f>
        <v>-214876.03305785128</v>
      </c>
      <c r="F13" t="b">
        <f t="shared" si="2"/>
        <v>1</v>
      </c>
    </row>
    <row r="14" spans="1:7" x14ac:dyDescent="0.2">
      <c r="A14">
        <v>3</v>
      </c>
      <c r="B14" s="1">
        <v>200000</v>
      </c>
      <c r="C14" s="2">
        <f t="shared" si="0"/>
        <v>0.75131480090157754</v>
      </c>
      <c r="D14" s="2">
        <f t="shared" si="1"/>
        <v>150262.96018031551</v>
      </c>
      <c r="E14" s="2">
        <f>E13+D14</f>
        <v>-64613.072877535771</v>
      </c>
      <c r="F14" t="b">
        <f t="shared" si="2"/>
        <v>1</v>
      </c>
    </row>
    <row r="15" spans="1:7" x14ac:dyDescent="0.2">
      <c r="A15">
        <v>4</v>
      </c>
      <c r="B15" s="1">
        <v>120000</v>
      </c>
      <c r="C15" s="2">
        <f t="shared" si="0"/>
        <v>0.68301345536507052</v>
      </c>
      <c r="D15" s="2">
        <f t="shared" si="1"/>
        <v>81961.614643808469</v>
      </c>
      <c r="E15" s="2">
        <f>E14+D15</f>
        <v>17348.541766272698</v>
      </c>
      <c r="F15" t="b">
        <f t="shared" si="2"/>
        <v>0</v>
      </c>
    </row>
    <row r="16" spans="1:7" x14ac:dyDescent="0.2">
      <c r="A16">
        <v>5</v>
      </c>
      <c r="B16" s="1">
        <v>100000</v>
      </c>
      <c r="C16" s="2">
        <f t="shared" si="0"/>
        <v>0.62092132305915493</v>
      </c>
      <c r="D16" s="2">
        <f t="shared" si="1"/>
        <v>62092.132305915489</v>
      </c>
      <c r="E16" s="2">
        <f>E15+D16</f>
        <v>79440.67407218818</v>
      </c>
      <c r="F16" t="b">
        <f t="shared" si="2"/>
        <v>0</v>
      </c>
    </row>
    <row r="18" spans="1:2" x14ac:dyDescent="0.2">
      <c r="A18" t="s">
        <v>8</v>
      </c>
    </row>
    <row r="19" spans="1:2" x14ac:dyDescent="0.2">
      <c r="A19" t="s">
        <v>9</v>
      </c>
      <c r="B19" s="2">
        <f>MATCH(FALSE,F11:F16,0)-2</f>
        <v>3</v>
      </c>
    </row>
    <row r="20" spans="1:2" x14ac:dyDescent="0.2">
      <c r="A20" t="s">
        <v>10</v>
      </c>
      <c r="B20" s="2">
        <f>INDEX(E11:E16,B19+1)</f>
        <v>-64613.072877535771</v>
      </c>
    </row>
    <row r="21" spans="1:2" x14ac:dyDescent="0.2">
      <c r="A21" t="s">
        <v>11</v>
      </c>
      <c r="B21" s="2">
        <f>INDEX(D11:D16,B19+2)</f>
        <v>81961.614643808469</v>
      </c>
    </row>
    <row r="22" spans="1:2" x14ac:dyDescent="0.2">
      <c r="A22" t="s">
        <v>12</v>
      </c>
      <c r="B22" s="2">
        <f>ABS(B20/B21)</f>
        <v>0.78833333333333444</v>
      </c>
    </row>
    <row r="23" spans="1:2" x14ac:dyDescent="0.2">
      <c r="A23" t="s">
        <v>13</v>
      </c>
      <c r="B23" s="2">
        <f>B19+B22</f>
        <v>3.7883333333333344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9" workbookViewId="0">
      <selection activeCell="C13" sqref="C13"/>
    </sheetView>
  </sheetViews>
  <sheetFormatPr baseColWidth="10" defaultColWidth="8.83203125" defaultRowHeight="15" x14ac:dyDescent="0.2"/>
  <cols>
    <col min="1" max="1" width="67.5" bestFit="1" customWidth="1"/>
  </cols>
  <sheetData>
    <row r="1" spans="1:4" x14ac:dyDescent="0.2">
      <c r="A1" t="s">
        <v>14</v>
      </c>
    </row>
    <row r="3" spans="1:4" x14ac:dyDescent="0.2">
      <c r="A3" t="s">
        <v>15</v>
      </c>
    </row>
    <row r="5" spans="1:4" x14ac:dyDescent="0.2">
      <c r="A5" t="s">
        <v>16</v>
      </c>
    </row>
    <row r="7" spans="1:4" x14ac:dyDescent="0.2">
      <c r="A7" t="s">
        <v>17</v>
      </c>
    </row>
    <row r="10" spans="1:4" x14ac:dyDescent="0.2">
      <c r="A10" t="s">
        <v>3</v>
      </c>
      <c r="B10" t="s">
        <v>4</v>
      </c>
      <c r="C10" t="s">
        <v>18</v>
      </c>
    </row>
    <row r="11" spans="1:4" x14ac:dyDescent="0.2">
      <c r="A11">
        <v>0</v>
      </c>
      <c r="B11" s="1">
        <v>-500000</v>
      </c>
      <c r="C11" s="2">
        <f>B11</f>
        <v>-500000</v>
      </c>
      <c r="D11" t="b">
        <f>C11&lt;0</f>
        <v>1</v>
      </c>
    </row>
    <row r="12" spans="1:4" x14ac:dyDescent="0.2">
      <c r="A12">
        <v>1</v>
      </c>
      <c r="B12" s="1">
        <v>150000</v>
      </c>
      <c r="C12" s="2">
        <f>C11+B12</f>
        <v>-350000</v>
      </c>
      <c r="D12" t="b">
        <f t="shared" ref="D12:D16" si="0">C12&lt;0</f>
        <v>1</v>
      </c>
    </row>
    <row r="13" spans="1:4" x14ac:dyDescent="0.2">
      <c r="A13">
        <v>2</v>
      </c>
      <c r="B13" s="1">
        <v>180000</v>
      </c>
      <c r="C13" s="2">
        <f>C12+B13</f>
        <v>-170000</v>
      </c>
      <c r="D13" t="b">
        <f t="shared" si="0"/>
        <v>1</v>
      </c>
    </row>
    <row r="14" spans="1:4" x14ac:dyDescent="0.2">
      <c r="A14">
        <v>3</v>
      </c>
      <c r="B14" s="1">
        <v>200000</v>
      </c>
      <c r="C14" s="2">
        <f>C13+B14</f>
        <v>30000</v>
      </c>
      <c r="D14" t="b">
        <f t="shared" si="0"/>
        <v>0</v>
      </c>
    </row>
    <row r="15" spans="1:4" x14ac:dyDescent="0.2">
      <c r="A15">
        <v>4</v>
      </c>
      <c r="B15" s="1">
        <v>120000</v>
      </c>
      <c r="C15" s="2">
        <f>C14+B15</f>
        <v>150000</v>
      </c>
      <c r="D15" t="b">
        <f t="shared" si="0"/>
        <v>0</v>
      </c>
    </row>
    <row r="16" spans="1:4" x14ac:dyDescent="0.2">
      <c r="A16">
        <v>5</v>
      </c>
      <c r="B16" s="1">
        <v>100000</v>
      </c>
      <c r="C16" s="2">
        <f>C15+B16</f>
        <v>250000</v>
      </c>
      <c r="D16" t="b">
        <f t="shared" si="0"/>
        <v>0</v>
      </c>
    </row>
    <row r="18" spans="1:3" x14ac:dyDescent="0.2">
      <c r="A18" t="s">
        <v>19</v>
      </c>
    </row>
    <row r="19" spans="1:3" x14ac:dyDescent="0.2">
      <c r="A19" t="s">
        <v>9</v>
      </c>
      <c r="B19" s="2">
        <f>MATCH(FALSE,D11:D16,0)-2</f>
        <v>2</v>
      </c>
    </row>
    <row r="20" spans="1:3" x14ac:dyDescent="0.2">
      <c r="A20" t="s">
        <v>20</v>
      </c>
      <c r="B20" s="2">
        <f>INDEX(C11:C16,B19+1)</f>
        <v>-170000</v>
      </c>
    </row>
    <row r="21" spans="1:3" x14ac:dyDescent="0.2">
      <c r="A21" t="s">
        <v>21</v>
      </c>
      <c r="B21" s="2">
        <f>INDEX(B11:B16,B19+2)</f>
        <v>200000</v>
      </c>
    </row>
    <row r="22" spans="1:3" x14ac:dyDescent="0.2">
      <c r="A22" t="s">
        <v>12</v>
      </c>
      <c r="B22" s="2">
        <f>ABS(B20/B21)</f>
        <v>0.85</v>
      </c>
    </row>
    <row r="23" spans="1:3" x14ac:dyDescent="0.2">
      <c r="A23" t="s">
        <v>22</v>
      </c>
      <c r="B23" s="2">
        <f>B19+B22</f>
        <v>2.85</v>
      </c>
    </row>
    <row r="25" spans="1:3" x14ac:dyDescent="0.2">
      <c r="A25" t="s">
        <v>23</v>
      </c>
    </row>
    <row r="27" spans="1:3" x14ac:dyDescent="0.2">
      <c r="A27" t="s">
        <v>3</v>
      </c>
      <c r="B27" t="s">
        <v>4</v>
      </c>
      <c r="C27" t="s">
        <v>18</v>
      </c>
    </row>
    <row r="28" spans="1:3" x14ac:dyDescent="0.2">
      <c r="A28">
        <v>0</v>
      </c>
      <c r="B28" s="1">
        <v>-45000</v>
      </c>
      <c r="C28" s="2">
        <f>B28</f>
        <v>-45000</v>
      </c>
    </row>
    <row r="29" spans="1:3" x14ac:dyDescent="0.2">
      <c r="A29">
        <v>1</v>
      </c>
      <c r="B29" s="1">
        <v>12000</v>
      </c>
      <c r="C29" s="2">
        <f>C28+B29</f>
        <v>-33000</v>
      </c>
    </row>
    <row r="30" spans="1:3" x14ac:dyDescent="0.2">
      <c r="A30">
        <v>2</v>
      </c>
      <c r="B30" s="1">
        <v>18000</v>
      </c>
      <c r="C30" s="2">
        <f>C29+B30</f>
        <v>-15000</v>
      </c>
    </row>
    <row r="31" spans="1:3" x14ac:dyDescent="0.2">
      <c r="A31">
        <v>3</v>
      </c>
      <c r="B31" s="1">
        <v>22000</v>
      </c>
      <c r="C31" s="2">
        <f>C30+B31</f>
        <v>7000</v>
      </c>
    </row>
    <row r="32" spans="1:3" x14ac:dyDescent="0.2">
      <c r="A32">
        <v>4</v>
      </c>
      <c r="B32" s="1">
        <v>25000</v>
      </c>
      <c r="C32" s="2">
        <f>C31+B32</f>
        <v>32000</v>
      </c>
    </row>
    <row r="33" spans="1:3" x14ac:dyDescent="0.2">
      <c r="A33">
        <v>5</v>
      </c>
      <c r="B33" s="1">
        <v>67000</v>
      </c>
      <c r="C33" s="2">
        <f>C32+B33</f>
        <v>99000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L25" sqref="L25"/>
    </sheetView>
  </sheetViews>
  <sheetFormatPr baseColWidth="10" defaultColWidth="8.83203125" defaultRowHeight="15" x14ac:dyDescent="0.2"/>
  <cols>
    <col min="1" max="1" width="57.1640625" bestFit="1" customWidth="1"/>
    <col min="3" max="3" width="18" bestFit="1" customWidth="1"/>
  </cols>
  <sheetData>
    <row r="1" spans="1:7" x14ac:dyDescent="0.2">
      <c r="A1" t="s">
        <v>24</v>
      </c>
    </row>
    <row r="3" spans="1:7" x14ac:dyDescent="0.2">
      <c r="A3" t="s">
        <v>25</v>
      </c>
    </row>
    <row r="5" spans="1:7" x14ac:dyDescent="0.2">
      <c r="A5" t="s">
        <v>26</v>
      </c>
    </row>
    <row r="7" spans="1:7" x14ac:dyDescent="0.2">
      <c r="A7" t="s">
        <v>17</v>
      </c>
      <c r="G7" s="1">
        <v>0.1</v>
      </c>
    </row>
    <row r="10" spans="1:7" x14ac:dyDescent="0.2">
      <c r="A10" t="s">
        <v>3</v>
      </c>
      <c r="B10" t="s">
        <v>4</v>
      </c>
      <c r="C10" t="s">
        <v>5</v>
      </c>
      <c r="D10" t="s">
        <v>6</v>
      </c>
      <c r="E10" t="s">
        <v>18</v>
      </c>
    </row>
    <row r="11" spans="1:7" x14ac:dyDescent="0.2">
      <c r="A11">
        <v>0</v>
      </c>
      <c r="B11" s="1">
        <v>-500000</v>
      </c>
      <c r="C11" s="2">
        <f t="shared" ref="C11:C16" si="0">1/(1+$G$7)^A11</f>
        <v>1</v>
      </c>
      <c r="D11" s="2">
        <f t="shared" ref="D11:D16" si="1">B11*C11</f>
        <v>-500000</v>
      </c>
      <c r="E11" s="2">
        <f>D11</f>
        <v>-500000</v>
      </c>
    </row>
    <row r="12" spans="1:7" x14ac:dyDescent="0.2">
      <c r="A12">
        <v>1</v>
      </c>
      <c r="B12" s="1">
        <v>150000</v>
      </c>
      <c r="C12" s="2">
        <f t="shared" si="0"/>
        <v>0.90909090909090906</v>
      </c>
      <c r="D12" s="2">
        <f t="shared" si="1"/>
        <v>136363.63636363635</v>
      </c>
      <c r="E12" s="2">
        <f>D11+D12</f>
        <v>-363636.36363636365</v>
      </c>
    </row>
    <row r="13" spans="1:7" x14ac:dyDescent="0.2">
      <c r="A13">
        <v>2</v>
      </c>
      <c r="B13" s="1">
        <v>180000</v>
      </c>
      <c r="C13" s="2">
        <f t="shared" si="0"/>
        <v>0.82644628099173545</v>
      </c>
      <c r="D13" s="2">
        <f t="shared" si="1"/>
        <v>148760.33057851237</v>
      </c>
      <c r="E13" s="2">
        <f>E12+D13</f>
        <v>-214876.03305785128</v>
      </c>
    </row>
    <row r="14" spans="1:7" x14ac:dyDescent="0.2">
      <c r="A14">
        <v>3</v>
      </c>
      <c r="B14" s="1">
        <v>200000</v>
      </c>
      <c r="C14" s="2">
        <f t="shared" si="0"/>
        <v>0.75131480090157754</v>
      </c>
      <c r="D14" s="2">
        <f t="shared" si="1"/>
        <v>150262.96018031551</v>
      </c>
      <c r="E14" s="2">
        <f>E13+D14</f>
        <v>-64613.072877535771</v>
      </c>
    </row>
    <row r="15" spans="1:7" x14ac:dyDescent="0.2">
      <c r="A15">
        <v>4</v>
      </c>
      <c r="B15" s="1">
        <v>120000</v>
      </c>
      <c r="C15" s="2">
        <f t="shared" si="0"/>
        <v>0.68301345536507052</v>
      </c>
      <c r="D15" s="2">
        <f t="shared" si="1"/>
        <v>81961.614643808469</v>
      </c>
      <c r="E15" s="2">
        <f>E14+D15</f>
        <v>17348.541766272698</v>
      </c>
    </row>
    <row r="16" spans="1:7" x14ac:dyDescent="0.2">
      <c r="A16">
        <v>5</v>
      </c>
      <c r="B16" s="1">
        <v>100000</v>
      </c>
      <c r="C16" s="2">
        <f t="shared" si="0"/>
        <v>0.62092132305915493</v>
      </c>
      <c r="D16" s="2">
        <f t="shared" si="1"/>
        <v>62092.132305915489</v>
      </c>
      <c r="E16" s="2">
        <f>E15+D16</f>
        <v>79440.67407218818</v>
      </c>
    </row>
    <row r="19" spans="1:2" x14ac:dyDescent="0.2">
      <c r="A19" t="s">
        <v>27</v>
      </c>
      <c r="B19" s="2">
        <f>SUM(D11:D16)</f>
        <v>79440.67407218818</v>
      </c>
    </row>
    <row r="20" spans="1:2" x14ac:dyDescent="0.2">
      <c r="A20" t="s">
        <v>28</v>
      </c>
      <c r="B20" s="2" t="str">
        <f>IF(B19&gt;0,"Accept Project","Reject Project")</f>
        <v>Accept Project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3"/>
  <sheetViews>
    <sheetView workbookViewId="0">
      <selection activeCell="I52" sqref="I52"/>
    </sheetView>
  </sheetViews>
  <sheetFormatPr baseColWidth="10" defaultColWidth="8.83203125" defaultRowHeight="15" x14ac:dyDescent="0.2"/>
  <cols>
    <col min="1" max="1" width="60" bestFit="1" customWidth="1"/>
    <col min="2" max="2" width="17.33203125" bestFit="1" customWidth="1"/>
  </cols>
  <sheetData>
    <row r="1" spans="1:2" x14ac:dyDescent="0.2">
      <c r="A1" t="s">
        <v>29</v>
      </c>
    </row>
    <row r="3" spans="1:2" x14ac:dyDescent="0.2">
      <c r="A3" t="s">
        <v>30</v>
      </c>
    </row>
    <row r="5" spans="1:2" x14ac:dyDescent="0.2">
      <c r="A5" t="s">
        <v>31</v>
      </c>
    </row>
    <row r="7" spans="1:2" x14ac:dyDescent="0.2">
      <c r="A7" t="s">
        <v>17</v>
      </c>
    </row>
    <row r="9" spans="1:2" x14ac:dyDescent="0.2">
      <c r="A9" t="s">
        <v>3</v>
      </c>
      <c r="B9" t="s">
        <v>4</v>
      </c>
    </row>
    <row r="11" spans="1:2" x14ac:dyDescent="0.2">
      <c r="A11">
        <v>0</v>
      </c>
      <c r="B11" s="1">
        <v>-500000</v>
      </c>
    </row>
    <row r="12" spans="1:2" x14ac:dyDescent="0.2">
      <c r="A12">
        <v>1</v>
      </c>
      <c r="B12" s="1">
        <v>150000</v>
      </c>
    </row>
    <row r="13" spans="1:2" x14ac:dyDescent="0.2">
      <c r="A13">
        <v>2</v>
      </c>
      <c r="B13" s="1">
        <v>180000</v>
      </c>
    </row>
    <row r="14" spans="1:2" x14ac:dyDescent="0.2">
      <c r="A14">
        <v>3</v>
      </c>
      <c r="B14" s="1">
        <v>200000</v>
      </c>
    </row>
    <row r="15" spans="1:2" x14ac:dyDescent="0.2">
      <c r="A15">
        <v>4</v>
      </c>
      <c r="B15" s="1">
        <v>120000</v>
      </c>
    </row>
    <row r="16" spans="1:2" x14ac:dyDescent="0.2">
      <c r="A16">
        <v>5</v>
      </c>
      <c r="B16" s="1">
        <v>100000</v>
      </c>
    </row>
    <row r="19" spans="1:2" x14ac:dyDescent="0.2">
      <c r="A19" t="s">
        <v>32</v>
      </c>
    </row>
    <row r="20" spans="1:2" x14ac:dyDescent="0.2">
      <c r="A20" t="s">
        <v>33</v>
      </c>
      <c r="B20" s="2">
        <f>IRR(B11:B16)</f>
        <v>0.16464215163431573</v>
      </c>
    </row>
    <row r="21" spans="1:2" x14ac:dyDescent="0.2">
      <c r="A21" t="s">
        <v>34</v>
      </c>
      <c r="B21" s="2" t="str">
        <f>TEXT(B20,"0.00%")</f>
        <v>16.46%</v>
      </c>
    </row>
    <row r="22" spans="1:2" x14ac:dyDescent="0.2">
      <c r="A22" t="s">
        <v>35</v>
      </c>
      <c r="B22" s="1">
        <v>0.1</v>
      </c>
    </row>
    <row r="23" spans="1:2" x14ac:dyDescent="0.2">
      <c r="A23" t="s">
        <v>28</v>
      </c>
      <c r="B23" s="2" t="str">
        <f>IF(B20&gt;B22,"Accept Project","Reject Project")</f>
        <v>Accept Project</v>
      </c>
    </row>
    <row r="25" spans="1:2" x14ac:dyDescent="0.2">
      <c r="A25" t="s">
        <v>36</v>
      </c>
    </row>
    <row r="26" spans="1:2" x14ac:dyDescent="0.2">
      <c r="A26" t="s">
        <v>37</v>
      </c>
      <c r="B26" t="s">
        <v>38</v>
      </c>
    </row>
    <row r="27" spans="1:2" x14ac:dyDescent="0.2">
      <c r="A27">
        <v>0</v>
      </c>
      <c r="B27" s="2">
        <f>NPV(A27,B12:B16)+B11</f>
        <v>250000</v>
      </c>
    </row>
    <row r="28" spans="1:2" x14ac:dyDescent="0.2">
      <c r="A28">
        <v>0.05</v>
      </c>
      <c r="B28" s="2">
        <f>NPV(A28,B12:B16)+B11</f>
        <v>155966.88230775867</v>
      </c>
    </row>
    <row r="29" spans="1:2" x14ac:dyDescent="0.2">
      <c r="A29">
        <v>0.1</v>
      </c>
      <c r="B29" s="2">
        <f>NPV(A29,B12:B16)+B11</f>
        <v>79440.674072188209</v>
      </c>
    </row>
    <row r="30" spans="1:2" x14ac:dyDescent="0.2">
      <c r="A30">
        <v>0.15</v>
      </c>
      <c r="B30" s="2">
        <f>NPV(A30,B12:B16)+B11</f>
        <v>16371.95220950793</v>
      </c>
    </row>
    <row r="31" spans="1:2" x14ac:dyDescent="0.2">
      <c r="A31">
        <v>0.2</v>
      </c>
      <c r="B31" s="2">
        <f>NPV(A31,B12:B16)+B11</f>
        <v>-36201.131687242771</v>
      </c>
    </row>
    <row r="32" spans="1:2" x14ac:dyDescent="0.2">
      <c r="A32" t="s">
        <v>39</v>
      </c>
      <c r="B32" s="2">
        <v>0</v>
      </c>
    </row>
    <row r="33" spans="1:2" x14ac:dyDescent="0.2">
      <c r="A33" t="s">
        <v>40</v>
      </c>
    </row>
    <row r="35" spans="1:2" x14ac:dyDescent="0.2">
      <c r="A35" t="s">
        <v>23</v>
      </c>
    </row>
    <row r="37" spans="1:2" x14ac:dyDescent="0.2">
      <c r="A37" t="s">
        <v>3</v>
      </c>
      <c r="B37" t="s">
        <v>4</v>
      </c>
    </row>
    <row r="39" spans="1:2" x14ac:dyDescent="0.2">
      <c r="A39">
        <v>0</v>
      </c>
      <c r="B39" s="1">
        <v>-45000</v>
      </c>
    </row>
    <row r="40" spans="1:2" x14ac:dyDescent="0.2">
      <c r="A40">
        <v>1</v>
      </c>
      <c r="B40" s="1">
        <v>12000</v>
      </c>
    </row>
    <row r="41" spans="1:2" x14ac:dyDescent="0.2">
      <c r="A41">
        <v>2</v>
      </c>
      <c r="B41" s="1">
        <v>18000</v>
      </c>
    </row>
    <row r="42" spans="1:2" x14ac:dyDescent="0.2">
      <c r="A42">
        <v>3</v>
      </c>
      <c r="B42" s="1">
        <v>22000</v>
      </c>
    </row>
    <row r="43" spans="1:2" x14ac:dyDescent="0.2">
      <c r="A43">
        <v>4</v>
      </c>
      <c r="B43" s="1">
        <v>25000</v>
      </c>
    </row>
    <row r="44" spans="1:2" x14ac:dyDescent="0.2">
      <c r="A44">
        <v>5</v>
      </c>
      <c r="B44" s="1">
        <v>67000</v>
      </c>
    </row>
    <row r="46" spans="1:2" x14ac:dyDescent="0.2">
      <c r="A46" t="s">
        <v>33</v>
      </c>
      <c r="B46" s="2">
        <f>IRR(B39:B44)</f>
        <v>0.39737798465480045</v>
      </c>
    </row>
    <row r="47" spans="1:2" x14ac:dyDescent="0.2">
      <c r="A47" t="s">
        <v>35</v>
      </c>
      <c r="B47" s="1">
        <v>0.1</v>
      </c>
    </row>
    <row r="48" spans="1:2" x14ac:dyDescent="0.2">
      <c r="A48" t="s">
        <v>28</v>
      </c>
      <c r="B48" s="2" t="str">
        <f>IF(B46&gt;B47,"Accept Project","Reject Project")</f>
        <v>Accept Project</v>
      </c>
    </row>
    <row r="50" spans="1:2" x14ac:dyDescent="0.2">
      <c r="A50" t="s">
        <v>41</v>
      </c>
    </row>
    <row r="52" spans="1:2" x14ac:dyDescent="0.2">
      <c r="A52" t="s">
        <v>42</v>
      </c>
    </row>
    <row r="54" spans="1:2" x14ac:dyDescent="0.2">
      <c r="A54" t="s">
        <v>3</v>
      </c>
      <c r="B54" t="s">
        <v>4</v>
      </c>
    </row>
    <row r="56" spans="1:2" x14ac:dyDescent="0.2">
      <c r="A56">
        <v>0</v>
      </c>
      <c r="B56" s="1">
        <v>0</v>
      </c>
    </row>
    <row r="57" spans="1:2" x14ac:dyDescent="0.2">
      <c r="A57">
        <v>1</v>
      </c>
      <c r="B57" s="1">
        <v>0</v>
      </c>
    </row>
    <row r="58" spans="1:2" x14ac:dyDescent="0.2">
      <c r="A58">
        <v>2</v>
      </c>
      <c r="B58" s="1">
        <v>0</v>
      </c>
    </row>
    <row r="59" spans="1:2" x14ac:dyDescent="0.2">
      <c r="A59">
        <v>3</v>
      </c>
      <c r="B59" s="1">
        <v>0</v>
      </c>
    </row>
    <row r="60" spans="1:2" x14ac:dyDescent="0.2">
      <c r="A60">
        <v>4</v>
      </c>
      <c r="B60" s="1">
        <v>0</v>
      </c>
    </row>
    <row r="61" spans="1:2" x14ac:dyDescent="0.2">
      <c r="A61">
        <v>5</v>
      </c>
      <c r="B61" s="1">
        <v>0</v>
      </c>
    </row>
    <row r="63" spans="1:2" x14ac:dyDescent="0.2">
      <c r="A63" t="s">
        <v>33</v>
      </c>
      <c r="B63" s="2" t="str">
        <f>IFERROR(IRR(B56:B61),"Enter valid cash flows")</f>
        <v>Enter valid cash flows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57" bestFit="1" customWidth="1"/>
  </cols>
  <sheetData>
    <row r="1" spans="1:7" x14ac:dyDescent="0.2">
      <c r="A1" t="s">
        <v>43</v>
      </c>
    </row>
    <row r="3" spans="1:7" x14ac:dyDescent="0.2">
      <c r="A3" t="s">
        <v>44</v>
      </c>
    </row>
    <row r="5" spans="1:7" x14ac:dyDescent="0.2">
      <c r="A5" t="s">
        <v>45</v>
      </c>
    </row>
    <row r="7" spans="1:7" x14ac:dyDescent="0.2">
      <c r="A7" t="s">
        <v>17</v>
      </c>
    </row>
    <row r="10" spans="1:7" x14ac:dyDescent="0.2">
      <c r="A10" t="s">
        <v>3</v>
      </c>
      <c r="B10" t="s">
        <v>4</v>
      </c>
      <c r="C10" t="s">
        <v>46</v>
      </c>
      <c r="D10" t="s">
        <v>47</v>
      </c>
    </row>
    <row r="11" spans="1:7" x14ac:dyDescent="0.2">
      <c r="A11">
        <v>0</v>
      </c>
      <c r="B11" s="1">
        <v>-500000</v>
      </c>
      <c r="C11" t="s">
        <v>48</v>
      </c>
      <c r="D11" t="s">
        <v>48</v>
      </c>
      <c r="F11" t="s">
        <v>49</v>
      </c>
      <c r="G11" s="2">
        <f>ABS(B11)</f>
        <v>500000</v>
      </c>
    </row>
    <row r="12" spans="1:7" x14ac:dyDescent="0.2">
      <c r="A12">
        <v>1</v>
      </c>
      <c r="B12" s="1">
        <v>150000</v>
      </c>
      <c r="C12" s="2">
        <f>$G$15/$G$16</f>
        <v>80000</v>
      </c>
      <c r="D12" s="2">
        <f>B12-C12</f>
        <v>70000</v>
      </c>
      <c r="F12" t="s">
        <v>50</v>
      </c>
      <c r="G12" s="1">
        <v>100000</v>
      </c>
    </row>
    <row r="13" spans="1:7" x14ac:dyDescent="0.2">
      <c r="A13">
        <v>2</v>
      </c>
      <c r="B13" s="1">
        <v>180000</v>
      </c>
      <c r="C13" s="2">
        <f>$G$15/$G$16</f>
        <v>80000</v>
      </c>
      <c r="D13" s="2">
        <f>B13-C13</f>
        <v>100000</v>
      </c>
    </row>
    <row r="14" spans="1:7" x14ac:dyDescent="0.2">
      <c r="A14">
        <v>3</v>
      </c>
      <c r="B14" s="1">
        <v>200000</v>
      </c>
      <c r="C14" s="2">
        <f>$G$15/$G$16</f>
        <v>80000</v>
      </c>
      <c r="D14" s="2">
        <f>B14-C14</f>
        <v>120000</v>
      </c>
    </row>
    <row r="15" spans="1:7" x14ac:dyDescent="0.2">
      <c r="A15">
        <v>4</v>
      </c>
      <c r="B15" s="1">
        <v>120000</v>
      </c>
      <c r="C15" s="2">
        <f>$G$15/$G$16</f>
        <v>80000</v>
      </c>
      <c r="D15" s="2">
        <f>B15-C15</f>
        <v>40000</v>
      </c>
      <c r="F15" t="s">
        <v>51</v>
      </c>
      <c r="G15" s="2">
        <f>G11-G12</f>
        <v>400000</v>
      </c>
    </row>
    <row r="16" spans="1:7" x14ac:dyDescent="0.2">
      <c r="A16">
        <v>5</v>
      </c>
      <c r="B16" s="1">
        <v>100000</v>
      </c>
      <c r="C16" s="2">
        <f>$G$15/$G$16</f>
        <v>80000</v>
      </c>
      <c r="D16" s="2">
        <f>B16-C16</f>
        <v>20000</v>
      </c>
      <c r="F16" t="s">
        <v>52</v>
      </c>
      <c r="G16" s="2">
        <v>5</v>
      </c>
    </row>
    <row r="19" spans="1:2" x14ac:dyDescent="0.2">
      <c r="A19" t="s">
        <v>53</v>
      </c>
    </row>
    <row r="20" spans="1:2" x14ac:dyDescent="0.2">
      <c r="A20" t="s">
        <v>54</v>
      </c>
      <c r="B20" s="2">
        <f>SUM(D12:D16)</f>
        <v>350000</v>
      </c>
    </row>
    <row r="21" spans="1:2" x14ac:dyDescent="0.2">
      <c r="A21" t="s">
        <v>55</v>
      </c>
      <c r="B21" s="2">
        <f>B20/G16</f>
        <v>70000</v>
      </c>
    </row>
    <row r="22" spans="1:2" x14ac:dyDescent="0.2">
      <c r="A22" t="s">
        <v>56</v>
      </c>
      <c r="B22" s="2">
        <f>(G11+G12)/2</f>
        <v>300000</v>
      </c>
    </row>
    <row r="23" spans="1:2" x14ac:dyDescent="0.2">
      <c r="A23" t="s">
        <v>57</v>
      </c>
      <c r="B23" s="2">
        <f>B21/B22</f>
        <v>0.23333333333333334</v>
      </c>
    </row>
    <row r="24" spans="1:2" x14ac:dyDescent="0.2">
      <c r="A24" t="s">
        <v>58</v>
      </c>
      <c r="B24" s="2" t="str">
        <f>TEXT(B23,"0.00%")</f>
        <v>23.33%</v>
      </c>
    </row>
    <row r="25" spans="1:2" x14ac:dyDescent="0.2">
      <c r="A25" t="s">
        <v>59</v>
      </c>
      <c r="B25" s="1">
        <v>0.15</v>
      </c>
    </row>
    <row r="26" spans="1:2" x14ac:dyDescent="0.2">
      <c r="A26" t="s">
        <v>28</v>
      </c>
      <c r="B26" s="2" t="str">
        <f>IF(B23&gt;B25,"Accept Project","Reject Project")</f>
        <v>Accept Project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workbookViewId="0"/>
  </sheetViews>
  <sheetFormatPr baseColWidth="10" defaultColWidth="8.83203125" defaultRowHeight="15" x14ac:dyDescent="0.2"/>
  <cols>
    <col min="1" max="1" width="93.33203125" bestFit="1" customWidth="1"/>
  </cols>
  <sheetData>
    <row r="1" spans="1:7" x14ac:dyDescent="0.2">
      <c r="A1" t="s">
        <v>60</v>
      </c>
    </row>
    <row r="3" spans="1:7" x14ac:dyDescent="0.2">
      <c r="A3" t="s">
        <v>61</v>
      </c>
    </row>
    <row r="5" spans="1:7" x14ac:dyDescent="0.2">
      <c r="A5" t="s">
        <v>62</v>
      </c>
    </row>
    <row r="8" spans="1:7" x14ac:dyDescent="0.2">
      <c r="A8" t="s">
        <v>3</v>
      </c>
      <c r="B8" t="s">
        <v>4</v>
      </c>
    </row>
    <row r="9" spans="1:7" x14ac:dyDescent="0.2">
      <c r="A9">
        <v>0</v>
      </c>
      <c r="B9" s="1">
        <v>-500000</v>
      </c>
      <c r="F9" t="s">
        <v>63</v>
      </c>
      <c r="G9" s="1">
        <v>0.1</v>
      </c>
    </row>
    <row r="10" spans="1:7" x14ac:dyDescent="0.2">
      <c r="A10">
        <v>1</v>
      </c>
      <c r="B10" s="1">
        <v>150000</v>
      </c>
      <c r="F10" t="s">
        <v>64</v>
      </c>
      <c r="G10" s="1">
        <v>100000</v>
      </c>
    </row>
    <row r="11" spans="1:7" x14ac:dyDescent="0.2">
      <c r="A11">
        <v>2</v>
      </c>
      <c r="B11" s="1">
        <v>180000</v>
      </c>
      <c r="F11" t="s">
        <v>59</v>
      </c>
      <c r="G11" s="1">
        <v>0.15</v>
      </c>
    </row>
    <row r="12" spans="1:7" x14ac:dyDescent="0.2">
      <c r="A12">
        <v>3</v>
      </c>
      <c r="B12" s="1">
        <v>200000</v>
      </c>
      <c r="F12" t="s">
        <v>65</v>
      </c>
      <c r="G12" s="1">
        <v>3</v>
      </c>
    </row>
    <row r="13" spans="1:7" x14ac:dyDescent="0.2">
      <c r="A13">
        <v>4</v>
      </c>
      <c r="B13" s="1">
        <v>120000</v>
      </c>
    </row>
    <row r="14" spans="1:7" x14ac:dyDescent="0.2">
      <c r="A14">
        <v>5</v>
      </c>
      <c r="B14" s="1">
        <v>100000</v>
      </c>
    </row>
    <row r="17" spans="1:4" x14ac:dyDescent="0.2">
      <c r="A17" t="s">
        <v>66</v>
      </c>
    </row>
    <row r="20" spans="1:4" x14ac:dyDescent="0.2">
      <c r="A20" t="s">
        <v>67</v>
      </c>
      <c r="B20" t="s">
        <v>68</v>
      </c>
      <c r="C20" t="s">
        <v>69</v>
      </c>
      <c r="D20" t="s">
        <v>70</v>
      </c>
    </row>
    <row r="21" spans="1:4" x14ac:dyDescent="0.2">
      <c r="A21" t="s">
        <v>71</v>
      </c>
      <c r="B21" s="1">
        <v>2.5</v>
      </c>
      <c r="C21" t="s">
        <v>72</v>
      </c>
      <c r="D21" s="2" t="str">
        <f>IF(B21&lt;G21,"Accept","Reject")</f>
        <v>Reject</v>
      </c>
    </row>
    <row r="22" spans="1:4" x14ac:dyDescent="0.2">
      <c r="A22" t="s">
        <v>73</v>
      </c>
      <c r="B22" s="1">
        <v>3.79</v>
      </c>
      <c r="C22" t="s">
        <v>72</v>
      </c>
      <c r="D22" s="2" t="str">
        <f>IF(B22&lt;G21,"Accept","Reject")</f>
        <v>Reject</v>
      </c>
    </row>
    <row r="23" spans="1:4" x14ac:dyDescent="0.2">
      <c r="A23" t="s">
        <v>74</v>
      </c>
      <c r="B23" s="1">
        <v>63830</v>
      </c>
      <c r="C23" t="s">
        <v>75</v>
      </c>
      <c r="D23" s="2" t="str">
        <f>IF(B23&gt;0,"Accept","Reject")</f>
        <v>Accept</v>
      </c>
    </row>
    <row r="24" spans="1:4" x14ac:dyDescent="0.2">
      <c r="A24" t="s">
        <v>76</v>
      </c>
      <c r="B24" s="1">
        <v>0.13700000000000001</v>
      </c>
      <c r="C24" t="s">
        <v>77</v>
      </c>
      <c r="D24" s="2" t="str">
        <f>IF(B24&gt;G9,"Accept","Reject")</f>
        <v>Accept</v>
      </c>
    </row>
    <row r="25" spans="1:4" x14ac:dyDescent="0.2">
      <c r="A25" t="s">
        <v>78</v>
      </c>
      <c r="B25" s="1">
        <v>0.18</v>
      </c>
      <c r="C25" t="s">
        <v>79</v>
      </c>
      <c r="D25" s="2" t="str">
        <f>IF(B25&gt;G11,"Accept","Reject")</f>
        <v>Accept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0"/>
  <sheetViews>
    <sheetView topLeftCell="A42" workbookViewId="0">
      <selection activeCell="A35" sqref="A35"/>
    </sheetView>
  </sheetViews>
  <sheetFormatPr baseColWidth="10" defaultColWidth="8.83203125" defaultRowHeight="15" x14ac:dyDescent="0.2"/>
  <cols>
    <col min="1" max="1" width="84.5" customWidth="1"/>
    <col min="2" max="2" width="13.6640625" customWidth="1"/>
    <col min="3" max="3" width="16.5" bestFit="1" customWidth="1"/>
  </cols>
  <sheetData>
    <row r="1" spans="1:7" x14ac:dyDescent="0.2">
      <c r="A1" t="s">
        <v>80</v>
      </c>
    </row>
    <row r="3" spans="1:7" x14ac:dyDescent="0.2">
      <c r="A3" t="s">
        <v>81</v>
      </c>
    </row>
    <row r="5" spans="1:7" x14ac:dyDescent="0.2">
      <c r="A5" t="s">
        <v>62</v>
      </c>
    </row>
    <row r="7" spans="1:7" x14ac:dyDescent="0.2">
      <c r="A7" t="s">
        <v>3</v>
      </c>
      <c r="B7" t="s">
        <v>4</v>
      </c>
      <c r="G7" t="s">
        <v>139</v>
      </c>
    </row>
    <row r="8" spans="1:7" x14ac:dyDescent="0.2">
      <c r="A8">
        <v>0</v>
      </c>
      <c r="B8" s="3">
        <v>-500000</v>
      </c>
      <c r="G8" t="s">
        <v>139</v>
      </c>
    </row>
    <row r="9" spans="1:7" x14ac:dyDescent="0.2">
      <c r="A9">
        <v>1</v>
      </c>
      <c r="B9" s="3">
        <v>150000</v>
      </c>
      <c r="G9" t="s">
        <v>138</v>
      </c>
    </row>
    <row r="10" spans="1:7" x14ac:dyDescent="0.2">
      <c r="A10">
        <v>2</v>
      </c>
      <c r="B10" s="3">
        <v>180000</v>
      </c>
      <c r="G10">
        <v>10000</v>
      </c>
    </row>
    <row r="11" spans="1:7" x14ac:dyDescent="0.2">
      <c r="A11">
        <v>3</v>
      </c>
      <c r="B11" s="3">
        <v>200000</v>
      </c>
    </row>
    <row r="12" spans="1:7" x14ac:dyDescent="0.2">
      <c r="A12">
        <v>4</v>
      </c>
      <c r="B12" s="3">
        <v>120000</v>
      </c>
    </row>
    <row r="13" spans="1:7" x14ac:dyDescent="0.2">
      <c r="A13">
        <v>5</v>
      </c>
      <c r="B13" s="3">
        <v>100000</v>
      </c>
    </row>
    <row r="15" spans="1:7" x14ac:dyDescent="0.2">
      <c r="A15" t="s">
        <v>82</v>
      </c>
    </row>
    <row r="17" spans="1:6" x14ac:dyDescent="0.2">
      <c r="A17" t="s">
        <v>83</v>
      </c>
      <c r="B17" t="s">
        <v>84</v>
      </c>
      <c r="C17" t="s">
        <v>85</v>
      </c>
      <c r="D17" t="s">
        <v>86</v>
      </c>
    </row>
    <row r="18" spans="1:6" x14ac:dyDescent="0.2">
      <c r="A18" s="1" t="s">
        <v>49</v>
      </c>
      <c r="B18" s="4">
        <f>ABS(B8)</f>
        <v>500000</v>
      </c>
      <c r="C18" s="5">
        <f>ROUND(SUM(NPV($VB$21,B8:B12)), 0)</f>
        <v>150000</v>
      </c>
      <c r="D18" s="1">
        <f>(C18 - B18) / B18</f>
        <v>-0.7</v>
      </c>
    </row>
    <row r="19" spans="1:6" x14ac:dyDescent="0.2">
      <c r="A19" s="1" t="s">
        <v>87</v>
      </c>
      <c r="B19" s="1" t="s">
        <v>88</v>
      </c>
      <c r="C19" s="1"/>
      <c r="D19" s="1"/>
    </row>
    <row r="20" spans="1:6" x14ac:dyDescent="0.2">
      <c r="A20" s="1" t="s">
        <v>50</v>
      </c>
      <c r="B20" s="2">
        <f>G10</f>
        <v>10000</v>
      </c>
      <c r="C20" s="1">
        <f>-(NPV(B21,B9:B13)+B8)*(1+B21)^5</f>
        <v>-127939.99999999987</v>
      </c>
      <c r="D20" s="1">
        <f>(C20 - B20) / B20</f>
        <v>-13.793999999999988</v>
      </c>
    </row>
    <row r="21" spans="1:6" x14ac:dyDescent="0.2">
      <c r="A21" s="1" t="s">
        <v>37</v>
      </c>
      <c r="B21" s="7">
        <v>0.1</v>
      </c>
      <c r="C21" s="6">
        <f>IRR(B8:B13)</f>
        <v>0.16464215163431573</v>
      </c>
      <c r="D21" s="1"/>
    </row>
    <row r="25" spans="1:6" x14ac:dyDescent="0.2">
      <c r="A25" t="s">
        <v>89</v>
      </c>
    </row>
    <row r="27" spans="1:6" x14ac:dyDescent="0.2">
      <c r="A27" t="s">
        <v>90</v>
      </c>
      <c r="B27" t="s">
        <v>91</v>
      </c>
      <c r="C27" t="s">
        <v>92</v>
      </c>
      <c r="D27" t="s">
        <v>93</v>
      </c>
      <c r="E27" t="s">
        <v>38</v>
      </c>
      <c r="F27" t="s">
        <v>39</v>
      </c>
    </row>
    <row r="28" spans="1:6" x14ac:dyDescent="0.2">
      <c r="A28" t="s">
        <v>94</v>
      </c>
      <c r="B28" s="1">
        <v>0.25</v>
      </c>
      <c r="C28" s="1">
        <v>0.05</v>
      </c>
      <c r="D28" s="1">
        <v>1</v>
      </c>
    </row>
    <row r="29" spans="1:6" x14ac:dyDescent="0.2">
      <c r="A29" t="s">
        <v>95</v>
      </c>
      <c r="B29" s="1">
        <v>0.5</v>
      </c>
      <c r="C29" s="1">
        <v>0.1</v>
      </c>
      <c r="D29" s="1">
        <v>1.5</v>
      </c>
    </row>
    <row r="30" spans="1:6" x14ac:dyDescent="0.2">
      <c r="A30" t="s">
        <v>96</v>
      </c>
      <c r="B30" s="1">
        <v>0.25</v>
      </c>
      <c r="C30" s="1">
        <v>0.15</v>
      </c>
      <c r="D30" s="1">
        <v>2</v>
      </c>
    </row>
    <row r="31" spans="1:6" x14ac:dyDescent="0.2">
      <c r="A31" t="s">
        <v>97</v>
      </c>
      <c r="B31" s="1">
        <v>1</v>
      </c>
    </row>
    <row r="35" spans="1:1" x14ac:dyDescent="0.2">
      <c r="A35" t="s">
        <v>98</v>
      </c>
    </row>
    <row r="40" spans="1:1" x14ac:dyDescent="0.2">
      <c r="A40" t="s">
        <v>99</v>
      </c>
    </row>
    <row r="50" spans="1:1" x14ac:dyDescent="0.2">
      <c r="A50" t="s">
        <v>100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101</v>
      </c>
    </row>
    <row r="3" spans="1:1" x14ac:dyDescent="0.2">
      <c r="A3" t="s">
        <v>102</v>
      </c>
    </row>
    <row r="5" spans="1:1" x14ac:dyDescent="0.2">
      <c r="A5" t="s">
        <v>103</v>
      </c>
    </row>
    <row r="15" spans="1:1" x14ac:dyDescent="0.2">
      <c r="A15" t="s">
        <v>62</v>
      </c>
    </row>
    <row r="18" spans="1:7" x14ac:dyDescent="0.2">
      <c r="A18" t="s">
        <v>3</v>
      </c>
      <c r="B18" t="s">
        <v>4</v>
      </c>
      <c r="C18" t="s">
        <v>104</v>
      </c>
    </row>
    <row r="19" spans="1:7" x14ac:dyDescent="0.2">
      <c r="A19">
        <v>0</v>
      </c>
      <c r="B19" s="1">
        <v>-45000</v>
      </c>
      <c r="C19" t="s">
        <v>105</v>
      </c>
      <c r="F19" t="s">
        <v>63</v>
      </c>
      <c r="G19" s="1">
        <v>0.1</v>
      </c>
    </row>
    <row r="20" spans="1:7" x14ac:dyDescent="0.2">
      <c r="A20">
        <v>1</v>
      </c>
      <c r="B20" s="1">
        <v>12000</v>
      </c>
      <c r="C20" t="s">
        <v>106</v>
      </c>
    </row>
    <row r="21" spans="1:7" x14ac:dyDescent="0.2">
      <c r="A21">
        <v>2</v>
      </c>
      <c r="B21" s="1">
        <v>18000</v>
      </c>
      <c r="C21" t="s">
        <v>107</v>
      </c>
    </row>
    <row r="22" spans="1:7" x14ac:dyDescent="0.2">
      <c r="A22">
        <v>3</v>
      </c>
      <c r="B22" s="1">
        <v>22000</v>
      </c>
      <c r="C22" t="s">
        <v>108</v>
      </c>
    </row>
    <row r="23" spans="1:7" x14ac:dyDescent="0.2">
      <c r="A23">
        <v>4</v>
      </c>
      <c r="B23" s="1">
        <v>25000</v>
      </c>
      <c r="C23" t="s">
        <v>109</v>
      </c>
    </row>
    <row r="24" spans="1:7" x14ac:dyDescent="0.2">
      <c r="A24">
        <v>5</v>
      </c>
      <c r="B24" s="1">
        <v>67000</v>
      </c>
      <c r="C24" t="s">
        <v>110</v>
      </c>
    </row>
    <row r="27" spans="1:7" x14ac:dyDescent="0.2">
      <c r="A27" t="s">
        <v>111</v>
      </c>
    </row>
    <row r="35" spans="1:1" x14ac:dyDescent="0.2">
      <c r="A35" t="s">
        <v>112</v>
      </c>
    </row>
    <row r="45" spans="1:1" x14ac:dyDescent="0.2">
      <c r="A45" t="s">
        <v>113</v>
      </c>
    </row>
    <row r="50" spans="1:1" x14ac:dyDescent="0.2">
      <c r="A50" t="s">
        <v>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1_Dashboard</vt:lpstr>
      <vt:lpstr>3_Discounted Payback</vt:lpstr>
      <vt:lpstr>2_Payback Period</vt:lpstr>
      <vt:lpstr>4_NPV</vt:lpstr>
      <vt:lpstr>5_IRR</vt:lpstr>
      <vt:lpstr>6_ARR</vt:lpstr>
      <vt:lpstr>7_Method_Comparison</vt:lpstr>
      <vt:lpstr>8_Risk_Analysis</vt:lpstr>
      <vt:lpstr>9_Case_Study</vt:lpstr>
      <vt:lpstr>8_Risk_Analysis_Updated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Barry Quinn (QMS)</cp:lastModifiedBy>
  <dcterms:created xsi:type="dcterms:W3CDTF">2025-05-20T15:26:30Z</dcterms:created>
  <dcterms:modified xsi:type="dcterms:W3CDTF">2025-05-20T18:24:57Z</dcterms:modified>
</cp:coreProperties>
</file>