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quinference/Documents/Corporate-Finance-Management/corp-fin-mgt/materials/"/>
    </mc:Choice>
  </mc:AlternateContent>
  <xr:revisionPtr revIDLastSave="0" documentId="13_ncr:1_{70ECC6F3-64B7-8448-8D9D-77168997F08B}" xr6:coauthVersionLast="47" xr6:coauthVersionMax="47" xr10:uidLastSave="{00000000-0000-0000-0000-000000000000}"/>
  <bookViews>
    <workbookView xWindow="160" yWindow="920" windowWidth="17040" windowHeight="21260" firstSheet="2" activeTab="6" xr2:uid="{00000000-000D-0000-FFFF-FFFF00000000}"/>
  </bookViews>
  <sheets>
    <sheet name="1_Intro" sheetId="1" r:id="rId1"/>
    <sheet name="2_Market Value of Equity" sheetId="2" r:id="rId2"/>
    <sheet name="3_DVM_No_Growth" sheetId="3" r:id="rId3"/>
    <sheet name="4_DVM_With_Growth" sheetId="4" r:id="rId4"/>
    <sheet name="5_CAPM" sheetId="5" r:id="rId5"/>
    <sheet name="6_Cost of Debt" sheetId="6" r:id="rId6"/>
    <sheet name="7_WAC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" l="1"/>
  <c r="D32" i="7" s="1"/>
  <c r="C31" i="7"/>
  <c r="D31" i="7" s="1"/>
  <c r="C30" i="7"/>
  <c r="D30" i="7" s="1"/>
  <c r="D29" i="7"/>
  <c r="C29" i="7"/>
  <c r="D28" i="7"/>
  <c r="C28" i="7"/>
  <c r="C27" i="7"/>
  <c r="D27" i="7" s="1"/>
  <c r="L20" i="7"/>
  <c r="K20" i="7"/>
  <c r="J20" i="7"/>
  <c r="I20" i="7"/>
  <c r="H20" i="7"/>
  <c r="D20" i="7"/>
  <c r="L15" i="7"/>
  <c r="K15" i="7"/>
  <c r="J15" i="7"/>
  <c r="I15" i="7"/>
  <c r="H15" i="7"/>
  <c r="D15" i="7"/>
  <c r="H9" i="7"/>
  <c r="D9" i="7"/>
  <c r="J9" i="7" s="1"/>
  <c r="L9" i="7" s="1"/>
  <c r="B55" i="6"/>
  <c r="B56" i="6" s="1"/>
  <c r="B45" i="6"/>
  <c r="C30" i="6"/>
  <c r="D30" i="6" s="1"/>
  <c r="D29" i="6"/>
  <c r="C29" i="6"/>
  <c r="C28" i="6"/>
  <c r="D28" i="6" s="1"/>
  <c r="D32" i="6" s="1"/>
  <c r="B34" i="6" s="1"/>
  <c r="E16" i="6"/>
  <c r="F16" i="6" s="1"/>
  <c r="E10" i="6"/>
  <c r="F10" i="6" s="1"/>
  <c r="C37" i="5"/>
  <c r="C36" i="5"/>
  <c r="C35" i="5"/>
  <c r="D27" i="5"/>
  <c r="F27" i="5" s="1"/>
  <c r="G27" i="5" s="1"/>
  <c r="D21" i="5"/>
  <c r="F21" i="5" s="1"/>
  <c r="G21" i="5" s="1"/>
  <c r="F15" i="5"/>
  <c r="E15" i="5"/>
  <c r="D9" i="5"/>
  <c r="C34" i="5" s="1"/>
  <c r="G39" i="4"/>
  <c r="H39" i="4" s="1"/>
  <c r="I39" i="4" s="1"/>
  <c r="F39" i="4"/>
  <c r="D39" i="4"/>
  <c r="I33" i="4"/>
  <c r="D33" i="4"/>
  <c r="F33" i="4" s="1"/>
  <c r="H33" i="4" s="1"/>
  <c r="J33" i="4" s="1"/>
  <c r="K33" i="4" s="1"/>
  <c r="G27" i="4"/>
  <c r="D27" i="4"/>
  <c r="F27" i="4" s="1"/>
  <c r="H27" i="4" s="1"/>
  <c r="I27" i="4" s="1"/>
  <c r="B21" i="4"/>
  <c r="B20" i="4"/>
  <c r="C19" i="4"/>
  <c r="C18" i="4"/>
  <c r="C17" i="4"/>
  <c r="C16" i="4"/>
  <c r="D21" i="3"/>
  <c r="E21" i="3" s="1"/>
  <c r="D15" i="3"/>
  <c r="E15" i="3" s="1"/>
  <c r="E9" i="3"/>
  <c r="F9" i="3" s="1"/>
  <c r="G9" i="3" s="1"/>
  <c r="F27" i="2"/>
  <c r="D27" i="2"/>
  <c r="D21" i="2"/>
  <c r="F21" i="2" s="1"/>
  <c r="D15" i="2"/>
  <c r="F9" i="2"/>
  <c r="D9" i="2"/>
  <c r="F9" i="5" l="1"/>
  <c r="G9" i="5" s="1"/>
  <c r="I9" i="7"/>
  <c r="K9" i="7" s="1"/>
  <c r="C33" i="5"/>
</calcChain>
</file>

<file path=xl/sharedStrings.xml><?xml version="1.0" encoding="utf-8"?>
<sst xmlns="http://schemas.openxmlformats.org/spreadsheetml/2006/main" count="178" uniqueCount="116">
  <si>
    <t>Cost of Capital - Interactive Learning Spreadsheet</t>
  </si>
  <si>
    <t>Based on Corporate Financial Management lectures by Prof. Barry Quinn, Ulster University Business School</t>
  </si>
  <si>
    <t>Contents:</t>
  </si>
  <si>
    <t>1. Market Value of Equity (Worksheet 2)</t>
  </si>
  <si>
    <t>2. Dividend Valuation Model - No Growth (Worksheet 3)</t>
  </si>
  <si>
    <t>3. Dividend Valuation Model - With Growth (Worksheet 4)</t>
  </si>
  <si>
    <t>4. Capital Asset Pricing Model (CAPM) (Worksheet 5)</t>
  </si>
  <si>
    <t>5. Cost of Debt (Worksheet 6)</t>
  </si>
  <si>
    <t>6. Weighted Average Cost of Capital (WACC) (Worksheet 7)</t>
  </si>
  <si>
    <t>Instructions:</t>
  </si>
  <si>
    <t>- Yellow cells are for inputs - change these values to see how calculations change</t>
  </si>
  <si>
    <t>- Blue cells contain formulas and should not be modified</t>
  </si>
  <si>
    <t>- Each worksheet contains examples from the lecture slides plus additional practice scenarios</t>
  </si>
  <si>
    <t>- Click worksheet tabs at the bottom to navigate between topics</t>
  </si>
  <si>
    <t>Market Value of Equity (P₀)</t>
  </si>
  <si>
    <t>Key formula: MV = Share price (ex-dividend) × Number of shares</t>
  </si>
  <si>
    <t>Example 1: Invierno plc</t>
  </si>
  <si>
    <t>Cum-dividend share price</t>
  </si>
  <si>
    <t>Accrued dividend</t>
  </si>
  <si>
    <t>Ex-dividend price</t>
  </si>
  <si>
    <t>Number of shares</t>
  </si>
  <si>
    <t>Market Value</t>
  </si>
  <si>
    <t>Example 2: Alberta plc</t>
  </si>
  <si>
    <t>Share price (ex-dividend)</t>
  </si>
  <si>
    <t>Example 3: Beta plc</t>
  </si>
  <si>
    <t>Practice Example</t>
  </si>
  <si>
    <t>Dividend Valuation Model - No Growth</t>
  </si>
  <si>
    <t>Key formula: Ke = D₁/P₀</t>
  </si>
  <si>
    <t>Example 1: Febrero PLC</t>
  </si>
  <si>
    <t>Annual dividend (D₁)</t>
  </si>
  <si>
    <t>Interim dividend</t>
  </si>
  <si>
    <t>Ex-dividend price (P₀)</t>
  </si>
  <si>
    <t>Cost of Equity (Ke)</t>
  </si>
  <si>
    <t>Example 2: Hugo Plc</t>
  </si>
  <si>
    <t>Ex-dividend share price (P₀)</t>
  </si>
  <si>
    <t>Dividend Valuation Model - With Growth</t>
  </si>
  <si>
    <t>Key formulas:</t>
  </si>
  <si>
    <t>Ke = (D₁/P₀) + g</t>
  </si>
  <si>
    <t>where D₁ = D₀(1+g)</t>
  </si>
  <si>
    <t>Growth rate calculation: g = (D₁/D₀)^(1/n) - 1</t>
  </si>
  <si>
    <t>Example 1: Junio PLC - Historical Growth Calculation</t>
  </si>
  <si>
    <t>Year</t>
  </si>
  <si>
    <t>Dividend</t>
  </si>
  <si>
    <t>Annual Growth</t>
  </si>
  <si>
    <t>Growth calculation using formula:</t>
  </si>
  <si>
    <t>Average annual growth:</t>
  </si>
  <si>
    <t>Example 2: Febrero PLC</t>
  </si>
  <si>
    <t>Current dividend (D₀)</t>
  </si>
  <si>
    <t>Growth rate (g)</t>
  </si>
  <si>
    <t>Next dividend (D₁)</t>
  </si>
  <si>
    <t>Share price (P₀)</t>
  </si>
  <si>
    <t>Dividend yield</t>
  </si>
  <si>
    <t>Growth component</t>
  </si>
  <si>
    <t>Example 3: Whiskey Plc</t>
  </si>
  <si>
    <t>Total dividend</t>
  </si>
  <si>
    <t>Dividend per share (D₀)</t>
  </si>
  <si>
    <t>Capital Asset Pricing Model (CAPM)</t>
  </si>
  <si>
    <t>Key formula: Ke = rf + β(rm - rf)</t>
  </si>
  <si>
    <t>Example 1: M plc</t>
  </si>
  <si>
    <t>Risk-free rate (rf)</t>
  </si>
  <si>
    <t>Market return (rm)</t>
  </si>
  <si>
    <t>Market risk premium</t>
  </si>
  <si>
    <t>Beta (β)</t>
  </si>
  <si>
    <t>Example 2: L plc</t>
  </si>
  <si>
    <t>Example 3: N plc</t>
  </si>
  <si>
    <t>Beta Sensitivity Analysis</t>
  </si>
  <si>
    <t>Beta values</t>
  </si>
  <si>
    <t>Cost of Debt</t>
  </si>
  <si>
    <t>Part 1: Untraded Debt (Bank Loans)</t>
  </si>
  <si>
    <t>Key formula: Kdt = i(1-t)</t>
  </si>
  <si>
    <t>Example: Bank Loan</t>
  </si>
  <si>
    <t>Loan amount</t>
  </si>
  <si>
    <t>Interest rate (i)</t>
  </si>
  <si>
    <t>Tax rate (t)</t>
  </si>
  <si>
    <t>After-tax cost of debt (Kdt)</t>
  </si>
  <si>
    <t>Practice Example: Bank Loan</t>
  </si>
  <si>
    <t>Part 2: Traded Debt (Redeemable Bonds)</t>
  </si>
  <si>
    <t>Market Value Example: ABC PLC</t>
  </si>
  <si>
    <t>Bond par value: £100</t>
  </si>
  <si>
    <t>Total bonds: £2,000,000</t>
  </si>
  <si>
    <t>Coupon rate: 8%</t>
  </si>
  <si>
    <t>Years to redemption: 3</t>
  </si>
  <si>
    <t>Required return: 5%</t>
  </si>
  <si>
    <t>Cash flow</t>
  </si>
  <si>
    <t>Discount factor (5%)</t>
  </si>
  <si>
    <t>Present value</t>
  </si>
  <si>
    <t>Total bond value:</t>
  </si>
  <si>
    <t>Market value of all bonds:</t>
  </si>
  <si>
    <t>Example: Cost of Redeemable Debt - Derry PLC</t>
  </si>
  <si>
    <t>Par value per bond: £100</t>
  </si>
  <si>
    <t>Total debentures: £5,000,000</t>
  </si>
  <si>
    <t>Years to redemption: 4</t>
  </si>
  <si>
    <t>Market price: £92</t>
  </si>
  <si>
    <t>Tax rate: 50%</t>
  </si>
  <si>
    <t>After-tax interest payment:</t>
  </si>
  <si>
    <t>IRR Calculation table</t>
  </si>
  <si>
    <t>Cost of debt (IRR):</t>
  </si>
  <si>
    <t>After-tax cost of debt:</t>
  </si>
  <si>
    <t>Weighted Average Cost of Capital (WACC)</t>
  </si>
  <si>
    <t>Key formula: WACC = [E/(D+E)]×Ke + [D/(D+E)]×Kd(1-t)</t>
  </si>
  <si>
    <t>Example: Primavero Plc</t>
  </si>
  <si>
    <t>Market value of equity (E)</t>
  </si>
  <si>
    <t>Market value of debt (D)</t>
  </si>
  <si>
    <t>Total market value</t>
  </si>
  <si>
    <t>Cost of equity (Ke)</t>
  </si>
  <si>
    <t>Cost of debt (Kd)</t>
  </si>
  <si>
    <t>After-tax cost of debt</t>
  </si>
  <si>
    <t>Weight of equity</t>
  </si>
  <si>
    <t>Weight of debt</t>
  </si>
  <si>
    <t>WACC</t>
  </si>
  <si>
    <t>Practice Example 1</t>
  </si>
  <si>
    <t>Practice Example 2</t>
  </si>
  <si>
    <t>WACC Sensitivity Analysis</t>
  </si>
  <si>
    <t>Debt to Equity Ratio Impact on WACC</t>
  </si>
  <si>
    <t>Debt %</t>
  </si>
  <si>
    <t>Equity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</si>
</sst>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D8E6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sqref="A1:A18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A46" sqref="A46"/>
    </sheetView>
  </sheetViews>
  <sheetFormatPr baseColWidth="10" defaultColWidth="8.83203125" defaultRowHeight="15" x14ac:dyDescent="0.2"/>
  <cols>
    <col min="1" max="1" width="50.1640625" bestFit="1" customWidth="1"/>
    <col min="2" max="2" width="20.5" bestFit="1" customWidth="1"/>
    <col min="3" max="3" width="14.33203125" bestFit="1" customWidth="1"/>
    <col min="4" max="5" width="14.1640625" bestFit="1" customWidth="1"/>
    <col min="6" max="6" width="11" bestFit="1" customWidth="1"/>
  </cols>
  <sheetData>
    <row r="1" spans="1:6" x14ac:dyDescent="0.2">
      <c r="A1" t="s">
        <v>14</v>
      </c>
    </row>
    <row r="3" spans="1:6" x14ac:dyDescent="0.2">
      <c r="A3" t="s">
        <v>15</v>
      </c>
    </row>
    <row r="5" spans="1:6" x14ac:dyDescent="0.2">
      <c r="A5" t="s">
        <v>16</v>
      </c>
    </row>
    <row r="8" spans="1:6" x14ac:dyDescent="0.2">
      <c r="B8" t="s">
        <v>17</v>
      </c>
      <c r="C8" t="s">
        <v>18</v>
      </c>
      <c r="D8" t="s">
        <v>19</v>
      </c>
      <c r="E8" t="s">
        <v>20</v>
      </c>
      <c r="F8" t="s">
        <v>21</v>
      </c>
    </row>
    <row r="9" spans="1:6" x14ac:dyDescent="0.2">
      <c r="B9" s="1">
        <v>2.4</v>
      </c>
      <c r="C9" s="1">
        <v>0.22</v>
      </c>
      <c r="D9" s="2">
        <f>B9-C9</f>
        <v>2.1799999999999997</v>
      </c>
      <c r="E9" s="1">
        <v>2000000</v>
      </c>
      <c r="F9" s="2">
        <f>D9*E9</f>
        <v>4359999.9999999991</v>
      </c>
    </row>
    <row r="11" spans="1:6" x14ac:dyDescent="0.2">
      <c r="A11" t="s">
        <v>22</v>
      </c>
    </row>
    <row r="14" spans="1:6" x14ac:dyDescent="0.2">
      <c r="B14" t="s">
        <v>23</v>
      </c>
      <c r="C14" t="s">
        <v>20</v>
      </c>
      <c r="D14" t="s">
        <v>21</v>
      </c>
    </row>
    <row r="15" spans="1:6" x14ac:dyDescent="0.2">
      <c r="B15" s="1">
        <v>1.3</v>
      </c>
      <c r="C15" s="1">
        <v>3000000</v>
      </c>
      <c r="D15" s="2">
        <f>B15*C15</f>
        <v>3900000</v>
      </c>
    </row>
    <row r="17" spans="1:6" x14ac:dyDescent="0.2">
      <c r="A17" t="s">
        <v>24</v>
      </c>
    </row>
    <row r="20" spans="1:6" x14ac:dyDescent="0.2">
      <c r="B20" t="s">
        <v>17</v>
      </c>
      <c r="C20" t="s">
        <v>18</v>
      </c>
      <c r="D20" t="s">
        <v>19</v>
      </c>
      <c r="E20" t="s">
        <v>20</v>
      </c>
      <c r="F20" t="s">
        <v>21</v>
      </c>
    </row>
    <row r="21" spans="1:6" x14ac:dyDescent="0.2">
      <c r="B21" s="1">
        <v>1.25</v>
      </c>
      <c r="C21" s="1">
        <v>0.03</v>
      </c>
      <c r="D21" s="2">
        <f>B21-C21</f>
        <v>1.22</v>
      </c>
      <c r="E21" s="1">
        <v>1000000</v>
      </c>
      <c r="F21" s="2">
        <f>D21*E21</f>
        <v>1220000</v>
      </c>
    </row>
    <row r="23" spans="1:6" x14ac:dyDescent="0.2">
      <c r="A23" t="s">
        <v>25</v>
      </c>
    </row>
    <row r="26" spans="1:6" x14ac:dyDescent="0.2">
      <c r="B26" t="s">
        <v>17</v>
      </c>
      <c r="C26" t="s">
        <v>18</v>
      </c>
      <c r="D26" t="s">
        <v>19</v>
      </c>
      <c r="E26" t="s">
        <v>20</v>
      </c>
      <c r="F26" t="s">
        <v>21</v>
      </c>
    </row>
    <row r="27" spans="1:6" x14ac:dyDescent="0.2">
      <c r="B27" s="1">
        <v>3.45</v>
      </c>
      <c r="C27" s="1">
        <v>0.15</v>
      </c>
      <c r="D27" s="2">
        <f>B27-C27</f>
        <v>3.3000000000000003</v>
      </c>
      <c r="E27" s="1">
        <v>5000000</v>
      </c>
      <c r="F27" s="2">
        <f>D27*E27</f>
        <v>16500000.000000002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83203125" bestFit="1" customWidth="1"/>
    <col min="2" max="2" width="16.5" bestFit="1" customWidth="1"/>
    <col min="3" max="3" width="22" bestFit="1" customWidth="1"/>
    <col min="4" max="4" width="14.6640625" bestFit="1" customWidth="1"/>
    <col min="5" max="5" width="17.33203125" bestFit="1" customWidth="1"/>
    <col min="6" max="6" width="14.6640625" bestFit="1" customWidth="1"/>
    <col min="7" max="7" width="6" bestFit="1" customWidth="1"/>
  </cols>
  <sheetData>
    <row r="1" spans="1:7" x14ac:dyDescent="0.2">
      <c r="A1" t="s">
        <v>26</v>
      </c>
    </row>
    <row r="3" spans="1:7" x14ac:dyDescent="0.2">
      <c r="A3" t="s">
        <v>27</v>
      </c>
    </row>
    <row r="5" spans="1:7" x14ac:dyDescent="0.2">
      <c r="A5" t="s">
        <v>28</v>
      </c>
    </row>
    <row r="8" spans="1:7" x14ac:dyDescent="0.2">
      <c r="B8" t="s">
        <v>29</v>
      </c>
      <c r="C8" t="s">
        <v>17</v>
      </c>
      <c r="D8" t="s">
        <v>30</v>
      </c>
      <c r="E8" t="s">
        <v>31</v>
      </c>
      <c r="F8" t="s">
        <v>32</v>
      </c>
    </row>
    <row r="9" spans="1:7" x14ac:dyDescent="0.2">
      <c r="B9" s="1">
        <v>0.16</v>
      </c>
      <c r="C9" s="1">
        <v>1.88</v>
      </c>
      <c r="D9" s="1">
        <v>0.08</v>
      </c>
      <c r="E9" s="2">
        <f>C9-D9</f>
        <v>1.7999999999999998</v>
      </c>
      <c r="F9" s="2">
        <f>B9/E9</f>
        <v>8.8888888888888906E-2</v>
      </c>
      <c r="G9" s="2" t="str">
        <f>TEXT(F9,"0.00%")</f>
        <v>8.89%</v>
      </c>
    </row>
    <row r="11" spans="1:7" x14ac:dyDescent="0.2">
      <c r="A11" t="s">
        <v>33</v>
      </c>
    </row>
    <row r="14" spans="1:7" x14ac:dyDescent="0.2">
      <c r="B14" t="s">
        <v>29</v>
      </c>
      <c r="C14" t="s">
        <v>34</v>
      </c>
      <c r="D14" t="s">
        <v>32</v>
      </c>
    </row>
    <row r="15" spans="1:7" x14ac:dyDescent="0.2">
      <c r="B15" s="1">
        <v>0.24</v>
      </c>
      <c r="C15" s="1">
        <v>2.2999999999999998</v>
      </c>
      <c r="D15" s="2">
        <f>B15/C15</f>
        <v>0.10434782608695653</v>
      </c>
      <c r="E15" s="2" t="str">
        <f>TEXT(D15,"0.00%")</f>
        <v>10.43%</v>
      </c>
    </row>
    <row r="17" spans="1:5" x14ac:dyDescent="0.2">
      <c r="A17" t="s">
        <v>25</v>
      </c>
    </row>
    <row r="20" spans="1:5" x14ac:dyDescent="0.2">
      <c r="B20" t="s">
        <v>29</v>
      </c>
      <c r="C20" t="s">
        <v>34</v>
      </c>
      <c r="D20" t="s">
        <v>32</v>
      </c>
    </row>
    <row r="21" spans="1:5" x14ac:dyDescent="0.2">
      <c r="B21" s="1">
        <v>0.35</v>
      </c>
      <c r="C21" s="1">
        <v>4.2</v>
      </c>
      <c r="D21" s="2">
        <f>B21/C21</f>
        <v>8.3333333333333329E-2</v>
      </c>
      <c r="E21" s="2" t="str">
        <f>TEXT(D21,"0.00%")</f>
        <v>8.33%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1.5" bestFit="1" customWidth="1"/>
    <col min="2" max="2" width="17.33203125" bestFit="1" customWidth="1"/>
    <col min="3" max="3" width="14.1640625" bestFit="1" customWidth="1"/>
    <col min="4" max="4" width="18.83203125" bestFit="1" customWidth="1"/>
    <col min="5" max="5" width="12.6640625" bestFit="1" customWidth="1"/>
    <col min="6" max="6" width="14.6640625" bestFit="1" customWidth="1"/>
    <col min="7" max="7" width="16.33203125" bestFit="1" customWidth="1"/>
    <col min="8" max="8" width="14.6640625" bestFit="1" customWidth="1"/>
    <col min="9" max="9" width="16.33203125" bestFit="1" customWidth="1"/>
    <col min="10" max="10" width="14.6640625" bestFit="1" customWidth="1"/>
    <col min="11" max="11" width="6" bestFit="1" customWidth="1"/>
  </cols>
  <sheetData>
    <row r="1" spans="1:3" x14ac:dyDescent="0.2">
      <c r="A1" t="s">
        <v>35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7" spans="1:3" x14ac:dyDescent="0.2">
      <c r="A7" t="s">
        <v>39</v>
      </c>
    </row>
    <row r="10" spans="1:3" x14ac:dyDescent="0.2">
      <c r="A10" t="s">
        <v>40</v>
      </c>
    </row>
    <row r="14" spans="1:3" x14ac:dyDescent="0.2">
      <c r="A14" t="s">
        <v>41</v>
      </c>
      <c r="B14" t="s">
        <v>42</v>
      </c>
      <c r="C14" t="s">
        <v>43</v>
      </c>
    </row>
    <row r="15" spans="1:3" x14ac:dyDescent="0.2">
      <c r="A15">
        <v>2011</v>
      </c>
      <c r="B15" s="1">
        <v>195000</v>
      </c>
    </row>
    <row r="16" spans="1:3" x14ac:dyDescent="0.2">
      <c r="A16">
        <v>2012</v>
      </c>
      <c r="B16" s="1">
        <v>249600</v>
      </c>
      <c r="C16" s="2">
        <f>B16/B15-1</f>
        <v>0.28000000000000003</v>
      </c>
    </row>
    <row r="17" spans="1:10" x14ac:dyDescent="0.2">
      <c r="A17">
        <v>2013</v>
      </c>
      <c r="B17" s="1">
        <v>267800</v>
      </c>
      <c r="C17" s="2">
        <f>B17/B16-1</f>
        <v>7.2916666666666741E-2</v>
      </c>
    </row>
    <row r="18" spans="1:10" x14ac:dyDescent="0.2">
      <c r="A18">
        <v>2014</v>
      </c>
      <c r="B18" s="1">
        <v>318500</v>
      </c>
      <c r="C18" s="2">
        <f>B18/B17-1</f>
        <v>0.18932038834951448</v>
      </c>
    </row>
    <row r="19" spans="1:10" x14ac:dyDescent="0.2">
      <c r="A19">
        <v>2015</v>
      </c>
      <c r="B19" s="1">
        <v>341055</v>
      </c>
      <c r="C19" s="2">
        <f>B19/B18-1</f>
        <v>7.0816326530612317E-2</v>
      </c>
    </row>
    <row r="20" spans="1:10" x14ac:dyDescent="0.2">
      <c r="A20" t="s">
        <v>44</v>
      </c>
      <c r="B20" s="2" t="e">
        <f>POWER(B18/B14,1/4)-1</f>
        <v>#VALUE!</v>
      </c>
    </row>
    <row r="21" spans="1:10" x14ac:dyDescent="0.2">
      <c r="A21" t="s">
        <v>45</v>
      </c>
      <c r="B21" s="2">
        <f>AVERAGE(C15:C18)</f>
        <v>0.18074568500539376</v>
      </c>
    </row>
    <row r="23" spans="1:10" x14ac:dyDescent="0.2">
      <c r="A23" t="s">
        <v>46</v>
      </c>
    </row>
    <row r="26" spans="1:10" x14ac:dyDescent="0.2"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52</v>
      </c>
      <c r="H26" t="s">
        <v>32</v>
      </c>
    </row>
    <row r="27" spans="1:10" x14ac:dyDescent="0.2">
      <c r="B27" s="1">
        <v>0.16</v>
      </c>
      <c r="C27" s="1">
        <v>7.0000000000000007E-2</v>
      </c>
      <c r="D27" s="2">
        <f>B27*(1+C27)</f>
        <v>0.17120000000000002</v>
      </c>
      <c r="E27" s="1">
        <v>1.88</v>
      </c>
      <c r="F27" s="2">
        <f>D27/E27</f>
        <v>9.1063829787234055E-2</v>
      </c>
      <c r="G27" s="2">
        <f>C27</f>
        <v>7.0000000000000007E-2</v>
      </c>
      <c r="H27" s="2">
        <f>F27+G27</f>
        <v>0.16106382978723405</v>
      </c>
      <c r="I27" s="2" t="str">
        <f>TEXT(H27,"0.00%")</f>
        <v>16.11%</v>
      </c>
    </row>
    <row r="29" spans="1:10" x14ac:dyDescent="0.2">
      <c r="A29" t="s">
        <v>53</v>
      </c>
    </row>
    <row r="32" spans="1:10" x14ac:dyDescent="0.2">
      <c r="B32" t="s">
        <v>54</v>
      </c>
      <c r="C32" t="s">
        <v>20</v>
      </c>
      <c r="D32" t="s">
        <v>55</v>
      </c>
      <c r="E32" t="s">
        <v>48</v>
      </c>
      <c r="F32" t="s">
        <v>49</v>
      </c>
      <c r="G32" t="s">
        <v>50</v>
      </c>
      <c r="H32" t="s">
        <v>51</v>
      </c>
      <c r="I32" t="s">
        <v>52</v>
      </c>
      <c r="J32" t="s">
        <v>32</v>
      </c>
    </row>
    <row r="33" spans="1:11" x14ac:dyDescent="0.2">
      <c r="B33" s="1">
        <v>300000</v>
      </c>
      <c r="C33" s="1">
        <v>3000000</v>
      </c>
      <c r="D33" s="2">
        <f>B33/C33</f>
        <v>0.1</v>
      </c>
      <c r="E33" s="1">
        <v>0.05</v>
      </c>
      <c r="F33" s="2">
        <f>D33*(1+E33)</f>
        <v>0.10500000000000001</v>
      </c>
      <c r="G33" s="1">
        <v>2.33</v>
      </c>
      <c r="H33" s="2">
        <f>F33/G33</f>
        <v>4.5064377682403435E-2</v>
      </c>
      <c r="I33" s="2">
        <f>E33</f>
        <v>0.05</v>
      </c>
      <c r="J33" s="2">
        <f>H33+I33</f>
        <v>9.5064377682403445E-2</v>
      </c>
      <c r="K33" s="2" t="str">
        <f>TEXT(J33,"0.00%")</f>
        <v>9.51%</v>
      </c>
    </row>
    <row r="35" spans="1:11" x14ac:dyDescent="0.2">
      <c r="A35" t="s">
        <v>25</v>
      </c>
    </row>
    <row r="38" spans="1:11" x14ac:dyDescent="0.2">
      <c r="B38" t="s">
        <v>47</v>
      </c>
      <c r="C38" t="s">
        <v>48</v>
      </c>
      <c r="D38" t="s">
        <v>49</v>
      </c>
      <c r="E38" t="s">
        <v>50</v>
      </c>
      <c r="F38" t="s">
        <v>51</v>
      </c>
      <c r="G38" t="s">
        <v>52</v>
      </c>
      <c r="H38" t="s">
        <v>32</v>
      </c>
    </row>
    <row r="39" spans="1:11" x14ac:dyDescent="0.2">
      <c r="B39" s="1">
        <v>0.42</v>
      </c>
      <c r="C39" s="1">
        <v>0.06</v>
      </c>
      <c r="D39" s="2">
        <f>B39*(1+C39)</f>
        <v>0.44519999999999998</v>
      </c>
      <c r="E39" s="1">
        <v>5.25</v>
      </c>
      <c r="F39" s="2">
        <f>D39/E39</f>
        <v>8.48E-2</v>
      </c>
      <c r="G39" s="2">
        <f>C39</f>
        <v>0.06</v>
      </c>
      <c r="H39" s="2">
        <f>F39+G39</f>
        <v>0.14479999999999998</v>
      </c>
      <c r="I39" s="2" t="str">
        <f>TEXT(H39,"0.00%")</f>
        <v>14.48%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7.83203125" bestFit="1" customWidth="1"/>
    <col min="2" max="2" width="13.33203125" bestFit="1" customWidth="1"/>
    <col min="3" max="4" width="17" bestFit="1" customWidth="1"/>
    <col min="5" max="6" width="14.6640625" bestFit="1" customWidth="1"/>
    <col min="7" max="7" width="7" bestFit="1" customWidth="1"/>
  </cols>
  <sheetData>
    <row r="1" spans="1:7" x14ac:dyDescent="0.2">
      <c r="A1" t="s">
        <v>56</v>
      </c>
    </row>
    <row r="3" spans="1:7" x14ac:dyDescent="0.2">
      <c r="A3" t="s">
        <v>57</v>
      </c>
    </row>
    <row r="5" spans="1:7" x14ac:dyDescent="0.2">
      <c r="A5" t="s">
        <v>58</v>
      </c>
    </row>
    <row r="8" spans="1:7" x14ac:dyDescent="0.2">
      <c r="B8" t="s">
        <v>59</v>
      </c>
      <c r="C8" t="s">
        <v>60</v>
      </c>
      <c r="D8" t="s">
        <v>61</v>
      </c>
      <c r="E8" t="s">
        <v>62</v>
      </c>
      <c r="F8" t="s">
        <v>32</v>
      </c>
    </row>
    <row r="9" spans="1:7" x14ac:dyDescent="0.2">
      <c r="B9" s="1">
        <v>0.03</v>
      </c>
      <c r="C9" s="1">
        <v>0.08</v>
      </c>
      <c r="D9" s="2">
        <f>C9-B9</f>
        <v>0.05</v>
      </c>
      <c r="E9" s="1">
        <v>1.2</v>
      </c>
      <c r="F9" s="2">
        <f>B9+E9*D9</f>
        <v>0.09</v>
      </c>
      <c r="G9" s="2" t="str">
        <f>TEXT(F9,"0.00%")</f>
        <v>9.00%</v>
      </c>
    </row>
    <row r="11" spans="1:7" x14ac:dyDescent="0.2">
      <c r="A11" t="s">
        <v>63</v>
      </c>
    </row>
    <row r="14" spans="1:7" x14ac:dyDescent="0.2">
      <c r="B14" t="s">
        <v>59</v>
      </c>
      <c r="C14" t="s">
        <v>61</v>
      </c>
      <c r="D14" t="s">
        <v>62</v>
      </c>
      <c r="E14" t="s">
        <v>32</v>
      </c>
    </row>
    <row r="15" spans="1:7" x14ac:dyDescent="0.2">
      <c r="B15" s="1">
        <v>0.05</v>
      </c>
      <c r="C15" s="1">
        <v>0.08</v>
      </c>
      <c r="D15" s="1">
        <v>1.5</v>
      </c>
      <c r="E15" s="2">
        <f>B15+D15*C15</f>
        <v>0.16999999999999998</v>
      </c>
      <c r="F15" s="2" t="str">
        <f>TEXT(E15,"0.00%")</f>
        <v>17.00%</v>
      </c>
    </row>
    <row r="17" spans="1:7" x14ac:dyDescent="0.2">
      <c r="A17" t="s">
        <v>64</v>
      </c>
    </row>
    <row r="20" spans="1:7" x14ac:dyDescent="0.2">
      <c r="B20" t="s">
        <v>59</v>
      </c>
      <c r="C20" t="s">
        <v>60</v>
      </c>
      <c r="D20" t="s">
        <v>61</v>
      </c>
      <c r="E20" t="s">
        <v>62</v>
      </c>
      <c r="F20" t="s">
        <v>32</v>
      </c>
    </row>
    <row r="21" spans="1:7" x14ac:dyDescent="0.2">
      <c r="B21" s="1">
        <v>0.05</v>
      </c>
      <c r="C21" s="1">
        <v>0.15</v>
      </c>
      <c r="D21" s="2">
        <f>C21-B21</f>
        <v>9.9999999999999992E-2</v>
      </c>
      <c r="E21" s="1">
        <v>2</v>
      </c>
      <c r="F21" s="2">
        <f>B21+E21*D21</f>
        <v>0.25</v>
      </c>
      <c r="G21" s="2" t="str">
        <f>TEXT(F21,"0.00%")</f>
        <v>25.00%</v>
      </c>
    </row>
    <row r="23" spans="1:7" x14ac:dyDescent="0.2">
      <c r="A23" t="s">
        <v>25</v>
      </c>
    </row>
    <row r="26" spans="1:7" x14ac:dyDescent="0.2">
      <c r="B26" t="s">
        <v>59</v>
      </c>
      <c r="C26" t="s">
        <v>60</v>
      </c>
      <c r="D26" t="s">
        <v>61</v>
      </c>
      <c r="E26" t="s">
        <v>62</v>
      </c>
      <c r="F26" t="s">
        <v>32</v>
      </c>
    </row>
    <row r="27" spans="1:7" x14ac:dyDescent="0.2">
      <c r="B27" s="1">
        <v>0.04</v>
      </c>
      <c r="C27" s="1">
        <v>0.11</v>
      </c>
      <c r="D27" s="2">
        <f>C27-B27</f>
        <v>7.0000000000000007E-2</v>
      </c>
      <c r="E27" s="1">
        <v>1.75</v>
      </c>
      <c r="F27" s="2">
        <f>B27+E27*D27</f>
        <v>0.16250000000000001</v>
      </c>
      <c r="G27" s="2" t="str">
        <f>TEXT(F27,"0.00%")</f>
        <v>16.25%</v>
      </c>
    </row>
    <row r="29" spans="1:7" x14ac:dyDescent="0.2">
      <c r="A29" t="s">
        <v>65</v>
      </c>
    </row>
    <row r="32" spans="1:7" x14ac:dyDescent="0.2">
      <c r="B32" t="s">
        <v>66</v>
      </c>
      <c r="C32" t="s">
        <v>32</v>
      </c>
    </row>
    <row r="33" spans="2:3" x14ac:dyDescent="0.2">
      <c r="B33" s="1">
        <v>0.5</v>
      </c>
      <c r="C33" s="2">
        <f>B9+A33*D9</f>
        <v>0.03</v>
      </c>
    </row>
    <row r="34" spans="2:3" x14ac:dyDescent="0.2">
      <c r="B34" s="1">
        <v>1</v>
      </c>
      <c r="C34" s="2">
        <f>B9+A34*D9</f>
        <v>0.03</v>
      </c>
    </row>
    <row r="35" spans="2:3" x14ac:dyDescent="0.2">
      <c r="B35" s="1">
        <v>1.5</v>
      </c>
      <c r="C35" s="2">
        <f>B9+A35*D9</f>
        <v>0.03</v>
      </c>
    </row>
    <row r="36" spans="2:3" x14ac:dyDescent="0.2">
      <c r="B36" s="1">
        <v>2</v>
      </c>
      <c r="C36" s="2">
        <f>B9+A36*D9</f>
        <v>0.03</v>
      </c>
    </row>
    <row r="37" spans="2:3" x14ac:dyDescent="0.2">
      <c r="B37" s="1">
        <v>2.5</v>
      </c>
      <c r="C37" s="2">
        <f>B9+A37*D9</f>
        <v>0.03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topLeftCell="A6" workbookViewId="0"/>
  </sheetViews>
  <sheetFormatPr baseColWidth="10" defaultColWidth="8.83203125" defaultRowHeight="15" x14ac:dyDescent="0.2"/>
  <cols>
    <col min="1" max="1" width="36.1640625" bestFit="1" customWidth="1"/>
  </cols>
  <sheetData>
    <row r="1" spans="1:6" x14ac:dyDescent="0.2">
      <c r="A1" t="s">
        <v>67</v>
      </c>
    </row>
    <row r="3" spans="1:6" x14ac:dyDescent="0.2">
      <c r="A3" t="s">
        <v>68</v>
      </c>
    </row>
    <row r="4" spans="1:6" x14ac:dyDescent="0.2">
      <c r="A4" t="s">
        <v>69</v>
      </c>
    </row>
    <row r="6" spans="1:6" x14ac:dyDescent="0.2">
      <c r="A6" t="s">
        <v>70</v>
      </c>
    </row>
    <row r="9" spans="1:6" x14ac:dyDescent="0.2">
      <c r="B9" t="s">
        <v>71</v>
      </c>
      <c r="C9" t="s">
        <v>72</v>
      </c>
      <c r="D9" t="s">
        <v>73</v>
      </c>
      <c r="E9" t="s">
        <v>74</v>
      </c>
    </row>
    <row r="10" spans="1:6" x14ac:dyDescent="0.2">
      <c r="B10" s="1">
        <v>1000000</v>
      </c>
      <c r="C10" s="1">
        <v>0.08</v>
      </c>
      <c r="D10" s="1">
        <v>0.3</v>
      </c>
      <c r="E10" s="2">
        <f>C10*(1-D10)</f>
        <v>5.5999999999999994E-2</v>
      </c>
      <c r="F10" s="2" t="str">
        <f>TEXT(E10,"0.00%")</f>
        <v>5.60%</v>
      </c>
    </row>
    <row r="12" spans="1:6" x14ac:dyDescent="0.2">
      <c r="A12" t="s">
        <v>75</v>
      </c>
    </row>
    <row r="15" spans="1:6" x14ac:dyDescent="0.2">
      <c r="B15" t="s">
        <v>71</v>
      </c>
      <c r="C15" t="s">
        <v>72</v>
      </c>
      <c r="D15" t="s">
        <v>73</v>
      </c>
      <c r="E15" t="s">
        <v>74</v>
      </c>
    </row>
    <row r="16" spans="1:6" x14ac:dyDescent="0.2">
      <c r="B16" s="1">
        <v>500000</v>
      </c>
      <c r="C16" s="1">
        <v>7.4999999999999997E-2</v>
      </c>
      <c r="D16" s="1">
        <v>0.25</v>
      </c>
      <c r="E16" s="2">
        <f>C16*(1-D16)</f>
        <v>5.6249999999999994E-2</v>
      </c>
      <c r="F16" s="2" t="str">
        <f>TEXT(E16,"0.00%")</f>
        <v>5.63%</v>
      </c>
    </row>
    <row r="19" spans="1:4" x14ac:dyDescent="0.2">
      <c r="A19" t="s">
        <v>76</v>
      </c>
    </row>
    <row r="20" spans="1:4" x14ac:dyDescent="0.2">
      <c r="A20" t="s">
        <v>77</v>
      </c>
    </row>
    <row r="21" spans="1:4" x14ac:dyDescent="0.2">
      <c r="A21" t="s">
        <v>78</v>
      </c>
    </row>
    <row r="22" spans="1:4" x14ac:dyDescent="0.2">
      <c r="A22" t="s">
        <v>79</v>
      </c>
    </row>
    <row r="23" spans="1:4" x14ac:dyDescent="0.2">
      <c r="A23" t="s">
        <v>80</v>
      </c>
    </row>
    <row r="24" spans="1:4" x14ac:dyDescent="0.2">
      <c r="A24" t="s">
        <v>81</v>
      </c>
    </row>
    <row r="25" spans="1:4" x14ac:dyDescent="0.2">
      <c r="A25" t="s">
        <v>82</v>
      </c>
    </row>
    <row r="27" spans="1:4" x14ac:dyDescent="0.2">
      <c r="A27" t="s">
        <v>41</v>
      </c>
      <c r="B27" t="s">
        <v>83</v>
      </c>
      <c r="C27" t="s">
        <v>84</v>
      </c>
      <c r="D27" t="s">
        <v>85</v>
      </c>
    </row>
    <row r="28" spans="1:4" x14ac:dyDescent="0.2">
      <c r="A28">
        <v>1</v>
      </c>
      <c r="B28" s="1">
        <v>8</v>
      </c>
      <c r="C28" s="2">
        <f>1/POWER(1.05,A28)</f>
        <v>0.95238095238095233</v>
      </c>
      <c r="D28" s="2">
        <f>B28*C28</f>
        <v>7.6190476190476186</v>
      </c>
    </row>
    <row r="29" spans="1:4" x14ac:dyDescent="0.2">
      <c r="A29">
        <v>2</v>
      </c>
      <c r="B29" s="1">
        <v>8</v>
      </c>
      <c r="C29" s="2">
        <f>1/POWER(1.05,A29)</f>
        <v>0.90702947845804982</v>
      </c>
      <c r="D29" s="2">
        <f>B29*C29</f>
        <v>7.2562358276643986</v>
      </c>
    </row>
    <row r="30" spans="1:4" x14ac:dyDescent="0.2">
      <c r="A30">
        <v>3</v>
      </c>
      <c r="B30" s="1">
        <v>108</v>
      </c>
      <c r="C30" s="2">
        <f>1/POWER(1.05,A30)</f>
        <v>0.86383759853147601</v>
      </c>
      <c r="D30" s="2">
        <f>B30*C30</f>
        <v>93.294460641399411</v>
      </c>
    </row>
    <row r="32" spans="1:4" x14ac:dyDescent="0.2">
      <c r="A32" t="s">
        <v>86</v>
      </c>
      <c r="D32" s="2">
        <f>SUM(D28:D30)</f>
        <v>108.16974408811143</v>
      </c>
    </row>
    <row r="34" spans="1:2" x14ac:dyDescent="0.2">
      <c r="A34" t="s">
        <v>87</v>
      </c>
      <c r="B34" s="2">
        <f>D32/100*2000000</f>
        <v>2163394.8817622284</v>
      </c>
    </row>
    <row r="36" spans="1:2" x14ac:dyDescent="0.2">
      <c r="A36" t="s">
        <v>88</v>
      </c>
    </row>
    <row r="39" spans="1:2" x14ac:dyDescent="0.2">
      <c r="A39" t="s">
        <v>89</v>
      </c>
    </row>
    <row r="40" spans="1:2" x14ac:dyDescent="0.2">
      <c r="A40" t="s">
        <v>90</v>
      </c>
    </row>
    <row r="41" spans="1:2" x14ac:dyDescent="0.2">
      <c r="A41" t="s">
        <v>80</v>
      </c>
    </row>
    <row r="42" spans="1:2" x14ac:dyDescent="0.2">
      <c r="A42" t="s">
        <v>91</v>
      </c>
    </row>
    <row r="43" spans="1:2" x14ac:dyDescent="0.2">
      <c r="A43" t="s">
        <v>92</v>
      </c>
    </row>
    <row r="44" spans="1:2" x14ac:dyDescent="0.2">
      <c r="A44" t="s">
        <v>93</v>
      </c>
    </row>
    <row r="45" spans="1:2" x14ac:dyDescent="0.2">
      <c r="A45" t="s">
        <v>94</v>
      </c>
      <c r="B45" s="2">
        <f>8*(1-0.5)</f>
        <v>4</v>
      </c>
    </row>
    <row r="47" spans="1:2" x14ac:dyDescent="0.2">
      <c r="A47" t="s">
        <v>95</v>
      </c>
    </row>
    <row r="48" spans="1:2" x14ac:dyDescent="0.2">
      <c r="A48" t="s">
        <v>41</v>
      </c>
      <c r="B48" t="s">
        <v>83</v>
      </c>
    </row>
    <row r="49" spans="1:2" x14ac:dyDescent="0.2">
      <c r="A49">
        <v>0</v>
      </c>
      <c r="B49" s="1">
        <v>-92</v>
      </c>
    </row>
    <row r="50" spans="1:2" x14ac:dyDescent="0.2">
      <c r="A50">
        <v>1</v>
      </c>
      <c r="B50" s="1">
        <v>4</v>
      </c>
    </row>
    <row r="51" spans="1:2" x14ac:dyDescent="0.2">
      <c r="A51">
        <v>2</v>
      </c>
      <c r="B51" s="1">
        <v>4</v>
      </c>
    </row>
    <row r="52" spans="1:2" x14ac:dyDescent="0.2">
      <c r="A52">
        <v>3</v>
      </c>
      <c r="B52" s="1">
        <v>4</v>
      </c>
    </row>
    <row r="53" spans="1:2" x14ac:dyDescent="0.2">
      <c r="A53">
        <v>4</v>
      </c>
      <c r="B53" s="1">
        <v>104</v>
      </c>
    </row>
    <row r="55" spans="1:2" x14ac:dyDescent="0.2">
      <c r="A55" t="s">
        <v>96</v>
      </c>
      <c r="B55" s="2">
        <f>IRR(B49:B53)</f>
        <v>6.3259900108757927E-2</v>
      </c>
    </row>
    <row r="56" spans="1:2" x14ac:dyDescent="0.2">
      <c r="A56" t="s">
        <v>97</v>
      </c>
      <c r="B56" s="2">
        <f>B55*(1-0.5)</f>
        <v>3.1629950054378964E-2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42.83203125" bestFit="1" customWidth="1"/>
    <col min="2" max="2" width="20.1640625" bestFit="1" customWidth="1"/>
    <col min="3" max="3" width="19.1640625" bestFit="1" customWidth="1"/>
    <col min="4" max="4" width="15" bestFit="1" customWidth="1"/>
    <col min="5" max="5" width="14.6640625" bestFit="1" customWidth="1"/>
    <col min="6" max="6" width="13.5" bestFit="1" customWidth="1"/>
    <col min="7" max="7" width="9" bestFit="1" customWidth="1"/>
    <col min="8" max="8" width="17" bestFit="1" customWidth="1"/>
    <col min="9" max="9" width="13.6640625" bestFit="1" customWidth="1"/>
    <col min="10" max="10" width="12.33203125" bestFit="1" customWidth="1"/>
    <col min="11" max="11" width="6.1640625" bestFit="1" customWidth="1"/>
    <col min="12" max="12" width="7" bestFit="1" customWidth="1"/>
  </cols>
  <sheetData>
    <row r="1" spans="1:12" x14ac:dyDescent="0.2">
      <c r="A1" t="s">
        <v>98</v>
      </c>
    </row>
    <row r="3" spans="1:12" x14ac:dyDescent="0.2">
      <c r="A3" t="s">
        <v>99</v>
      </c>
    </row>
    <row r="5" spans="1:12" x14ac:dyDescent="0.2">
      <c r="A5" t="s">
        <v>100</v>
      </c>
    </row>
    <row r="8" spans="1:12" x14ac:dyDescent="0.2">
      <c r="B8" t="s">
        <v>101</v>
      </c>
      <c r="C8" t="s">
        <v>102</v>
      </c>
      <c r="D8" t="s">
        <v>103</v>
      </c>
      <c r="E8" t="s">
        <v>104</v>
      </c>
      <c r="F8" t="s">
        <v>105</v>
      </c>
      <c r="G8" t="s">
        <v>73</v>
      </c>
      <c r="H8" t="s">
        <v>106</v>
      </c>
      <c r="I8" t="s">
        <v>107</v>
      </c>
      <c r="J8" t="s">
        <v>108</v>
      </c>
      <c r="K8" t="s">
        <v>109</v>
      </c>
    </row>
    <row r="9" spans="1:12" x14ac:dyDescent="0.2">
      <c r="B9" s="1">
        <v>2000000</v>
      </c>
      <c r="C9" s="1">
        <v>2000000</v>
      </c>
      <c r="D9" s="2">
        <f>B9+C9</f>
        <v>4000000</v>
      </c>
      <c r="E9" s="1">
        <v>0.16</v>
      </c>
      <c r="F9" s="1">
        <v>0.125</v>
      </c>
      <c r="G9" s="1">
        <v>0.2</v>
      </c>
      <c r="H9" s="2">
        <f>F9*(1-G9)</f>
        <v>0.1</v>
      </c>
      <c r="I9" s="2">
        <f>B9/D9</f>
        <v>0.5</v>
      </c>
      <c r="J9" s="2">
        <f>C9/D9</f>
        <v>0.5</v>
      </c>
      <c r="K9" s="2">
        <f>H9*E9+I9*H9</f>
        <v>6.6000000000000003E-2</v>
      </c>
      <c r="L9" s="2" t="str">
        <f>TEXT(J9,"0.00%")</f>
        <v>50.00%</v>
      </c>
    </row>
    <row r="11" spans="1:12" x14ac:dyDescent="0.2">
      <c r="A11" t="s">
        <v>110</v>
      </c>
    </row>
    <row r="15" spans="1:12" x14ac:dyDescent="0.2">
      <c r="B15" s="1">
        <v>3000000</v>
      </c>
      <c r="C15" s="1">
        <v>1000000</v>
      </c>
      <c r="D15" s="2">
        <f>B14+C14</f>
        <v>0</v>
      </c>
      <c r="E15" s="1">
        <v>0.14000000000000001</v>
      </c>
      <c r="F15" s="1">
        <v>0.09</v>
      </c>
      <c r="G15" s="1">
        <v>0.25</v>
      </c>
      <c r="H15" s="2">
        <f>F14*(1-G14)</f>
        <v>0</v>
      </c>
      <c r="I15" s="2" t="e">
        <f>B14/D14</f>
        <v>#DIV/0!</v>
      </c>
      <c r="J15" s="2" t="e">
        <f>C14/D14</f>
        <v>#DIV/0!</v>
      </c>
      <c r="K15" s="2">
        <f>H14*E14+I14*H14</f>
        <v>0</v>
      </c>
      <c r="L15" s="2" t="str">
        <f>TEXT(J14,"0.00%")</f>
        <v>0.00%</v>
      </c>
    </row>
    <row r="16" spans="1:12" x14ac:dyDescent="0.2">
      <c r="A16" t="s">
        <v>111</v>
      </c>
    </row>
    <row r="20" spans="1:12" x14ac:dyDescent="0.2">
      <c r="B20" s="1">
        <v>5000000</v>
      </c>
      <c r="C20" s="1">
        <v>5000000</v>
      </c>
      <c r="D20" s="2">
        <f>B19+C19</f>
        <v>0</v>
      </c>
      <c r="E20" s="1">
        <v>0.18</v>
      </c>
      <c r="F20" s="1">
        <v>0.11</v>
      </c>
      <c r="G20" s="1">
        <v>0.3</v>
      </c>
      <c r="H20" s="2">
        <f>F19*(1-G19)</f>
        <v>0</v>
      </c>
      <c r="I20" s="2" t="e">
        <f>B19/D19</f>
        <v>#DIV/0!</v>
      </c>
      <c r="J20" s="2" t="e">
        <f>C19/D19</f>
        <v>#DIV/0!</v>
      </c>
      <c r="K20" s="2">
        <f>H19*E19+I19*H19</f>
        <v>0</v>
      </c>
      <c r="L20" s="2" t="str">
        <f>TEXT(J19,"0.00%")</f>
        <v>0.00%</v>
      </c>
    </row>
    <row r="21" spans="1:12" x14ac:dyDescent="0.2">
      <c r="A21" t="s">
        <v>112</v>
      </c>
    </row>
    <row r="23" spans="1:12" x14ac:dyDescent="0.2">
      <c r="A23" t="s">
        <v>113</v>
      </c>
    </row>
    <row r="26" spans="1:12" x14ac:dyDescent="0.2">
      <c r="B26" t="s">
        <v>114</v>
      </c>
      <c r="C26" t="s">
        <v>115</v>
      </c>
      <c r="D26" t="s">
        <v>109</v>
      </c>
    </row>
    <row r="27" spans="1:12" x14ac:dyDescent="0.2">
      <c r="B27" s="1">
        <v>0</v>
      </c>
      <c r="C27" s="2">
        <f t="shared" ref="C27:C32" si="0">1-B27</f>
        <v>1</v>
      </c>
      <c r="D27" s="2">
        <f>C27*E9+B27*H9</f>
        <v>0.16</v>
      </c>
    </row>
    <row r="28" spans="1:12" x14ac:dyDescent="0.2">
      <c r="B28" s="1">
        <v>0.2</v>
      </c>
      <c r="C28" s="2">
        <f t="shared" si="0"/>
        <v>0.8</v>
      </c>
      <c r="D28" s="2">
        <f>C28*E9+B28*H9</f>
        <v>0.14800000000000002</v>
      </c>
    </row>
    <row r="29" spans="1:12" x14ac:dyDescent="0.2">
      <c r="B29" s="1">
        <v>0.4</v>
      </c>
      <c r="C29" s="2">
        <f t="shared" si="0"/>
        <v>0.6</v>
      </c>
      <c r="D29" s="2">
        <f>C29*E9+B29*H9</f>
        <v>0.13600000000000001</v>
      </c>
    </row>
    <row r="30" spans="1:12" x14ac:dyDescent="0.2">
      <c r="B30" s="1">
        <v>0.5</v>
      </c>
      <c r="C30" s="2">
        <f t="shared" si="0"/>
        <v>0.5</v>
      </c>
      <c r="D30" s="2">
        <f>C30*E9+B30*H9</f>
        <v>0.13</v>
      </c>
    </row>
    <row r="31" spans="1:12" x14ac:dyDescent="0.2">
      <c r="B31" s="1">
        <v>0.6</v>
      </c>
      <c r="C31" s="2">
        <f t="shared" si="0"/>
        <v>0.4</v>
      </c>
      <c r="D31" s="2">
        <f>C31*E9+B31*H9</f>
        <v>0.124</v>
      </c>
    </row>
    <row r="32" spans="1:12" x14ac:dyDescent="0.2">
      <c r="B32" s="1">
        <v>0.8</v>
      </c>
      <c r="C32" s="2">
        <f t="shared" si="0"/>
        <v>0.19999999999999996</v>
      </c>
      <c r="D32" s="2">
        <f>C32*E9+B32*H9</f>
        <v>0.11200000000000002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1_Intro</vt:lpstr>
      <vt:lpstr>2_Market Value of Equity</vt:lpstr>
      <vt:lpstr>3_DVM_No_Growth</vt:lpstr>
      <vt:lpstr>4_DVM_With_Growth</vt:lpstr>
      <vt:lpstr>5_CAPM</vt:lpstr>
      <vt:lpstr>6_Cost of Debt</vt:lpstr>
      <vt:lpstr>7_WACC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Barry Quinn (QMS)</cp:lastModifiedBy>
  <dcterms:created xsi:type="dcterms:W3CDTF">2025-05-20T14:08:23Z</dcterms:created>
  <dcterms:modified xsi:type="dcterms:W3CDTF">2025-05-22T07:19:29Z</dcterms:modified>
</cp:coreProperties>
</file>