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quinference/Documents/Corporate-Finance-Management/corp-fin-mgt/materials/"/>
    </mc:Choice>
  </mc:AlternateContent>
  <xr:revisionPtr revIDLastSave="0" documentId="13_ncr:1_{9824B8C4-63FD-C148-9562-3B85111FC3FE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Q1_Mylan_Contract" sheetId="1" r:id="rId1"/>
    <sheet name="Q2_Kendall_WACC" sheetId="2" r:id="rId2"/>
    <sheet name="Q3_Davison_Inventory" sheetId="3" r:id="rId3"/>
    <sheet name="Q4_Vonn_Ratios" sheetId="4" r:id="rId4"/>
    <sheet name="Summary_Dashboar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G57" i="1" s="1"/>
  <c r="F55" i="1"/>
  <c r="E55" i="1"/>
  <c r="D55" i="1"/>
  <c r="D57" i="1" s="1"/>
  <c r="C55" i="1"/>
  <c r="B18" i="5"/>
  <c r="B7" i="5"/>
  <c r="B34" i="4"/>
  <c r="C27" i="4"/>
  <c r="B27" i="4"/>
  <c r="B32" i="4"/>
  <c r="B31" i="4"/>
  <c r="B30" i="4"/>
  <c r="C26" i="4"/>
  <c r="B26" i="4"/>
  <c r="C25" i="4"/>
  <c r="B25" i="4"/>
  <c r="C20" i="4"/>
  <c r="C21" i="4" s="1"/>
  <c r="B20" i="4"/>
  <c r="B21" i="4" s="1"/>
  <c r="B33" i="4" s="1"/>
  <c r="C16" i="4"/>
  <c r="B16" i="4"/>
  <c r="B17" i="5" s="1"/>
  <c r="C15" i="4"/>
  <c r="B15" i="4"/>
  <c r="B35" i="3"/>
  <c r="B32" i="3"/>
  <c r="B27" i="3"/>
  <c r="B25" i="3"/>
  <c r="B26" i="3" s="1"/>
  <c r="B24" i="3"/>
  <c r="B19" i="3"/>
  <c r="B5" i="3"/>
  <c r="B36" i="3" s="1"/>
  <c r="B39" i="2"/>
  <c r="B40" i="2" s="1"/>
  <c r="B38" i="2"/>
  <c r="B37" i="2"/>
  <c r="B28" i="2"/>
  <c r="B23" i="2"/>
  <c r="B24" i="2" s="1"/>
  <c r="D38" i="2" s="1"/>
  <c r="B18" i="2"/>
  <c r="B19" i="2" s="1"/>
  <c r="B20" i="2" s="1"/>
  <c r="D37" i="2" s="1"/>
  <c r="B17" i="2"/>
  <c r="C80" i="1"/>
  <c r="C81" i="1" s="1"/>
  <c r="C82" i="1" s="1"/>
  <c r="C83" i="1" s="1"/>
  <c r="C79" i="1"/>
  <c r="C66" i="1"/>
  <c r="C67" i="1" s="1"/>
  <c r="C68" i="1" s="1"/>
  <c r="F57" i="1"/>
  <c r="E57" i="1"/>
  <c r="C57" i="1"/>
  <c r="B57" i="1"/>
  <c r="L36" i="1"/>
  <c r="K36" i="1"/>
  <c r="K38" i="1" s="1"/>
  <c r="K5" i="1" s="1"/>
  <c r="P33" i="1"/>
  <c r="P36" i="1" s="1"/>
  <c r="O33" i="1"/>
  <c r="O36" i="1" s="1"/>
  <c r="N33" i="1"/>
  <c r="N36" i="1" s="1"/>
  <c r="M33" i="1"/>
  <c r="M36" i="1" s="1"/>
  <c r="L33" i="1"/>
  <c r="B20" i="1"/>
  <c r="G17" i="1"/>
  <c r="G20" i="1" s="1"/>
  <c r="F17" i="1"/>
  <c r="F20" i="1" s="1"/>
  <c r="E17" i="1"/>
  <c r="E20" i="1" s="1"/>
  <c r="D17" i="1"/>
  <c r="D20" i="1" s="1"/>
  <c r="C17" i="1"/>
  <c r="C20" i="1" s="1"/>
  <c r="B17" i="1"/>
  <c r="K12" i="1" s="1"/>
  <c r="K14" i="1"/>
  <c r="K13" i="1"/>
  <c r="B53" i="1" l="1"/>
  <c r="B59" i="1" s="1"/>
  <c r="C69" i="1"/>
  <c r="C70" i="1" s="1"/>
  <c r="B72" i="1"/>
  <c r="B89" i="1" s="1"/>
  <c r="B22" i="1"/>
  <c r="C39" i="2"/>
  <c r="E39" i="2" s="1"/>
  <c r="C38" i="2"/>
  <c r="E38" i="2" s="1"/>
  <c r="C37" i="2"/>
  <c r="B29" i="3"/>
  <c r="B85" i="1"/>
  <c r="B90" i="1" s="1"/>
  <c r="B33" i="3"/>
  <c r="B34" i="3" s="1"/>
  <c r="B37" i="3" s="1"/>
  <c r="B11" i="3"/>
  <c r="B12" i="3" s="1"/>
  <c r="B28" i="3"/>
  <c r="K9" i="1"/>
  <c r="K10" i="1"/>
  <c r="B15" i="3"/>
  <c r="B16" i="3" s="1"/>
  <c r="C40" i="2" l="1"/>
  <c r="E37" i="2"/>
  <c r="E40" i="2" s="1"/>
  <c r="B10" i="5" s="1"/>
  <c r="B13" i="5"/>
  <c r="B41" i="3"/>
  <c r="B17" i="3"/>
  <c r="B18" i="3" s="1"/>
  <c r="B20" i="3" s="1"/>
  <c r="H7" i="3"/>
  <c r="C43" i="3"/>
  <c r="H6" i="3"/>
  <c r="C42" i="3"/>
  <c r="K11" i="1"/>
  <c r="J41" i="1"/>
  <c r="B6" i="5"/>
  <c r="K4" i="1"/>
  <c r="B50" i="1"/>
  <c r="B62" i="1" s="1"/>
  <c r="H5" i="3" l="1"/>
  <c r="C41" i="3"/>
  <c r="D43" i="3"/>
  <c r="D42" i="3"/>
</calcChain>
</file>

<file path=xl/sharedStrings.xml><?xml version="1.0" encoding="utf-8"?>
<sst xmlns="http://schemas.openxmlformats.org/spreadsheetml/2006/main" count="219" uniqueCount="172">
  <si>
    <t>QUESTION 1: MYLAN CONTRACT ANALYSIS</t>
  </si>
  <si>
    <t>CORRECTED VERSION: NO TAX APPLIED (as question states 'Ignore tax')</t>
  </si>
  <si>
    <t>NPV Comparison</t>
  </si>
  <si>
    <t>GIVEN DATA</t>
  </si>
  <si>
    <t>Option</t>
  </si>
  <si>
    <t>NPV (£)</t>
  </si>
  <si>
    <t>Contract Cash Flows (£000s)</t>
  </si>
  <si>
    <t>Year 1</t>
  </si>
  <si>
    <t>Year 2</t>
  </si>
  <si>
    <t>Year 3</t>
  </si>
  <si>
    <t>Year 4</t>
  </si>
  <si>
    <t>Year 5</t>
  </si>
  <si>
    <t>Option 1</t>
  </si>
  <si>
    <t>Contract Revenue</t>
  </si>
  <si>
    <t>Option 2</t>
  </si>
  <si>
    <t>Cost of Capital</t>
  </si>
  <si>
    <t>10%</t>
  </si>
  <si>
    <t>Sensitivity Data</t>
  </si>
  <si>
    <t>OPTION 1 ANALYSIS</t>
  </si>
  <si>
    <t>Discount Rate</t>
  </si>
  <si>
    <t>Year 0</t>
  </si>
  <si>
    <t>Other Business Income</t>
  </si>
  <si>
    <t>Initial Investment</t>
  </si>
  <si>
    <t>Ongoing Investment</t>
  </si>
  <si>
    <t>Staff Costs</t>
  </si>
  <si>
    <t>Manager Salary</t>
  </si>
  <si>
    <t>UU Resources</t>
  </si>
  <si>
    <t>NET CASH FLOW</t>
  </si>
  <si>
    <t>Discount Factor (10%)</t>
  </si>
  <si>
    <t>Present Value</t>
  </si>
  <si>
    <t>NPV OPTION 1</t>
  </si>
  <si>
    <t>OPTION 2 ANALYSIS</t>
  </si>
  <si>
    <t>Return to Accellent (10%)</t>
  </si>
  <si>
    <t>One-off Payment</t>
  </si>
  <si>
    <t>NPV OPTION 2</t>
  </si>
  <si>
    <t>RECOMMENDATION</t>
  </si>
  <si>
    <t>PART (C): SENSITIVITY ANALYSIS</t>
  </si>
  <si>
    <t>IRR Calculation (Option 1)</t>
  </si>
  <si>
    <t>Trial 1 - Rate 1:</t>
  </si>
  <si>
    <t>NPV at 10%:</t>
  </si>
  <si>
    <t>Trial 2 - Rate 2:</t>
  </si>
  <si>
    <t>20%</t>
  </si>
  <si>
    <t>NPV at 20%:</t>
  </si>
  <si>
    <t>Cash Flows (Option 1):</t>
  </si>
  <si>
    <t>Discount Factors (20%):</t>
  </si>
  <si>
    <t>Present Values (20%):</t>
  </si>
  <si>
    <t>IRR Calculation:</t>
  </si>
  <si>
    <t>PART (D): PAYBACK PERIOD ANALYSIS</t>
  </si>
  <si>
    <t>Sensitivity Interpretation:</t>
  </si>
  <si>
    <t>OPTION 1 PAYBACK PERIOD</t>
  </si>
  <si>
    <t>Year</t>
  </si>
  <si>
    <t>Annual Cash Flow</t>
  </si>
  <si>
    <t>Cumulative Cash Flow</t>
  </si>
  <si>
    <t>Payback Period (years):</t>
  </si>
  <si>
    <t>OPTION 2 PAYBACK PERIOD</t>
  </si>
  <si>
    <t>PAYBACK PERIOD ANALYSIS</t>
  </si>
  <si>
    <t>Option 1 Payback:</t>
  </si>
  <si>
    <t>Option 2 Payback:</t>
  </si>
  <si>
    <t>Payback Method Explanation:</t>
  </si>
  <si>
    <t>- Measures time to recover initial investment</t>
  </si>
  <si>
    <t>- Simpler but ignores time value of money</t>
  </si>
  <si>
    <t>- Option 2 has shorter payback period</t>
  </si>
  <si>
    <t>- But Option 1 has higher NPV (better long-term value)</t>
  </si>
  <si>
    <t>- Use alongside NPV for complete evaluation</t>
  </si>
  <si>
    <t>QUESTION 2: KENDALL PLC - COST OF CAPITAL</t>
  </si>
  <si>
    <t>Ordinary Shares (million)</t>
  </si>
  <si>
    <t>Preference Shares (million)</t>
  </si>
  <si>
    <t>Debentures (£million)</t>
  </si>
  <si>
    <t>Ordinary Market Price (£)</t>
  </si>
  <si>
    <t>Preference Market Price (£)</t>
  </si>
  <si>
    <t>Debenture Market Price (£)</t>
  </si>
  <si>
    <t>Corporate Tax Rate</t>
  </si>
  <si>
    <t>DIVIDEND HISTORY</t>
  </si>
  <si>
    <t>2023(upcoming)</t>
  </si>
  <si>
    <t>Dividend</t>
  </si>
  <si>
    <t>COST OF ORDINARY SHARES</t>
  </si>
  <si>
    <t>Ex-dividend Price</t>
  </si>
  <si>
    <t>Growth Rate (geometric)</t>
  </si>
  <si>
    <t>Next Year Dividend</t>
  </si>
  <si>
    <t>Cost of Equity</t>
  </si>
  <si>
    <t>COST OF PREFERENCE SHARES</t>
  </si>
  <si>
    <t>Annual Dividend (£)</t>
  </si>
  <si>
    <t>Cost of Preference</t>
  </si>
  <si>
    <t>COST OF DEBENTURES</t>
  </si>
  <si>
    <t>Annual Interest (£)</t>
  </si>
  <si>
    <t>After-tax Interest</t>
  </si>
  <si>
    <t>WACC CALCULATION</t>
  </si>
  <si>
    <t>Market Value</t>
  </si>
  <si>
    <t>Weight</t>
  </si>
  <si>
    <t>Cost</t>
  </si>
  <si>
    <t>Weighted Cost</t>
  </si>
  <si>
    <t>Ordinary Shares</t>
  </si>
  <si>
    <t>Preference Shares</t>
  </si>
  <si>
    <t>Debentures</t>
  </si>
  <si>
    <t>TOTAL</t>
  </si>
  <si>
    <t>QUESTION 3: DAVISON LTD - INVENTORY MANAGEMENT</t>
  </si>
  <si>
    <t>Cost Comparison</t>
  </si>
  <si>
    <t>Monthly Demand (units)</t>
  </si>
  <si>
    <t>Total Cost</t>
  </si>
  <si>
    <t>Annual Demand (units)</t>
  </si>
  <si>
    <t>EOQ</t>
  </si>
  <si>
    <t>Ordering Cost per Order (£)</t>
  </si>
  <si>
    <t>3% Discount</t>
  </si>
  <si>
    <t>Holding Cost per Unit per Year (£)</t>
  </si>
  <si>
    <t>4% Discount</t>
  </si>
  <si>
    <t>Purchase Price per Unit (£)</t>
  </si>
  <si>
    <t>PART A: EOQ ANALYSIS</t>
  </si>
  <si>
    <t>EOQ Formula</t>
  </si>
  <si>
    <t>EOQ (units)</t>
  </si>
  <si>
    <t>Number of Orders per Year</t>
  </si>
  <si>
    <t>Annual Ordering Cost</t>
  </si>
  <si>
    <t>Average Inventory Level</t>
  </si>
  <si>
    <t>Annual Holding Cost</t>
  </si>
  <si>
    <t>Annual Purchase Cost</t>
  </si>
  <si>
    <t>TOTAL ANNUAL COST</t>
  </si>
  <si>
    <t>PART B: DISCOUNT ANALYSIS</t>
  </si>
  <si>
    <t>3% Discount Option (220 units)</t>
  </si>
  <si>
    <t>Discounted Price</t>
  </si>
  <si>
    <t>Orders per Year</t>
  </si>
  <si>
    <t>Ordering Cost</t>
  </si>
  <si>
    <t>Holding Cost</t>
  </si>
  <si>
    <t>Purchase Cost</t>
  </si>
  <si>
    <t>Total Cost (3% discount)</t>
  </si>
  <si>
    <t>4% Discount Option (265 units)</t>
  </si>
  <si>
    <t>Total Cost (4% discount)</t>
  </si>
  <si>
    <t>COMPARISON SUMMARY</t>
  </si>
  <si>
    <t>Order Qty</t>
  </si>
  <si>
    <t>Savings vs EOQ</t>
  </si>
  <si>
    <t>Current EOQ</t>
  </si>
  <si>
    <t>QUESTION 4: VONN LTD - RATIO ANALYSIS</t>
  </si>
  <si>
    <t>FINANCIAL DATA INPUT</t>
  </si>
  <si>
    <t>Ratio Performance vs Benchmarks</t>
  </si>
  <si>
    <t>2023 (£'000)</t>
  </si>
  <si>
    <t>2022 (£'000)</t>
  </si>
  <si>
    <t>Current Assets</t>
  </si>
  <si>
    <t>Inventory</t>
  </si>
  <si>
    <t>Current Liabilities</t>
  </si>
  <si>
    <t>Total Assets</t>
  </si>
  <si>
    <t>Total Equity</t>
  </si>
  <si>
    <t>EBIT</t>
  </si>
  <si>
    <t>Interest Expense</t>
  </si>
  <si>
    <t>LIQUIDITY RATIOS</t>
  </si>
  <si>
    <t>2023</t>
  </si>
  <si>
    <t>2022</t>
  </si>
  <si>
    <t>Current Ratio</t>
  </si>
  <si>
    <t>Acid Test Ratio</t>
  </si>
  <si>
    <t>GEARING RATIOS</t>
  </si>
  <si>
    <t>Debt/Equity Ratio</t>
  </si>
  <si>
    <t>Gearing %</t>
  </si>
  <si>
    <t>PROFITABILITY RATIOS</t>
  </si>
  <si>
    <t>Interest Cover</t>
  </si>
  <si>
    <t>Capital Employed</t>
  </si>
  <si>
    <t>ROCE %</t>
  </si>
  <si>
    <t>BENCHMARK COMPARISON</t>
  </si>
  <si>
    <t>Ratio</t>
  </si>
  <si>
    <t>Vonn 2023</t>
  </si>
  <si>
    <t>Industry</t>
  </si>
  <si>
    <t>Competitor</t>
  </si>
  <si>
    <t>CORPORATE FINANCE EXAM - EXECUTIVE SUMMARY</t>
  </si>
  <si>
    <t>KEY RESULTS SUMMARY</t>
  </si>
  <si>
    <t>Question 1 - Mylan Contract:</t>
  </si>
  <si>
    <t>Option 1 NPV</t>
  </si>
  <si>
    <t>Option 2 NPV</t>
  </si>
  <si>
    <t>Question 2 - Kendall WACC:</t>
  </si>
  <si>
    <t>Weighted Average Cost of Capital</t>
  </si>
  <si>
    <t>Question 3 - Davison Inventory:</t>
  </si>
  <si>
    <t>Optimal Order Quantity (EOQ)</t>
  </si>
  <si>
    <t>Best Discount Option</t>
  </si>
  <si>
    <t>4% Discount (265 units)</t>
  </si>
  <si>
    <t>Question 4 - Vonn Ltd Ratios:</t>
  </si>
  <si>
    <t>Current Ratio 2023</t>
  </si>
  <si>
    <t>ROCE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</si>
</sst>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FFC000"/>
        <bgColor rgb="FFFFC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1">
      <alignment horizontal="center" vertical="center"/>
    </xf>
    <xf numFmtId="0" fontId="2" fillId="3" borderId="1"/>
    <xf numFmtId="0" fontId="2" fillId="4" borderId="1"/>
  </cellStyleXfs>
  <cellXfs count="13">
    <xf numFmtId="0" fontId="0" fillId="0" borderId="0" xfId="0"/>
    <xf numFmtId="0" fontId="1" fillId="2" borderId="2" xfId="1" applyBorder="1">
      <alignment horizontal="center" vertical="center"/>
    </xf>
    <xf numFmtId="0" fontId="1" fillId="2" borderId="1" xfId="1">
      <alignment horizontal="center" vertical="center"/>
    </xf>
    <xf numFmtId="0" fontId="0" fillId="0" borderId="2" xfId="0" applyBorder="1"/>
    <xf numFmtId="0" fontId="2" fillId="3" borderId="2" xfId="2" applyBorder="1"/>
    <xf numFmtId="0" fontId="2" fillId="4" borderId="2" xfId="3" applyBorder="1"/>
    <xf numFmtId="0" fontId="2" fillId="3" borderId="1" xfId="2"/>
    <xf numFmtId="0" fontId="4" fillId="0" borderId="2" xfId="0" applyFont="1" applyBorder="1"/>
    <xf numFmtId="0" fontId="2" fillId="4" borderId="1" xfId="3"/>
    <xf numFmtId="0" fontId="3" fillId="0" borderId="2" xfId="0" applyFont="1" applyBorder="1"/>
    <xf numFmtId="0" fontId="0" fillId="0" borderId="0" xfId="0"/>
    <xf numFmtId="0" fontId="1" fillId="2" borderId="2" xfId="1" applyBorder="1">
      <alignment horizontal="center" vertical="center"/>
    </xf>
    <xf numFmtId="0" fontId="1" fillId="2" borderId="1" xfId="1">
      <alignment horizontal="center" vertical="center"/>
    </xf>
  </cellXfs>
  <cellStyles count="4">
    <cellStyle name="header" xfId="1" xr:uid="{00000000-0005-0000-0000-000001000000}"/>
    <cellStyle name="input" xfId="2" xr:uid="{00000000-0005-0000-0000-000002000000}"/>
    <cellStyle name="Normal" xfId="0" builtinId="0"/>
    <cellStyle name="result" xfId="3" xr:uid="{00000000-0005-0000-0000-000003000000}"/>
  </cellStyles>
  <dxfs count="3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NPV Comparison: Option 1 vs Option 2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Q1_Mylan_Contract!$K$3</c:f>
              <c:strCache>
                <c:ptCount val="1"/>
                <c:pt idx="0">
                  <c:v>NPV (£)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Q1_Mylan_Contract!$J$4:$J$5</c:f>
              <c:strCache>
                <c:ptCount val="2"/>
                <c:pt idx="0">
                  <c:v>Option 1</c:v>
                </c:pt>
                <c:pt idx="1">
                  <c:v>Option 2</c:v>
                </c:pt>
              </c:strCache>
            </c:strRef>
          </c:cat>
          <c:val>
            <c:numRef>
              <c:f>Q1_Mylan_Contract!$K$4:$K$5</c:f>
              <c:numCache>
                <c:formatCode>General</c:formatCode>
                <c:ptCount val="2"/>
                <c:pt idx="0">
                  <c:v>1095.1099999999999</c:v>
                </c:pt>
                <c:pt idx="1">
                  <c:v>672.1450000000001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0-9E4A-BD78-3C9705560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Investment Options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NPV (£)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NPV Sensitivity to Discount Rate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Q1_Mylan_Contract!$K$8</c:f>
              <c:strCache>
                <c:ptCount val="1"/>
                <c:pt idx="0">
                  <c:v>NPV (£)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Q1_Mylan_Contract!$J$9:$J$14</c:f>
              <c:numCache>
                <c:formatCode>General</c:formatCode>
                <c:ptCount val="6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0.15</c:v>
                </c:pt>
                <c:pt idx="5">
                  <c:v>0.2</c:v>
                </c:pt>
              </c:numCache>
            </c:numRef>
          </c:cat>
          <c:val>
            <c:numRef>
              <c:f>Q1_Mylan_Contract!$K$9:$K$14</c:f>
              <c:numCache>
                <c:formatCode>General</c:formatCode>
                <c:ptCount val="6"/>
                <c:pt idx="0">
                  <c:v>1591.4680366621678</c:v>
                </c:pt>
                <c:pt idx="1">
                  <c:v>1279.3032493694459</c:v>
                </c:pt>
                <c:pt idx="2">
                  <c:v>1095.1099999999999</c:v>
                </c:pt>
                <c:pt idx="3">
                  <c:v>928.07872556821485</c:v>
                </c:pt>
                <c:pt idx="4">
                  <c:v>704.85022317797643</c:v>
                </c:pt>
                <c:pt idx="5">
                  <c:v>394.08436213991763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CAF-2646-91E1-4C7E543C8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Discount Rate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NPV (£)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WACC Components by Market Value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Q2_Kendall_WACC!$A$37:$A$39</c:f>
              <c:strCache>
                <c:ptCount val="3"/>
                <c:pt idx="0">
                  <c:v>Ordinary Shares</c:v>
                </c:pt>
                <c:pt idx="1">
                  <c:v>Preference Shares</c:v>
                </c:pt>
                <c:pt idx="2">
                  <c:v>Debentures</c:v>
                </c:pt>
              </c:strCache>
            </c:strRef>
          </c:cat>
          <c:val>
            <c:numRef>
              <c:f>Q2_Kendall_WACC!$B$37:$B$39</c:f>
              <c:numCache>
                <c:formatCode>General</c:formatCode>
                <c:ptCount val="3"/>
                <c:pt idx="0">
                  <c:v>3200000</c:v>
                </c:pt>
                <c:pt idx="1">
                  <c:v>1260000</c:v>
                </c:pt>
                <c:pt idx="2">
                  <c:v>1144000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5-B844-BC08-3470E117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Inventory Cost Comparison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Q3_Davison_Inventory!$H$4</c:f>
              <c:strCache>
                <c:ptCount val="1"/>
                <c:pt idx="0">
                  <c:v>Total Cost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Q3_Davison_Inventory!$G$5:$G$7</c:f>
              <c:strCache>
                <c:ptCount val="3"/>
                <c:pt idx="0">
                  <c:v>EOQ</c:v>
                </c:pt>
                <c:pt idx="1">
                  <c:v>3% Discount</c:v>
                </c:pt>
                <c:pt idx="2">
                  <c:v>4% Discount</c:v>
                </c:pt>
              </c:strCache>
            </c:strRef>
          </c:cat>
          <c:val>
            <c:numRef>
              <c:f>Q3_Davison_Inventory!$H$5:$H$7</c:f>
              <c:numCache>
                <c:formatCode>General</c:formatCode>
                <c:ptCount val="3"/>
                <c:pt idx="0">
                  <c:v>42332.978873239437</c:v>
                </c:pt>
                <c:pt idx="1">
                  <c:v>41090.127272727274</c:v>
                </c:pt>
                <c:pt idx="2">
                  <c:v>40691.006603773581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0-ED44-8F8B-3BF16C994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Options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Annual Cost (£)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Vonn Ltd vs Industry Benchmarks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Q4_Vonn_Ratios!$B$29</c:f>
              <c:strCache>
                <c:ptCount val="1"/>
                <c:pt idx="0">
                  <c:v>Vonn 2023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Q4_Vonn_Ratios!$A$30:$A$34</c:f>
              <c:strCache>
                <c:ptCount val="5"/>
                <c:pt idx="0">
                  <c:v>Current Ratio</c:v>
                </c:pt>
                <c:pt idx="1">
                  <c:v>Acid Test Ratio</c:v>
                </c:pt>
                <c:pt idx="2">
                  <c:v>Interest Cover</c:v>
                </c:pt>
                <c:pt idx="3">
                  <c:v>Gearing %</c:v>
                </c:pt>
                <c:pt idx="4">
                  <c:v>ROCE %</c:v>
                </c:pt>
              </c:strCache>
            </c:strRef>
          </c:cat>
          <c:val>
            <c:numRef>
              <c:f>Q4_Vonn_Ratios!$B$30:$B$34</c:f>
              <c:numCache>
                <c:formatCode>General</c:formatCode>
                <c:ptCount val="5"/>
                <c:pt idx="0">
                  <c:v>0.67476303317535546</c:v>
                </c:pt>
                <c:pt idx="1">
                  <c:v>0</c:v>
                </c:pt>
                <c:pt idx="2">
                  <c:v>0</c:v>
                </c:pt>
                <c:pt idx="3">
                  <c:v>29.780564263322884</c:v>
                </c:pt>
                <c:pt idx="4">
                  <c:v>63.768115942028977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5-6D4C-9829-C94B72F9D627}"/>
            </c:ext>
          </c:extLst>
        </c:ser>
        <c:ser>
          <c:idx val="1"/>
          <c:order val="1"/>
          <c:tx>
            <c:strRef>
              <c:f>Q4_Vonn_Ratios!$C$29</c:f>
              <c:strCache>
                <c:ptCount val="1"/>
                <c:pt idx="0">
                  <c:v>Industry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Q4_Vonn_Ratios!$A$30:$A$34</c:f>
              <c:strCache>
                <c:ptCount val="5"/>
                <c:pt idx="0">
                  <c:v>Current Ratio</c:v>
                </c:pt>
                <c:pt idx="1">
                  <c:v>Acid Test Ratio</c:v>
                </c:pt>
                <c:pt idx="2">
                  <c:v>Interest Cover</c:v>
                </c:pt>
                <c:pt idx="3">
                  <c:v>Gearing %</c:v>
                </c:pt>
                <c:pt idx="4">
                  <c:v>ROCE %</c:v>
                </c:pt>
              </c:strCache>
            </c:strRef>
          </c:cat>
          <c:val>
            <c:numRef>
              <c:f>Q4_Vonn_Ratios!$C$30:$C$34</c:f>
              <c:numCache>
                <c:formatCode>General</c:formatCode>
                <c:ptCount val="5"/>
                <c:pt idx="0">
                  <c:v>2.1</c:v>
                </c:pt>
                <c:pt idx="1">
                  <c:v>1</c:v>
                </c:pt>
                <c:pt idx="2">
                  <c:v>9</c:v>
                </c:pt>
                <c:pt idx="3">
                  <c:v>30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5-6D4C-9829-C94B72F9D627}"/>
            </c:ext>
          </c:extLst>
        </c:ser>
        <c:ser>
          <c:idx val="2"/>
          <c:order val="2"/>
          <c:tx>
            <c:strRef>
              <c:f>Q4_Vonn_Ratios!$D$29</c:f>
              <c:strCache>
                <c:ptCount val="1"/>
                <c:pt idx="0">
                  <c:v>Competitor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Q4_Vonn_Ratios!$A$30:$A$34</c:f>
              <c:strCache>
                <c:ptCount val="5"/>
                <c:pt idx="0">
                  <c:v>Current Ratio</c:v>
                </c:pt>
                <c:pt idx="1">
                  <c:v>Acid Test Ratio</c:v>
                </c:pt>
                <c:pt idx="2">
                  <c:v>Interest Cover</c:v>
                </c:pt>
                <c:pt idx="3">
                  <c:v>Gearing %</c:v>
                </c:pt>
                <c:pt idx="4">
                  <c:v>ROCE %</c:v>
                </c:pt>
              </c:strCache>
            </c:strRef>
          </c:cat>
          <c:val>
            <c:numRef>
              <c:f>Q4_Vonn_Ratios!$D$30:$D$34</c:f>
              <c:numCache>
                <c:formatCode>General</c:formatCode>
                <c:ptCount val="5"/>
                <c:pt idx="0">
                  <c:v>1.9</c:v>
                </c:pt>
                <c:pt idx="1">
                  <c:v>1.1000000000000001</c:v>
                </c:pt>
                <c:pt idx="2">
                  <c:v>8</c:v>
                </c:pt>
                <c:pt idx="3">
                  <c:v>25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5-6D4C-9829-C94B72F9D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Financial Ratios</a:t>
                </a:r>
              </a:p>
            </c:rich>
          </c:tx>
          <c:layout>
            <c:manualLayout>
              <c:xMode val="edge"/>
              <c:yMode val="edge"/>
              <c:x val="0.43572107813446398"/>
              <c:y val="0.96439100850098658"/>
            </c:manualLayout>
          </c:layout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Ratio Values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7135221078134506E-2"/>
          <c:y val="3.6008408784967423E-2"/>
          <c:w val="0.17748016353725016"/>
          <c:h val="0.3846574710948017"/>
        </c:manualLayout>
      </c:layout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647700</xdr:colOff>
      <xdr:row>1</xdr:row>
      <xdr:rowOff>177800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685800</xdr:colOff>
      <xdr:row>45</xdr:row>
      <xdr:rowOff>76200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101600</xdr:colOff>
      <xdr:row>0</xdr:row>
      <xdr:rowOff>165100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381000</xdr:colOff>
      <xdr:row>4</xdr:row>
      <xdr:rowOff>50800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</xdr:row>
      <xdr:rowOff>0</xdr:rowOff>
    </xdr:from>
    <xdr:ext cx="6604000" cy="5422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tabSelected="1" topLeftCell="A34" workbookViewId="0">
      <selection activeCell="G56" sqref="G56"/>
    </sheetView>
  </sheetViews>
  <sheetFormatPr baseColWidth="10" defaultColWidth="8.83203125" defaultRowHeight="15" x14ac:dyDescent="0.2"/>
  <cols>
    <col min="1" max="1" width="42.33203125" bestFit="1" customWidth="1"/>
    <col min="2" max="2" width="15.6640625" bestFit="1" customWidth="1"/>
    <col min="3" max="3" width="19.5" bestFit="1" customWidth="1"/>
    <col min="4" max="4" width="7.6640625" bestFit="1" customWidth="1"/>
    <col min="5" max="7" width="8.1640625" bestFit="1" customWidth="1"/>
    <col min="8" max="8" width="15" customWidth="1"/>
    <col min="9" max="9" width="12" customWidth="1"/>
    <col min="10" max="10" width="22.5" bestFit="1" customWidth="1"/>
    <col min="11" max="11" width="12.1640625" bestFit="1" customWidth="1"/>
    <col min="12" max="12" width="8.1640625" bestFit="1" customWidth="1"/>
    <col min="13" max="15" width="7.1640625" bestFit="1" customWidth="1"/>
    <col min="16" max="16" width="6.33203125" bestFit="1" customWidth="1"/>
  </cols>
  <sheetData>
    <row r="1" spans="1:11" ht="20" customHeight="1" x14ac:dyDescent="0.2">
      <c r="A1" s="11" t="s">
        <v>0</v>
      </c>
      <c r="B1" s="10"/>
      <c r="C1" s="10"/>
      <c r="D1" s="10"/>
      <c r="E1" s="10"/>
      <c r="F1" s="10"/>
      <c r="G1" s="10"/>
      <c r="H1" s="10"/>
    </row>
    <row r="2" spans="1:11" ht="20" customHeight="1" x14ac:dyDescent="0.2">
      <c r="A2" s="9" t="s">
        <v>1</v>
      </c>
      <c r="B2" s="10"/>
      <c r="C2" s="10"/>
      <c r="D2" s="10"/>
      <c r="E2" s="10"/>
      <c r="F2" s="10"/>
      <c r="G2" s="10"/>
      <c r="H2" s="10"/>
      <c r="J2" s="2" t="s">
        <v>2</v>
      </c>
    </row>
    <row r="3" spans="1:11" ht="20" customHeight="1" x14ac:dyDescent="0.2">
      <c r="A3" s="1" t="s">
        <v>3</v>
      </c>
      <c r="J3" t="s">
        <v>4</v>
      </c>
      <c r="K3" t="s">
        <v>5</v>
      </c>
    </row>
    <row r="4" spans="1:11" ht="20" customHeight="1" x14ac:dyDescent="0.2">
      <c r="A4" s="1" t="s">
        <v>6</v>
      </c>
      <c r="B4" s="3"/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J4" t="s">
        <v>12</v>
      </c>
      <c r="K4">
        <f>B22</f>
        <v>1095.1099999999999</v>
      </c>
    </row>
    <row r="5" spans="1:11" ht="20" customHeight="1" x14ac:dyDescent="0.2">
      <c r="A5" s="1" t="s">
        <v>13</v>
      </c>
      <c r="B5" s="3"/>
      <c r="C5" s="4">
        <v>750</v>
      </c>
      <c r="D5" s="4">
        <v>900</v>
      </c>
      <c r="E5" s="4">
        <v>1500</v>
      </c>
      <c r="F5" s="4">
        <v>1500</v>
      </c>
      <c r="G5" s="4">
        <v>1500</v>
      </c>
      <c r="J5" t="s">
        <v>14</v>
      </c>
      <c r="K5">
        <f>K38</f>
        <v>672.1450000000001</v>
      </c>
    </row>
    <row r="6" spans="1:11" ht="20" customHeight="1" x14ac:dyDescent="0.2">
      <c r="A6" s="1" t="s">
        <v>15</v>
      </c>
      <c r="B6" s="4" t="s">
        <v>16</v>
      </c>
      <c r="C6" s="3"/>
      <c r="D6" s="3"/>
      <c r="E6" s="3"/>
      <c r="F6" s="3"/>
      <c r="G6" s="3"/>
    </row>
    <row r="7" spans="1:11" ht="20" customHeight="1" x14ac:dyDescent="0.2">
      <c r="J7" s="2" t="s">
        <v>17</v>
      </c>
    </row>
    <row r="8" spans="1:11" ht="20" customHeight="1" x14ac:dyDescent="0.2">
      <c r="A8" s="1" t="s">
        <v>18</v>
      </c>
      <c r="J8" t="s">
        <v>19</v>
      </c>
      <c r="K8" t="s">
        <v>5</v>
      </c>
    </row>
    <row r="9" spans="1:11" ht="20" customHeight="1" x14ac:dyDescent="0.2">
      <c r="A9" s="1"/>
      <c r="B9" s="1" t="s">
        <v>20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J9">
        <v>0.05</v>
      </c>
      <c r="K9">
        <f>NPV(0.05,C17:G17)+B17</f>
        <v>1591.4680366621678</v>
      </c>
    </row>
    <row r="10" spans="1:11" ht="20" customHeight="1" x14ac:dyDescent="0.2">
      <c r="A10" s="1" t="s">
        <v>13</v>
      </c>
      <c r="B10" s="4">
        <v>0</v>
      </c>
      <c r="C10" s="4">
        <v>750</v>
      </c>
      <c r="D10" s="4">
        <v>900</v>
      </c>
      <c r="E10" s="4">
        <v>1500</v>
      </c>
      <c r="F10" s="4">
        <v>1500</v>
      </c>
      <c r="G10" s="4">
        <v>1500</v>
      </c>
      <c r="J10">
        <v>0.08</v>
      </c>
      <c r="K10">
        <f>NPV(0.08,C17:G17)+B17</f>
        <v>1279.3032493694459</v>
      </c>
    </row>
    <row r="11" spans="1:11" ht="20" customHeight="1" x14ac:dyDescent="0.2">
      <c r="A11" s="1" t="s">
        <v>21</v>
      </c>
      <c r="B11" s="4">
        <v>0</v>
      </c>
      <c r="C11" s="4">
        <v>50</v>
      </c>
      <c r="D11" s="4">
        <v>150</v>
      </c>
      <c r="E11" s="4">
        <v>150</v>
      </c>
      <c r="F11" s="4">
        <v>200</v>
      </c>
      <c r="G11" s="4">
        <v>200</v>
      </c>
      <c r="J11">
        <v>0.1</v>
      </c>
      <c r="K11">
        <f>B22</f>
        <v>1095.1099999999999</v>
      </c>
    </row>
    <row r="12" spans="1:11" ht="20" customHeight="1" x14ac:dyDescent="0.2">
      <c r="A12" s="1" t="s">
        <v>22</v>
      </c>
      <c r="B12" s="4">
        <v>-1200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J12">
        <v>0.12</v>
      </c>
      <c r="K12">
        <f>NPV(0.12,C17:G17)+B17</f>
        <v>928.07872556821485</v>
      </c>
    </row>
    <row r="13" spans="1:11" ht="20" customHeight="1" x14ac:dyDescent="0.2">
      <c r="A13" s="1" t="s">
        <v>23</v>
      </c>
      <c r="B13" s="4">
        <v>0</v>
      </c>
      <c r="C13" s="4">
        <v>-600</v>
      </c>
      <c r="D13" s="4">
        <v>-600</v>
      </c>
      <c r="E13" s="4">
        <v>-600</v>
      </c>
      <c r="F13" s="4">
        <v>0</v>
      </c>
      <c r="G13" s="4">
        <v>0</v>
      </c>
      <c r="J13">
        <v>0.15</v>
      </c>
      <c r="K13">
        <f>NPV(0.15,C17:G17)+B17</f>
        <v>704.85022317797643</v>
      </c>
    </row>
    <row r="14" spans="1:11" ht="20" customHeight="1" x14ac:dyDescent="0.2">
      <c r="A14" s="1" t="s">
        <v>24</v>
      </c>
      <c r="B14" s="4">
        <v>0</v>
      </c>
      <c r="C14" s="4">
        <v>-200</v>
      </c>
      <c r="D14" s="4">
        <v>-200</v>
      </c>
      <c r="E14" s="4">
        <v>-200</v>
      </c>
      <c r="F14" s="4">
        <v>-200</v>
      </c>
      <c r="G14" s="4">
        <v>-200</v>
      </c>
      <c r="J14">
        <v>0.2</v>
      </c>
      <c r="K14">
        <f>NPV(0.2,C17:G17)+B17</f>
        <v>394.08436213991763</v>
      </c>
    </row>
    <row r="15" spans="1:11" ht="20" customHeight="1" x14ac:dyDescent="0.2">
      <c r="A15" s="1" t="s">
        <v>25</v>
      </c>
      <c r="B15" s="4">
        <v>0</v>
      </c>
      <c r="C15" s="4">
        <v>-70</v>
      </c>
      <c r="D15" s="4">
        <v>-70</v>
      </c>
      <c r="E15" s="4">
        <v>-70</v>
      </c>
      <c r="F15" s="4">
        <v>-80</v>
      </c>
      <c r="G15" s="4">
        <v>-80</v>
      </c>
    </row>
    <row r="16" spans="1:11" ht="20" customHeight="1" x14ac:dyDescent="0.2">
      <c r="A16" s="1" t="s">
        <v>26</v>
      </c>
      <c r="B16" s="4">
        <v>0</v>
      </c>
      <c r="C16" s="4">
        <v>-60</v>
      </c>
      <c r="D16" s="4">
        <v>-60</v>
      </c>
      <c r="E16" s="4">
        <v>-60</v>
      </c>
      <c r="F16" s="4">
        <v>-60</v>
      </c>
      <c r="G16" s="4">
        <v>-60</v>
      </c>
    </row>
    <row r="17" spans="1:16" ht="20" customHeight="1" x14ac:dyDescent="0.2">
      <c r="A17" s="1" t="s">
        <v>27</v>
      </c>
      <c r="B17" s="3">
        <f t="shared" ref="B17:G17" si="0">SUM(B10:B16)</f>
        <v>-1200</v>
      </c>
      <c r="C17" s="3">
        <f t="shared" si="0"/>
        <v>-130</v>
      </c>
      <c r="D17" s="3">
        <f t="shared" si="0"/>
        <v>120</v>
      </c>
      <c r="E17" s="3">
        <f t="shared" si="0"/>
        <v>720</v>
      </c>
      <c r="F17" s="3">
        <f t="shared" si="0"/>
        <v>1360</v>
      </c>
      <c r="G17" s="3">
        <f t="shared" si="0"/>
        <v>1360</v>
      </c>
    </row>
    <row r="18" spans="1:16" ht="20" customHeight="1" x14ac:dyDescent="0.2"/>
    <row r="19" spans="1:16" ht="20" customHeight="1" x14ac:dyDescent="0.2">
      <c r="A19" s="1" t="s">
        <v>28</v>
      </c>
      <c r="B19" s="3">
        <v>1</v>
      </c>
      <c r="C19" s="3">
        <v>0.90900000000000003</v>
      </c>
      <c r="D19" s="3">
        <v>0.82599999999999996</v>
      </c>
      <c r="E19" s="3">
        <v>0.751</v>
      </c>
      <c r="F19" s="3">
        <v>0.68300000000000005</v>
      </c>
      <c r="G19" s="3">
        <v>0.621</v>
      </c>
    </row>
    <row r="20" spans="1:16" ht="20" customHeight="1" x14ac:dyDescent="0.2">
      <c r="A20" s="1" t="s">
        <v>29</v>
      </c>
      <c r="B20" s="3">
        <f t="shared" ref="B20:G20" si="1">B17*B19</f>
        <v>-1200</v>
      </c>
      <c r="C20" s="3">
        <f t="shared" si="1"/>
        <v>-118.17</v>
      </c>
      <c r="D20" s="3">
        <f t="shared" si="1"/>
        <v>99.11999999999999</v>
      </c>
      <c r="E20" s="3">
        <f t="shared" si="1"/>
        <v>540.72</v>
      </c>
      <c r="F20" s="3">
        <f t="shared" si="1"/>
        <v>928.88000000000011</v>
      </c>
      <c r="G20" s="3">
        <f t="shared" si="1"/>
        <v>844.56</v>
      </c>
    </row>
    <row r="21" spans="1:16" ht="20" customHeight="1" x14ac:dyDescent="0.2"/>
    <row r="22" spans="1:16" ht="20" customHeight="1" x14ac:dyDescent="0.2">
      <c r="A22" s="5" t="s">
        <v>30</v>
      </c>
      <c r="B22" s="5">
        <f>SUM(B20:G20)</f>
        <v>1095.1099999999999</v>
      </c>
    </row>
    <row r="23" spans="1:16" ht="20" customHeight="1" x14ac:dyDescent="0.2"/>
    <row r="24" spans="1:16" ht="20" customHeight="1" x14ac:dyDescent="0.2">
      <c r="A24" s="1" t="s">
        <v>31</v>
      </c>
      <c r="J24" s="1" t="s">
        <v>31</v>
      </c>
    </row>
    <row r="25" spans="1:16" ht="20" customHeight="1" x14ac:dyDescent="0.2">
      <c r="J25" s="1"/>
      <c r="K25" s="1" t="s">
        <v>20</v>
      </c>
      <c r="L25" s="1" t="s">
        <v>7</v>
      </c>
      <c r="M25" s="2" t="s">
        <v>8</v>
      </c>
      <c r="N25" s="2" t="s">
        <v>9</v>
      </c>
      <c r="O25" s="2" t="s">
        <v>10</v>
      </c>
      <c r="P25" s="2" t="s">
        <v>11</v>
      </c>
    </row>
    <row r="26" spans="1:16" ht="20" customHeight="1" x14ac:dyDescent="0.2">
      <c r="J26" s="1" t="s">
        <v>13</v>
      </c>
      <c r="K26" s="4">
        <v>0</v>
      </c>
      <c r="L26" s="4">
        <v>750</v>
      </c>
      <c r="M26" s="6">
        <v>900</v>
      </c>
      <c r="N26" s="6">
        <v>1500</v>
      </c>
      <c r="O26" s="6">
        <v>1500</v>
      </c>
      <c r="P26" s="6">
        <v>1500</v>
      </c>
    </row>
    <row r="27" spans="1:16" ht="20" customHeight="1" x14ac:dyDescent="0.2">
      <c r="J27" s="1" t="s">
        <v>32</v>
      </c>
      <c r="K27" s="4">
        <v>0</v>
      </c>
      <c r="L27" s="4">
        <v>-75</v>
      </c>
      <c r="M27" s="6">
        <v>-90</v>
      </c>
      <c r="N27" s="6">
        <v>-150</v>
      </c>
      <c r="O27" s="6">
        <v>-150</v>
      </c>
      <c r="P27" s="6">
        <v>-150</v>
      </c>
    </row>
    <row r="28" spans="1:16" ht="20" customHeight="1" x14ac:dyDescent="0.2">
      <c r="J28" s="1" t="s">
        <v>33</v>
      </c>
      <c r="K28" s="4">
        <v>0</v>
      </c>
      <c r="L28" s="4">
        <v>0</v>
      </c>
      <c r="M28" s="6">
        <v>0</v>
      </c>
      <c r="N28" s="6">
        <v>0</v>
      </c>
      <c r="O28" s="6">
        <v>0</v>
      </c>
      <c r="P28" s="6">
        <v>-1000</v>
      </c>
    </row>
    <row r="29" spans="1:16" ht="20" customHeight="1" x14ac:dyDescent="0.2">
      <c r="J29" s="1" t="s">
        <v>24</v>
      </c>
      <c r="K29" s="4">
        <v>0</v>
      </c>
      <c r="L29" s="4">
        <v>-200</v>
      </c>
      <c r="M29" s="6">
        <v>-200</v>
      </c>
      <c r="N29" s="6">
        <v>-200</v>
      </c>
      <c r="O29" s="6">
        <v>-200</v>
      </c>
      <c r="P29" s="6">
        <v>-200</v>
      </c>
    </row>
    <row r="30" spans="1:16" ht="20" customHeight="1" x14ac:dyDescent="0.2">
      <c r="J30" s="1" t="s">
        <v>25</v>
      </c>
      <c r="K30" s="4">
        <v>0</v>
      </c>
      <c r="L30" s="4">
        <v>-70</v>
      </c>
      <c r="M30" s="6">
        <v>-70</v>
      </c>
      <c r="N30" s="6">
        <v>-70</v>
      </c>
      <c r="O30" s="6">
        <v>-80</v>
      </c>
      <c r="P30" s="6">
        <v>-80</v>
      </c>
    </row>
    <row r="31" spans="1:16" ht="20" customHeight="1" x14ac:dyDescent="0.2">
      <c r="J31" s="1" t="s">
        <v>26</v>
      </c>
      <c r="K31" s="4">
        <v>0</v>
      </c>
      <c r="L31" s="4">
        <v>-60</v>
      </c>
      <c r="M31" s="6">
        <v>-60</v>
      </c>
      <c r="N31" s="6">
        <v>-60</v>
      </c>
      <c r="O31" s="6">
        <v>-60</v>
      </c>
      <c r="P31" s="6">
        <v>-60</v>
      </c>
    </row>
    <row r="32" spans="1:16" ht="20" customHeight="1" x14ac:dyDescent="0.2">
      <c r="J32" s="1" t="s">
        <v>22</v>
      </c>
      <c r="K32" s="7">
        <v>-1500</v>
      </c>
    </row>
    <row r="33" spans="1:16" ht="20" customHeight="1" x14ac:dyDescent="0.2">
      <c r="J33" s="1" t="s">
        <v>27</v>
      </c>
      <c r="K33" s="3">
        <v>-1500</v>
      </c>
      <c r="L33" s="3">
        <f>SUM(L26:L31)</f>
        <v>345</v>
      </c>
      <c r="M33">
        <f>SUM(M26:M31)</f>
        <v>480</v>
      </c>
      <c r="N33">
        <f>SUM(N26:N31)</f>
        <v>1020</v>
      </c>
      <c r="O33">
        <f>SUM(O26:O31)</f>
        <v>1010</v>
      </c>
      <c r="P33">
        <f>SUM(P26:P31)</f>
        <v>10</v>
      </c>
    </row>
    <row r="34" spans="1:16" ht="20" customHeight="1" x14ac:dyDescent="0.2"/>
    <row r="35" spans="1:16" ht="20" customHeight="1" x14ac:dyDescent="0.2">
      <c r="J35" s="1" t="s">
        <v>28</v>
      </c>
      <c r="K35" s="3">
        <v>1</v>
      </c>
      <c r="L35" s="3">
        <v>0.90900000000000003</v>
      </c>
      <c r="M35">
        <v>0.82599999999999996</v>
      </c>
      <c r="N35">
        <v>0.751</v>
      </c>
      <c r="O35">
        <v>0.68300000000000005</v>
      </c>
      <c r="P35">
        <v>0.621</v>
      </c>
    </row>
    <row r="36" spans="1:16" ht="20" customHeight="1" x14ac:dyDescent="0.2">
      <c r="J36" s="1" t="s">
        <v>29</v>
      </c>
      <c r="K36" s="3">
        <f t="shared" ref="K36:P36" si="2">K33*K35</f>
        <v>-1500</v>
      </c>
      <c r="L36" s="3">
        <f t="shared" si="2"/>
        <v>313.60500000000002</v>
      </c>
      <c r="M36">
        <f t="shared" si="2"/>
        <v>396.47999999999996</v>
      </c>
      <c r="N36">
        <f t="shared" si="2"/>
        <v>766.02</v>
      </c>
      <c r="O36">
        <f t="shared" si="2"/>
        <v>689.83</v>
      </c>
      <c r="P36">
        <f t="shared" si="2"/>
        <v>6.21</v>
      </c>
    </row>
    <row r="37" spans="1:16" ht="20" customHeight="1" x14ac:dyDescent="0.2"/>
    <row r="38" spans="1:16" ht="20" customHeight="1" x14ac:dyDescent="0.2">
      <c r="J38" s="5" t="s">
        <v>34</v>
      </c>
      <c r="K38" s="5">
        <f>SUM(K36:P36)</f>
        <v>672.1450000000001</v>
      </c>
    </row>
    <row r="39" spans="1:16" ht="20" customHeight="1" x14ac:dyDescent="0.2"/>
    <row r="40" spans="1:16" ht="20" customHeight="1" x14ac:dyDescent="0.2">
      <c r="J40" s="1" t="s">
        <v>35</v>
      </c>
    </row>
    <row r="41" spans="1:16" ht="20" customHeight="1" x14ac:dyDescent="0.2">
      <c r="J41" s="5" t="str">
        <f>IF(B22&gt;K38,"Choose Option 1","Choose Option 2")</f>
        <v>Choose Option 1</v>
      </c>
    </row>
    <row r="42" spans="1:16" ht="20" customHeight="1" x14ac:dyDescent="0.2"/>
    <row r="43" spans="1:16" ht="20" customHeight="1" x14ac:dyDescent="0.2"/>
    <row r="44" spans="1:16" ht="20" customHeight="1" x14ac:dyDescent="0.2"/>
    <row r="45" spans="1:16" ht="20" customHeight="1" x14ac:dyDescent="0.2">
      <c r="A45" s="1" t="s">
        <v>36</v>
      </c>
    </row>
    <row r="46" spans="1:16" ht="20" customHeight="1" x14ac:dyDescent="0.2"/>
    <row r="47" spans="1:16" ht="20" customHeight="1" x14ac:dyDescent="0.2">
      <c r="A47" s="1" t="s">
        <v>37</v>
      </c>
    </row>
    <row r="48" spans="1:16" ht="20" customHeight="1" x14ac:dyDescent="0.2"/>
    <row r="49" spans="1:7" ht="20" customHeight="1" x14ac:dyDescent="0.2">
      <c r="A49" s="3" t="s">
        <v>38</v>
      </c>
      <c r="B49" s="4" t="s">
        <v>16</v>
      </c>
    </row>
    <row r="50" spans="1:7" ht="20" customHeight="1" x14ac:dyDescent="0.2">
      <c r="A50" s="3" t="s">
        <v>39</v>
      </c>
      <c r="B50" s="5">
        <f>B22</f>
        <v>1095.1099999999999</v>
      </c>
    </row>
    <row r="51" spans="1:7" ht="20" customHeight="1" x14ac:dyDescent="0.2"/>
    <row r="52" spans="1:7" ht="20" customHeight="1" x14ac:dyDescent="0.2">
      <c r="A52" s="3" t="s">
        <v>40</v>
      </c>
      <c r="B52" s="4" t="s">
        <v>41</v>
      </c>
    </row>
    <row r="53" spans="1:7" ht="20" customHeight="1" x14ac:dyDescent="0.2">
      <c r="A53" s="3" t="s">
        <v>42</v>
      </c>
      <c r="B53" s="3">
        <f>SUM(B57:G57)</f>
        <v>394.11</v>
      </c>
    </row>
    <row r="54" spans="1:7" ht="20" customHeight="1" x14ac:dyDescent="0.2"/>
    <row r="55" spans="1:7" ht="20" customHeight="1" x14ac:dyDescent="0.2">
      <c r="A55" s="3" t="s">
        <v>43</v>
      </c>
      <c r="B55" s="3">
        <v>-1200</v>
      </c>
      <c r="C55" s="3">
        <f>C17</f>
        <v>-130</v>
      </c>
      <c r="D55" s="3">
        <f>D17</f>
        <v>120</v>
      </c>
      <c r="E55" s="3">
        <f>E17</f>
        <v>720</v>
      </c>
      <c r="F55" s="3">
        <f>F17</f>
        <v>1360</v>
      </c>
      <c r="G55" s="3">
        <f>G17</f>
        <v>1360</v>
      </c>
    </row>
    <row r="56" spans="1:7" ht="20" customHeight="1" x14ac:dyDescent="0.2">
      <c r="A56" s="3" t="s">
        <v>44</v>
      </c>
      <c r="B56" s="3">
        <v>1</v>
      </c>
      <c r="C56" s="3">
        <v>0.83299999999999996</v>
      </c>
      <c r="D56" s="3">
        <v>0.69399999999999995</v>
      </c>
      <c r="E56" s="3">
        <v>0.57899999999999996</v>
      </c>
      <c r="F56" s="3">
        <v>0.48199999999999998</v>
      </c>
      <c r="G56" s="3">
        <v>0.40200000000000002</v>
      </c>
    </row>
    <row r="57" spans="1:7" ht="20" customHeight="1" x14ac:dyDescent="0.2">
      <c r="A57" s="3" t="s">
        <v>45</v>
      </c>
      <c r="B57" s="3">
        <f t="shared" ref="B57:G57" si="3">B55*B56</f>
        <v>-1200</v>
      </c>
      <c r="C57" s="3">
        <f t="shared" si="3"/>
        <v>-108.28999999999999</v>
      </c>
      <c r="D57" s="3">
        <f t="shared" si="3"/>
        <v>83.28</v>
      </c>
      <c r="E57" s="3">
        <f t="shared" si="3"/>
        <v>416.88</v>
      </c>
      <c r="F57" s="3">
        <f t="shared" si="3"/>
        <v>655.52</v>
      </c>
      <c r="G57" s="3">
        <f t="shared" si="3"/>
        <v>546.72</v>
      </c>
    </row>
    <row r="58" spans="1:7" ht="20" customHeight="1" x14ac:dyDescent="0.2"/>
    <row r="59" spans="1:7" ht="20" customHeight="1" x14ac:dyDescent="0.2">
      <c r="A59" s="3" t="s">
        <v>46</v>
      </c>
      <c r="B59" s="5">
        <f>B49+(B50*(B52-B49))/(B50-B53)</f>
        <v>0.25622111269614839</v>
      </c>
    </row>
    <row r="60" spans="1:7" ht="20" customHeight="1" x14ac:dyDescent="0.2">
      <c r="A60" s="1" t="s">
        <v>47</v>
      </c>
    </row>
    <row r="61" spans="1:7" ht="20" customHeight="1" x14ac:dyDescent="0.2">
      <c r="A61" s="3" t="s">
        <v>48</v>
      </c>
    </row>
    <row r="62" spans="1:7" ht="20" customHeight="1" x14ac:dyDescent="0.2">
      <c r="A62" s="1" t="s">
        <v>49</v>
      </c>
      <c r="B62" s="5">
        <f>B59</f>
        <v>0.25622111269614839</v>
      </c>
    </row>
    <row r="63" spans="1:7" ht="20" customHeight="1" x14ac:dyDescent="0.2"/>
    <row r="64" spans="1:7" ht="20" customHeight="1" x14ac:dyDescent="0.2">
      <c r="A64" s="1" t="s">
        <v>50</v>
      </c>
      <c r="B64" s="1" t="s">
        <v>51</v>
      </c>
      <c r="C64" s="1" t="s">
        <v>52</v>
      </c>
    </row>
    <row r="65" spans="1:3" ht="20" customHeight="1" x14ac:dyDescent="0.2">
      <c r="A65" s="3">
        <v>0</v>
      </c>
      <c r="B65" s="3">
        <v>-1200</v>
      </c>
      <c r="C65" s="3">
        <v>-1200</v>
      </c>
    </row>
    <row r="66" spans="1:3" ht="20" customHeight="1" x14ac:dyDescent="0.2">
      <c r="A66" s="3">
        <v>1</v>
      </c>
      <c r="B66" s="3">
        <v>-224</v>
      </c>
      <c r="C66" s="3">
        <f>C65+B66</f>
        <v>-1424</v>
      </c>
    </row>
    <row r="67" spans="1:3" ht="20" customHeight="1" x14ac:dyDescent="0.2">
      <c r="A67" s="3">
        <v>2</v>
      </c>
      <c r="B67" s="3">
        <v>-24</v>
      </c>
      <c r="C67" s="3">
        <f>C66+B67</f>
        <v>-1448</v>
      </c>
    </row>
    <row r="68" spans="1:3" ht="20" customHeight="1" x14ac:dyDescent="0.2">
      <c r="A68" s="3">
        <v>3</v>
      </c>
      <c r="B68" s="3">
        <v>456</v>
      </c>
      <c r="C68" s="3">
        <f>C67+B68</f>
        <v>-992</v>
      </c>
    </row>
    <row r="69" spans="1:3" ht="20" customHeight="1" x14ac:dyDescent="0.2">
      <c r="A69" s="3">
        <v>4</v>
      </c>
      <c r="B69" s="3">
        <v>1088</v>
      </c>
      <c r="C69" s="3">
        <f>C68+B69</f>
        <v>96</v>
      </c>
    </row>
    <row r="70" spans="1:3" ht="20" customHeight="1" x14ac:dyDescent="0.2">
      <c r="A70" s="3">
        <v>5</v>
      </c>
      <c r="B70" s="3">
        <v>1088</v>
      </c>
      <c r="C70" s="3">
        <f>C69+B70</f>
        <v>1184</v>
      </c>
    </row>
    <row r="71" spans="1:3" ht="20" customHeight="1" x14ac:dyDescent="0.2"/>
    <row r="72" spans="1:3" ht="20" customHeight="1" x14ac:dyDescent="0.2">
      <c r="A72" s="3" t="s">
        <v>53</v>
      </c>
      <c r="B72" s="5">
        <f>3+ABS(C68)/B69</f>
        <v>3.9117647058823528</v>
      </c>
    </row>
    <row r="73" spans="1:3" ht="20" customHeight="1" x14ac:dyDescent="0.2"/>
    <row r="74" spans="1:3" ht="20" customHeight="1" x14ac:dyDescent="0.2"/>
    <row r="75" spans="1:3" ht="20" customHeight="1" x14ac:dyDescent="0.2">
      <c r="A75" s="1" t="s">
        <v>54</v>
      </c>
    </row>
    <row r="76" spans="1:3" ht="20" customHeight="1" x14ac:dyDescent="0.2"/>
    <row r="77" spans="1:3" ht="20" customHeight="1" x14ac:dyDescent="0.2">
      <c r="A77" s="1" t="s">
        <v>50</v>
      </c>
      <c r="B77" s="1" t="s">
        <v>51</v>
      </c>
      <c r="C77" s="1" t="s">
        <v>52</v>
      </c>
    </row>
    <row r="78" spans="1:3" ht="20" customHeight="1" x14ac:dyDescent="0.2">
      <c r="A78" s="3">
        <v>0</v>
      </c>
      <c r="B78" s="3">
        <v>-1500</v>
      </c>
      <c r="C78" s="3">
        <v>-1500</v>
      </c>
    </row>
    <row r="79" spans="1:3" ht="20" customHeight="1" x14ac:dyDescent="0.2">
      <c r="A79" s="3">
        <v>1</v>
      </c>
      <c r="B79" s="3">
        <v>345</v>
      </c>
      <c r="C79" s="3">
        <f>C78+B79</f>
        <v>-1155</v>
      </c>
    </row>
    <row r="80" spans="1:3" x14ac:dyDescent="0.2">
      <c r="A80" s="3">
        <v>2</v>
      </c>
      <c r="B80" s="3">
        <v>480</v>
      </c>
      <c r="C80" s="3">
        <f>C79+B80</f>
        <v>-675</v>
      </c>
    </row>
    <row r="81" spans="1:3" x14ac:dyDescent="0.2">
      <c r="A81" s="3">
        <v>3</v>
      </c>
      <c r="B81" s="3">
        <v>1020</v>
      </c>
      <c r="C81" s="3">
        <f>C80+B81</f>
        <v>345</v>
      </c>
    </row>
    <row r="82" spans="1:3" x14ac:dyDescent="0.2">
      <c r="A82" s="3">
        <v>4</v>
      </c>
      <c r="B82" s="3">
        <v>1010</v>
      </c>
      <c r="C82" s="3">
        <f>C81+B82</f>
        <v>1355</v>
      </c>
    </row>
    <row r="83" spans="1:3" x14ac:dyDescent="0.2">
      <c r="A83" s="3">
        <v>5</v>
      </c>
      <c r="B83" s="3">
        <v>10</v>
      </c>
      <c r="C83" s="3">
        <f>C82+B83</f>
        <v>1365</v>
      </c>
    </row>
    <row r="85" spans="1:3" x14ac:dyDescent="0.2">
      <c r="A85" s="3" t="s">
        <v>53</v>
      </c>
      <c r="B85" s="5">
        <f>2+ABS(C80)/B81</f>
        <v>2.6617647058823528</v>
      </c>
    </row>
    <row r="88" spans="1:3" ht="16" x14ac:dyDescent="0.2">
      <c r="A88" s="1" t="s">
        <v>55</v>
      </c>
    </row>
    <row r="89" spans="1:3" x14ac:dyDescent="0.2">
      <c r="A89" s="3" t="s">
        <v>56</v>
      </c>
      <c r="B89" s="3">
        <f>B72</f>
        <v>3.9117647058823528</v>
      </c>
    </row>
    <row r="90" spans="1:3" x14ac:dyDescent="0.2">
      <c r="A90" s="3" t="s">
        <v>57</v>
      </c>
      <c r="B90" s="3">
        <f>B85</f>
        <v>2.6617647058823528</v>
      </c>
    </row>
    <row r="92" spans="1:3" x14ac:dyDescent="0.2">
      <c r="A92" s="3" t="s">
        <v>58</v>
      </c>
    </row>
    <row r="93" spans="1:3" x14ac:dyDescent="0.2">
      <c r="A93" s="3" t="s">
        <v>59</v>
      </c>
    </row>
    <row r="94" spans="1:3" x14ac:dyDescent="0.2">
      <c r="A94" s="3" t="s">
        <v>60</v>
      </c>
    </row>
    <row r="95" spans="1:3" x14ac:dyDescent="0.2">
      <c r="A95" s="3" t="s">
        <v>61</v>
      </c>
    </row>
    <row r="96" spans="1:3" x14ac:dyDescent="0.2">
      <c r="A96" s="3" t="s">
        <v>62</v>
      </c>
    </row>
    <row r="97" spans="1:1" x14ac:dyDescent="0.2">
      <c r="A97" s="3" t="s">
        <v>63</v>
      </c>
    </row>
  </sheetData>
  <mergeCells count="2">
    <mergeCell ref="A2:H2"/>
    <mergeCell ref="A1:H1"/>
  </mergeCells>
  <conditionalFormatting sqref="B22:B44">
    <cfRule type="cellIs" dxfId="2" priority="1" operator="lessThan">
      <formula>0</formula>
    </cfRule>
  </conditionalFormatting>
  <dataValidations count="1">
    <dataValidation type="decimal" errorTitle="Invalid Input" error="Value must be between 0 and 1" sqref="B6" xr:uid="{00000000-0002-0000-0000-000000000000}">
      <formula1>0</formula1>
      <formula2>1</formula2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workbookViewId="0">
      <selection activeCell="E71" sqref="E71"/>
    </sheetView>
  </sheetViews>
  <sheetFormatPr baseColWidth="10" defaultColWidth="8.83203125" defaultRowHeight="15" x14ac:dyDescent="0.2"/>
  <sheetData>
    <row r="1" spans="1:7" ht="16" x14ac:dyDescent="0.2">
      <c r="A1" s="12" t="s">
        <v>64</v>
      </c>
      <c r="B1" s="10"/>
      <c r="C1" s="10"/>
      <c r="D1" s="10"/>
      <c r="E1" s="10"/>
      <c r="F1" s="10"/>
    </row>
    <row r="3" spans="1:7" ht="16" x14ac:dyDescent="0.2">
      <c r="A3" s="2" t="s">
        <v>3</v>
      </c>
    </row>
    <row r="4" spans="1:7" ht="16" x14ac:dyDescent="0.2">
      <c r="A4" s="2" t="s">
        <v>65</v>
      </c>
      <c r="B4" s="6">
        <v>2</v>
      </c>
    </row>
    <row r="5" spans="1:7" ht="16" x14ac:dyDescent="0.2">
      <c r="A5" s="2" t="s">
        <v>66</v>
      </c>
      <c r="B5" s="6">
        <v>2</v>
      </c>
    </row>
    <row r="6" spans="1:7" ht="16" x14ac:dyDescent="0.2">
      <c r="A6" s="2" t="s">
        <v>67</v>
      </c>
      <c r="B6" s="6">
        <v>1.3</v>
      </c>
    </row>
    <row r="7" spans="1:7" ht="16" x14ac:dyDescent="0.2">
      <c r="A7" s="2" t="s">
        <v>68</v>
      </c>
      <c r="B7" s="6">
        <v>1.6</v>
      </c>
    </row>
    <row r="8" spans="1:7" ht="16" x14ac:dyDescent="0.2">
      <c r="A8" s="2" t="s">
        <v>69</v>
      </c>
      <c r="B8" s="6">
        <v>0.63</v>
      </c>
    </row>
    <row r="9" spans="1:7" ht="16" x14ac:dyDescent="0.2">
      <c r="A9" s="2" t="s">
        <v>70</v>
      </c>
      <c r="B9" s="6">
        <v>88</v>
      </c>
    </row>
    <row r="10" spans="1:7" ht="16" x14ac:dyDescent="0.2">
      <c r="A10" s="2" t="s">
        <v>71</v>
      </c>
      <c r="B10" s="6" t="s">
        <v>41</v>
      </c>
    </row>
    <row r="12" spans="1:7" ht="16" x14ac:dyDescent="0.2">
      <c r="A12" s="2" t="s">
        <v>72</v>
      </c>
    </row>
    <row r="13" spans="1:7" ht="16" x14ac:dyDescent="0.2">
      <c r="A13" s="2" t="s">
        <v>50</v>
      </c>
      <c r="B13" s="2">
        <v>2018</v>
      </c>
      <c r="C13" s="2">
        <v>2019</v>
      </c>
      <c r="D13" s="2">
        <v>2020</v>
      </c>
      <c r="E13" s="2">
        <v>2021</v>
      </c>
      <c r="F13" s="2">
        <v>2022</v>
      </c>
      <c r="G13" s="2" t="s">
        <v>73</v>
      </c>
    </row>
    <row r="14" spans="1:7" ht="16" x14ac:dyDescent="0.2">
      <c r="A14" s="2" t="s">
        <v>74</v>
      </c>
      <c r="B14" s="6">
        <v>4.5999999999999996</v>
      </c>
      <c r="C14" s="6">
        <v>5</v>
      </c>
      <c r="D14" s="6">
        <v>5.4</v>
      </c>
      <c r="E14" s="6">
        <v>6</v>
      </c>
      <c r="F14" s="6">
        <v>6.5</v>
      </c>
      <c r="G14" s="6">
        <v>7</v>
      </c>
    </row>
    <row r="16" spans="1:7" ht="16" x14ac:dyDescent="0.2">
      <c r="A16" s="2" t="s">
        <v>75</v>
      </c>
    </row>
    <row r="17" spans="1:2" x14ac:dyDescent="0.2">
      <c r="A17" t="s">
        <v>76</v>
      </c>
      <c r="B17">
        <f>B7-G14/100</f>
        <v>1.53</v>
      </c>
    </row>
    <row r="18" spans="1:2" x14ac:dyDescent="0.2">
      <c r="A18" t="s">
        <v>77</v>
      </c>
      <c r="B18">
        <f>(G14/B14)^(1/4)-1</f>
        <v>0.1106700272753931</v>
      </c>
    </row>
    <row r="19" spans="1:2" x14ac:dyDescent="0.2">
      <c r="A19" t="s">
        <v>78</v>
      </c>
      <c r="B19">
        <f>G14*(1+B18)/100</f>
        <v>7.7746901909277522E-2</v>
      </c>
    </row>
    <row r="20" spans="1:2" x14ac:dyDescent="0.2">
      <c r="A20" t="s">
        <v>79</v>
      </c>
      <c r="B20" s="8">
        <f>B19/B17+B18</f>
        <v>0.16148499584354833</v>
      </c>
    </row>
    <row r="22" spans="1:2" ht="16" x14ac:dyDescent="0.2">
      <c r="A22" s="2" t="s">
        <v>80</v>
      </c>
    </row>
    <row r="23" spans="1:2" x14ac:dyDescent="0.2">
      <c r="A23" t="s">
        <v>81</v>
      </c>
      <c r="B23">
        <f>B5*0.08</f>
        <v>0.16</v>
      </c>
    </row>
    <row r="24" spans="1:2" x14ac:dyDescent="0.2">
      <c r="A24" t="s">
        <v>82</v>
      </c>
      <c r="B24" s="8">
        <f>B23/B8</f>
        <v>0.25396825396825395</v>
      </c>
    </row>
    <row r="26" spans="1:2" ht="16" x14ac:dyDescent="0.2">
      <c r="A26" s="2" t="s">
        <v>83</v>
      </c>
    </row>
    <row r="27" spans="1:2" x14ac:dyDescent="0.2">
      <c r="A27" t="s">
        <v>84</v>
      </c>
      <c r="B27">
        <v>8</v>
      </c>
    </row>
    <row r="28" spans="1:2" x14ac:dyDescent="0.2">
      <c r="A28" t="s">
        <v>85</v>
      </c>
      <c r="B28">
        <f>B27*(1-B10)</f>
        <v>6.4</v>
      </c>
    </row>
    <row r="35" spans="1:5" ht="16" x14ac:dyDescent="0.2">
      <c r="A35" s="2" t="s">
        <v>86</v>
      </c>
    </row>
    <row r="36" spans="1:5" ht="16" x14ac:dyDescent="0.2">
      <c r="A36" s="2"/>
      <c r="B36" s="2" t="s">
        <v>87</v>
      </c>
      <c r="C36" s="2" t="s">
        <v>88</v>
      </c>
      <c r="D36" s="2" t="s">
        <v>89</v>
      </c>
      <c r="E36" s="2" t="s">
        <v>90</v>
      </c>
    </row>
    <row r="37" spans="1:5" x14ac:dyDescent="0.2">
      <c r="A37" t="s">
        <v>91</v>
      </c>
      <c r="B37">
        <f>B4*B7*1000000</f>
        <v>3200000</v>
      </c>
      <c r="C37">
        <f>B37/B40</f>
        <v>0.57102069950035694</v>
      </c>
      <c r="D37">
        <f>B20</f>
        <v>0.16148499584354833</v>
      </c>
      <c r="E37">
        <f>C37*D37</f>
        <v>9.2211275285395203E-2</v>
      </c>
    </row>
    <row r="38" spans="1:5" x14ac:dyDescent="0.2">
      <c r="A38" t="s">
        <v>92</v>
      </c>
      <c r="B38">
        <f>B5*B8*1000000</f>
        <v>1260000</v>
      </c>
      <c r="C38">
        <f>B38/B40</f>
        <v>0.22483940042826553</v>
      </c>
      <c r="D38">
        <f>B24</f>
        <v>0.25396825396825395</v>
      </c>
      <c r="E38">
        <f>C38*D38</f>
        <v>5.7102069950035687E-2</v>
      </c>
    </row>
    <row r="39" spans="1:5" x14ac:dyDescent="0.2">
      <c r="A39" t="s">
        <v>93</v>
      </c>
      <c r="B39">
        <f>B6*B9*10000</f>
        <v>1144000</v>
      </c>
      <c r="C39">
        <f>B39/B40</f>
        <v>0.20413990007137758</v>
      </c>
      <c r="D39">
        <v>0.1154</v>
      </c>
      <c r="E39">
        <f>C39*D39</f>
        <v>2.3557744468236972E-2</v>
      </c>
    </row>
    <row r="40" spans="1:5" x14ac:dyDescent="0.2">
      <c r="A40" s="8" t="s">
        <v>94</v>
      </c>
      <c r="B40">
        <f>SUM(B37:B39)</f>
        <v>5604000</v>
      </c>
      <c r="C40">
        <f>SUM(C37:C39)</f>
        <v>1</v>
      </c>
      <c r="E40" s="8">
        <f>SUM(E37:E39)</f>
        <v>0.17287108970366785</v>
      </c>
    </row>
  </sheetData>
  <mergeCells count="1">
    <mergeCell ref="A1:F1"/>
  </mergeCells>
  <dataValidations count="1">
    <dataValidation type="decimal" errorTitle="Invalid Input" error="Value must be between 0 and 1" sqref="B10" xr:uid="{00000000-0002-0000-0100-000000000000}">
      <formula1>0</formula1>
      <formula2>1</formula2>
    </dataValidation>
  </dataValidation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9.5" bestFit="1" customWidth="1"/>
    <col min="2" max="3" width="12.1640625" bestFit="1" customWidth="1"/>
    <col min="4" max="4" width="14" bestFit="1" customWidth="1"/>
    <col min="7" max="7" width="14.83203125" bestFit="1" customWidth="1"/>
    <col min="8" max="8" width="12.1640625" bestFit="1" customWidth="1"/>
  </cols>
  <sheetData>
    <row r="1" spans="1:8" ht="16" x14ac:dyDescent="0.2">
      <c r="A1" s="12" t="s">
        <v>95</v>
      </c>
      <c r="B1" s="10"/>
      <c r="C1" s="10"/>
      <c r="D1" s="10"/>
      <c r="E1" s="10"/>
      <c r="F1" s="10"/>
    </row>
    <row r="3" spans="1:8" ht="16" x14ac:dyDescent="0.2">
      <c r="A3" s="2" t="s">
        <v>3</v>
      </c>
      <c r="G3" s="2" t="s">
        <v>96</v>
      </c>
    </row>
    <row r="4" spans="1:8" ht="16" x14ac:dyDescent="0.2">
      <c r="A4" s="2" t="s">
        <v>97</v>
      </c>
      <c r="B4" s="6">
        <v>180</v>
      </c>
      <c r="G4" t="s">
        <v>4</v>
      </c>
      <c r="H4" t="s">
        <v>98</v>
      </c>
    </row>
    <row r="5" spans="1:8" ht="16" x14ac:dyDescent="0.2">
      <c r="A5" s="2" t="s">
        <v>99</v>
      </c>
      <c r="B5">
        <f>B4*12</f>
        <v>2160</v>
      </c>
      <c r="G5" t="s">
        <v>100</v>
      </c>
      <c r="H5">
        <f>B20</f>
        <v>42332.978873239437</v>
      </c>
    </row>
    <row r="6" spans="1:8" ht="16" x14ac:dyDescent="0.2">
      <c r="A6" s="2" t="s">
        <v>101</v>
      </c>
      <c r="B6" s="6">
        <v>7</v>
      </c>
      <c r="G6" t="s">
        <v>102</v>
      </c>
      <c r="H6">
        <f>B29</f>
        <v>41090.127272727274</v>
      </c>
    </row>
    <row r="7" spans="1:8" ht="16" x14ac:dyDescent="0.2">
      <c r="A7" s="2" t="s">
        <v>103</v>
      </c>
      <c r="B7" s="6">
        <v>1.5</v>
      </c>
      <c r="G7" t="s">
        <v>104</v>
      </c>
      <c r="H7">
        <f>B37</f>
        <v>40691.006603773581</v>
      </c>
    </row>
    <row r="8" spans="1:8" ht="16" x14ac:dyDescent="0.2">
      <c r="A8" s="2" t="s">
        <v>105</v>
      </c>
      <c r="B8" s="6">
        <v>19.5</v>
      </c>
    </row>
    <row r="10" spans="1:8" ht="16" x14ac:dyDescent="0.2">
      <c r="A10" s="2" t="s">
        <v>106</v>
      </c>
    </row>
    <row r="11" spans="1:8" x14ac:dyDescent="0.2">
      <c r="A11" t="s">
        <v>107</v>
      </c>
      <c r="B11">
        <f>SQRT((2*B5*B6)/B7)</f>
        <v>141.98591479439079</v>
      </c>
    </row>
    <row r="12" spans="1:8" x14ac:dyDescent="0.2">
      <c r="A12" t="s">
        <v>108</v>
      </c>
      <c r="B12" s="8">
        <f>ROUND(B11,0)</f>
        <v>142</v>
      </c>
    </row>
    <row r="15" spans="1:8" ht="16" x14ac:dyDescent="0.2">
      <c r="A15" s="2" t="s">
        <v>109</v>
      </c>
      <c r="B15">
        <f>B5/B12</f>
        <v>15.211267605633802</v>
      </c>
    </row>
    <row r="16" spans="1:8" ht="16" x14ac:dyDescent="0.2">
      <c r="A16" s="2" t="s">
        <v>110</v>
      </c>
      <c r="B16">
        <f>B15*B6</f>
        <v>106.47887323943661</v>
      </c>
    </row>
    <row r="17" spans="1:2" ht="16" x14ac:dyDescent="0.2">
      <c r="A17" s="2" t="s">
        <v>111</v>
      </c>
      <c r="B17">
        <f>B12/2</f>
        <v>71</v>
      </c>
    </row>
    <row r="18" spans="1:2" ht="16" x14ac:dyDescent="0.2">
      <c r="A18" s="2" t="s">
        <v>112</v>
      </c>
      <c r="B18">
        <f>B17*B7</f>
        <v>106.5</v>
      </c>
    </row>
    <row r="19" spans="1:2" ht="16" x14ac:dyDescent="0.2">
      <c r="A19" s="2" t="s">
        <v>113</v>
      </c>
      <c r="B19">
        <f>B5*B8</f>
        <v>42120</v>
      </c>
    </row>
    <row r="20" spans="1:2" ht="16" x14ac:dyDescent="0.2">
      <c r="A20" s="2" t="s">
        <v>114</v>
      </c>
      <c r="B20" s="8">
        <f>B16+B18+B19</f>
        <v>42332.978873239437</v>
      </c>
    </row>
    <row r="22" spans="1:2" ht="16" x14ac:dyDescent="0.2">
      <c r="A22" s="2" t="s">
        <v>115</v>
      </c>
    </row>
    <row r="23" spans="1:2" ht="16" x14ac:dyDescent="0.2">
      <c r="A23" s="2" t="s">
        <v>116</v>
      </c>
    </row>
    <row r="24" spans="1:2" ht="16" x14ac:dyDescent="0.2">
      <c r="A24" s="2" t="s">
        <v>117</v>
      </c>
      <c r="B24">
        <f>B8*(1-0.03)</f>
        <v>18.914999999999999</v>
      </c>
    </row>
    <row r="25" spans="1:2" ht="16" x14ac:dyDescent="0.2">
      <c r="A25" s="2" t="s">
        <v>118</v>
      </c>
      <c r="B25">
        <f>B5/220</f>
        <v>9.8181818181818183</v>
      </c>
    </row>
    <row r="26" spans="1:2" ht="16" x14ac:dyDescent="0.2">
      <c r="A26" s="2" t="s">
        <v>119</v>
      </c>
      <c r="B26">
        <f>B25*B6</f>
        <v>68.727272727272734</v>
      </c>
    </row>
    <row r="27" spans="1:2" ht="16" x14ac:dyDescent="0.2">
      <c r="A27" s="2" t="s">
        <v>120</v>
      </c>
      <c r="B27">
        <f>(220/2)*B7</f>
        <v>165</v>
      </c>
    </row>
    <row r="28" spans="1:2" ht="16" x14ac:dyDescent="0.2">
      <c r="A28" s="2" t="s">
        <v>121</v>
      </c>
      <c r="B28">
        <f>B5*B24</f>
        <v>40856.400000000001</v>
      </c>
    </row>
    <row r="29" spans="1:2" ht="16" x14ac:dyDescent="0.2">
      <c r="A29" s="2" t="s">
        <v>122</v>
      </c>
      <c r="B29" s="8">
        <f>B26+B27+B28</f>
        <v>41090.127272727274</v>
      </c>
    </row>
    <row r="31" spans="1:2" ht="16" x14ac:dyDescent="0.2">
      <c r="A31" s="2" t="s">
        <v>123</v>
      </c>
    </row>
    <row r="32" spans="1:2" ht="16" x14ac:dyDescent="0.2">
      <c r="A32" s="2" t="s">
        <v>117</v>
      </c>
      <c r="B32">
        <f>B8*(1-0.04)</f>
        <v>18.72</v>
      </c>
    </row>
    <row r="33" spans="1:4" ht="16" x14ac:dyDescent="0.2">
      <c r="A33" s="2" t="s">
        <v>118</v>
      </c>
      <c r="B33">
        <f>B5/265</f>
        <v>8.1509433962264151</v>
      </c>
    </row>
    <row r="34" spans="1:4" ht="16" x14ac:dyDescent="0.2">
      <c r="A34" s="2" t="s">
        <v>119</v>
      </c>
      <c r="B34">
        <f>B33*B6</f>
        <v>57.056603773584904</v>
      </c>
    </row>
    <row r="35" spans="1:4" ht="16" x14ac:dyDescent="0.2">
      <c r="A35" s="2" t="s">
        <v>120</v>
      </c>
      <c r="B35">
        <f>(265/2)*B7</f>
        <v>198.75</v>
      </c>
    </row>
    <row r="36" spans="1:4" ht="16" x14ac:dyDescent="0.2">
      <c r="A36" s="2" t="s">
        <v>121</v>
      </c>
      <c r="B36">
        <f>B5*B32</f>
        <v>40435.199999999997</v>
      </c>
    </row>
    <row r="37" spans="1:4" ht="16" x14ac:dyDescent="0.2">
      <c r="A37" s="2" t="s">
        <v>124</v>
      </c>
      <c r="B37" s="8">
        <f>B34+B35+B36</f>
        <v>40691.006603773581</v>
      </c>
    </row>
    <row r="39" spans="1:4" ht="16" x14ac:dyDescent="0.2">
      <c r="A39" s="2" t="s">
        <v>125</v>
      </c>
    </row>
    <row r="40" spans="1:4" ht="16" x14ac:dyDescent="0.2">
      <c r="A40" s="2" t="s">
        <v>4</v>
      </c>
      <c r="B40" s="2" t="s">
        <v>126</v>
      </c>
      <c r="C40" s="2" t="s">
        <v>98</v>
      </c>
      <c r="D40" s="2" t="s">
        <v>127</v>
      </c>
    </row>
    <row r="41" spans="1:4" x14ac:dyDescent="0.2">
      <c r="A41" t="s">
        <v>128</v>
      </c>
      <c r="B41">
        <f>B12</f>
        <v>142</v>
      </c>
      <c r="C41">
        <f>B20</f>
        <v>42332.978873239437</v>
      </c>
      <c r="D41">
        <v>0</v>
      </c>
    </row>
    <row r="42" spans="1:4" x14ac:dyDescent="0.2">
      <c r="A42" t="s">
        <v>102</v>
      </c>
      <c r="B42">
        <v>220</v>
      </c>
      <c r="C42">
        <f>B29</f>
        <v>41090.127272727274</v>
      </c>
      <c r="D42">
        <f>B20-B29</f>
        <v>1242.8516005121637</v>
      </c>
    </row>
    <row r="43" spans="1:4" x14ac:dyDescent="0.2">
      <c r="A43" t="s">
        <v>104</v>
      </c>
      <c r="B43">
        <v>265</v>
      </c>
      <c r="C43">
        <f>B37</f>
        <v>40691.006603773581</v>
      </c>
      <c r="D43">
        <f>B20-B37</f>
        <v>1641.9722694658558</v>
      </c>
    </row>
  </sheetData>
  <mergeCells count="1">
    <mergeCell ref="A1:F1"/>
  </mergeCells>
  <dataValidations count="2">
    <dataValidation type="decimal" errorTitle="Invalid Input" error="Value must be between 1 and 1000" sqref="B4" xr:uid="{00000000-0002-0000-0200-000000000000}">
      <formula1>1</formula1>
      <formula2>1000</formula2>
    </dataValidation>
    <dataValidation type="decimal" errorTitle="Invalid Input" error="Value must be between 0 and 100" sqref="B6" xr:uid="{00000000-0002-0000-0200-000001000000}">
      <formula1>0</formula1>
      <formula2>100</formula2>
    </dataValidation>
  </dataValidations>
  <pageMargins left="0.75" right="0.75" top="1" bottom="1" header="0.5" footer="0.5"/>
  <drawing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"/>
  <sheetViews>
    <sheetView workbookViewId="0">
      <selection activeCell="R15" sqref="R15"/>
    </sheetView>
  </sheetViews>
  <sheetFormatPr baseColWidth="10" defaultColWidth="8.83203125" defaultRowHeight="15" x14ac:dyDescent="0.2"/>
  <cols>
    <col min="1" max="1" width="24.5" bestFit="1" customWidth="1"/>
    <col min="2" max="3" width="12.1640625" bestFit="1" customWidth="1"/>
    <col min="4" max="4" width="10.33203125" bestFit="1" customWidth="1"/>
    <col min="7" max="7" width="30" bestFit="1" customWidth="1"/>
  </cols>
  <sheetData>
    <row r="1" spans="1:7" ht="16" x14ac:dyDescent="0.2">
      <c r="A1" s="12" t="s">
        <v>129</v>
      </c>
      <c r="B1" s="10"/>
      <c r="C1" s="10"/>
      <c r="D1" s="10"/>
      <c r="E1" s="10"/>
      <c r="F1" s="10"/>
    </row>
    <row r="3" spans="1:7" ht="16" x14ac:dyDescent="0.2">
      <c r="A3" s="2" t="s">
        <v>130</v>
      </c>
      <c r="G3" s="2" t="s">
        <v>131</v>
      </c>
    </row>
    <row r="4" spans="1:7" ht="16" x14ac:dyDescent="0.2">
      <c r="B4" s="2" t="s">
        <v>132</v>
      </c>
      <c r="C4" s="2" t="s">
        <v>133</v>
      </c>
    </row>
    <row r="5" spans="1:7" ht="16" x14ac:dyDescent="0.2">
      <c r="A5" s="2" t="s">
        <v>134</v>
      </c>
      <c r="B5" s="6">
        <v>17960</v>
      </c>
      <c r="C5" s="6">
        <v>17660</v>
      </c>
    </row>
    <row r="6" spans="1:7" ht="16" x14ac:dyDescent="0.2">
      <c r="A6" s="2" t="s">
        <v>135</v>
      </c>
      <c r="B6" s="6">
        <v>6570</v>
      </c>
      <c r="C6" s="6">
        <v>6430</v>
      </c>
    </row>
    <row r="7" spans="1:7" ht="16" x14ac:dyDescent="0.2">
      <c r="A7" s="2" t="s">
        <v>136</v>
      </c>
      <c r="B7" s="6">
        <v>16880</v>
      </c>
      <c r="C7" s="6">
        <v>16410</v>
      </c>
    </row>
    <row r="8" spans="1:7" ht="16" x14ac:dyDescent="0.2">
      <c r="A8" s="2" t="s">
        <v>137</v>
      </c>
      <c r="B8" s="6">
        <v>25160</v>
      </c>
      <c r="C8" s="6">
        <v>24660</v>
      </c>
    </row>
    <row r="9" spans="1:7" ht="16" x14ac:dyDescent="0.2">
      <c r="A9" s="2" t="s">
        <v>138</v>
      </c>
      <c r="B9" s="6">
        <v>6380</v>
      </c>
      <c r="C9" s="6">
        <v>6350</v>
      </c>
    </row>
    <row r="10" spans="1:7" ht="16" x14ac:dyDescent="0.2">
      <c r="A10" s="2" t="s">
        <v>93</v>
      </c>
      <c r="B10" s="6">
        <v>1900</v>
      </c>
      <c r="C10" s="6">
        <v>1900</v>
      </c>
    </row>
    <row r="11" spans="1:7" ht="16" x14ac:dyDescent="0.2">
      <c r="A11" s="2" t="s">
        <v>139</v>
      </c>
      <c r="B11" s="6">
        <v>5280</v>
      </c>
      <c r="C11" s="6">
        <v>3000</v>
      </c>
    </row>
    <row r="12" spans="1:7" ht="16" x14ac:dyDescent="0.2">
      <c r="A12" s="2" t="s">
        <v>140</v>
      </c>
      <c r="B12" s="6">
        <v>1000</v>
      </c>
      <c r="C12" s="6">
        <v>1000</v>
      </c>
    </row>
    <row r="14" spans="1:7" ht="16" x14ac:dyDescent="0.2">
      <c r="A14" s="2" t="s">
        <v>141</v>
      </c>
      <c r="B14" s="2" t="s">
        <v>142</v>
      </c>
      <c r="C14" s="2" t="s">
        <v>143</v>
      </c>
    </row>
    <row r="15" spans="1:7" x14ac:dyDescent="0.2">
      <c r="A15" t="s">
        <v>144</v>
      </c>
      <c r="B15">
        <f>B5/B7</f>
        <v>1.0639810426540284</v>
      </c>
      <c r="C15">
        <f>C5/C7</f>
        <v>1.0761730652041439</v>
      </c>
    </row>
    <row r="16" spans="1:7" x14ac:dyDescent="0.2">
      <c r="A16" t="s">
        <v>145</v>
      </c>
      <c r="B16">
        <f>(B5-B6)/B7</f>
        <v>0.67476303317535546</v>
      </c>
      <c r="C16">
        <f>(C5-C6)/C7</f>
        <v>0.68433881779402805</v>
      </c>
    </row>
    <row r="19" spans="1:4" ht="16" x14ac:dyDescent="0.2">
      <c r="A19" s="2" t="s">
        <v>146</v>
      </c>
    </row>
    <row r="20" spans="1:4" x14ac:dyDescent="0.2">
      <c r="A20" t="s">
        <v>147</v>
      </c>
      <c r="B20">
        <f>B10/B9</f>
        <v>0.29780564263322884</v>
      </c>
      <c r="C20">
        <f>C10/C9</f>
        <v>0.29921259842519687</v>
      </c>
    </row>
    <row r="21" spans="1:4" x14ac:dyDescent="0.2">
      <c r="A21" t="s">
        <v>148</v>
      </c>
      <c r="B21" s="8">
        <f>B20*100</f>
        <v>29.780564263322884</v>
      </c>
      <c r="C21" s="8">
        <f>C20*100</f>
        <v>29.921259842519689</v>
      </c>
    </row>
    <row r="24" spans="1:4" ht="16" x14ac:dyDescent="0.2">
      <c r="A24" s="2" t="s">
        <v>149</v>
      </c>
    </row>
    <row r="25" spans="1:4" x14ac:dyDescent="0.2">
      <c r="A25" t="s">
        <v>150</v>
      </c>
      <c r="B25" s="8">
        <f>B11/B12</f>
        <v>5.28</v>
      </c>
      <c r="C25" s="8">
        <f>C11/C12</f>
        <v>3</v>
      </c>
    </row>
    <row r="26" spans="1:4" x14ac:dyDescent="0.2">
      <c r="A26" t="s">
        <v>151</v>
      </c>
      <c r="B26">
        <f>B8-B7</f>
        <v>8280</v>
      </c>
      <c r="C26">
        <f>C8-C7</f>
        <v>8250</v>
      </c>
    </row>
    <row r="27" spans="1:4" x14ac:dyDescent="0.2">
      <c r="A27" t="s">
        <v>152</v>
      </c>
      <c r="B27" s="8">
        <f>(B11/B26)*100</f>
        <v>63.768115942028977</v>
      </c>
      <c r="C27" s="8">
        <f>(C11/C26)*100</f>
        <v>36.363636363636367</v>
      </c>
    </row>
    <row r="28" spans="1:4" ht="16" x14ac:dyDescent="0.2">
      <c r="A28" s="2" t="s">
        <v>153</v>
      </c>
    </row>
    <row r="29" spans="1:4" ht="16" x14ac:dyDescent="0.2">
      <c r="A29" s="2" t="s">
        <v>154</v>
      </c>
      <c r="B29" s="2" t="s">
        <v>155</v>
      </c>
      <c r="C29" s="2" t="s">
        <v>156</v>
      </c>
      <c r="D29" s="2" t="s">
        <v>157</v>
      </c>
    </row>
    <row r="30" spans="1:4" x14ac:dyDescent="0.2">
      <c r="A30" t="s">
        <v>144</v>
      </c>
      <c r="B30">
        <f>B16</f>
        <v>0.67476303317535546</v>
      </c>
      <c r="C30" s="6">
        <v>2.1</v>
      </c>
      <c r="D30" s="6">
        <v>1.9</v>
      </c>
    </row>
    <row r="31" spans="1:4" x14ac:dyDescent="0.2">
      <c r="A31" t="s">
        <v>145</v>
      </c>
      <c r="B31">
        <f>B17</f>
        <v>0</v>
      </c>
      <c r="C31" s="6">
        <v>1</v>
      </c>
      <c r="D31" s="6">
        <v>1.1000000000000001</v>
      </c>
    </row>
    <row r="32" spans="1:4" x14ac:dyDescent="0.2">
      <c r="A32" t="s">
        <v>150</v>
      </c>
      <c r="B32">
        <f>B24</f>
        <v>0</v>
      </c>
      <c r="C32" s="6">
        <v>9</v>
      </c>
      <c r="D32" s="6">
        <v>8</v>
      </c>
    </row>
    <row r="33" spans="1:4" x14ac:dyDescent="0.2">
      <c r="A33" t="s">
        <v>148</v>
      </c>
      <c r="B33">
        <f>B21</f>
        <v>29.780564263322884</v>
      </c>
      <c r="C33" s="6">
        <v>30</v>
      </c>
      <c r="D33" s="6">
        <v>25</v>
      </c>
    </row>
    <row r="34" spans="1:4" x14ac:dyDescent="0.2">
      <c r="A34" t="s">
        <v>152</v>
      </c>
      <c r="B34">
        <f>B27</f>
        <v>63.768115942028977</v>
      </c>
      <c r="C34" s="6">
        <v>65</v>
      </c>
      <c r="D34" s="6">
        <v>50</v>
      </c>
    </row>
  </sheetData>
  <mergeCells count="1">
    <mergeCell ref="A1:F1"/>
  </mergeCells>
  <conditionalFormatting sqref="B16:C16">
    <cfRule type="cellIs" dxfId="1" priority="1" operator="lessThan">
      <formula>1</formula>
    </cfRule>
    <cfRule type="cellIs" dxfId="0" priority="2" operator="greaterThan">
      <formula>1.5</formula>
    </cfRule>
  </conditionalFormatting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H30" sqref="H30"/>
    </sheetView>
  </sheetViews>
  <sheetFormatPr baseColWidth="10" defaultColWidth="8.83203125" defaultRowHeight="15" x14ac:dyDescent="0.2"/>
  <cols>
    <col min="1" max="1" width="26.1640625" bestFit="1" customWidth="1"/>
    <col min="2" max="2" width="19.33203125" bestFit="1" customWidth="1"/>
  </cols>
  <sheetData>
    <row r="1" spans="1:6" ht="16" x14ac:dyDescent="0.2">
      <c r="A1" s="12" t="s">
        <v>158</v>
      </c>
      <c r="B1" s="10"/>
      <c r="C1" s="10"/>
      <c r="D1" s="10"/>
      <c r="E1" s="10"/>
      <c r="F1" s="10"/>
    </row>
    <row r="3" spans="1:6" ht="16" x14ac:dyDescent="0.2">
      <c r="A3" s="2" t="s">
        <v>159</v>
      </c>
    </row>
    <row r="5" spans="1:6" x14ac:dyDescent="0.2">
      <c r="A5" t="s">
        <v>160</v>
      </c>
    </row>
    <row r="6" spans="1:6" x14ac:dyDescent="0.2">
      <c r="A6" t="s">
        <v>161</v>
      </c>
      <c r="B6" s="8">
        <f>Q1_Mylan_Contract!B22</f>
        <v>1095.1099999999999</v>
      </c>
    </row>
    <row r="7" spans="1:6" x14ac:dyDescent="0.2">
      <c r="A7" t="s">
        <v>162</v>
      </c>
      <c r="B7" s="8">
        <f>Q1_Mylan_Contract!$K$38</f>
        <v>672.1450000000001</v>
      </c>
    </row>
    <row r="9" spans="1:6" x14ac:dyDescent="0.2">
      <c r="A9" t="s">
        <v>163</v>
      </c>
    </row>
    <row r="10" spans="1:6" x14ac:dyDescent="0.2">
      <c r="A10" t="s">
        <v>164</v>
      </c>
      <c r="B10" s="8">
        <f>Q2_Kendall_WACC!E40</f>
        <v>0.17287108970366785</v>
      </c>
    </row>
    <row r="12" spans="1:6" x14ac:dyDescent="0.2">
      <c r="A12" t="s">
        <v>165</v>
      </c>
    </row>
    <row r="13" spans="1:6" x14ac:dyDescent="0.2">
      <c r="A13" t="s">
        <v>166</v>
      </c>
      <c r="B13" s="8">
        <f>Q3_Davison_Inventory!B12</f>
        <v>142</v>
      </c>
    </row>
    <row r="14" spans="1:6" x14ac:dyDescent="0.2">
      <c r="A14" t="s">
        <v>167</v>
      </c>
      <c r="B14" s="8" t="s">
        <v>168</v>
      </c>
    </row>
    <row r="16" spans="1:6" x14ac:dyDescent="0.2">
      <c r="A16" t="s">
        <v>169</v>
      </c>
    </row>
    <row r="17" spans="1:2" x14ac:dyDescent="0.2">
      <c r="A17" t="s">
        <v>170</v>
      </c>
      <c r="B17" s="8">
        <f>Q4_Vonn_Ratios!B16</f>
        <v>0.67476303317535546</v>
      </c>
    </row>
    <row r="18" spans="1:2" x14ac:dyDescent="0.2">
      <c r="A18" t="s">
        <v>171</v>
      </c>
      <c r="B18" s="8">
        <f>Q4_Vonn_Ratios!B27</f>
        <v>63.768115942028977</v>
      </c>
    </row>
  </sheetData>
  <mergeCells count="1"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Q1_Mylan_Contract</vt:lpstr>
      <vt:lpstr>Q2_Kendall_WACC</vt:lpstr>
      <vt:lpstr>Q3_Davison_Inventory</vt:lpstr>
      <vt:lpstr>Q4_Vonn_Ratios</vt:lpstr>
      <vt:lpstr>Summary_Dashboard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Barry Quinn (QMS)</cp:lastModifiedBy>
  <dcterms:created xsi:type="dcterms:W3CDTF">2025-05-29T16:09:28Z</dcterms:created>
  <dcterms:modified xsi:type="dcterms:W3CDTF">2025-06-03T08:12:20Z</dcterms:modified>
</cp:coreProperties>
</file>